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 codeName="{21656B06-1B9B-AA78-C99D-37B55691406E}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zniszczol\Documents\KATALOGY+CENY\Katalog BLUM\LegraBox\excel\"/>
    </mc:Choice>
  </mc:AlternateContent>
  <bookViews>
    <workbookView showSheetTabs="0" xWindow="0" yWindow="0" windowWidth="15600" windowHeight="10350" tabRatio="810"/>
  </bookViews>
  <sheets>
    <sheet name="Form" sheetId="11" r:id="rId1"/>
    <sheet name="Menu" sheetId="10" r:id="rId2"/>
    <sheet name="7N400P" sheetId="83" r:id="rId3"/>
    <sheet name="7M400P" sheetId="82" r:id="rId4"/>
    <sheet name="7M40VP" sheetId="81" r:id="rId5"/>
    <sheet name="7K400P" sheetId="84" r:id="rId6"/>
    <sheet name="7C410P" sheetId="85" r:id="rId7"/>
    <sheet name="7C410F" sheetId="104" r:id="rId8"/>
    <sheet name="7C41VP" sheetId="80" r:id="rId9"/>
    <sheet name="7C41VF" sheetId="105" r:id="rId10"/>
    <sheet name="7C41NP" sheetId="87" r:id="rId11"/>
    <sheet name="7C41NF" sheetId="106" r:id="rId12"/>
    <sheet name="7C41RP" sheetId="88" r:id="rId13"/>
    <sheet name="7C41RF" sheetId="107" r:id="rId14"/>
    <sheet name="7F410P" sheetId="86" r:id="rId15"/>
    <sheet name="7M442P" sheetId="93" r:id="rId16"/>
    <sheet name="7C442P" sheetId="89" r:id="rId17"/>
    <sheet name="7C442F" sheetId="108" r:id="rId18"/>
    <sheet name="7CM42P" sheetId="110" r:id="rId19"/>
    <sheet name="7CM42F" sheetId="111" r:id="rId20"/>
    <sheet name="7CM52P" sheetId="90" r:id="rId21"/>
    <sheet name="7CM52F" sheetId="112" r:id="rId22"/>
    <sheet name="7STCGP" sheetId="95" r:id="rId23"/>
    <sheet name="7STCGF" sheetId="109" r:id="rId24"/>
    <sheet name="7STCRP" sheetId="92" r:id="rId25"/>
    <sheet name="7STCRF" sheetId="113" r:id="rId26"/>
    <sheet name="7STMGP" sheetId="96" r:id="rId27"/>
    <sheet name="7STMGF" sheetId="114" r:id="rId28"/>
    <sheet name="7STMRP" sheetId="97" r:id="rId29"/>
    <sheet name="7STMRF" sheetId="115" r:id="rId30"/>
    <sheet name="Acs" sheetId="16" r:id="rId31"/>
    <sheet name="SD" sheetId="75" r:id="rId32"/>
    <sheet name="AL" sheetId="3" r:id="rId33"/>
    <sheet name="ALds" sheetId="99" r:id="rId34"/>
    <sheet name="ALpos" sheetId="101" r:id="rId35"/>
    <sheet name="ALbot" sheetId="117" r:id="rId36"/>
    <sheet name="ALdw" sheetId="100" r:id="rId37"/>
    <sheet name="ALpow" sheetId="102" r:id="rId38"/>
    <sheet name="ALrel" sheetId="116" r:id="rId39"/>
    <sheet name="ALkh" sheetId="103" r:id="rId40"/>
    <sheet name="Sum" sheetId="15" r:id="rId41"/>
    <sheet name="Zones" sheetId="1" state="hidden" r:id="rId42"/>
    <sheet name="Ord" sheetId="48" r:id="rId43"/>
    <sheet name="List" sheetId="12" r:id="rId44"/>
    <sheet name="Cen" sheetId="9" state="hidden" r:id="rId45"/>
    <sheet name="Price" sheetId="8" r:id="rId46"/>
  </sheets>
  <definedNames>
    <definedName name="_xlnm._FilterDatabase" localSheetId="42" hidden="1">Ord!$F$10:$F$291</definedName>
    <definedName name="_xlnm._FilterDatabase" localSheetId="45" hidden="1">Price!$K$1:$K$666</definedName>
    <definedName name="_xlnm.Print_Titles" localSheetId="42">Ord!$1:$2</definedName>
    <definedName name="_xlnm.Print_Area" localSheetId="30">Acs!$A$1:$G$42</definedName>
    <definedName name="_xlnm.Print_Area" localSheetId="32">AL!$B$1:$N$32</definedName>
    <definedName name="_xlnm.Print_Area" localSheetId="35">ALbot!$B$2:$L$30</definedName>
    <definedName name="_xlnm.Print_Area" localSheetId="33">ALds!$B$2:$M$32</definedName>
    <definedName name="_xlnm.Print_Area" localSheetId="36">ALdw!$B$2:$M$30</definedName>
    <definedName name="_xlnm.Print_Area" localSheetId="39">ALkh!$B$2:$L$30</definedName>
    <definedName name="_xlnm.Print_Area" localSheetId="34">ALpos!$B$2:$L$30</definedName>
    <definedName name="_xlnm.Print_Area" localSheetId="37">ALpow!$B$2:$L$30</definedName>
    <definedName name="_xlnm.Print_Area" localSheetId="38">ALrel!$B$2:$L$30</definedName>
    <definedName name="_xlnm.Print_Area" localSheetId="1">Menu!$B$1:$R$97</definedName>
    <definedName name="_xlnm.Print_Area" localSheetId="31">SD!$A$1:$G$43</definedName>
    <definedName name="_xlnm.Print_Area" localSheetId="40">Sum!$B$1:$L$62</definedName>
  </definedNames>
  <calcPr calcId="171027"/>
</workbook>
</file>

<file path=xl/calcChain.xml><?xml version="1.0" encoding="utf-8"?>
<calcChain xmlns="http://schemas.openxmlformats.org/spreadsheetml/2006/main">
  <c r="E620" i="9" l="1"/>
  <c r="E621" i="9"/>
  <c r="E625" i="9"/>
  <c r="E626" i="9"/>
  <c r="E627" i="9"/>
  <c r="E628" i="9"/>
  <c r="S72" i="114"/>
  <c r="S71" i="114"/>
  <c r="S65" i="114"/>
  <c r="S65" i="96"/>
  <c r="S64" i="96"/>
  <c r="S71" i="109"/>
  <c r="S70" i="109"/>
  <c r="S71" i="95"/>
  <c r="S70" i="95"/>
  <c r="S72" i="96"/>
  <c r="S71" i="96"/>
  <c r="S66" i="95"/>
  <c r="S65" i="95"/>
  <c r="S67" i="96"/>
  <c r="S66" i="96"/>
  <c r="S67" i="114"/>
  <c r="S66" i="114"/>
  <c r="S64" i="114"/>
  <c r="S64" i="113"/>
  <c r="S63" i="113"/>
  <c r="S64" i="92"/>
  <c r="S63" i="92"/>
  <c r="S65" i="115"/>
  <c r="S64" i="115"/>
  <c r="S65" i="97"/>
  <c r="S64" i="97"/>
  <c r="S9" i="115" l="1"/>
  <c r="S8" i="115"/>
  <c r="S7" i="115"/>
  <c r="S5" i="115"/>
  <c r="S4" i="115"/>
  <c r="S3" i="115"/>
  <c r="S9" i="97"/>
  <c r="S8" i="97"/>
  <c r="S7" i="97"/>
  <c r="S5" i="97"/>
  <c r="S4" i="97"/>
  <c r="S3" i="97"/>
  <c r="S9" i="114"/>
  <c r="S8" i="114"/>
  <c r="S7" i="114"/>
  <c r="S5" i="114"/>
  <c r="S4" i="114"/>
  <c r="S3" i="114"/>
  <c r="S5" i="96"/>
  <c r="S4" i="96"/>
  <c r="S3" i="96"/>
  <c r="S9" i="96"/>
  <c r="S7" i="96"/>
  <c r="S8" i="96"/>
  <c r="T80" i="96"/>
  <c r="U80" i="96" s="1"/>
  <c r="R80" i="96"/>
  <c r="Q80" i="96"/>
  <c r="P80" i="96"/>
  <c r="S77" i="96"/>
  <c r="S79" i="96" s="1"/>
  <c r="T90" i="114"/>
  <c r="U90" i="114" s="1"/>
  <c r="R90" i="114"/>
  <c r="Q90" i="114"/>
  <c r="P90" i="114"/>
  <c r="S87" i="114"/>
  <c r="S89" i="114" s="1"/>
  <c r="S77" i="113"/>
  <c r="S79" i="113" s="1"/>
  <c r="AN266" i="48" s="1"/>
  <c r="T70" i="92"/>
  <c r="U70" i="92" s="1"/>
  <c r="R70" i="92"/>
  <c r="Q70" i="92"/>
  <c r="P70" i="92"/>
  <c r="S67" i="92"/>
  <c r="S69" i="92" s="1"/>
  <c r="AM266" i="48" s="1"/>
  <c r="T90" i="109"/>
  <c r="U90" i="109" s="1"/>
  <c r="R90" i="109"/>
  <c r="Q90" i="109"/>
  <c r="P90" i="109"/>
  <c r="S87" i="109"/>
  <c r="S88" i="109" s="1"/>
  <c r="AL263" i="48" s="1"/>
  <c r="T78" i="95"/>
  <c r="U78" i="95" s="1"/>
  <c r="R78" i="95"/>
  <c r="Q78" i="95"/>
  <c r="P78" i="95"/>
  <c r="S75" i="95"/>
  <c r="AK254" i="48" s="1"/>
  <c r="S77" i="115"/>
  <c r="AR263" i="48" s="1"/>
  <c r="S76" i="115"/>
  <c r="AR254" i="48" s="1"/>
  <c r="T80" i="115"/>
  <c r="U80" i="115" s="1"/>
  <c r="R80" i="115"/>
  <c r="Q80" i="115"/>
  <c r="P80" i="115"/>
  <c r="S67" i="97"/>
  <c r="AQ254" i="48" s="1"/>
  <c r="T70" i="97"/>
  <c r="U70" i="97"/>
  <c r="R70" i="97"/>
  <c r="Q70" i="97"/>
  <c r="P70" i="97"/>
  <c r="AM254" i="48" l="1"/>
  <c r="S78" i="96"/>
  <c r="AO254" i="48"/>
  <c r="S68" i="97"/>
  <c r="AQ263" i="48" s="1"/>
  <c r="S69" i="97"/>
  <c r="AQ266" i="48" s="1"/>
  <c r="S78" i="115"/>
  <c r="AR266" i="48" s="1"/>
  <c r="S76" i="95"/>
  <c r="S77" i="95"/>
  <c r="AL254" i="48"/>
  <c r="AO263" i="48"/>
  <c r="AO266" i="48"/>
  <c r="AP254" i="48"/>
  <c r="AP266" i="48"/>
  <c r="AN254" i="48"/>
  <c r="S78" i="113"/>
  <c r="AN263" i="48" s="1"/>
  <c r="S68" i="92"/>
  <c r="AM263" i="48" s="1"/>
  <c r="S88" i="114"/>
  <c r="S89" i="109"/>
  <c r="AK266" i="48" l="1"/>
  <c r="AK263" i="48"/>
  <c r="AL266" i="48"/>
  <c r="AP263" i="48"/>
  <c r="P50" i="15"/>
  <c r="L55" i="15"/>
  <c r="P55" i="15"/>
  <c r="L204" i="48"/>
  <c r="L207" i="48"/>
  <c r="M207" i="48" s="1"/>
  <c r="B21" i="117"/>
  <c r="M6" i="117"/>
  <c r="R4" i="117"/>
  <c r="AV206" i="48" s="1"/>
  <c r="F206" i="48" s="1"/>
  <c r="L206" i="48" s="1"/>
  <c r="R3" i="117"/>
  <c r="G12" i="117" s="1"/>
  <c r="L527" i="9"/>
  <c r="M527" i="9"/>
  <c r="N527" i="9"/>
  <c r="O527" i="9"/>
  <c r="Q527" i="9"/>
  <c r="T527" i="9"/>
  <c r="U527" i="9"/>
  <c r="L528" i="9"/>
  <c r="M528" i="9"/>
  <c r="N528" i="9"/>
  <c r="O528" i="9"/>
  <c r="Q528" i="9"/>
  <c r="T528" i="9"/>
  <c r="U528" i="9"/>
  <c r="L529" i="9"/>
  <c r="M529" i="9"/>
  <c r="N529" i="9"/>
  <c r="O529" i="9"/>
  <c r="Q529" i="9"/>
  <c r="T529" i="9"/>
  <c r="U529" i="9"/>
  <c r="L530" i="9"/>
  <c r="M530" i="9"/>
  <c r="N530" i="9"/>
  <c r="O530" i="9"/>
  <c r="Q530" i="9"/>
  <c r="T530" i="9"/>
  <c r="U530" i="9"/>
  <c r="L531" i="9"/>
  <c r="M531" i="9"/>
  <c r="N531" i="9"/>
  <c r="O531" i="9"/>
  <c r="Q531" i="9"/>
  <c r="T531" i="9"/>
  <c r="U531" i="9"/>
  <c r="L532" i="9"/>
  <c r="M532" i="9"/>
  <c r="N532" i="9"/>
  <c r="O532" i="9"/>
  <c r="Q532" i="9"/>
  <c r="T532" i="9"/>
  <c r="U532" i="9"/>
  <c r="L533" i="9"/>
  <c r="M533" i="9"/>
  <c r="N533" i="9"/>
  <c r="O533" i="9"/>
  <c r="Q533" i="9"/>
  <c r="T533" i="9"/>
  <c r="U533" i="9"/>
  <c r="L534" i="9"/>
  <c r="M534" i="9"/>
  <c r="N534" i="9"/>
  <c r="O534" i="9"/>
  <c r="Q534" i="9"/>
  <c r="T534" i="9"/>
  <c r="U534" i="9"/>
  <c r="E541" i="9"/>
  <c r="AV205" i="48" l="1"/>
  <c r="F205" i="48" s="1"/>
  <c r="L205" i="48" s="1"/>
  <c r="BD48" i="48"/>
  <c r="BD175" i="48"/>
  <c r="BD176" i="48"/>
  <c r="BD103" i="48"/>
  <c r="BD56" i="48"/>
  <c r="K42" i="48"/>
  <c r="K4" i="48" l="1"/>
  <c r="K5" i="48"/>
  <c r="W13" i="9"/>
  <c r="S7" i="111" l="1"/>
  <c r="S6" i="111"/>
  <c r="S5" i="111"/>
  <c r="S4" i="111"/>
  <c r="S3" i="111"/>
  <c r="H50" i="15"/>
  <c r="D50" i="15"/>
  <c r="D60" i="15"/>
  <c r="L39" i="15"/>
  <c r="D39" i="15"/>
  <c r="L45" i="15"/>
  <c r="D45" i="15"/>
  <c r="P39" i="15"/>
  <c r="H39" i="15"/>
  <c r="P45" i="15"/>
  <c r="H45" i="15"/>
  <c r="P27" i="15"/>
  <c r="L27" i="15"/>
  <c r="L21" i="15"/>
  <c r="H21" i="15"/>
  <c r="D21" i="15"/>
  <c r="L15" i="15"/>
  <c r="H15" i="15"/>
  <c r="D15" i="15"/>
  <c r="L9" i="15"/>
  <c r="H9" i="15"/>
  <c r="D9" i="15"/>
  <c r="P4" i="15"/>
  <c r="L4" i="15"/>
  <c r="H4" i="15"/>
  <c r="D4" i="15"/>
  <c r="L48" i="48"/>
  <c r="M48" i="48" s="1"/>
  <c r="L56" i="48"/>
  <c r="M56" i="48" s="1"/>
  <c r="L103" i="48"/>
  <c r="M103" i="48" s="1"/>
  <c r="S66" i="109" l="1"/>
  <c r="S65" i="109"/>
  <c r="S63" i="109"/>
  <c r="S50" i="92"/>
  <c r="AM94" i="48" s="1"/>
  <c r="S49" i="92"/>
  <c r="AM93" i="48" s="1"/>
  <c r="S48" i="92"/>
  <c r="AM92" i="48" s="1"/>
  <c r="S47" i="92"/>
  <c r="AM91" i="48" s="1"/>
  <c r="S46" i="92"/>
  <c r="S45" i="92"/>
  <c r="S50" i="113"/>
  <c r="AN94" i="48" s="1"/>
  <c r="S49" i="113"/>
  <c r="AN93" i="48" s="1"/>
  <c r="S48" i="113"/>
  <c r="S47" i="113"/>
  <c r="S46" i="113"/>
  <c r="AN90" i="48" s="1"/>
  <c r="S45" i="113"/>
  <c r="AN89" i="48" s="1"/>
  <c r="S50" i="96"/>
  <c r="AO94" i="48" s="1"/>
  <c r="S49" i="96"/>
  <c r="AO93" i="48" s="1"/>
  <c r="S48" i="96"/>
  <c r="AO92" i="48" s="1"/>
  <c r="S47" i="96"/>
  <c r="S46" i="96"/>
  <c r="AO90" i="48" s="1"/>
  <c r="S45" i="96"/>
  <c r="AO89" i="48" s="1"/>
  <c r="S50" i="114"/>
  <c r="AP94" i="48" s="1"/>
  <c r="S49" i="114"/>
  <c r="AP93" i="48" s="1"/>
  <c r="S48" i="114"/>
  <c r="AP92" i="48" s="1"/>
  <c r="S47" i="114"/>
  <c r="AP91" i="48" s="1"/>
  <c r="S46" i="114"/>
  <c r="AP90" i="48" s="1"/>
  <c r="S45" i="114"/>
  <c r="AP89" i="48" s="1"/>
  <c r="S50" i="97"/>
  <c r="AQ94" i="48" s="1"/>
  <c r="S49" i="97"/>
  <c r="AQ93" i="48" s="1"/>
  <c r="S48" i="97"/>
  <c r="AQ92" i="48" s="1"/>
  <c r="S47" i="97"/>
  <c r="AQ91" i="48" s="1"/>
  <c r="S46" i="97"/>
  <c r="AQ90" i="48" s="1"/>
  <c r="S45" i="97"/>
  <c r="AQ89" i="48" s="1"/>
  <c r="S50" i="115"/>
  <c r="AR94" i="48" s="1"/>
  <c r="S49" i="115"/>
  <c r="AR93" i="48" s="1"/>
  <c r="S48" i="115"/>
  <c r="S47" i="115"/>
  <c r="S46" i="115"/>
  <c r="AR90" i="48" s="1"/>
  <c r="S45" i="115"/>
  <c r="AR89" i="48" s="1"/>
  <c r="S50" i="109"/>
  <c r="AL94" i="48" s="1"/>
  <c r="S49" i="109"/>
  <c r="AL93" i="48" s="1"/>
  <c r="S48" i="109"/>
  <c r="S47" i="109"/>
  <c r="AL91" i="48" s="1"/>
  <c r="S46" i="109"/>
  <c r="AL90" i="48" s="1"/>
  <c r="S45" i="109"/>
  <c r="AL89" i="48" s="1"/>
  <c r="S58" i="92" l="1"/>
  <c r="AM102" i="48" s="1"/>
  <c r="AM90" i="48"/>
  <c r="S57" i="113"/>
  <c r="AN101" i="48" s="1"/>
  <c r="AN91" i="48"/>
  <c r="S58" i="113"/>
  <c r="AN102" i="48" s="1"/>
  <c r="AN92" i="48"/>
  <c r="S57" i="96"/>
  <c r="AO101" i="48" s="1"/>
  <c r="AO91" i="48"/>
  <c r="S57" i="115"/>
  <c r="AR101" i="48" s="1"/>
  <c r="AR91" i="48"/>
  <c r="S58" i="115"/>
  <c r="AR102" i="48" s="1"/>
  <c r="AR92" i="48"/>
  <c r="S58" i="97"/>
  <c r="AQ102" i="48" s="1"/>
  <c r="S57" i="97"/>
  <c r="AQ101" i="48" s="1"/>
  <c r="S57" i="114"/>
  <c r="AP101" i="48" s="1"/>
  <c r="S58" i="114"/>
  <c r="S58" i="96"/>
  <c r="AO102" i="48" s="1"/>
  <c r="S57" i="92"/>
  <c r="AM101" i="48" s="1"/>
  <c r="AM89" i="48"/>
  <c r="S58" i="109"/>
  <c r="AL92" i="48"/>
  <c r="S57" i="109"/>
  <c r="AL101" i="48" s="1"/>
  <c r="S21" i="92"/>
  <c r="S20" i="92"/>
  <c r="S19" i="92"/>
  <c r="S18" i="92"/>
  <c r="S17" i="92"/>
  <c r="S16" i="92"/>
  <c r="S9" i="92"/>
  <c r="S8" i="92"/>
  <c r="S7" i="92"/>
  <c r="S21" i="113"/>
  <c r="S20" i="113"/>
  <c r="S19" i="113"/>
  <c r="S18" i="113"/>
  <c r="S17" i="113"/>
  <c r="S16" i="113"/>
  <c r="S9" i="113"/>
  <c r="S8" i="113"/>
  <c r="S7" i="113"/>
  <c r="S21" i="96"/>
  <c r="S20" i="96"/>
  <c r="S19" i="96"/>
  <c r="S18" i="96"/>
  <c r="S17" i="96"/>
  <c r="S16" i="96"/>
  <c r="S21" i="114"/>
  <c r="S20" i="114"/>
  <c r="S19" i="114"/>
  <c r="S18" i="114"/>
  <c r="S17" i="114"/>
  <c r="S16" i="114"/>
  <c r="S21" i="97"/>
  <c r="S20" i="97"/>
  <c r="S19" i="97"/>
  <c r="S18" i="97"/>
  <c r="S17" i="97"/>
  <c r="S16" i="97"/>
  <c r="S21" i="115"/>
  <c r="S20" i="115"/>
  <c r="S19" i="115"/>
  <c r="S18" i="115"/>
  <c r="S17" i="115"/>
  <c r="S16" i="115"/>
  <c r="S21" i="109"/>
  <c r="S20" i="109"/>
  <c r="S19" i="109"/>
  <c r="S18" i="109"/>
  <c r="S17" i="109"/>
  <c r="S16" i="109"/>
  <c r="S9" i="109"/>
  <c r="S8" i="109"/>
  <c r="S7" i="109"/>
  <c r="L38" i="115"/>
  <c r="K38" i="115"/>
  <c r="J38" i="115"/>
  <c r="F38" i="115"/>
  <c r="E38" i="115"/>
  <c r="D38" i="115"/>
  <c r="L37" i="115"/>
  <c r="K37" i="115"/>
  <c r="J37" i="115"/>
  <c r="I37" i="115"/>
  <c r="F37" i="115"/>
  <c r="E37" i="115"/>
  <c r="D37" i="115"/>
  <c r="I36" i="115"/>
  <c r="L30" i="115"/>
  <c r="K30" i="115"/>
  <c r="J30" i="115"/>
  <c r="F30" i="115"/>
  <c r="E30" i="115"/>
  <c r="D30" i="115"/>
  <c r="L29" i="115"/>
  <c r="K29" i="115"/>
  <c r="J29" i="115"/>
  <c r="I29" i="115"/>
  <c r="F29" i="115"/>
  <c r="E29" i="115"/>
  <c r="D29" i="115"/>
  <c r="I28" i="115"/>
  <c r="L38" i="97"/>
  <c r="K38" i="97"/>
  <c r="J38" i="97"/>
  <c r="F38" i="97"/>
  <c r="E38" i="97"/>
  <c r="D38" i="97"/>
  <c r="L37" i="97"/>
  <c r="K37" i="97"/>
  <c r="J37" i="97"/>
  <c r="I37" i="97"/>
  <c r="F37" i="97"/>
  <c r="E37" i="97"/>
  <c r="D37" i="97"/>
  <c r="I36" i="97"/>
  <c r="L30" i="97"/>
  <c r="K30" i="97"/>
  <c r="J30" i="97"/>
  <c r="F30" i="97"/>
  <c r="E30" i="97"/>
  <c r="D30" i="97"/>
  <c r="L29" i="97"/>
  <c r="K29" i="97"/>
  <c r="J29" i="97"/>
  <c r="I29" i="97"/>
  <c r="F29" i="97"/>
  <c r="E29" i="97"/>
  <c r="D29" i="97"/>
  <c r="I28" i="97"/>
  <c r="L38" i="114"/>
  <c r="K38" i="114"/>
  <c r="J38" i="114"/>
  <c r="F38" i="114"/>
  <c r="E38" i="114"/>
  <c r="D38" i="114"/>
  <c r="L37" i="114"/>
  <c r="K37" i="114"/>
  <c r="J37" i="114"/>
  <c r="I37" i="114"/>
  <c r="F37" i="114"/>
  <c r="E37" i="114"/>
  <c r="D37" i="114"/>
  <c r="I36" i="114"/>
  <c r="L30" i="114"/>
  <c r="K30" i="114"/>
  <c r="J30" i="114"/>
  <c r="F30" i="114"/>
  <c r="E30" i="114"/>
  <c r="D30" i="114"/>
  <c r="L29" i="114"/>
  <c r="K29" i="114"/>
  <c r="J29" i="114"/>
  <c r="I29" i="114"/>
  <c r="F29" i="114"/>
  <c r="E29" i="114"/>
  <c r="D29" i="114"/>
  <c r="I28" i="114"/>
  <c r="L38" i="96"/>
  <c r="K38" i="96"/>
  <c r="J38" i="96"/>
  <c r="F38" i="96"/>
  <c r="E38" i="96"/>
  <c r="D38" i="96"/>
  <c r="L37" i="96"/>
  <c r="K37" i="96"/>
  <c r="J37" i="96"/>
  <c r="I37" i="96"/>
  <c r="F37" i="96"/>
  <c r="E37" i="96"/>
  <c r="D37" i="96"/>
  <c r="I36" i="96"/>
  <c r="L30" i="96"/>
  <c r="K30" i="96"/>
  <c r="J30" i="96"/>
  <c r="F30" i="96"/>
  <c r="E30" i="96"/>
  <c r="D30" i="96"/>
  <c r="L29" i="96"/>
  <c r="K29" i="96"/>
  <c r="J29" i="96"/>
  <c r="I29" i="96"/>
  <c r="F29" i="96"/>
  <c r="E29" i="96"/>
  <c r="D29" i="96"/>
  <c r="I28" i="96"/>
  <c r="L38" i="113"/>
  <c r="K38" i="113"/>
  <c r="J38" i="113"/>
  <c r="F38" i="113"/>
  <c r="E38" i="113"/>
  <c r="D38" i="113"/>
  <c r="L37" i="113"/>
  <c r="K37" i="113"/>
  <c r="J37" i="113"/>
  <c r="I37" i="113"/>
  <c r="F37" i="113"/>
  <c r="E37" i="113"/>
  <c r="D37" i="113"/>
  <c r="I36" i="113"/>
  <c r="L30" i="113"/>
  <c r="K30" i="113"/>
  <c r="J30" i="113"/>
  <c r="F30" i="113"/>
  <c r="E30" i="113"/>
  <c r="D30" i="113"/>
  <c r="L29" i="113"/>
  <c r="K29" i="113"/>
  <c r="J29" i="113"/>
  <c r="I29" i="113"/>
  <c r="F29" i="113"/>
  <c r="E29" i="113"/>
  <c r="D29" i="113"/>
  <c r="I28" i="113"/>
  <c r="L38" i="92"/>
  <c r="K38" i="92"/>
  <c r="J38" i="92"/>
  <c r="F38" i="92"/>
  <c r="E38" i="92"/>
  <c r="D38" i="92"/>
  <c r="L37" i="92"/>
  <c r="K37" i="92"/>
  <c r="J37" i="92"/>
  <c r="I37" i="92"/>
  <c r="F37" i="92"/>
  <c r="E37" i="92"/>
  <c r="D37" i="92"/>
  <c r="I36" i="92"/>
  <c r="L30" i="92"/>
  <c r="K30" i="92"/>
  <c r="J30" i="92"/>
  <c r="F30" i="92"/>
  <c r="E30" i="92"/>
  <c r="D30" i="92"/>
  <c r="L29" i="92"/>
  <c r="K29" i="92"/>
  <c r="J29" i="92"/>
  <c r="I29" i="92"/>
  <c r="F29" i="92"/>
  <c r="E29" i="92"/>
  <c r="D29" i="92"/>
  <c r="I28" i="92"/>
  <c r="L38" i="109"/>
  <c r="K38" i="109"/>
  <c r="J38" i="109"/>
  <c r="F38" i="109"/>
  <c r="E38" i="109"/>
  <c r="D38" i="109"/>
  <c r="L37" i="109"/>
  <c r="K37" i="109"/>
  <c r="J37" i="109"/>
  <c r="I37" i="109"/>
  <c r="F37" i="109"/>
  <c r="E37" i="109"/>
  <c r="D37" i="109"/>
  <c r="I36" i="109"/>
  <c r="L30" i="109"/>
  <c r="K30" i="109"/>
  <c r="J30" i="109"/>
  <c r="F30" i="109"/>
  <c r="E30" i="109"/>
  <c r="D30" i="109"/>
  <c r="L29" i="109"/>
  <c r="K29" i="109"/>
  <c r="J29" i="109"/>
  <c r="I29" i="109"/>
  <c r="F29" i="109"/>
  <c r="E29" i="109"/>
  <c r="D29" i="109"/>
  <c r="I28" i="109"/>
  <c r="S63" i="95"/>
  <c r="S50" i="95"/>
  <c r="S49" i="95"/>
  <c r="AK93" i="48" s="1"/>
  <c r="S48" i="95"/>
  <c r="S47" i="95"/>
  <c r="AK91" i="48" s="1"/>
  <c r="S46" i="95"/>
  <c r="S45" i="95"/>
  <c r="AK89" i="48" s="1"/>
  <c r="L38" i="95"/>
  <c r="K38" i="95"/>
  <c r="J38" i="95"/>
  <c r="F38" i="95"/>
  <c r="E38" i="95"/>
  <c r="D38" i="95"/>
  <c r="S37" i="95"/>
  <c r="L37" i="95"/>
  <c r="K37" i="95"/>
  <c r="J37" i="95"/>
  <c r="I37" i="95"/>
  <c r="F37" i="95"/>
  <c r="E37" i="95"/>
  <c r="D37" i="95"/>
  <c r="S36" i="95"/>
  <c r="I36" i="95"/>
  <c r="S35" i="95"/>
  <c r="S34" i="95"/>
  <c r="S33" i="95"/>
  <c r="S32" i="95"/>
  <c r="S31" i="95"/>
  <c r="S30" i="95"/>
  <c r="L30" i="95"/>
  <c r="K30" i="95"/>
  <c r="J30" i="95"/>
  <c r="F30" i="95"/>
  <c r="E30" i="95"/>
  <c r="D30" i="95"/>
  <c r="S29" i="95"/>
  <c r="L29" i="95"/>
  <c r="K29" i="95"/>
  <c r="J29" i="95"/>
  <c r="I29" i="95"/>
  <c r="F29" i="95"/>
  <c r="E29" i="95"/>
  <c r="D29" i="95"/>
  <c r="I28" i="95"/>
  <c r="S21" i="95"/>
  <c r="S20" i="95"/>
  <c r="S19" i="95"/>
  <c r="S18" i="95"/>
  <c r="S17" i="95"/>
  <c r="S16" i="95"/>
  <c r="I13" i="95"/>
  <c r="I12" i="95"/>
  <c r="S9" i="95"/>
  <c r="S8" i="95"/>
  <c r="N8" i="95"/>
  <c r="S7" i="95"/>
  <c r="I6" i="95"/>
  <c r="AK135" i="48" l="1"/>
  <c r="AK131" i="48"/>
  <c r="AK125" i="48"/>
  <c r="AK134" i="48"/>
  <c r="AK130" i="48"/>
  <c r="S58" i="95"/>
  <c r="AK90" i="48"/>
  <c r="AK94" i="48"/>
  <c r="S57" i="95"/>
  <c r="S61" i="95"/>
  <c r="AK92" i="48"/>
  <c r="S60" i="95"/>
  <c r="AL102" i="48"/>
  <c r="AP102" i="48"/>
  <c r="AK123" i="48" l="1"/>
  <c r="AK101" i="48"/>
  <c r="AK102" i="48"/>
  <c r="AK33" i="48" l="1"/>
  <c r="AK32" i="48"/>
  <c r="AK31" i="48"/>
  <c r="AK65" i="48"/>
  <c r="AK63" i="48"/>
  <c r="S13" i="111"/>
  <c r="AF42" i="48" s="1"/>
  <c r="S13" i="110"/>
  <c r="AE35" i="48" s="1"/>
  <c r="S12" i="111"/>
  <c r="AF41" i="48" s="1"/>
  <c r="S12" i="110"/>
  <c r="AE34" i="48" s="1"/>
  <c r="S11" i="111"/>
  <c r="S77" i="111" s="1"/>
  <c r="S11" i="110"/>
  <c r="AE33" i="48" s="1"/>
  <c r="S10" i="111"/>
  <c r="AF39" i="48" s="1"/>
  <c r="S10" i="110"/>
  <c r="AE32" i="48" s="1"/>
  <c r="S9" i="111"/>
  <c r="AF38" i="48" s="1"/>
  <c r="S9" i="110"/>
  <c r="AE31" i="48" s="1"/>
  <c r="S7" i="110"/>
  <c r="AE18" i="48" s="1"/>
  <c r="S6" i="110"/>
  <c r="AE17" i="48" s="1"/>
  <c r="AF16" i="48"/>
  <c r="S5" i="110"/>
  <c r="AE16" i="48" s="1"/>
  <c r="AF15" i="48"/>
  <c r="S4" i="110"/>
  <c r="AE15" i="48" s="1"/>
  <c r="S3" i="110"/>
  <c r="S37" i="111"/>
  <c r="AF83" i="48" s="1"/>
  <c r="S37" i="110"/>
  <c r="AE83" i="48" s="1"/>
  <c r="S58" i="111"/>
  <c r="AF102" i="48" s="1"/>
  <c r="S57" i="111"/>
  <c r="AF101" i="48" s="1"/>
  <c r="S53" i="111"/>
  <c r="AF97" i="48" s="1"/>
  <c r="S52" i="111"/>
  <c r="AF96" i="48" s="1"/>
  <c r="S51" i="111"/>
  <c r="AF95" i="48" s="1"/>
  <c r="S50" i="111"/>
  <c r="AF94" i="48" s="1"/>
  <c r="S49" i="111"/>
  <c r="AF93" i="48" s="1"/>
  <c r="S48" i="111"/>
  <c r="AF92" i="48" s="1"/>
  <c r="S47" i="111"/>
  <c r="AF91" i="48" s="1"/>
  <c r="S46" i="111"/>
  <c r="AF90" i="48" s="1"/>
  <c r="S45" i="111"/>
  <c r="AF89" i="48" s="1"/>
  <c r="S58" i="110"/>
  <c r="AE102" i="48" s="1"/>
  <c r="S57" i="110"/>
  <c r="AE101" i="48" s="1"/>
  <c r="S53" i="110"/>
  <c r="AE97" i="48" s="1"/>
  <c r="S52" i="110"/>
  <c r="AE96" i="48" s="1"/>
  <c r="S51" i="110"/>
  <c r="AE95" i="48" s="1"/>
  <c r="S50" i="110"/>
  <c r="AE94" i="48" s="1"/>
  <c r="S49" i="110"/>
  <c r="AE93" i="48" s="1"/>
  <c r="S48" i="110"/>
  <c r="AE92" i="48" s="1"/>
  <c r="S47" i="110"/>
  <c r="AE91" i="48" s="1"/>
  <c r="S46" i="110"/>
  <c r="AE90" i="48" s="1"/>
  <c r="S45" i="110"/>
  <c r="AE89" i="48" s="1"/>
  <c r="BB219" i="48"/>
  <c r="F219" i="48" s="1"/>
  <c r="L219" i="48" s="1"/>
  <c r="BB218" i="48"/>
  <c r="F218" i="48" s="1"/>
  <c r="E554" i="9"/>
  <c r="S11" i="86"/>
  <c r="Z47" i="48" s="1"/>
  <c r="F47" i="48" s="1"/>
  <c r="L47" i="48" s="1"/>
  <c r="S10" i="86"/>
  <c r="Z46" i="48" s="1"/>
  <c r="F46" i="48" s="1"/>
  <c r="L46" i="48" s="1"/>
  <c r="S9" i="86"/>
  <c r="Z45" i="48" s="1"/>
  <c r="F45" i="48" s="1"/>
  <c r="L45" i="48" s="1"/>
  <c r="S8" i="86"/>
  <c r="S7" i="86"/>
  <c r="S11" i="104"/>
  <c r="S42" i="48" s="1"/>
  <c r="S10" i="104"/>
  <c r="S41" i="48" s="1"/>
  <c r="S9" i="104"/>
  <c r="S40" i="48" s="1"/>
  <c r="S8" i="104"/>
  <c r="S66" i="104" s="1"/>
  <c r="S52" i="48" s="1"/>
  <c r="S7" i="104"/>
  <c r="S38" i="48" s="1"/>
  <c r="S6" i="104"/>
  <c r="S37" i="48" s="1"/>
  <c r="S5" i="104"/>
  <c r="S63" i="104" s="1"/>
  <c r="S49" i="48" s="1"/>
  <c r="S11" i="85"/>
  <c r="R35" i="48" s="1"/>
  <c r="S10" i="85"/>
  <c r="R34" i="48" s="1"/>
  <c r="S9" i="85"/>
  <c r="R33" i="48" s="1"/>
  <c r="S8" i="85"/>
  <c r="R32" i="48" s="1"/>
  <c r="S7" i="85"/>
  <c r="R31" i="48" s="1"/>
  <c r="S6" i="85"/>
  <c r="R30" i="48" s="1"/>
  <c r="S5" i="85"/>
  <c r="R29" i="48" s="1"/>
  <c r="S4" i="85"/>
  <c r="R28" i="48" s="1"/>
  <c r="S3" i="85"/>
  <c r="R27" i="48" s="1"/>
  <c r="S58" i="104"/>
  <c r="S102" i="48" s="1"/>
  <c r="S57" i="104"/>
  <c r="S101" i="48" s="1"/>
  <c r="S56" i="104"/>
  <c r="S100" i="48" s="1"/>
  <c r="S55" i="104"/>
  <c r="S53" i="104"/>
  <c r="S97" i="48" s="1"/>
  <c r="S52" i="104"/>
  <c r="S96" i="48" s="1"/>
  <c r="S51" i="104"/>
  <c r="S95" i="48" s="1"/>
  <c r="S50" i="104"/>
  <c r="S94" i="48" s="1"/>
  <c r="S49" i="104"/>
  <c r="S93" i="48" s="1"/>
  <c r="S48" i="104"/>
  <c r="S92" i="48" s="1"/>
  <c r="S47" i="104"/>
  <c r="S91" i="48" s="1"/>
  <c r="S46" i="104"/>
  <c r="S90" i="48" s="1"/>
  <c r="S45" i="104"/>
  <c r="S89" i="48" s="1"/>
  <c r="S44" i="104"/>
  <c r="S88" i="48" s="1"/>
  <c r="S43" i="104"/>
  <c r="S87" i="48" s="1"/>
  <c r="S42" i="104"/>
  <c r="S41" i="104"/>
  <c r="S58" i="86"/>
  <c r="Z102" i="48" s="1"/>
  <c r="S57" i="86"/>
  <c r="Z101" i="48" s="1"/>
  <c r="S56" i="86"/>
  <c r="Z100" i="48" s="1"/>
  <c r="S55" i="86"/>
  <c r="S53" i="86"/>
  <c r="Z97" i="48" s="1"/>
  <c r="S52" i="86"/>
  <c r="Z96" i="48" s="1"/>
  <c r="S51" i="86"/>
  <c r="Z95" i="48" s="1"/>
  <c r="S50" i="86"/>
  <c r="Z94" i="48" s="1"/>
  <c r="S49" i="86"/>
  <c r="Z93" i="48" s="1"/>
  <c r="S48" i="86"/>
  <c r="Z92" i="48" s="1"/>
  <c r="S47" i="86"/>
  <c r="Z91" i="48" s="1"/>
  <c r="S46" i="86"/>
  <c r="Z90" i="48" s="1"/>
  <c r="S45" i="86"/>
  <c r="Z89" i="48" s="1"/>
  <c r="S44" i="86"/>
  <c r="S43" i="86"/>
  <c r="S42" i="86"/>
  <c r="S41" i="86"/>
  <c r="S58" i="85"/>
  <c r="R102" i="48" s="1"/>
  <c r="S57" i="85"/>
  <c r="R101" i="48" s="1"/>
  <c r="S56" i="85"/>
  <c r="R100" i="48" s="1"/>
  <c r="S55" i="85"/>
  <c r="R99" i="48" s="1"/>
  <c r="S53" i="85"/>
  <c r="R97" i="48" s="1"/>
  <c r="S52" i="85"/>
  <c r="R96" i="48" s="1"/>
  <c r="S51" i="85"/>
  <c r="R95" i="48" s="1"/>
  <c r="S50" i="85"/>
  <c r="R94" i="48" s="1"/>
  <c r="S49" i="85"/>
  <c r="R93" i="48" s="1"/>
  <c r="S48" i="85"/>
  <c r="R92" i="48" s="1"/>
  <c r="S47" i="85"/>
  <c r="R91" i="48" s="1"/>
  <c r="S46" i="85"/>
  <c r="R90" i="48" s="1"/>
  <c r="S45" i="85"/>
  <c r="R89" i="48" s="1"/>
  <c r="S44" i="85"/>
  <c r="R88" i="48" s="1"/>
  <c r="S43" i="85"/>
  <c r="R87" i="48" s="1"/>
  <c r="S42" i="85"/>
  <c r="R86" i="48" s="1"/>
  <c r="S41" i="85"/>
  <c r="R85" i="48" s="1"/>
  <c r="S11" i="105"/>
  <c r="U42" i="48" s="1"/>
  <c r="S10" i="105"/>
  <c r="U41" i="48" s="1"/>
  <c r="S9" i="105"/>
  <c r="S74" i="105" s="1"/>
  <c r="U53" i="48" s="1"/>
  <c r="S8" i="105"/>
  <c r="U39" i="48" s="1"/>
  <c r="S7" i="105"/>
  <c r="S72" i="105" s="1"/>
  <c r="U51" i="48" s="1"/>
  <c r="S6" i="105"/>
  <c r="U37" i="48" s="1"/>
  <c r="S5" i="105"/>
  <c r="U36" i="48" s="1"/>
  <c r="S11" i="87"/>
  <c r="V35" i="48" s="1"/>
  <c r="S10" i="87"/>
  <c r="S9" i="87"/>
  <c r="V33" i="48" s="1"/>
  <c r="S8" i="87"/>
  <c r="V32" i="48" s="1"/>
  <c r="S7" i="87"/>
  <c r="V31" i="48" s="1"/>
  <c r="S6" i="87"/>
  <c r="V30" i="48" s="1"/>
  <c r="S5" i="87"/>
  <c r="V29" i="48" s="1"/>
  <c r="S4" i="87"/>
  <c r="V28" i="48" s="1"/>
  <c r="S3" i="87"/>
  <c r="V27" i="48" s="1"/>
  <c r="S11" i="106"/>
  <c r="W42" i="48" s="1"/>
  <c r="S10" i="106"/>
  <c r="W41" i="48" s="1"/>
  <c r="S9" i="106"/>
  <c r="S8" i="106"/>
  <c r="S73" i="106" s="1"/>
  <c r="S7" i="106"/>
  <c r="S72" i="106" s="1"/>
  <c r="W51" i="48" s="1"/>
  <c r="S6" i="106"/>
  <c r="S71" i="106" s="1"/>
  <c r="W50" i="48" s="1"/>
  <c r="S5" i="106"/>
  <c r="W36" i="48" s="1"/>
  <c r="S11" i="88"/>
  <c r="X35" i="48" s="1"/>
  <c r="S10" i="88"/>
  <c r="X34" i="48" s="1"/>
  <c r="S9" i="88"/>
  <c r="X33" i="48" s="1"/>
  <c r="S8" i="88"/>
  <c r="X32" i="48" s="1"/>
  <c r="S7" i="88"/>
  <c r="X31" i="48" s="1"/>
  <c r="S6" i="88"/>
  <c r="X30" i="48" s="1"/>
  <c r="S5" i="88"/>
  <c r="X29" i="48" s="1"/>
  <c r="S4" i="88"/>
  <c r="X28" i="48" s="1"/>
  <c r="S3" i="88"/>
  <c r="S11" i="107"/>
  <c r="S76" i="107" s="1"/>
  <c r="Y55" i="48" s="1"/>
  <c r="S10" i="107"/>
  <c r="S9" i="107"/>
  <c r="Y40" i="48" s="1"/>
  <c r="S8" i="107"/>
  <c r="S7" i="107"/>
  <c r="S72" i="107" s="1"/>
  <c r="Y51" i="48" s="1"/>
  <c r="S6" i="107"/>
  <c r="Y37" i="48" s="1"/>
  <c r="S5" i="107"/>
  <c r="S70" i="107" s="1"/>
  <c r="Y49" i="48" s="1"/>
  <c r="S11" i="80"/>
  <c r="T35" i="48" s="1"/>
  <c r="S10" i="80"/>
  <c r="T34" i="48" s="1"/>
  <c r="S9" i="80"/>
  <c r="T33" i="48" s="1"/>
  <c r="S8" i="80"/>
  <c r="T32" i="48" s="1"/>
  <c r="S7" i="80"/>
  <c r="S6" i="80"/>
  <c r="T30" i="48" s="1"/>
  <c r="S5" i="80"/>
  <c r="T29" i="48" s="1"/>
  <c r="S4" i="80"/>
  <c r="S3" i="80"/>
  <c r="T27" i="48" s="1"/>
  <c r="S58" i="105"/>
  <c r="U102" i="48" s="1"/>
  <c r="S57" i="105"/>
  <c r="U101" i="48" s="1"/>
  <c r="S56" i="105"/>
  <c r="U100" i="48" s="1"/>
  <c r="S55" i="105"/>
  <c r="S53" i="105"/>
  <c r="U97" i="48" s="1"/>
  <c r="S52" i="105"/>
  <c r="U96" i="48" s="1"/>
  <c r="S51" i="105"/>
  <c r="U95" i="48" s="1"/>
  <c r="S50" i="105"/>
  <c r="U94" i="48" s="1"/>
  <c r="S49" i="105"/>
  <c r="U93" i="48" s="1"/>
  <c r="S48" i="105"/>
  <c r="U92" i="48" s="1"/>
  <c r="S47" i="105"/>
  <c r="U91" i="48" s="1"/>
  <c r="S46" i="105"/>
  <c r="U90" i="48" s="1"/>
  <c r="S45" i="105"/>
  <c r="U89" i="48" s="1"/>
  <c r="S44" i="105"/>
  <c r="U88" i="48" s="1"/>
  <c r="S43" i="105"/>
  <c r="U87" i="48" s="1"/>
  <c r="S42" i="105"/>
  <c r="S41" i="105"/>
  <c r="S58" i="87"/>
  <c r="V102" i="48" s="1"/>
  <c r="S57" i="87"/>
  <c r="V101" i="48" s="1"/>
  <c r="S56" i="87"/>
  <c r="V100" i="48" s="1"/>
  <c r="S55" i="87"/>
  <c r="V99" i="48" s="1"/>
  <c r="S53" i="87"/>
  <c r="V97" i="48" s="1"/>
  <c r="S52" i="87"/>
  <c r="V96" i="48" s="1"/>
  <c r="S51" i="87"/>
  <c r="V95" i="48" s="1"/>
  <c r="S50" i="87"/>
  <c r="V94" i="48" s="1"/>
  <c r="S49" i="87"/>
  <c r="V93" i="48" s="1"/>
  <c r="S48" i="87"/>
  <c r="V92" i="48" s="1"/>
  <c r="S47" i="87"/>
  <c r="V91" i="48" s="1"/>
  <c r="S46" i="87"/>
  <c r="V90" i="48" s="1"/>
  <c r="S45" i="87"/>
  <c r="V89" i="48" s="1"/>
  <c r="S44" i="87"/>
  <c r="V88" i="48" s="1"/>
  <c r="S43" i="87"/>
  <c r="V87" i="48" s="1"/>
  <c r="S42" i="87"/>
  <c r="V86" i="48" s="1"/>
  <c r="S41" i="87"/>
  <c r="V85" i="48" s="1"/>
  <c r="S58" i="106"/>
  <c r="W102" i="48" s="1"/>
  <c r="S57" i="106"/>
  <c r="W101" i="48" s="1"/>
  <c r="S56" i="106"/>
  <c r="W100" i="48" s="1"/>
  <c r="S55" i="106"/>
  <c r="S53" i="106"/>
  <c r="W97" i="48" s="1"/>
  <c r="S52" i="106"/>
  <c r="W96" i="48" s="1"/>
  <c r="S51" i="106"/>
  <c r="W95" i="48" s="1"/>
  <c r="S50" i="106"/>
  <c r="W94" i="48" s="1"/>
  <c r="S49" i="106"/>
  <c r="W93" i="48" s="1"/>
  <c r="S48" i="106"/>
  <c r="W92" i="48" s="1"/>
  <c r="S47" i="106"/>
  <c r="W91" i="48" s="1"/>
  <c r="S46" i="106"/>
  <c r="W90" i="48" s="1"/>
  <c r="S45" i="106"/>
  <c r="W89" i="48" s="1"/>
  <c r="S44" i="106"/>
  <c r="W88" i="48" s="1"/>
  <c r="S43" i="106"/>
  <c r="W87" i="48" s="1"/>
  <c r="S42" i="106"/>
  <c r="S41" i="106"/>
  <c r="S58" i="88"/>
  <c r="X102" i="48" s="1"/>
  <c r="S57" i="88"/>
  <c r="X101" i="48" s="1"/>
  <c r="S56" i="88"/>
  <c r="X100" i="48" s="1"/>
  <c r="S55" i="88"/>
  <c r="X99" i="48" s="1"/>
  <c r="S53" i="88"/>
  <c r="X97" i="48" s="1"/>
  <c r="S52" i="88"/>
  <c r="X96" i="48" s="1"/>
  <c r="S51" i="88"/>
  <c r="X95" i="48" s="1"/>
  <c r="S50" i="88"/>
  <c r="X94" i="48" s="1"/>
  <c r="S49" i="88"/>
  <c r="X93" i="48" s="1"/>
  <c r="S48" i="88"/>
  <c r="X92" i="48" s="1"/>
  <c r="S47" i="88"/>
  <c r="X91" i="48" s="1"/>
  <c r="S46" i="88"/>
  <c r="X90" i="48" s="1"/>
  <c r="S45" i="88"/>
  <c r="X89" i="48" s="1"/>
  <c r="S44" i="88"/>
  <c r="X88" i="48" s="1"/>
  <c r="S43" i="88"/>
  <c r="X87" i="48" s="1"/>
  <c r="S42" i="88"/>
  <c r="X86" i="48" s="1"/>
  <c r="S41" i="88"/>
  <c r="X85" i="48" s="1"/>
  <c r="S58" i="107"/>
  <c r="Y102" i="48" s="1"/>
  <c r="S57" i="107"/>
  <c r="Y101" i="48" s="1"/>
  <c r="S56" i="107"/>
  <c r="Y100" i="48" s="1"/>
  <c r="S55" i="107"/>
  <c r="S53" i="107"/>
  <c r="Y97" i="48" s="1"/>
  <c r="S52" i="107"/>
  <c r="Y96" i="48" s="1"/>
  <c r="S51" i="107"/>
  <c r="Y95" i="48" s="1"/>
  <c r="S50" i="107"/>
  <c r="Y94" i="48" s="1"/>
  <c r="S49" i="107"/>
  <c r="Y93" i="48" s="1"/>
  <c r="S48" i="107"/>
  <c r="Y92" i="48" s="1"/>
  <c r="S47" i="107"/>
  <c r="Y91" i="48" s="1"/>
  <c r="S46" i="107"/>
  <c r="Y90" i="48" s="1"/>
  <c r="S45" i="107"/>
  <c r="Y89" i="48" s="1"/>
  <c r="S44" i="107"/>
  <c r="Y88" i="48" s="1"/>
  <c r="S43" i="107"/>
  <c r="Y87" i="48" s="1"/>
  <c r="S42" i="107"/>
  <c r="S41" i="107"/>
  <c r="S58" i="80"/>
  <c r="T102" i="48" s="1"/>
  <c r="S57" i="80"/>
  <c r="T101" i="48" s="1"/>
  <c r="S56" i="80"/>
  <c r="T100" i="48" s="1"/>
  <c r="S55" i="80"/>
  <c r="T99" i="48" s="1"/>
  <c r="S53" i="80"/>
  <c r="T97" i="48" s="1"/>
  <c r="S52" i="80"/>
  <c r="T96" i="48" s="1"/>
  <c r="S51" i="80"/>
  <c r="T95" i="48" s="1"/>
  <c r="S50" i="80"/>
  <c r="T94" i="48" s="1"/>
  <c r="S49" i="80"/>
  <c r="T93" i="48" s="1"/>
  <c r="S48" i="80"/>
  <c r="T92" i="48" s="1"/>
  <c r="S47" i="80"/>
  <c r="T91" i="48" s="1"/>
  <c r="S46" i="80"/>
  <c r="T90" i="48" s="1"/>
  <c r="S45" i="80"/>
  <c r="T89" i="48" s="1"/>
  <c r="S44" i="80"/>
  <c r="T88" i="48" s="1"/>
  <c r="S43" i="80"/>
  <c r="T87" i="48" s="1"/>
  <c r="S42" i="80"/>
  <c r="T86" i="48" s="1"/>
  <c r="S41" i="80"/>
  <c r="T85" i="48" s="1"/>
  <c r="S58" i="84"/>
  <c r="Q102" i="48" s="1"/>
  <c r="S57" i="84"/>
  <c r="Q101" i="48" s="1"/>
  <c r="S56" i="84"/>
  <c r="Q100" i="48" s="1"/>
  <c r="S56" i="81"/>
  <c r="P100" i="48" s="1"/>
  <c r="S57" i="81"/>
  <c r="P101" i="48" s="1"/>
  <c r="S58" i="81"/>
  <c r="P102" i="48" s="1"/>
  <c r="S50" i="84"/>
  <c r="Q94" i="48" s="1"/>
  <c r="S49" i="84"/>
  <c r="Q93" i="48" s="1"/>
  <c r="S48" i="84"/>
  <c r="Q92" i="48" s="1"/>
  <c r="S47" i="84"/>
  <c r="Q91" i="48" s="1"/>
  <c r="S46" i="84"/>
  <c r="Q90" i="48" s="1"/>
  <c r="S45" i="84"/>
  <c r="Q89" i="48" s="1"/>
  <c r="S44" i="84"/>
  <c r="Q88" i="48" s="1"/>
  <c r="S43" i="84"/>
  <c r="Q87" i="48" s="1"/>
  <c r="S9" i="84"/>
  <c r="Q26" i="48" s="1"/>
  <c r="S8" i="84"/>
  <c r="Q25" i="48" s="1"/>
  <c r="S7" i="84"/>
  <c r="Q24" i="48" s="1"/>
  <c r="S6" i="84"/>
  <c r="S5" i="84"/>
  <c r="Q22" i="48" s="1"/>
  <c r="F22" i="48" s="1"/>
  <c r="L22" i="48" s="1"/>
  <c r="S11" i="81"/>
  <c r="S10" i="81"/>
  <c r="P20" i="48" s="1"/>
  <c r="S9" i="81"/>
  <c r="P19" i="48" s="1"/>
  <c r="S8" i="81"/>
  <c r="P18" i="48" s="1"/>
  <c r="S7" i="81"/>
  <c r="S6" i="81"/>
  <c r="P16" i="48" s="1"/>
  <c r="S5" i="81"/>
  <c r="P15" i="48" s="1"/>
  <c r="S4" i="81"/>
  <c r="P14" i="48" s="1"/>
  <c r="S3" i="81"/>
  <c r="S55" i="81"/>
  <c r="P99" i="48" s="1"/>
  <c r="S53" i="81"/>
  <c r="P97" i="48" s="1"/>
  <c r="S52" i="81"/>
  <c r="P96" i="48" s="1"/>
  <c r="S51" i="81"/>
  <c r="P95" i="48" s="1"/>
  <c r="S50" i="81"/>
  <c r="P94" i="48" s="1"/>
  <c r="S49" i="81"/>
  <c r="P93" i="48" s="1"/>
  <c r="S48" i="81"/>
  <c r="P92" i="48" s="1"/>
  <c r="S47" i="81"/>
  <c r="P91" i="48" s="1"/>
  <c r="S46" i="81"/>
  <c r="P90" i="48" s="1"/>
  <c r="S45" i="81"/>
  <c r="P89" i="48" s="1"/>
  <c r="S44" i="81"/>
  <c r="P88" i="48" s="1"/>
  <c r="S43" i="81"/>
  <c r="P87" i="48" s="1"/>
  <c r="S42" i="81"/>
  <c r="P86" i="48" s="1"/>
  <c r="S41" i="81"/>
  <c r="P85" i="48" s="1"/>
  <c r="S8" i="83"/>
  <c r="N12" i="48" s="1"/>
  <c r="S7" i="83"/>
  <c r="N11" i="48" s="1"/>
  <c r="F11" i="48" s="1"/>
  <c r="S57" i="83"/>
  <c r="N101" i="48" s="1"/>
  <c r="S56" i="83"/>
  <c r="N100" i="48" s="1"/>
  <c r="S47" i="83"/>
  <c r="N91" i="48" s="1"/>
  <c r="S45" i="83"/>
  <c r="N89" i="48" s="1"/>
  <c r="S11" i="82"/>
  <c r="O21" i="48" s="1"/>
  <c r="S10" i="82"/>
  <c r="O20" i="48" s="1"/>
  <c r="S9" i="82"/>
  <c r="O19" i="48" s="1"/>
  <c r="S8" i="82"/>
  <c r="O18" i="48" s="1"/>
  <c r="S7" i="82"/>
  <c r="O17" i="48" s="1"/>
  <c r="S6" i="82"/>
  <c r="S5" i="82"/>
  <c r="O15" i="48" s="1"/>
  <c r="S4" i="82"/>
  <c r="O14" i="48" s="1"/>
  <c r="S3" i="82"/>
  <c r="O13" i="48" s="1"/>
  <c r="BB108" i="48"/>
  <c r="F108" i="48" s="1"/>
  <c r="BB109" i="48"/>
  <c r="F109" i="48" s="1"/>
  <c r="F110" i="48"/>
  <c r="BD110" i="48" s="1"/>
  <c r="E240" i="9"/>
  <c r="E239" i="9"/>
  <c r="B98" i="48"/>
  <c r="C98" i="48"/>
  <c r="D98" i="48"/>
  <c r="F98" i="48"/>
  <c r="G98" i="48"/>
  <c r="J98" i="48"/>
  <c r="K98" i="48"/>
  <c r="S19" i="100"/>
  <c r="AW194" i="48" s="1"/>
  <c r="F194" i="48" s="1"/>
  <c r="S13" i="100"/>
  <c r="AW187" i="48" s="1"/>
  <c r="F187" i="48" s="1"/>
  <c r="L187" i="48" s="1"/>
  <c r="S7" i="100"/>
  <c r="AW181" i="48" s="1"/>
  <c r="F181" i="48" s="1"/>
  <c r="L181" i="48" s="1"/>
  <c r="S19" i="99"/>
  <c r="S13" i="99"/>
  <c r="AT149" i="48" s="1"/>
  <c r="F149" i="48" s="1"/>
  <c r="S7" i="99"/>
  <c r="F195" i="48"/>
  <c r="L195" i="48" s="1"/>
  <c r="T497" i="9"/>
  <c r="T498" i="9"/>
  <c r="T499" i="9"/>
  <c r="T500" i="9"/>
  <c r="T478" i="9"/>
  <c r="T479" i="9"/>
  <c r="T480" i="9"/>
  <c r="T462" i="9"/>
  <c r="T463" i="9"/>
  <c r="T464" i="9"/>
  <c r="BD182" i="48"/>
  <c r="L182" i="48"/>
  <c r="M182" i="48" s="1"/>
  <c r="U394" i="9"/>
  <c r="T394" i="9"/>
  <c r="Q394" i="9"/>
  <c r="O394" i="9"/>
  <c r="N394" i="9"/>
  <c r="M394" i="9"/>
  <c r="L394" i="9"/>
  <c r="U393" i="9"/>
  <c r="T393" i="9"/>
  <c r="Q393" i="9"/>
  <c r="O393" i="9"/>
  <c r="N393" i="9"/>
  <c r="M393" i="9"/>
  <c r="L393" i="9"/>
  <c r="U392" i="9"/>
  <c r="T392" i="9"/>
  <c r="Q392" i="9"/>
  <c r="O392" i="9"/>
  <c r="N392" i="9"/>
  <c r="M392" i="9"/>
  <c r="L392" i="9"/>
  <c r="U375" i="9"/>
  <c r="T375" i="9"/>
  <c r="Q375" i="9"/>
  <c r="O375" i="9"/>
  <c r="N375" i="9"/>
  <c r="M375" i="9"/>
  <c r="L375" i="9"/>
  <c r="U374" i="9"/>
  <c r="T374" i="9"/>
  <c r="Q374" i="9"/>
  <c r="O374" i="9"/>
  <c r="N374" i="9"/>
  <c r="M374" i="9"/>
  <c r="L374" i="9"/>
  <c r="U373" i="9"/>
  <c r="T373" i="9"/>
  <c r="Q373" i="9"/>
  <c r="O373" i="9"/>
  <c r="N373" i="9"/>
  <c r="M373" i="9"/>
  <c r="L373" i="9"/>
  <c r="L376" i="9"/>
  <c r="M376" i="9"/>
  <c r="N376" i="9"/>
  <c r="O376" i="9"/>
  <c r="Q376" i="9"/>
  <c r="T376" i="9"/>
  <c r="U376" i="9"/>
  <c r="L377" i="9"/>
  <c r="M377" i="9"/>
  <c r="N377" i="9"/>
  <c r="O377" i="9"/>
  <c r="Q377" i="9"/>
  <c r="T377" i="9"/>
  <c r="U377" i="9"/>
  <c r="L378" i="9"/>
  <c r="M378" i="9"/>
  <c r="N378" i="9"/>
  <c r="O378" i="9"/>
  <c r="Q378" i="9"/>
  <c r="T378" i="9"/>
  <c r="U378" i="9"/>
  <c r="U359" i="9"/>
  <c r="T359" i="9"/>
  <c r="Q359" i="9"/>
  <c r="O359" i="9"/>
  <c r="N359" i="9"/>
  <c r="M359" i="9"/>
  <c r="L359" i="9"/>
  <c r="U358" i="9"/>
  <c r="T358" i="9"/>
  <c r="Q358" i="9"/>
  <c r="O358" i="9"/>
  <c r="N358" i="9"/>
  <c r="M358" i="9"/>
  <c r="L358" i="9"/>
  <c r="U357" i="9"/>
  <c r="T357" i="9"/>
  <c r="Q357" i="9"/>
  <c r="O357" i="9"/>
  <c r="N357" i="9"/>
  <c r="M357" i="9"/>
  <c r="L357" i="9"/>
  <c r="U499" i="9"/>
  <c r="Q499" i="9"/>
  <c r="O499" i="9"/>
  <c r="N499" i="9"/>
  <c r="M499" i="9"/>
  <c r="L499" i="9"/>
  <c r="U498" i="9"/>
  <c r="Q498" i="9"/>
  <c r="O498" i="9"/>
  <c r="N498" i="9"/>
  <c r="M498" i="9"/>
  <c r="L498" i="9"/>
  <c r="U497" i="9"/>
  <c r="Q497" i="9"/>
  <c r="O497" i="9"/>
  <c r="N497" i="9"/>
  <c r="M497" i="9"/>
  <c r="L497" i="9"/>
  <c r="U480" i="9"/>
  <c r="Q480" i="9"/>
  <c r="O480" i="9"/>
  <c r="N480" i="9"/>
  <c r="M480" i="9"/>
  <c r="L480" i="9"/>
  <c r="U479" i="9"/>
  <c r="Q479" i="9"/>
  <c r="O479" i="9"/>
  <c r="N479" i="9"/>
  <c r="M479" i="9"/>
  <c r="L479" i="9"/>
  <c r="U478" i="9"/>
  <c r="Q478" i="9"/>
  <c r="O478" i="9"/>
  <c r="N478" i="9"/>
  <c r="M478" i="9"/>
  <c r="L478" i="9"/>
  <c r="U464" i="9"/>
  <c r="Q464" i="9"/>
  <c r="O464" i="9"/>
  <c r="N464" i="9"/>
  <c r="M464" i="9"/>
  <c r="L464" i="9"/>
  <c r="U463" i="9"/>
  <c r="Q463" i="9"/>
  <c r="O463" i="9"/>
  <c r="N463" i="9"/>
  <c r="M463" i="9"/>
  <c r="L463" i="9"/>
  <c r="U462" i="9"/>
  <c r="Q462" i="9"/>
  <c r="O462" i="9"/>
  <c r="N462" i="9"/>
  <c r="M462" i="9"/>
  <c r="L462" i="9"/>
  <c r="S58" i="82"/>
  <c r="O102" i="48" s="1"/>
  <c r="S57" i="82"/>
  <c r="O101" i="48" s="1"/>
  <c r="S56" i="82"/>
  <c r="O100" i="48" s="1"/>
  <c r="S55" i="82"/>
  <c r="O99" i="48" s="1"/>
  <c r="S53" i="82"/>
  <c r="O97" i="48" s="1"/>
  <c r="S52" i="82"/>
  <c r="O96" i="48" s="1"/>
  <c r="S51" i="82"/>
  <c r="O95" i="48" s="1"/>
  <c r="S50" i="82"/>
  <c r="O94" i="48" s="1"/>
  <c r="S49" i="82"/>
  <c r="O93" i="48" s="1"/>
  <c r="S48" i="82"/>
  <c r="O92" i="48" s="1"/>
  <c r="S47" i="82"/>
  <c r="O91" i="48" s="1"/>
  <c r="S46" i="82"/>
  <c r="O90" i="48" s="1"/>
  <c r="S45" i="82"/>
  <c r="O89" i="48" s="1"/>
  <c r="S44" i="82"/>
  <c r="O88" i="48" s="1"/>
  <c r="S43" i="82"/>
  <c r="O87" i="48" s="1"/>
  <c r="S42" i="82"/>
  <c r="O86" i="48" s="1"/>
  <c r="S41" i="82"/>
  <c r="H27" i="15"/>
  <c r="R12" i="116"/>
  <c r="R9" i="116"/>
  <c r="U12" i="116"/>
  <c r="U9" i="116"/>
  <c r="R6" i="116"/>
  <c r="U6" i="116"/>
  <c r="U3" i="116"/>
  <c r="R3" i="116"/>
  <c r="Q666" i="9"/>
  <c r="Q665" i="9"/>
  <c r="Q662" i="9"/>
  <c r="Q661" i="9"/>
  <c r="Q660" i="9"/>
  <c r="Q658" i="9"/>
  <c r="Q657" i="9"/>
  <c r="Q656" i="9"/>
  <c r="Q654" i="9"/>
  <c r="Q653" i="9"/>
  <c r="Q652" i="9"/>
  <c r="Q650" i="9"/>
  <c r="Q649" i="9"/>
  <c r="Q646" i="9"/>
  <c r="Q645" i="9"/>
  <c r="Q643" i="9"/>
  <c r="Q642" i="9"/>
  <c r="Q641" i="9"/>
  <c r="Q640" i="9"/>
  <c r="Q638" i="9"/>
  <c r="Q637" i="9"/>
  <c r="Q635" i="9"/>
  <c r="Q634" i="9"/>
  <c r="Q633" i="9"/>
  <c r="Q631" i="9"/>
  <c r="Q630" i="9"/>
  <c r="Q629" i="9"/>
  <c r="Q627" i="9"/>
  <c r="Q626" i="9"/>
  <c r="Q625" i="9"/>
  <c r="Q624" i="9"/>
  <c r="Q623" i="9"/>
  <c r="Q622" i="9"/>
  <c r="Q621" i="9"/>
  <c r="Q618" i="9"/>
  <c r="Q617" i="9"/>
  <c r="Q615" i="9"/>
  <c r="Q614" i="9"/>
  <c r="Q613" i="9"/>
  <c r="Q611" i="9"/>
  <c r="Q610" i="9"/>
  <c r="Q609" i="9"/>
  <c r="Q607" i="9"/>
  <c r="Q606" i="9"/>
  <c r="Q605" i="9"/>
  <c r="Q603" i="9"/>
  <c r="Q602" i="9"/>
  <c r="Q601" i="9"/>
  <c r="Q598" i="9"/>
  <c r="Q597" i="9"/>
  <c r="Q594" i="9"/>
  <c r="Q593" i="9"/>
  <c r="Q591" i="9"/>
  <c r="Q590" i="9"/>
  <c r="Q589" i="9"/>
  <c r="Q586" i="9"/>
  <c r="Q585" i="9"/>
  <c r="Q584" i="9"/>
  <c r="Q582" i="9"/>
  <c r="Q581" i="9"/>
  <c r="Q579" i="9"/>
  <c r="Q578" i="9"/>
  <c r="Q577" i="9"/>
  <c r="Q576" i="9"/>
  <c r="Q575" i="9"/>
  <c r="Q574" i="9"/>
  <c r="Q573" i="9"/>
  <c r="Q572" i="9"/>
  <c r="Q570" i="9"/>
  <c r="Q569" i="9"/>
  <c r="Q566" i="9"/>
  <c r="Q565" i="9"/>
  <c r="Q563" i="9"/>
  <c r="Q562" i="9"/>
  <c r="Q561" i="9"/>
  <c r="Q558" i="9"/>
  <c r="Q557" i="9"/>
  <c r="Q555" i="9"/>
  <c r="Q554" i="9"/>
  <c r="Q553" i="9"/>
  <c r="Q551" i="9"/>
  <c r="Q550" i="9"/>
  <c r="Q549" i="9"/>
  <c r="Q548" i="9"/>
  <c r="Q546" i="9"/>
  <c r="Q545" i="9"/>
  <c r="Q542" i="9"/>
  <c r="Q541" i="9"/>
  <c r="Q538" i="9"/>
  <c r="Q537" i="9"/>
  <c r="Q535" i="9"/>
  <c r="Q526" i="9"/>
  <c r="Q525" i="9"/>
  <c r="Q524" i="9"/>
  <c r="Q522" i="9"/>
  <c r="Q521" i="9"/>
  <c r="Q519" i="9"/>
  <c r="Q518" i="9"/>
  <c r="Q517" i="9"/>
  <c r="Q515" i="9"/>
  <c r="Q514" i="9"/>
  <c r="Q513" i="9"/>
  <c r="Q512" i="9"/>
  <c r="Q510" i="9"/>
  <c r="Q509" i="9"/>
  <c r="Q506" i="9"/>
  <c r="Q505" i="9"/>
  <c r="Q504" i="9"/>
  <c r="Q502" i="9"/>
  <c r="Q501" i="9"/>
  <c r="Q496" i="9"/>
  <c r="Q495" i="9"/>
  <c r="Q494" i="9"/>
  <c r="Q491" i="9"/>
  <c r="Q490" i="9"/>
  <c r="Q489" i="9"/>
  <c r="Q487" i="9"/>
  <c r="Q486" i="9"/>
  <c r="Q484" i="9"/>
  <c r="Q483" i="9"/>
  <c r="Q482" i="9"/>
  <c r="Q477" i="9"/>
  <c r="Q476" i="9"/>
  <c r="Q475" i="9"/>
  <c r="Q472" i="9"/>
  <c r="Q471" i="9"/>
  <c r="Q468" i="9"/>
  <c r="Q467" i="9"/>
  <c r="Q465" i="9"/>
  <c r="Q461" i="9"/>
  <c r="Q460" i="9"/>
  <c r="Q458" i="9"/>
  <c r="Q457" i="9"/>
  <c r="Q456" i="9"/>
  <c r="Q455" i="9"/>
  <c r="Q453" i="9"/>
  <c r="Q452" i="9"/>
  <c r="Q450" i="9"/>
  <c r="Q449" i="9"/>
  <c r="Q448" i="9"/>
  <c r="Q446" i="9"/>
  <c r="Q445" i="9"/>
  <c r="Q444" i="9"/>
  <c r="Q440" i="9"/>
  <c r="Q438" i="9"/>
  <c r="Q437" i="9"/>
  <c r="Q436" i="9"/>
  <c r="Q434" i="9"/>
  <c r="Q433" i="9"/>
  <c r="Q432" i="9"/>
  <c r="Q430" i="9"/>
  <c r="Q429" i="9"/>
  <c r="Q428" i="9"/>
  <c r="Q427" i="9"/>
  <c r="Q425" i="9"/>
  <c r="Q424" i="9"/>
  <c r="Q421" i="9"/>
  <c r="Q420" i="9"/>
  <c r="Q418" i="9"/>
  <c r="Q417" i="9"/>
  <c r="Q416" i="9"/>
  <c r="Q413" i="9"/>
  <c r="Q412" i="9"/>
  <c r="Q410" i="9"/>
  <c r="Q409" i="9"/>
  <c r="Q408" i="9"/>
  <c r="Q407" i="9"/>
  <c r="Q406" i="9"/>
  <c r="Q405" i="9"/>
  <c r="Q404" i="9"/>
  <c r="Q403" i="9"/>
  <c r="Q402" i="9"/>
  <c r="Q401" i="9"/>
  <c r="Q400" i="9"/>
  <c r="Q399" i="9"/>
  <c r="Q398" i="9"/>
  <c r="Q397" i="9"/>
  <c r="Q396" i="9"/>
  <c r="Q391" i="9"/>
  <c r="Q390" i="9"/>
  <c r="Q389" i="9"/>
  <c r="Q387" i="9"/>
  <c r="Q386" i="9"/>
  <c r="Q385" i="9"/>
  <c r="Q383" i="9"/>
  <c r="Q382" i="9"/>
  <c r="Q381" i="9"/>
  <c r="Q379" i="9"/>
  <c r="Q372" i="9"/>
  <c r="Q371" i="9"/>
  <c r="Q370" i="9"/>
  <c r="Q368" i="9"/>
  <c r="Q367" i="9"/>
  <c r="Q366" i="9"/>
  <c r="Q364" i="9"/>
  <c r="Q363" i="9"/>
  <c r="Q362" i="9"/>
  <c r="Q360" i="9"/>
  <c r="Q356" i="9"/>
  <c r="Q355" i="9"/>
  <c r="Q354" i="9"/>
  <c r="Q353" i="9"/>
  <c r="Q352" i="9"/>
  <c r="Q351" i="9"/>
  <c r="Q350" i="9"/>
  <c r="Q349" i="9"/>
  <c r="Q348" i="9"/>
  <c r="Q347" i="9"/>
  <c r="Q345" i="9"/>
  <c r="Q344" i="9"/>
  <c r="Q343" i="9"/>
  <c r="Q341" i="9"/>
  <c r="Q340" i="9"/>
  <c r="Q339" i="9"/>
  <c r="Q338" i="9"/>
  <c r="Q337" i="9"/>
  <c r="Q336" i="9"/>
  <c r="Q335" i="9"/>
  <c r="Q333" i="9"/>
  <c r="Q332" i="9"/>
  <c r="Q331" i="9"/>
  <c r="Q329" i="9"/>
  <c r="Q328" i="9"/>
  <c r="Q327" i="9"/>
  <c r="Q325" i="9"/>
  <c r="Q324" i="9"/>
  <c r="Q323" i="9"/>
  <c r="Q320" i="9"/>
  <c r="Q319" i="9"/>
  <c r="Q317" i="9"/>
  <c r="Q316" i="9"/>
  <c r="Q315" i="9"/>
  <c r="Q312" i="9"/>
  <c r="Q311" i="9"/>
  <c r="Q309" i="9"/>
  <c r="Q308" i="9"/>
  <c r="Q307" i="9"/>
  <c r="Q304" i="9"/>
  <c r="Q303" i="9"/>
  <c r="Q301" i="9"/>
  <c r="Q300" i="9"/>
  <c r="Q299" i="9"/>
  <c r="Q296" i="9"/>
  <c r="Q295" i="9"/>
  <c r="Q292" i="9"/>
  <c r="Q291" i="9"/>
  <c r="Q289" i="9"/>
  <c r="Q288" i="9"/>
  <c r="Q287" i="9"/>
  <c r="Q286" i="9"/>
  <c r="Q284" i="9"/>
  <c r="Q283" i="9"/>
  <c r="Q280" i="9"/>
  <c r="Q279" i="9"/>
  <c r="Q276" i="9"/>
  <c r="Q275" i="9"/>
  <c r="Q273" i="9"/>
  <c r="Q271" i="9"/>
  <c r="Q268" i="9"/>
  <c r="Q267" i="9"/>
  <c r="Q266" i="9"/>
  <c r="Q265" i="9"/>
  <c r="Q264" i="9"/>
  <c r="Q263" i="9"/>
  <c r="Q259" i="9"/>
  <c r="Q256" i="9"/>
  <c r="Q255" i="9"/>
  <c r="Q254" i="9"/>
  <c r="Q253" i="9"/>
  <c r="Q252" i="9"/>
  <c r="Q251" i="9"/>
  <c r="Q248" i="9"/>
  <c r="Q247" i="9"/>
  <c r="Q246" i="9"/>
  <c r="Q245" i="9"/>
  <c r="Q244" i="9"/>
  <c r="Q243" i="9"/>
  <c r="Q240" i="9"/>
  <c r="Q239" i="9"/>
  <c r="Q238" i="9"/>
  <c r="Q237" i="9"/>
  <c r="Q236" i="9"/>
  <c r="Q235" i="9"/>
  <c r="Q232" i="9"/>
  <c r="Q231" i="9"/>
  <c r="Q228" i="9"/>
  <c r="Q227" i="9"/>
  <c r="Q226" i="9"/>
  <c r="Q225" i="9"/>
  <c r="Q224" i="9"/>
  <c r="Q223" i="9"/>
  <c r="Q222" i="9"/>
  <c r="Q221" i="9"/>
  <c r="Q220" i="9"/>
  <c r="Q219" i="9"/>
  <c r="Q218" i="9"/>
  <c r="Q217" i="9"/>
  <c r="Q216" i="9"/>
  <c r="Q215" i="9"/>
  <c r="Q213" i="9"/>
  <c r="Q212" i="9"/>
  <c r="Q211" i="9"/>
  <c r="Q210" i="9"/>
  <c r="Q209" i="9"/>
  <c r="Q208" i="9"/>
  <c r="Q207" i="9"/>
  <c r="Q204" i="9"/>
  <c r="Q203" i="9"/>
  <c r="Q201" i="9"/>
  <c r="Q200" i="9"/>
  <c r="Q199" i="9"/>
  <c r="Q198" i="9"/>
  <c r="Q197" i="9"/>
  <c r="Q196" i="9"/>
  <c r="Q195" i="9"/>
  <c r="Q193" i="9"/>
  <c r="Q192" i="9"/>
  <c r="Q191" i="9"/>
  <c r="Q190" i="9"/>
  <c r="Q188" i="9"/>
  <c r="Q187" i="9"/>
  <c r="Q186" i="9"/>
  <c r="Q185" i="9"/>
  <c r="Q184" i="9"/>
  <c r="Q183" i="9"/>
  <c r="Q182" i="9"/>
  <c r="Q181" i="9"/>
  <c r="Q180" i="9"/>
  <c r="Q179" i="9"/>
  <c r="Q178" i="9"/>
  <c r="Q177" i="9"/>
  <c r="Q176" i="9"/>
  <c r="Q175" i="9"/>
  <c r="Q173" i="9"/>
  <c r="Q171" i="9"/>
  <c r="Q168" i="9"/>
  <c r="Q167" i="9"/>
  <c r="Q164" i="9"/>
  <c r="Q163" i="9"/>
  <c r="Q161" i="9"/>
  <c r="Q160" i="9"/>
  <c r="Q159" i="9"/>
  <c r="Q157" i="9"/>
  <c r="Q156" i="9"/>
  <c r="Q155" i="9"/>
  <c r="Q154" i="9"/>
  <c r="Q153" i="9"/>
  <c r="Q152" i="9"/>
  <c r="Q151" i="9"/>
  <c r="Q149" i="9"/>
  <c r="Q148" i="9"/>
  <c r="Q147" i="9"/>
  <c r="Q144" i="9"/>
  <c r="Q143" i="9"/>
  <c r="Q141" i="9"/>
  <c r="Q140" i="9"/>
  <c r="Q139" i="9"/>
  <c r="Q137" i="9"/>
  <c r="Q136" i="9"/>
  <c r="Q135" i="9"/>
  <c r="Q134" i="9"/>
  <c r="Q132" i="9"/>
  <c r="Q131" i="9"/>
  <c r="Q128" i="9"/>
  <c r="Q127" i="9"/>
  <c r="Q126" i="9"/>
  <c r="Q125" i="9"/>
  <c r="Q124" i="9"/>
  <c r="Q123" i="9"/>
  <c r="Q121" i="9"/>
  <c r="Q120" i="9"/>
  <c r="Q119" i="9"/>
  <c r="Q116" i="9"/>
  <c r="Q115" i="9"/>
  <c r="Q114" i="9"/>
  <c r="Q113" i="9"/>
  <c r="Q112" i="9"/>
  <c r="Q111" i="9"/>
  <c r="Q110" i="9"/>
  <c r="Q108" i="9"/>
  <c r="Q107" i="9"/>
  <c r="Q105" i="9"/>
  <c r="Q104" i="9"/>
  <c r="Q103" i="9"/>
  <c r="Q100" i="9"/>
  <c r="Q99" i="9"/>
  <c r="Q98" i="9"/>
  <c r="Q97" i="9"/>
  <c r="Q96" i="9"/>
  <c r="Q95" i="9"/>
  <c r="Q92" i="9"/>
  <c r="Q91" i="9"/>
  <c r="Q90" i="9"/>
  <c r="Q89" i="9"/>
  <c r="Q88" i="9"/>
  <c r="Q87" i="9"/>
  <c r="Q86" i="9"/>
  <c r="Q85" i="9"/>
  <c r="Q84" i="9"/>
  <c r="Q83" i="9"/>
  <c r="Q82" i="9"/>
  <c r="Q80" i="9"/>
  <c r="Q79" i="9"/>
  <c r="Q76" i="9"/>
  <c r="Q75" i="9"/>
  <c r="Q74" i="9"/>
  <c r="Q73" i="9"/>
  <c r="Q72" i="9"/>
  <c r="Q71" i="9"/>
  <c r="Q69" i="9"/>
  <c r="Q68" i="9"/>
  <c r="Q67" i="9"/>
  <c r="Q65" i="9"/>
  <c r="Q64" i="9"/>
  <c r="Q63" i="9"/>
  <c r="Q61" i="9"/>
  <c r="Q60" i="9"/>
  <c r="Q59" i="9"/>
  <c r="Q57" i="9"/>
  <c r="Q56" i="9"/>
  <c r="Q55" i="9"/>
  <c r="Q52" i="9"/>
  <c r="Q51" i="9"/>
  <c r="Q50" i="9"/>
  <c r="Q48" i="9"/>
  <c r="Q47" i="9"/>
  <c r="Q46" i="9"/>
  <c r="Q44" i="9"/>
  <c r="Q43" i="9"/>
  <c r="Q42" i="9"/>
  <c r="Q41" i="9"/>
  <c r="Q40" i="9"/>
  <c r="Q39" i="9"/>
  <c r="Q37" i="9"/>
  <c r="Q36" i="9"/>
  <c r="Q35" i="9"/>
  <c r="Q33" i="9"/>
  <c r="Q32" i="9"/>
  <c r="Q31" i="9"/>
  <c r="Q28" i="9"/>
  <c r="Q27" i="9"/>
  <c r="Q25" i="9"/>
  <c r="Q24" i="9"/>
  <c r="Q23" i="9"/>
  <c r="Q22" i="9"/>
  <c r="Q21" i="9"/>
  <c r="Q20" i="9"/>
  <c r="Q19" i="9"/>
  <c r="Q18" i="9"/>
  <c r="Q16" i="9"/>
  <c r="Q15" i="9"/>
  <c r="Q14" i="9"/>
  <c r="Q12" i="9"/>
  <c r="Q11" i="9"/>
  <c r="BC249" i="48"/>
  <c r="F249" i="48" s="1"/>
  <c r="L249" i="48" s="1"/>
  <c r="BC250" i="48"/>
  <c r="F250" i="48" s="1"/>
  <c r="L250" i="48" s="1"/>
  <c r="BC251" i="48"/>
  <c r="F251" i="48" s="1"/>
  <c r="L251" i="48" s="1"/>
  <c r="BC248" i="48"/>
  <c r="F248" i="48" s="1"/>
  <c r="L248" i="48" s="1"/>
  <c r="BC243" i="48"/>
  <c r="F243" i="48" s="1"/>
  <c r="L243" i="48" s="1"/>
  <c r="E594" i="9"/>
  <c r="E595" i="9"/>
  <c r="E596" i="9"/>
  <c r="E597" i="9"/>
  <c r="E598" i="9"/>
  <c r="E599" i="9"/>
  <c r="P33" i="15"/>
  <c r="D27" i="15"/>
  <c r="L33" i="15"/>
  <c r="D33" i="15"/>
  <c r="AY127" i="48"/>
  <c r="AY174" i="48"/>
  <c r="F174" i="48" s="1"/>
  <c r="L174" i="48" s="1"/>
  <c r="AY173" i="48"/>
  <c r="F173" i="48" s="1"/>
  <c r="L173" i="48" s="1"/>
  <c r="AY172" i="48"/>
  <c r="F172" i="48" s="1"/>
  <c r="L172" i="48" s="1"/>
  <c r="M176" i="48"/>
  <c r="L175" i="48"/>
  <c r="M175" i="48" s="1"/>
  <c r="BD171" i="48"/>
  <c r="L438" i="9"/>
  <c r="M438" i="9"/>
  <c r="N438" i="9"/>
  <c r="O438" i="9"/>
  <c r="T438" i="9"/>
  <c r="U438" i="9"/>
  <c r="L439" i="9"/>
  <c r="M439" i="9"/>
  <c r="N439" i="9"/>
  <c r="O439" i="9"/>
  <c r="Q439" i="9"/>
  <c r="T439" i="9"/>
  <c r="U439" i="9"/>
  <c r="L440" i="9"/>
  <c r="M440" i="9"/>
  <c r="N440" i="9"/>
  <c r="O440" i="9"/>
  <c r="T440" i="9"/>
  <c r="U440" i="9"/>
  <c r="L441" i="9"/>
  <c r="M441" i="9"/>
  <c r="N441" i="9"/>
  <c r="O441" i="9"/>
  <c r="Q441" i="9"/>
  <c r="T441" i="9"/>
  <c r="U441" i="9"/>
  <c r="L442" i="9"/>
  <c r="M442" i="9"/>
  <c r="N442" i="9"/>
  <c r="O442" i="9"/>
  <c r="Q442" i="9"/>
  <c r="T442" i="9"/>
  <c r="U442" i="9"/>
  <c r="L443" i="9"/>
  <c r="M443" i="9"/>
  <c r="N443" i="9"/>
  <c r="O443" i="9"/>
  <c r="Q443" i="9"/>
  <c r="T443" i="9"/>
  <c r="U443" i="9"/>
  <c r="L444" i="9"/>
  <c r="M444" i="9"/>
  <c r="N444" i="9"/>
  <c r="O444" i="9"/>
  <c r="T444" i="9"/>
  <c r="U444" i="9"/>
  <c r="L445" i="9"/>
  <c r="M445" i="9"/>
  <c r="N445" i="9"/>
  <c r="O445" i="9"/>
  <c r="T445" i="9"/>
  <c r="U445" i="9"/>
  <c r="L446" i="9"/>
  <c r="M446" i="9"/>
  <c r="N446" i="9"/>
  <c r="O446" i="9"/>
  <c r="T446" i="9"/>
  <c r="U446" i="9"/>
  <c r="L447" i="9"/>
  <c r="M447" i="9"/>
  <c r="N447" i="9"/>
  <c r="O447" i="9"/>
  <c r="Q447" i="9"/>
  <c r="T447" i="9"/>
  <c r="U447" i="9"/>
  <c r="L448" i="9"/>
  <c r="M448" i="9"/>
  <c r="N448" i="9"/>
  <c r="O448" i="9"/>
  <c r="T448" i="9"/>
  <c r="U448" i="9"/>
  <c r="L411" i="9"/>
  <c r="M411" i="9"/>
  <c r="N411" i="9"/>
  <c r="O411" i="9"/>
  <c r="Q411" i="9"/>
  <c r="T411" i="9"/>
  <c r="U411" i="9"/>
  <c r="L412" i="9"/>
  <c r="M412" i="9"/>
  <c r="N412" i="9"/>
  <c r="O412" i="9"/>
  <c r="T412" i="9"/>
  <c r="U412" i="9"/>
  <c r="B152" i="12"/>
  <c r="B14" i="116" s="1"/>
  <c r="B153" i="12"/>
  <c r="B19" i="116" s="1"/>
  <c r="B154" i="12"/>
  <c r="B24" i="116" s="1"/>
  <c r="B155" i="12"/>
  <c r="B156" i="12"/>
  <c r="B19" i="16" s="1"/>
  <c r="B151" i="12"/>
  <c r="K2" i="116" s="1"/>
  <c r="M6" i="116"/>
  <c r="S74" i="115"/>
  <c r="AR55" i="48" s="1"/>
  <c r="S73" i="115"/>
  <c r="AR54" i="48" s="1"/>
  <c r="AR40" i="48"/>
  <c r="AR39" i="48"/>
  <c r="S70" i="115"/>
  <c r="AR51" i="48" s="1"/>
  <c r="I6" i="115"/>
  <c r="I6" i="97"/>
  <c r="AR127" i="48"/>
  <c r="AR126" i="48"/>
  <c r="AR64" i="48"/>
  <c r="AR62" i="48"/>
  <c r="AR66" i="48"/>
  <c r="AR63" i="48"/>
  <c r="AR61" i="48"/>
  <c r="I13" i="115"/>
  <c r="I12" i="115"/>
  <c r="N8" i="115"/>
  <c r="AR19" i="48"/>
  <c r="AR18" i="48"/>
  <c r="AR17" i="48"/>
  <c r="S81" i="114"/>
  <c r="AP51" i="48" s="1"/>
  <c r="S85" i="114"/>
  <c r="AP55" i="48" s="1"/>
  <c r="S84" i="114"/>
  <c r="AP54" i="48" s="1"/>
  <c r="S82" i="114"/>
  <c r="AP52" i="48" s="1"/>
  <c r="I6" i="114"/>
  <c r="I6" i="96"/>
  <c r="S74" i="114"/>
  <c r="S73" i="114"/>
  <c r="AP135" i="48"/>
  <c r="AP134" i="48"/>
  <c r="S69" i="114"/>
  <c r="S68" i="114"/>
  <c r="AP131" i="48"/>
  <c r="AP130" i="48"/>
  <c r="AP126" i="48"/>
  <c r="AP125" i="48"/>
  <c r="AP62" i="48"/>
  <c r="AP66" i="48"/>
  <c r="AP65" i="48"/>
  <c r="AP63" i="48"/>
  <c r="AP61" i="48"/>
  <c r="I13" i="114"/>
  <c r="I12" i="114"/>
  <c r="N8" i="114"/>
  <c r="AP19" i="48"/>
  <c r="AP18" i="48"/>
  <c r="S73" i="113"/>
  <c r="AN55" i="48" s="1"/>
  <c r="S72" i="113"/>
  <c r="AN54" i="48" s="1"/>
  <c r="S68" i="113"/>
  <c r="S67" i="113"/>
  <c r="AN40" i="48"/>
  <c r="S69" i="113"/>
  <c r="U4" i="113"/>
  <c r="U3" i="113"/>
  <c r="I6" i="113"/>
  <c r="I6" i="92"/>
  <c r="AN66" i="48"/>
  <c r="AN64" i="48"/>
  <c r="AN63" i="48"/>
  <c r="I13" i="113"/>
  <c r="I12" i="113"/>
  <c r="N8" i="113"/>
  <c r="E553" i="9"/>
  <c r="H1" i="8"/>
  <c r="B209" i="8"/>
  <c r="M209" i="9" s="1"/>
  <c r="B209" i="9" s="1"/>
  <c r="C2" i="9"/>
  <c r="C3" i="9"/>
  <c r="B3" i="9" s="1"/>
  <c r="C4" i="9"/>
  <c r="B4" i="9" s="1"/>
  <c r="C6" i="9"/>
  <c r="T10" i="9"/>
  <c r="I10" i="9" s="1"/>
  <c r="J10" i="48" s="1"/>
  <c r="U10" i="9"/>
  <c r="J10" i="9" s="1"/>
  <c r="K10" i="48" s="1"/>
  <c r="L11" i="9"/>
  <c r="M11" i="9"/>
  <c r="N11" i="9"/>
  <c r="O11" i="9"/>
  <c r="T11" i="9"/>
  <c r="U11" i="9"/>
  <c r="L12" i="9"/>
  <c r="M12" i="9"/>
  <c r="N12" i="9"/>
  <c r="O12" i="9"/>
  <c r="T12" i="9"/>
  <c r="U12" i="9"/>
  <c r="L13" i="9"/>
  <c r="M13" i="9"/>
  <c r="N13" i="9"/>
  <c r="O13" i="9"/>
  <c r="Q13" i="9"/>
  <c r="T13" i="9"/>
  <c r="U13" i="9"/>
  <c r="L14" i="9"/>
  <c r="M14" i="9"/>
  <c r="N14" i="9"/>
  <c r="O14" i="9"/>
  <c r="T14" i="9"/>
  <c r="U14" i="9"/>
  <c r="L15" i="9"/>
  <c r="M15" i="9"/>
  <c r="N15" i="9"/>
  <c r="O15" i="9"/>
  <c r="T15" i="9"/>
  <c r="U15" i="9"/>
  <c r="L16" i="9"/>
  <c r="M16" i="9"/>
  <c r="N16" i="9"/>
  <c r="O16" i="9"/>
  <c r="T16" i="9"/>
  <c r="U16" i="9"/>
  <c r="L17" i="9"/>
  <c r="M17" i="9"/>
  <c r="N17" i="9"/>
  <c r="O17" i="9"/>
  <c r="Q17" i="9"/>
  <c r="T17" i="9"/>
  <c r="U17" i="9"/>
  <c r="L18" i="9"/>
  <c r="M18" i="9"/>
  <c r="N18" i="9"/>
  <c r="O18" i="9"/>
  <c r="T18" i="9"/>
  <c r="U18" i="9"/>
  <c r="L19" i="9"/>
  <c r="M19" i="9"/>
  <c r="N19" i="9"/>
  <c r="O19" i="9"/>
  <c r="T19" i="9"/>
  <c r="U19" i="9"/>
  <c r="L20" i="9"/>
  <c r="M20" i="9"/>
  <c r="N20" i="9"/>
  <c r="O20" i="9"/>
  <c r="T20" i="9"/>
  <c r="U20" i="9"/>
  <c r="L21" i="9"/>
  <c r="M21" i="9"/>
  <c r="N21" i="9"/>
  <c r="O21" i="9"/>
  <c r="T21" i="9"/>
  <c r="U21" i="9"/>
  <c r="L22" i="9"/>
  <c r="M22" i="9"/>
  <c r="N22" i="9"/>
  <c r="O22" i="9"/>
  <c r="T22" i="9"/>
  <c r="U22" i="9"/>
  <c r="L23" i="9"/>
  <c r="M23" i="9"/>
  <c r="N23" i="9"/>
  <c r="O23" i="9"/>
  <c r="T23" i="9"/>
  <c r="U23" i="9"/>
  <c r="L24" i="9"/>
  <c r="M24" i="9"/>
  <c r="N24" i="9"/>
  <c r="O24" i="9"/>
  <c r="T24" i="9"/>
  <c r="U24" i="9"/>
  <c r="L25" i="9"/>
  <c r="M25" i="9"/>
  <c r="N25" i="9"/>
  <c r="O25" i="9"/>
  <c r="T25" i="9"/>
  <c r="U25" i="9"/>
  <c r="L26" i="9"/>
  <c r="M26" i="9"/>
  <c r="N26" i="9"/>
  <c r="O26" i="9"/>
  <c r="Q26" i="9"/>
  <c r="T26" i="9"/>
  <c r="U26" i="9"/>
  <c r="L27" i="9"/>
  <c r="M27" i="9"/>
  <c r="N27" i="9"/>
  <c r="O27" i="9"/>
  <c r="T27" i="9"/>
  <c r="U27" i="9"/>
  <c r="L28" i="9"/>
  <c r="M28" i="9"/>
  <c r="N28" i="9"/>
  <c r="O28" i="9"/>
  <c r="T28" i="9"/>
  <c r="U28" i="9"/>
  <c r="L29" i="9"/>
  <c r="M29" i="9"/>
  <c r="N29" i="9"/>
  <c r="O29" i="9"/>
  <c r="Q29" i="9"/>
  <c r="T29" i="9"/>
  <c r="U29" i="9"/>
  <c r="L30" i="9"/>
  <c r="M30" i="9"/>
  <c r="N30" i="9"/>
  <c r="O30" i="9"/>
  <c r="Q30" i="9"/>
  <c r="T30" i="9"/>
  <c r="U30" i="9"/>
  <c r="L31" i="9"/>
  <c r="M31" i="9"/>
  <c r="N31" i="9"/>
  <c r="O31" i="9"/>
  <c r="T31" i="9"/>
  <c r="U31" i="9"/>
  <c r="L32" i="9"/>
  <c r="M32" i="9"/>
  <c r="N32" i="9"/>
  <c r="O32" i="9"/>
  <c r="T32" i="9"/>
  <c r="U32" i="9"/>
  <c r="L33" i="9"/>
  <c r="M33" i="9"/>
  <c r="N33" i="9"/>
  <c r="O33" i="9"/>
  <c r="T33" i="9"/>
  <c r="U33" i="9"/>
  <c r="L34" i="9"/>
  <c r="M34" i="9"/>
  <c r="N34" i="9"/>
  <c r="O34" i="9"/>
  <c r="Q34" i="9"/>
  <c r="T34" i="9"/>
  <c r="U34" i="9"/>
  <c r="L35" i="9"/>
  <c r="M35" i="9"/>
  <c r="N35" i="9"/>
  <c r="O35" i="9"/>
  <c r="T35" i="9"/>
  <c r="U35" i="9"/>
  <c r="L36" i="9"/>
  <c r="M36" i="9"/>
  <c r="N36" i="9"/>
  <c r="O36" i="9"/>
  <c r="T36" i="9"/>
  <c r="U36" i="9"/>
  <c r="L37" i="9"/>
  <c r="M37" i="9"/>
  <c r="N37" i="9"/>
  <c r="O37" i="9"/>
  <c r="T37" i="9"/>
  <c r="U37" i="9"/>
  <c r="L38" i="9"/>
  <c r="M38" i="9"/>
  <c r="N38" i="9"/>
  <c r="O38" i="9"/>
  <c r="Q38" i="9"/>
  <c r="T38" i="9"/>
  <c r="U38" i="9"/>
  <c r="L39" i="9"/>
  <c r="M39" i="9"/>
  <c r="N39" i="9"/>
  <c r="O39" i="9"/>
  <c r="T39" i="9"/>
  <c r="U39" i="9"/>
  <c r="L40" i="9"/>
  <c r="M40" i="9"/>
  <c r="N40" i="9"/>
  <c r="O40" i="9"/>
  <c r="T40" i="9"/>
  <c r="U40" i="9"/>
  <c r="L41" i="9"/>
  <c r="M41" i="9"/>
  <c r="N41" i="9"/>
  <c r="O41" i="9"/>
  <c r="T41" i="9"/>
  <c r="U41" i="9"/>
  <c r="L42" i="9"/>
  <c r="M42" i="9"/>
  <c r="N42" i="9"/>
  <c r="O42" i="9"/>
  <c r="T42" i="9"/>
  <c r="U42" i="9"/>
  <c r="L43" i="9"/>
  <c r="M43" i="9"/>
  <c r="N43" i="9"/>
  <c r="O43" i="9"/>
  <c r="T43" i="9"/>
  <c r="U43" i="9"/>
  <c r="L44" i="9"/>
  <c r="M44" i="9"/>
  <c r="N44" i="9"/>
  <c r="O44" i="9"/>
  <c r="T44" i="9"/>
  <c r="U44" i="9"/>
  <c r="L45" i="9"/>
  <c r="M45" i="9"/>
  <c r="N45" i="9"/>
  <c r="O45" i="9"/>
  <c r="Q45" i="9"/>
  <c r="T45" i="9"/>
  <c r="U45" i="9"/>
  <c r="L46" i="9"/>
  <c r="M46" i="9"/>
  <c r="N46" i="9"/>
  <c r="O46" i="9"/>
  <c r="T46" i="9"/>
  <c r="U46" i="9"/>
  <c r="L47" i="9"/>
  <c r="M47" i="9"/>
  <c r="N47" i="9"/>
  <c r="O47" i="9"/>
  <c r="T47" i="9"/>
  <c r="U47" i="9"/>
  <c r="L48" i="9"/>
  <c r="M48" i="9"/>
  <c r="N48" i="9"/>
  <c r="O48" i="9"/>
  <c r="T48" i="9"/>
  <c r="U48" i="9"/>
  <c r="L49" i="9"/>
  <c r="M49" i="9"/>
  <c r="N49" i="9"/>
  <c r="O49" i="9"/>
  <c r="Q49" i="9"/>
  <c r="T49" i="9"/>
  <c r="U49" i="9"/>
  <c r="L50" i="9"/>
  <c r="M50" i="9"/>
  <c r="N50" i="9"/>
  <c r="O50" i="9"/>
  <c r="T50" i="9"/>
  <c r="U50" i="9"/>
  <c r="L51" i="9"/>
  <c r="M51" i="9"/>
  <c r="N51" i="9"/>
  <c r="O51" i="9"/>
  <c r="T51" i="9"/>
  <c r="U51" i="9"/>
  <c r="L52" i="9"/>
  <c r="M52" i="9"/>
  <c r="N52" i="9"/>
  <c r="O52" i="9"/>
  <c r="T52" i="9"/>
  <c r="U52" i="9"/>
  <c r="L53" i="9"/>
  <c r="M53" i="9"/>
  <c r="N53" i="9"/>
  <c r="O53" i="9"/>
  <c r="Q53" i="9"/>
  <c r="T53" i="9"/>
  <c r="U53" i="9"/>
  <c r="L54" i="9"/>
  <c r="M54" i="9"/>
  <c r="N54" i="9"/>
  <c r="O54" i="9"/>
  <c r="Q54" i="9"/>
  <c r="T54" i="9"/>
  <c r="U54" i="9"/>
  <c r="L55" i="9"/>
  <c r="M55" i="9"/>
  <c r="N55" i="9"/>
  <c r="O55" i="9"/>
  <c r="T55" i="9"/>
  <c r="U55" i="9"/>
  <c r="L56" i="9"/>
  <c r="M56" i="9"/>
  <c r="N56" i="9"/>
  <c r="O56" i="9"/>
  <c r="T56" i="9"/>
  <c r="U56" i="9"/>
  <c r="L57" i="9"/>
  <c r="M57" i="9"/>
  <c r="N57" i="9"/>
  <c r="O57" i="9"/>
  <c r="T57" i="9"/>
  <c r="U57" i="9"/>
  <c r="L58" i="9"/>
  <c r="M58" i="9"/>
  <c r="N58" i="9"/>
  <c r="O58" i="9"/>
  <c r="Q58" i="9"/>
  <c r="T58" i="9"/>
  <c r="U58" i="9"/>
  <c r="L59" i="9"/>
  <c r="M59" i="9"/>
  <c r="N59" i="9"/>
  <c r="O59" i="9"/>
  <c r="T59" i="9"/>
  <c r="U59" i="9"/>
  <c r="L60" i="9"/>
  <c r="M60" i="9"/>
  <c r="N60" i="9"/>
  <c r="O60" i="9"/>
  <c r="T60" i="9"/>
  <c r="U60" i="9"/>
  <c r="L61" i="9"/>
  <c r="M61" i="9"/>
  <c r="N61" i="9"/>
  <c r="O61" i="9"/>
  <c r="T61" i="9"/>
  <c r="U61" i="9"/>
  <c r="L62" i="9"/>
  <c r="M62" i="9"/>
  <c r="N62" i="9"/>
  <c r="O62" i="9"/>
  <c r="Q62" i="9"/>
  <c r="T62" i="9"/>
  <c r="U62" i="9"/>
  <c r="L63" i="9"/>
  <c r="M63" i="9"/>
  <c r="N63" i="9"/>
  <c r="O63" i="9"/>
  <c r="T63" i="9"/>
  <c r="U63" i="9"/>
  <c r="L64" i="9"/>
  <c r="M64" i="9"/>
  <c r="N64" i="9"/>
  <c r="O64" i="9"/>
  <c r="T64" i="9"/>
  <c r="U64" i="9"/>
  <c r="L65" i="9"/>
  <c r="M65" i="9"/>
  <c r="N65" i="9"/>
  <c r="O65" i="9"/>
  <c r="T65" i="9"/>
  <c r="U65" i="9"/>
  <c r="L66" i="9"/>
  <c r="M66" i="9"/>
  <c r="N66" i="9"/>
  <c r="O66" i="9"/>
  <c r="Q66" i="9"/>
  <c r="T66" i="9"/>
  <c r="U66" i="9"/>
  <c r="L67" i="9"/>
  <c r="M67" i="9"/>
  <c r="N67" i="9"/>
  <c r="O67" i="9"/>
  <c r="T67" i="9"/>
  <c r="U67" i="9"/>
  <c r="L68" i="9"/>
  <c r="M68" i="9"/>
  <c r="N68" i="9"/>
  <c r="O68" i="9"/>
  <c r="T68" i="9"/>
  <c r="U68" i="9"/>
  <c r="L69" i="9"/>
  <c r="M69" i="9"/>
  <c r="N69" i="9"/>
  <c r="O69" i="9"/>
  <c r="T69" i="9"/>
  <c r="U69" i="9"/>
  <c r="L70" i="9"/>
  <c r="M70" i="9"/>
  <c r="N70" i="9"/>
  <c r="O70" i="9"/>
  <c r="Q70" i="9"/>
  <c r="T70" i="9"/>
  <c r="U70" i="9"/>
  <c r="L71" i="9"/>
  <c r="M71" i="9"/>
  <c r="N71" i="9"/>
  <c r="O71" i="9"/>
  <c r="T71" i="9"/>
  <c r="U71" i="9"/>
  <c r="L72" i="9"/>
  <c r="M72" i="9"/>
  <c r="N72" i="9"/>
  <c r="O72" i="9"/>
  <c r="T72" i="9"/>
  <c r="U72" i="9"/>
  <c r="L73" i="9"/>
  <c r="M73" i="9"/>
  <c r="N73" i="9"/>
  <c r="O73" i="9"/>
  <c r="T73" i="9"/>
  <c r="U73" i="9"/>
  <c r="L74" i="9"/>
  <c r="M74" i="9"/>
  <c r="N74" i="9"/>
  <c r="O74" i="9"/>
  <c r="T74" i="9"/>
  <c r="U74" i="9"/>
  <c r="L75" i="9"/>
  <c r="M75" i="9"/>
  <c r="N75" i="9"/>
  <c r="O75" i="9"/>
  <c r="T75" i="9"/>
  <c r="U75" i="9"/>
  <c r="L76" i="9"/>
  <c r="M76" i="9"/>
  <c r="N76" i="9"/>
  <c r="O76" i="9"/>
  <c r="T76" i="9"/>
  <c r="U76" i="9"/>
  <c r="L77" i="9"/>
  <c r="M77" i="9"/>
  <c r="N77" i="9"/>
  <c r="O77" i="9"/>
  <c r="Q77" i="9"/>
  <c r="T77" i="9"/>
  <c r="U77" i="9"/>
  <c r="L78" i="9"/>
  <c r="M78" i="9"/>
  <c r="N78" i="9"/>
  <c r="O78" i="9"/>
  <c r="Q78" i="9"/>
  <c r="T78" i="9"/>
  <c r="U78" i="9"/>
  <c r="L79" i="9"/>
  <c r="M79" i="9"/>
  <c r="N79" i="9"/>
  <c r="O79" i="9"/>
  <c r="T79" i="9"/>
  <c r="U79" i="9"/>
  <c r="L80" i="9"/>
  <c r="M80" i="9"/>
  <c r="N80" i="9"/>
  <c r="O80" i="9"/>
  <c r="T80" i="9"/>
  <c r="U80" i="9"/>
  <c r="L81" i="9"/>
  <c r="M81" i="9"/>
  <c r="N81" i="9"/>
  <c r="O81" i="9"/>
  <c r="Q81" i="9"/>
  <c r="T81" i="9"/>
  <c r="U81" i="9"/>
  <c r="L82" i="9"/>
  <c r="M82" i="9"/>
  <c r="N82" i="9"/>
  <c r="O82" i="9"/>
  <c r="T82" i="9"/>
  <c r="U82" i="9"/>
  <c r="L83" i="9"/>
  <c r="M83" i="9"/>
  <c r="N83" i="9"/>
  <c r="O83" i="9"/>
  <c r="T83" i="9"/>
  <c r="U83" i="9"/>
  <c r="L84" i="9"/>
  <c r="M84" i="9"/>
  <c r="N84" i="9"/>
  <c r="O84" i="9"/>
  <c r="T84" i="9"/>
  <c r="U84" i="9"/>
  <c r="L85" i="9"/>
  <c r="M85" i="9"/>
  <c r="N85" i="9"/>
  <c r="O85" i="9"/>
  <c r="T85" i="9"/>
  <c r="U85" i="9"/>
  <c r="L86" i="9"/>
  <c r="M86" i="9"/>
  <c r="N86" i="9"/>
  <c r="O86" i="9"/>
  <c r="T86" i="9"/>
  <c r="U86" i="9"/>
  <c r="L87" i="9"/>
  <c r="M87" i="9"/>
  <c r="N87" i="9"/>
  <c r="O87" i="9"/>
  <c r="T87" i="9"/>
  <c r="U87" i="9"/>
  <c r="L88" i="9"/>
  <c r="M88" i="9"/>
  <c r="N88" i="9"/>
  <c r="O88" i="9"/>
  <c r="T88" i="9"/>
  <c r="U88" i="9"/>
  <c r="L89" i="9"/>
  <c r="M89" i="9"/>
  <c r="N89" i="9"/>
  <c r="O89" i="9"/>
  <c r="T89" i="9"/>
  <c r="U89" i="9"/>
  <c r="L90" i="9"/>
  <c r="M90" i="9"/>
  <c r="N90" i="9"/>
  <c r="O90" i="9"/>
  <c r="T90" i="9"/>
  <c r="U90" i="9"/>
  <c r="L91" i="9"/>
  <c r="M91" i="9"/>
  <c r="N91" i="9"/>
  <c r="O91" i="9"/>
  <c r="T91" i="9"/>
  <c r="U91" i="9"/>
  <c r="L92" i="9"/>
  <c r="M92" i="9"/>
  <c r="N92" i="9"/>
  <c r="O92" i="9"/>
  <c r="T92" i="9"/>
  <c r="U92" i="9"/>
  <c r="L93" i="9"/>
  <c r="M93" i="9"/>
  <c r="N93" i="9"/>
  <c r="O93" i="9"/>
  <c r="Q93" i="9"/>
  <c r="T93" i="9"/>
  <c r="U93" i="9"/>
  <c r="L94" i="9"/>
  <c r="M94" i="9"/>
  <c r="N94" i="9"/>
  <c r="O94" i="9"/>
  <c r="Q94" i="9"/>
  <c r="T94" i="9"/>
  <c r="U94" i="9"/>
  <c r="L95" i="9"/>
  <c r="M95" i="9"/>
  <c r="N95" i="9"/>
  <c r="O95" i="9"/>
  <c r="T95" i="9"/>
  <c r="U95" i="9"/>
  <c r="L96" i="9"/>
  <c r="M96" i="9"/>
  <c r="N96" i="9"/>
  <c r="O96" i="9"/>
  <c r="T96" i="9"/>
  <c r="U96" i="9"/>
  <c r="L97" i="9"/>
  <c r="M97" i="9"/>
  <c r="N97" i="9"/>
  <c r="O97" i="9"/>
  <c r="T97" i="9"/>
  <c r="U97" i="9"/>
  <c r="L98" i="9"/>
  <c r="M98" i="9"/>
  <c r="N98" i="9"/>
  <c r="O98" i="9"/>
  <c r="T98" i="9"/>
  <c r="U98" i="9"/>
  <c r="L99" i="9"/>
  <c r="M99" i="9"/>
  <c r="N99" i="9"/>
  <c r="O99" i="9"/>
  <c r="T99" i="9"/>
  <c r="U99" i="9"/>
  <c r="L100" i="9"/>
  <c r="M100" i="9"/>
  <c r="N100" i="9"/>
  <c r="O100" i="9"/>
  <c r="T100" i="9"/>
  <c r="U100" i="9"/>
  <c r="L101" i="9"/>
  <c r="M101" i="9"/>
  <c r="N101" i="9"/>
  <c r="O101" i="9"/>
  <c r="Q101" i="9"/>
  <c r="T101" i="9"/>
  <c r="U101" i="9"/>
  <c r="L102" i="9"/>
  <c r="M102" i="9"/>
  <c r="N102" i="9"/>
  <c r="O102" i="9"/>
  <c r="Q102" i="9"/>
  <c r="T102" i="9"/>
  <c r="U102" i="9"/>
  <c r="L103" i="9"/>
  <c r="M103" i="9"/>
  <c r="N103" i="9"/>
  <c r="O103" i="9"/>
  <c r="T103" i="9"/>
  <c r="U103" i="9"/>
  <c r="L104" i="9"/>
  <c r="M104" i="9"/>
  <c r="N104" i="9"/>
  <c r="O104" i="9"/>
  <c r="T104" i="9"/>
  <c r="U104" i="9"/>
  <c r="L105" i="9"/>
  <c r="M105" i="9"/>
  <c r="N105" i="9"/>
  <c r="O105" i="9"/>
  <c r="T105" i="9"/>
  <c r="U105" i="9"/>
  <c r="L106" i="9"/>
  <c r="M106" i="9"/>
  <c r="N106" i="9"/>
  <c r="O106" i="9"/>
  <c r="Q106" i="9"/>
  <c r="T106" i="9"/>
  <c r="U106" i="9"/>
  <c r="L107" i="9"/>
  <c r="M107" i="9"/>
  <c r="N107" i="9"/>
  <c r="O107" i="9"/>
  <c r="T107" i="9"/>
  <c r="U107" i="9"/>
  <c r="L108" i="9"/>
  <c r="M108" i="9"/>
  <c r="N108" i="9"/>
  <c r="O108" i="9"/>
  <c r="T108" i="9"/>
  <c r="U108" i="9"/>
  <c r="L109" i="9"/>
  <c r="M109" i="9"/>
  <c r="N109" i="9"/>
  <c r="O109" i="9"/>
  <c r="Q109" i="9"/>
  <c r="T109" i="9"/>
  <c r="U109" i="9"/>
  <c r="L110" i="9"/>
  <c r="M110" i="9"/>
  <c r="N110" i="9"/>
  <c r="O110" i="9"/>
  <c r="T110" i="9"/>
  <c r="U110" i="9"/>
  <c r="L111" i="9"/>
  <c r="M111" i="9"/>
  <c r="N111" i="9"/>
  <c r="O111" i="9"/>
  <c r="T111" i="9"/>
  <c r="U111" i="9"/>
  <c r="L112" i="9"/>
  <c r="M112" i="9"/>
  <c r="N112" i="9"/>
  <c r="O112" i="9"/>
  <c r="T112" i="9"/>
  <c r="U112" i="9"/>
  <c r="L113" i="9"/>
  <c r="M113" i="9"/>
  <c r="N113" i="9"/>
  <c r="O113" i="9"/>
  <c r="T113" i="9"/>
  <c r="U113" i="9"/>
  <c r="L114" i="9"/>
  <c r="M114" i="9"/>
  <c r="N114" i="9"/>
  <c r="O114" i="9"/>
  <c r="T114" i="9"/>
  <c r="U114" i="9"/>
  <c r="L115" i="9"/>
  <c r="M115" i="9"/>
  <c r="N115" i="9"/>
  <c r="O115" i="9"/>
  <c r="T115" i="9"/>
  <c r="U115" i="9"/>
  <c r="L116" i="9"/>
  <c r="M116" i="9"/>
  <c r="N116" i="9"/>
  <c r="O116" i="9"/>
  <c r="T116" i="9"/>
  <c r="U116" i="9"/>
  <c r="L117" i="9"/>
  <c r="M117" i="9"/>
  <c r="N117" i="9"/>
  <c r="O117" i="9"/>
  <c r="Q117" i="9"/>
  <c r="T117" i="9"/>
  <c r="U117" i="9"/>
  <c r="L118" i="9"/>
  <c r="M118" i="9"/>
  <c r="N118" i="9"/>
  <c r="O118" i="9"/>
  <c r="Q118" i="9"/>
  <c r="T118" i="9"/>
  <c r="U118" i="9"/>
  <c r="L119" i="9"/>
  <c r="M119" i="9"/>
  <c r="N119" i="9"/>
  <c r="O119" i="9"/>
  <c r="T119" i="9"/>
  <c r="U119" i="9"/>
  <c r="L120" i="9"/>
  <c r="M120" i="9"/>
  <c r="N120" i="9"/>
  <c r="O120" i="9"/>
  <c r="T120" i="9"/>
  <c r="U120" i="9"/>
  <c r="L121" i="9"/>
  <c r="M121" i="9"/>
  <c r="N121" i="9"/>
  <c r="O121" i="9"/>
  <c r="T121" i="9"/>
  <c r="U121" i="9"/>
  <c r="L122" i="9"/>
  <c r="M122" i="9"/>
  <c r="N122" i="9"/>
  <c r="O122" i="9"/>
  <c r="Q122" i="9"/>
  <c r="T122" i="9"/>
  <c r="U122" i="9"/>
  <c r="L123" i="9"/>
  <c r="M123" i="9"/>
  <c r="N123" i="9"/>
  <c r="O123" i="9"/>
  <c r="T123" i="9"/>
  <c r="U123" i="9"/>
  <c r="L124" i="9"/>
  <c r="M124" i="9"/>
  <c r="N124" i="9"/>
  <c r="O124" i="9"/>
  <c r="T124" i="9"/>
  <c r="U124" i="9"/>
  <c r="L125" i="9"/>
  <c r="M125" i="9"/>
  <c r="N125" i="9"/>
  <c r="O125" i="9"/>
  <c r="T125" i="9"/>
  <c r="U125" i="9"/>
  <c r="L126" i="9"/>
  <c r="M126" i="9"/>
  <c r="N126" i="9"/>
  <c r="O126" i="9"/>
  <c r="T126" i="9"/>
  <c r="U126" i="9"/>
  <c r="L127" i="9"/>
  <c r="M127" i="9"/>
  <c r="N127" i="9"/>
  <c r="O127" i="9"/>
  <c r="T127" i="9"/>
  <c r="U127" i="9"/>
  <c r="L128" i="9"/>
  <c r="M128" i="9"/>
  <c r="N128" i="9"/>
  <c r="O128" i="9"/>
  <c r="T128" i="9"/>
  <c r="U128" i="9"/>
  <c r="L129" i="9"/>
  <c r="M129" i="9"/>
  <c r="N129" i="9"/>
  <c r="O129" i="9"/>
  <c r="Q129" i="9"/>
  <c r="T129" i="9"/>
  <c r="U129" i="9"/>
  <c r="L130" i="9"/>
  <c r="M130" i="9"/>
  <c r="N130" i="9"/>
  <c r="O130" i="9"/>
  <c r="Q130" i="9"/>
  <c r="T130" i="9"/>
  <c r="U130" i="9"/>
  <c r="L131" i="9"/>
  <c r="M131" i="9"/>
  <c r="N131" i="9"/>
  <c r="O131" i="9"/>
  <c r="T131" i="9"/>
  <c r="U131" i="9"/>
  <c r="L132" i="9"/>
  <c r="M132" i="9"/>
  <c r="N132" i="9"/>
  <c r="O132" i="9"/>
  <c r="T132" i="9"/>
  <c r="U132" i="9"/>
  <c r="L133" i="9"/>
  <c r="M133" i="9"/>
  <c r="N133" i="9"/>
  <c r="O133" i="9"/>
  <c r="Q133" i="9"/>
  <c r="T133" i="9"/>
  <c r="U133" i="9"/>
  <c r="L134" i="9"/>
  <c r="M134" i="9"/>
  <c r="N134" i="9"/>
  <c r="O134" i="9"/>
  <c r="T134" i="9"/>
  <c r="U134" i="9"/>
  <c r="L135" i="9"/>
  <c r="M135" i="9"/>
  <c r="N135" i="9"/>
  <c r="O135" i="9"/>
  <c r="T135" i="9"/>
  <c r="U135" i="9"/>
  <c r="L136" i="9"/>
  <c r="M136" i="9"/>
  <c r="N136" i="9"/>
  <c r="O136" i="9"/>
  <c r="T136" i="9"/>
  <c r="U136" i="9"/>
  <c r="L137" i="9"/>
  <c r="M137" i="9"/>
  <c r="N137" i="9"/>
  <c r="O137" i="9"/>
  <c r="T137" i="9"/>
  <c r="U137" i="9"/>
  <c r="L138" i="9"/>
  <c r="M138" i="9"/>
  <c r="N138" i="9"/>
  <c r="O138" i="9"/>
  <c r="Q138" i="9"/>
  <c r="T138" i="9"/>
  <c r="U138" i="9"/>
  <c r="L139" i="9"/>
  <c r="M139" i="9"/>
  <c r="N139" i="9"/>
  <c r="O139" i="9"/>
  <c r="T139" i="9"/>
  <c r="U139" i="9"/>
  <c r="L140" i="9"/>
  <c r="M140" i="9"/>
  <c r="N140" i="9"/>
  <c r="O140" i="9"/>
  <c r="T140" i="9"/>
  <c r="U140" i="9"/>
  <c r="L141" i="9"/>
  <c r="M141" i="9"/>
  <c r="N141" i="9"/>
  <c r="O141" i="9"/>
  <c r="T141" i="9"/>
  <c r="U141" i="9"/>
  <c r="L142" i="9"/>
  <c r="M142" i="9"/>
  <c r="N142" i="9"/>
  <c r="O142" i="9"/>
  <c r="Q142" i="9"/>
  <c r="T142" i="9"/>
  <c r="U142" i="9"/>
  <c r="L143" i="9"/>
  <c r="M143" i="9"/>
  <c r="N143" i="9"/>
  <c r="O143" i="9"/>
  <c r="T143" i="9"/>
  <c r="U143" i="9"/>
  <c r="L144" i="9"/>
  <c r="M144" i="9"/>
  <c r="N144" i="9"/>
  <c r="O144" i="9"/>
  <c r="T144" i="9"/>
  <c r="U144" i="9"/>
  <c r="L145" i="9"/>
  <c r="M145" i="9"/>
  <c r="N145" i="9"/>
  <c r="O145" i="9"/>
  <c r="Q145" i="9"/>
  <c r="T145" i="9"/>
  <c r="U145" i="9"/>
  <c r="L146" i="9"/>
  <c r="M146" i="9"/>
  <c r="N146" i="9"/>
  <c r="O146" i="9"/>
  <c r="Q146" i="9"/>
  <c r="T146" i="9"/>
  <c r="U146" i="9"/>
  <c r="L147" i="9"/>
  <c r="M147" i="9"/>
  <c r="N147" i="9"/>
  <c r="O147" i="9"/>
  <c r="T147" i="9"/>
  <c r="U147" i="9"/>
  <c r="L148" i="9"/>
  <c r="M148" i="9"/>
  <c r="N148" i="9"/>
  <c r="O148" i="9"/>
  <c r="T148" i="9"/>
  <c r="U148" i="9"/>
  <c r="L149" i="9"/>
  <c r="M149" i="9"/>
  <c r="N149" i="9"/>
  <c r="O149" i="9"/>
  <c r="T149" i="9"/>
  <c r="U149" i="9"/>
  <c r="L150" i="9"/>
  <c r="M150" i="9"/>
  <c r="N150" i="9"/>
  <c r="O150" i="9"/>
  <c r="Q150" i="9"/>
  <c r="T150" i="9"/>
  <c r="U150" i="9"/>
  <c r="L151" i="9"/>
  <c r="M151" i="9"/>
  <c r="N151" i="9"/>
  <c r="O151" i="9"/>
  <c r="T151" i="9"/>
  <c r="U151" i="9"/>
  <c r="L152" i="9"/>
  <c r="M152" i="9"/>
  <c r="N152" i="9"/>
  <c r="O152" i="9"/>
  <c r="T152" i="9"/>
  <c r="U152" i="9"/>
  <c r="L153" i="9"/>
  <c r="M153" i="9"/>
  <c r="N153" i="9"/>
  <c r="O153" i="9"/>
  <c r="T153" i="9"/>
  <c r="U153" i="9"/>
  <c r="L154" i="9"/>
  <c r="M154" i="9"/>
  <c r="N154" i="9"/>
  <c r="O154" i="9"/>
  <c r="T154" i="9"/>
  <c r="U154" i="9"/>
  <c r="L155" i="9"/>
  <c r="M155" i="9"/>
  <c r="N155" i="9"/>
  <c r="O155" i="9"/>
  <c r="T155" i="9"/>
  <c r="U155" i="9"/>
  <c r="L156" i="9"/>
  <c r="M156" i="9"/>
  <c r="N156" i="9"/>
  <c r="O156" i="9"/>
  <c r="T156" i="9"/>
  <c r="U156" i="9"/>
  <c r="L157" i="9"/>
  <c r="M157" i="9"/>
  <c r="N157" i="9"/>
  <c r="O157" i="9"/>
  <c r="T157" i="9"/>
  <c r="U157" i="9"/>
  <c r="L158" i="9"/>
  <c r="M158" i="9"/>
  <c r="N158" i="9"/>
  <c r="O158" i="9"/>
  <c r="Q158" i="9"/>
  <c r="T158" i="9"/>
  <c r="U158" i="9"/>
  <c r="L159" i="9"/>
  <c r="M159" i="9"/>
  <c r="N159" i="9"/>
  <c r="O159" i="9"/>
  <c r="T159" i="9"/>
  <c r="U159" i="9"/>
  <c r="L160" i="9"/>
  <c r="M160" i="9"/>
  <c r="N160" i="9"/>
  <c r="O160" i="9"/>
  <c r="T160" i="9"/>
  <c r="U160" i="9"/>
  <c r="L161" i="9"/>
  <c r="M161" i="9"/>
  <c r="N161" i="9"/>
  <c r="O161" i="9"/>
  <c r="T161" i="9"/>
  <c r="U161" i="9"/>
  <c r="L162" i="9"/>
  <c r="M162" i="9"/>
  <c r="N162" i="9"/>
  <c r="O162" i="9"/>
  <c r="Q162" i="9"/>
  <c r="T162" i="9"/>
  <c r="U162" i="9"/>
  <c r="L163" i="9"/>
  <c r="M163" i="9"/>
  <c r="N163" i="9"/>
  <c r="O163" i="9"/>
  <c r="T163" i="9"/>
  <c r="U163" i="9"/>
  <c r="L164" i="9"/>
  <c r="M164" i="9"/>
  <c r="N164" i="9"/>
  <c r="O164" i="9"/>
  <c r="T164" i="9"/>
  <c r="U164" i="9"/>
  <c r="L165" i="9"/>
  <c r="M165" i="9"/>
  <c r="N165" i="9"/>
  <c r="O165" i="9"/>
  <c r="Q165" i="9"/>
  <c r="T165" i="9"/>
  <c r="U165" i="9"/>
  <c r="L166" i="9"/>
  <c r="M166" i="9"/>
  <c r="N166" i="9"/>
  <c r="O166" i="9"/>
  <c r="Q166" i="9"/>
  <c r="T166" i="9"/>
  <c r="U166" i="9"/>
  <c r="L167" i="9"/>
  <c r="M167" i="9"/>
  <c r="N167" i="9"/>
  <c r="O167" i="9"/>
  <c r="T167" i="9"/>
  <c r="U167" i="9"/>
  <c r="E168" i="9"/>
  <c r="L168" i="9"/>
  <c r="A168" i="9" s="1"/>
  <c r="P47" i="112" s="1"/>
  <c r="M168" i="9"/>
  <c r="B168" i="9" s="1"/>
  <c r="Q47" i="108" s="1"/>
  <c r="N168" i="9"/>
  <c r="C168" i="9" s="1"/>
  <c r="O168" i="9"/>
  <c r="D168" i="9" s="1"/>
  <c r="E49" i="48" s="1"/>
  <c r="T168" i="9"/>
  <c r="I168" i="9" s="1"/>
  <c r="J49" i="48" s="1"/>
  <c r="U168" i="9"/>
  <c r="J168" i="9" s="1"/>
  <c r="K49" i="48" s="1"/>
  <c r="E169" i="9"/>
  <c r="L169" i="9"/>
  <c r="A169" i="9" s="1"/>
  <c r="M169" i="9"/>
  <c r="B169" i="9" s="1"/>
  <c r="Q79" i="109" s="1"/>
  <c r="N169" i="9"/>
  <c r="C169" i="9" s="1"/>
  <c r="O169" i="9"/>
  <c r="D169" i="9" s="1"/>
  <c r="E50" i="48" s="1"/>
  <c r="Q169" i="9"/>
  <c r="T169" i="9"/>
  <c r="I169" i="9" s="1"/>
  <c r="J50" i="48" s="1"/>
  <c r="U169" i="9"/>
  <c r="J169" i="9" s="1"/>
  <c r="K50" i="48" s="1"/>
  <c r="E170" i="9"/>
  <c r="L170" i="9"/>
  <c r="A170" i="9" s="1"/>
  <c r="M170" i="9"/>
  <c r="B170" i="9" s="1"/>
  <c r="Q49" i="112" s="1"/>
  <c r="N170" i="9"/>
  <c r="C170" i="9" s="1"/>
  <c r="R80" i="109" s="1"/>
  <c r="O170" i="9"/>
  <c r="D170" i="9" s="1"/>
  <c r="E51" i="48" s="1"/>
  <c r="Q170" i="9"/>
  <c r="T170" i="9"/>
  <c r="I170" i="9" s="1"/>
  <c r="J51" i="48" s="1"/>
  <c r="U170" i="9"/>
  <c r="J170" i="9" s="1"/>
  <c r="K51" i="48" s="1"/>
  <c r="E171" i="9"/>
  <c r="L171" i="9"/>
  <c r="A171" i="9" s="1"/>
  <c r="M171" i="9"/>
  <c r="B171" i="9" s="1"/>
  <c r="Q82" i="114" s="1"/>
  <c r="N171" i="9"/>
  <c r="C171" i="9" s="1"/>
  <c r="O171" i="9"/>
  <c r="D171" i="9" s="1"/>
  <c r="E52" i="48" s="1"/>
  <c r="T171" i="9"/>
  <c r="I171" i="9" s="1"/>
  <c r="J52" i="48" s="1"/>
  <c r="U171" i="9"/>
  <c r="J171" i="9" s="1"/>
  <c r="K52" i="48" s="1"/>
  <c r="E172" i="9"/>
  <c r="L172" i="9"/>
  <c r="A172" i="9" s="1"/>
  <c r="P71" i="113" s="1"/>
  <c r="M172" i="9"/>
  <c r="B172" i="9" s="1"/>
  <c r="Q51" i="112" s="1"/>
  <c r="N172" i="9"/>
  <c r="C172" i="9" s="1"/>
  <c r="D53" i="48" s="1"/>
  <c r="O172" i="9"/>
  <c r="D172" i="9" s="1"/>
  <c r="E53" i="48" s="1"/>
  <c r="Q172" i="9"/>
  <c r="T172" i="9"/>
  <c r="I172" i="9" s="1"/>
  <c r="J53" i="48" s="1"/>
  <c r="U172" i="9"/>
  <c r="J172" i="9" s="1"/>
  <c r="K53" i="48" s="1"/>
  <c r="E173" i="9"/>
  <c r="L173" i="9"/>
  <c r="A173" i="9" s="1"/>
  <c r="M173" i="9"/>
  <c r="B173" i="9" s="1"/>
  <c r="Q72" i="113" s="1"/>
  <c r="N173" i="9"/>
  <c r="C173" i="9" s="1"/>
  <c r="R78" i="111" s="1"/>
  <c r="O173" i="9"/>
  <c r="D173" i="9" s="1"/>
  <c r="E54" i="48" s="1"/>
  <c r="T173" i="9"/>
  <c r="I173" i="9" s="1"/>
  <c r="J54" i="48" s="1"/>
  <c r="U173" i="9"/>
  <c r="J173" i="9" s="1"/>
  <c r="K54" i="48" s="1"/>
  <c r="E174" i="9"/>
  <c r="L174" i="9"/>
  <c r="A174" i="9" s="1"/>
  <c r="M174" i="9"/>
  <c r="B174" i="9" s="1"/>
  <c r="Q73" i="113" s="1"/>
  <c r="N174" i="9"/>
  <c r="C174" i="9" s="1"/>
  <c r="R79" i="111" s="1"/>
  <c r="O174" i="9"/>
  <c r="D174" i="9" s="1"/>
  <c r="E55" i="48" s="1"/>
  <c r="Q174" i="9"/>
  <c r="T174" i="9"/>
  <c r="I174" i="9" s="1"/>
  <c r="J55" i="48" s="1"/>
  <c r="U174" i="9"/>
  <c r="J174" i="9" s="1"/>
  <c r="K55" i="48" s="1"/>
  <c r="L175" i="9"/>
  <c r="M175" i="9"/>
  <c r="N175" i="9"/>
  <c r="O175" i="9"/>
  <c r="T175" i="9"/>
  <c r="U175" i="9"/>
  <c r="L176" i="9"/>
  <c r="M176" i="9"/>
  <c r="N176" i="9"/>
  <c r="O176" i="9"/>
  <c r="T176" i="9"/>
  <c r="U176" i="9"/>
  <c r="E177" i="9"/>
  <c r="L177" i="9"/>
  <c r="A177" i="9" s="1"/>
  <c r="P12" i="95" s="1"/>
  <c r="M177" i="9"/>
  <c r="B177" i="9" s="1"/>
  <c r="Q22" i="112" s="1"/>
  <c r="N177" i="9"/>
  <c r="C177" i="9" s="1"/>
  <c r="R13" i="86" s="1"/>
  <c r="O177" i="9"/>
  <c r="D177" i="9" s="1"/>
  <c r="E57" i="48" s="1"/>
  <c r="T177" i="9"/>
  <c r="I177" i="9" s="1"/>
  <c r="J57" i="48" s="1"/>
  <c r="U177" i="9"/>
  <c r="J177" i="9" s="1"/>
  <c r="K57" i="48" s="1"/>
  <c r="E178" i="9"/>
  <c r="L178" i="9"/>
  <c r="A178" i="9" s="1"/>
  <c r="M178" i="9"/>
  <c r="B178" i="9" s="1"/>
  <c r="N178" i="9"/>
  <c r="C178" i="9" s="1"/>
  <c r="O178" i="9"/>
  <c r="D178" i="9" s="1"/>
  <c r="E58" i="48" s="1"/>
  <c r="T178" i="9"/>
  <c r="I178" i="9" s="1"/>
  <c r="J58" i="48" s="1"/>
  <c r="U178" i="9"/>
  <c r="J178" i="9" s="1"/>
  <c r="K58" i="48" s="1"/>
  <c r="E179" i="9"/>
  <c r="L179" i="9"/>
  <c r="A179" i="9" s="1"/>
  <c r="M179" i="9"/>
  <c r="B179" i="9" s="1"/>
  <c r="N179" i="9"/>
  <c r="C179" i="9" s="1"/>
  <c r="D59" i="48" s="1"/>
  <c r="O179" i="9"/>
  <c r="D179" i="9" s="1"/>
  <c r="E59" i="48" s="1"/>
  <c r="T179" i="9"/>
  <c r="I179" i="9" s="1"/>
  <c r="J59" i="48" s="1"/>
  <c r="U179" i="9"/>
  <c r="J179" i="9" s="1"/>
  <c r="K59" i="48" s="1"/>
  <c r="E180" i="9"/>
  <c r="L180" i="9"/>
  <c r="A180" i="9" s="1"/>
  <c r="P16" i="85" s="1"/>
  <c r="M180" i="9"/>
  <c r="B180" i="9" s="1"/>
  <c r="Q15" i="95" s="1"/>
  <c r="N180" i="9"/>
  <c r="C180" i="9" s="1"/>
  <c r="O180" i="9"/>
  <c r="D180" i="9" s="1"/>
  <c r="E60" i="48" s="1"/>
  <c r="T180" i="9"/>
  <c r="I180" i="9" s="1"/>
  <c r="J60" i="48" s="1"/>
  <c r="U180" i="9"/>
  <c r="J180" i="9" s="1"/>
  <c r="K60" i="48" s="1"/>
  <c r="E181" i="9"/>
  <c r="L181" i="9"/>
  <c r="A181" i="9" s="1"/>
  <c r="M181" i="9"/>
  <c r="B181" i="9" s="1"/>
  <c r="N181" i="9"/>
  <c r="C181" i="9" s="1"/>
  <c r="R17" i="110" s="1"/>
  <c r="O181" i="9"/>
  <c r="D181" i="9" s="1"/>
  <c r="E61" i="48" s="1"/>
  <c r="T181" i="9"/>
  <c r="I181" i="9" s="1"/>
  <c r="J61" i="48" s="1"/>
  <c r="U181" i="9"/>
  <c r="J181" i="9" s="1"/>
  <c r="K61" i="48" s="1"/>
  <c r="E182" i="9"/>
  <c r="L182" i="9"/>
  <c r="A182" i="9" s="1"/>
  <c r="M182" i="9"/>
  <c r="B182" i="9" s="1"/>
  <c r="Q17" i="95" s="1"/>
  <c r="N182" i="9"/>
  <c r="C182" i="9" s="1"/>
  <c r="R17" i="84" s="1"/>
  <c r="O182" i="9"/>
  <c r="D182" i="9" s="1"/>
  <c r="E62" i="48" s="1"/>
  <c r="T182" i="9"/>
  <c r="I182" i="9" s="1"/>
  <c r="J62" i="48" s="1"/>
  <c r="U182" i="9"/>
  <c r="J182" i="9" s="1"/>
  <c r="K62" i="48" s="1"/>
  <c r="E183" i="9"/>
  <c r="L183" i="9"/>
  <c r="A183" i="9" s="1"/>
  <c r="P19" i="105" s="1"/>
  <c r="M183" i="9"/>
  <c r="B183" i="9" s="1"/>
  <c r="Q28" i="112" s="1"/>
  <c r="N183" i="9"/>
  <c r="C183" i="9" s="1"/>
  <c r="O183" i="9"/>
  <c r="D183" i="9" s="1"/>
  <c r="E63" i="48" s="1"/>
  <c r="T183" i="9"/>
  <c r="I183" i="9" s="1"/>
  <c r="J63" i="48" s="1"/>
  <c r="U183" i="9"/>
  <c r="J183" i="9" s="1"/>
  <c r="K63" i="48" s="1"/>
  <c r="E184" i="9"/>
  <c r="L184" i="9"/>
  <c r="A184" i="9" s="1"/>
  <c r="M184" i="9"/>
  <c r="B184" i="9" s="1"/>
  <c r="N184" i="9"/>
  <c r="C184" i="9" s="1"/>
  <c r="R19" i="84" s="1"/>
  <c r="O184" i="9"/>
  <c r="D184" i="9" s="1"/>
  <c r="E64" i="48" s="1"/>
  <c r="T184" i="9"/>
  <c r="I184" i="9" s="1"/>
  <c r="J64" i="48" s="1"/>
  <c r="U184" i="9"/>
  <c r="J184" i="9" s="1"/>
  <c r="K64" i="48" s="1"/>
  <c r="E185" i="9"/>
  <c r="L185" i="9"/>
  <c r="A185" i="9" s="1"/>
  <c r="P20" i="95" s="1"/>
  <c r="M185" i="9"/>
  <c r="B185" i="9" s="1"/>
  <c r="N185" i="9"/>
  <c r="C185" i="9" s="1"/>
  <c r="D65" i="48" s="1"/>
  <c r="O185" i="9"/>
  <c r="D185" i="9" s="1"/>
  <c r="E65" i="48" s="1"/>
  <c r="T185" i="9"/>
  <c r="I185" i="9" s="1"/>
  <c r="J65" i="48" s="1"/>
  <c r="U185" i="9"/>
  <c r="J185" i="9" s="1"/>
  <c r="K65" i="48" s="1"/>
  <c r="E186" i="9"/>
  <c r="L186" i="9"/>
  <c r="A186" i="9" s="1"/>
  <c r="P21" i="97" s="1"/>
  <c r="M186" i="9"/>
  <c r="B186" i="9" s="1"/>
  <c r="Q21" i="95" s="1"/>
  <c r="N186" i="9"/>
  <c r="C186" i="9" s="1"/>
  <c r="R22" i="111" s="1"/>
  <c r="O186" i="9"/>
  <c r="D186" i="9" s="1"/>
  <c r="E66" i="48" s="1"/>
  <c r="T186" i="9"/>
  <c r="I186" i="9" s="1"/>
  <c r="J66" i="48" s="1"/>
  <c r="U186" i="9"/>
  <c r="J186" i="9" s="1"/>
  <c r="K66" i="48" s="1"/>
  <c r="E187" i="9"/>
  <c r="L187" i="9"/>
  <c r="A187" i="9" s="1"/>
  <c r="P22" i="97" s="1"/>
  <c r="M187" i="9"/>
  <c r="B187" i="9" s="1"/>
  <c r="Q22" i="97" s="1"/>
  <c r="N187" i="9"/>
  <c r="C187" i="9" s="1"/>
  <c r="O187" i="9"/>
  <c r="D187" i="9" s="1"/>
  <c r="E67" i="48" s="1"/>
  <c r="T187" i="9"/>
  <c r="I187" i="9" s="1"/>
  <c r="J67" i="48" s="1"/>
  <c r="U187" i="9"/>
  <c r="J187" i="9" s="1"/>
  <c r="K67" i="48" s="1"/>
  <c r="E188" i="9"/>
  <c r="L188" i="9"/>
  <c r="A188" i="9" s="1"/>
  <c r="M188" i="9"/>
  <c r="B188" i="9" s="1"/>
  <c r="Q24" i="89" s="1"/>
  <c r="N188" i="9"/>
  <c r="C188" i="9" s="1"/>
  <c r="R24" i="87" s="1"/>
  <c r="O188" i="9"/>
  <c r="D188" i="9" s="1"/>
  <c r="E68" i="48" s="1"/>
  <c r="T188" i="9"/>
  <c r="I188" i="9" s="1"/>
  <c r="J68" i="48" s="1"/>
  <c r="U188" i="9"/>
  <c r="J188" i="9" s="1"/>
  <c r="K68" i="48" s="1"/>
  <c r="E189" i="9"/>
  <c r="L189" i="9"/>
  <c r="A189" i="9" s="1"/>
  <c r="M189" i="9"/>
  <c r="B189" i="9" s="1"/>
  <c r="Q25" i="81" s="1"/>
  <c r="N189" i="9"/>
  <c r="C189" i="9" s="1"/>
  <c r="R25" i="85" s="1"/>
  <c r="O189" i="9"/>
  <c r="D189" i="9" s="1"/>
  <c r="E69" i="48" s="1"/>
  <c r="Q189" i="9"/>
  <c r="T189" i="9"/>
  <c r="I189" i="9" s="1"/>
  <c r="J69" i="48" s="1"/>
  <c r="U189" i="9"/>
  <c r="J189" i="9" s="1"/>
  <c r="K69" i="48" s="1"/>
  <c r="L190" i="9"/>
  <c r="M190" i="9"/>
  <c r="N190" i="9"/>
  <c r="O190" i="9"/>
  <c r="T190" i="9"/>
  <c r="U190" i="9"/>
  <c r="L191" i="9"/>
  <c r="M191" i="9"/>
  <c r="N191" i="9"/>
  <c r="O191" i="9"/>
  <c r="T191" i="9"/>
  <c r="U191" i="9"/>
  <c r="L192" i="9"/>
  <c r="M192" i="9"/>
  <c r="N192" i="9"/>
  <c r="O192" i="9"/>
  <c r="T192" i="9"/>
  <c r="U192" i="9"/>
  <c r="E193" i="9"/>
  <c r="L193" i="9"/>
  <c r="A193" i="9" s="1"/>
  <c r="P25" i="95" s="1"/>
  <c r="M193" i="9"/>
  <c r="B193" i="9" s="1"/>
  <c r="Q25" i="95" s="1"/>
  <c r="N193" i="9"/>
  <c r="C193" i="9" s="1"/>
  <c r="R25" i="95" s="1"/>
  <c r="O193" i="9"/>
  <c r="D193" i="9" s="1"/>
  <c r="E71" i="48" s="1"/>
  <c r="T193" i="9"/>
  <c r="I193" i="9" s="1"/>
  <c r="J71" i="48" s="1"/>
  <c r="U193" i="9"/>
  <c r="J193" i="9" s="1"/>
  <c r="K71" i="48" s="1"/>
  <c r="E194" i="9"/>
  <c r="L194" i="9"/>
  <c r="A194" i="9" s="1"/>
  <c r="P26" i="95" s="1"/>
  <c r="M194" i="9"/>
  <c r="B194" i="9" s="1"/>
  <c r="Q28" i="81" s="1"/>
  <c r="N194" i="9"/>
  <c r="C194" i="9" s="1"/>
  <c r="R26" i="95" s="1"/>
  <c r="O194" i="9"/>
  <c r="D194" i="9" s="1"/>
  <c r="E72" i="48" s="1"/>
  <c r="Q194" i="9"/>
  <c r="T194" i="9"/>
  <c r="I194" i="9" s="1"/>
  <c r="J72" i="48" s="1"/>
  <c r="U194" i="9"/>
  <c r="J194" i="9" s="1"/>
  <c r="K72" i="48" s="1"/>
  <c r="E195" i="9"/>
  <c r="L195" i="9"/>
  <c r="A195" i="9" s="1"/>
  <c r="M195" i="9"/>
  <c r="B195" i="9" s="1"/>
  <c r="N195" i="9"/>
  <c r="C195" i="9" s="1"/>
  <c r="O195" i="9"/>
  <c r="D195" i="9" s="1"/>
  <c r="E73" i="48" s="1"/>
  <c r="T195" i="9"/>
  <c r="I195" i="9" s="1"/>
  <c r="J73" i="48" s="1"/>
  <c r="U195" i="9"/>
  <c r="J195" i="9" s="1"/>
  <c r="K73" i="48" s="1"/>
  <c r="E196" i="9"/>
  <c r="L196" i="9"/>
  <c r="A196" i="9" s="1"/>
  <c r="P28" i="95" s="1"/>
  <c r="M196" i="9"/>
  <c r="B196" i="9" s="1"/>
  <c r="N196" i="9"/>
  <c r="C196" i="9" s="1"/>
  <c r="O196" i="9"/>
  <c r="D196" i="9" s="1"/>
  <c r="E74" i="48" s="1"/>
  <c r="T196" i="9"/>
  <c r="I196" i="9" s="1"/>
  <c r="J74" i="48" s="1"/>
  <c r="U196" i="9"/>
  <c r="J196" i="9" s="1"/>
  <c r="K74" i="48" s="1"/>
  <c r="E197" i="9"/>
  <c r="L197" i="9"/>
  <c r="A197" i="9" s="1"/>
  <c r="P31" i="82" s="1"/>
  <c r="M197" i="9"/>
  <c r="B197" i="9" s="1"/>
  <c r="Q31" i="105" s="1"/>
  <c r="N197" i="9"/>
  <c r="C197" i="9" s="1"/>
  <c r="O197" i="9"/>
  <c r="D197" i="9" s="1"/>
  <c r="E75" i="48" s="1"/>
  <c r="T197" i="9"/>
  <c r="I197" i="9" s="1"/>
  <c r="J75" i="48" s="1"/>
  <c r="U197" i="9"/>
  <c r="J197" i="9" s="1"/>
  <c r="K75" i="48" s="1"/>
  <c r="E198" i="9"/>
  <c r="L198" i="9"/>
  <c r="A198" i="9" s="1"/>
  <c r="P32" i="85" s="1"/>
  <c r="M198" i="9"/>
  <c r="B198" i="9" s="1"/>
  <c r="Q30" i="95" s="1"/>
  <c r="N198" i="9"/>
  <c r="C198" i="9" s="1"/>
  <c r="O198" i="9"/>
  <c r="D198" i="9" s="1"/>
  <c r="E76" i="48" s="1"/>
  <c r="T198" i="9"/>
  <c r="I198" i="9" s="1"/>
  <c r="J76" i="48" s="1"/>
  <c r="U198" i="9"/>
  <c r="J198" i="9" s="1"/>
  <c r="K76" i="48" s="1"/>
  <c r="E199" i="9"/>
  <c r="L199" i="9"/>
  <c r="A199" i="9" s="1"/>
  <c r="M199" i="9"/>
  <c r="B199" i="9" s="1"/>
  <c r="Q33" i="106" s="1"/>
  <c r="N199" i="9"/>
  <c r="C199" i="9" s="1"/>
  <c r="R31" i="111" s="1"/>
  <c r="O199" i="9"/>
  <c r="D199" i="9" s="1"/>
  <c r="E77" i="48" s="1"/>
  <c r="T199" i="9"/>
  <c r="I199" i="9" s="1"/>
  <c r="J77" i="48" s="1"/>
  <c r="U199" i="9"/>
  <c r="J199" i="9" s="1"/>
  <c r="K77" i="48" s="1"/>
  <c r="E200" i="9"/>
  <c r="L200" i="9"/>
  <c r="A200" i="9" s="1"/>
  <c r="P32" i="95" s="1"/>
  <c r="M200" i="9"/>
  <c r="B200" i="9" s="1"/>
  <c r="Q32" i="110" s="1"/>
  <c r="N200" i="9"/>
  <c r="C200" i="9" s="1"/>
  <c r="O200" i="9"/>
  <c r="D200" i="9" s="1"/>
  <c r="E78" i="48" s="1"/>
  <c r="T200" i="9"/>
  <c r="I200" i="9" s="1"/>
  <c r="J78" i="48" s="1"/>
  <c r="U200" i="9"/>
  <c r="J200" i="9" s="1"/>
  <c r="K78" i="48" s="1"/>
  <c r="E201" i="9"/>
  <c r="L201" i="9"/>
  <c r="A201" i="9" s="1"/>
  <c r="M201" i="9"/>
  <c r="B201" i="9" s="1"/>
  <c r="N201" i="9"/>
  <c r="C201" i="9" s="1"/>
  <c r="R33" i="95" s="1"/>
  <c r="O201" i="9"/>
  <c r="D201" i="9" s="1"/>
  <c r="E79" i="48" s="1"/>
  <c r="T201" i="9"/>
  <c r="I201" i="9" s="1"/>
  <c r="J79" i="48" s="1"/>
  <c r="U201" i="9"/>
  <c r="J201" i="9" s="1"/>
  <c r="K79" i="48" s="1"/>
  <c r="E202" i="9"/>
  <c r="L202" i="9"/>
  <c r="A202" i="9" s="1"/>
  <c r="M202" i="9"/>
  <c r="B202" i="9" s="1"/>
  <c r="N202" i="9"/>
  <c r="C202" i="9" s="1"/>
  <c r="R34" i="95" s="1"/>
  <c r="O202" i="9"/>
  <c r="D202" i="9" s="1"/>
  <c r="E80" i="48" s="1"/>
  <c r="Q202" i="9"/>
  <c r="T202" i="9"/>
  <c r="I202" i="9" s="1"/>
  <c r="J80" i="48" s="1"/>
  <c r="U202" i="9"/>
  <c r="J202" i="9" s="1"/>
  <c r="K80" i="48" s="1"/>
  <c r="E203" i="9"/>
  <c r="L203" i="9"/>
  <c r="A203" i="9" s="1"/>
  <c r="P37" i="107" s="1"/>
  <c r="M203" i="9"/>
  <c r="B203" i="9" s="1"/>
  <c r="Q35" i="110" s="1"/>
  <c r="N203" i="9"/>
  <c r="C203" i="9" s="1"/>
  <c r="R35" i="95" s="1"/>
  <c r="O203" i="9"/>
  <c r="D203" i="9" s="1"/>
  <c r="E81" i="48" s="1"/>
  <c r="T203" i="9"/>
  <c r="I203" i="9" s="1"/>
  <c r="J81" i="48" s="1"/>
  <c r="U203" i="9"/>
  <c r="J203" i="9" s="1"/>
  <c r="K81" i="48" s="1"/>
  <c r="E204" i="9"/>
  <c r="L204" i="9"/>
  <c r="A204" i="9" s="1"/>
  <c r="P38" i="107" s="1"/>
  <c r="M204" i="9"/>
  <c r="B204" i="9" s="1"/>
  <c r="N204" i="9"/>
  <c r="C204" i="9" s="1"/>
  <c r="R36" i="95" s="1"/>
  <c r="O204" i="9"/>
  <c r="D204" i="9" s="1"/>
  <c r="E82" i="48" s="1"/>
  <c r="T204" i="9"/>
  <c r="I204" i="9" s="1"/>
  <c r="J82" i="48" s="1"/>
  <c r="U204" i="9"/>
  <c r="J204" i="9" s="1"/>
  <c r="K82" i="48" s="1"/>
  <c r="E205" i="9"/>
  <c r="L205" i="9"/>
  <c r="A205" i="9" s="1"/>
  <c r="M205" i="9"/>
  <c r="B205" i="9" s="1"/>
  <c r="Q37" i="111" s="1"/>
  <c r="N205" i="9"/>
  <c r="C205" i="9" s="1"/>
  <c r="O205" i="9"/>
  <c r="D205" i="9" s="1"/>
  <c r="E83" i="48" s="1"/>
  <c r="Q205" i="9"/>
  <c r="T205" i="9"/>
  <c r="I205" i="9" s="1"/>
  <c r="J83" i="48" s="1"/>
  <c r="U205" i="9"/>
  <c r="J205" i="9" s="1"/>
  <c r="K84" i="48" s="1"/>
  <c r="L206" i="9"/>
  <c r="M206" i="9"/>
  <c r="N206" i="9"/>
  <c r="O206" i="9"/>
  <c r="Q206" i="9"/>
  <c r="T206" i="9"/>
  <c r="U206" i="9"/>
  <c r="L207" i="9"/>
  <c r="M207" i="9"/>
  <c r="N207" i="9"/>
  <c r="O207" i="9"/>
  <c r="T207" i="9"/>
  <c r="U207" i="9"/>
  <c r="L208" i="9"/>
  <c r="M208" i="9"/>
  <c r="N208" i="9"/>
  <c r="O208" i="9"/>
  <c r="T208" i="9"/>
  <c r="U208" i="9"/>
  <c r="E209" i="9"/>
  <c r="L209" i="9"/>
  <c r="A209" i="9" s="1"/>
  <c r="N209" i="9"/>
  <c r="C209" i="9" s="1"/>
  <c r="O209" i="9"/>
  <c r="D209" i="9" s="1"/>
  <c r="E85" i="48" s="1"/>
  <c r="T209" i="9"/>
  <c r="I209" i="9" s="1"/>
  <c r="J85" i="48" s="1"/>
  <c r="U209" i="9"/>
  <c r="J209" i="9" s="1"/>
  <c r="K85" i="48" s="1"/>
  <c r="E210" i="9"/>
  <c r="L210" i="9"/>
  <c r="A210" i="9" s="1"/>
  <c r="M210" i="9"/>
  <c r="B210" i="9" s="1"/>
  <c r="N210" i="9"/>
  <c r="C210" i="9" s="1"/>
  <c r="R42" i="82" s="1"/>
  <c r="O210" i="9"/>
  <c r="D210" i="9" s="1"/>
  <c r="E86" i="48" s="1"/>
  <c r="T210" i="9"/>
  <c r="I210" i="9" s="1"/>
  <c r="J86" i="48" s="1"/>
  <c r="U210" i="9"/>
  <c r="J210" i="9" s="1"/>
  <c r="K86" i="48" s="1"/>
  <c r="E211" i="9"/>
  <c r="L211" i="9"/>
  <c r="A211" i="9" s="1"/>
  <c r="M211" i="9"/>
  <c r="B211" i="9" s="1"/>
  <c r="N211" i="9"/>
  <c r="C211" i="9" s="1"/>
  <c r="O211" i="9"/>
  <c r="D211" i="9" s="1"/>
  <c r="E87" i="48" s="1"/>
  <c r="T211" i="9"/>
  <c r="I211" i="9" s="1"/>
  <c r="J87" i="48" s="1"/>
  <c r="U211" i="9"/>
  <c r="J211" i="9" s="1"/>
  <c r="K87" i="48" s="1"/>
  <c r="E212" i="9"/>
  <c r="L212" i="9"/>
  <c r="A212" i="9" s="1"/>
  <c r="M212" i="9"/>
  <c r="B212" i="9" s="1"/>
  <c r="N212" i="9"/>
  <c r="C212" i="9" s="1"/>
  <c r="O212" i="9"/>
  <c r="D212" i="9" s="1"/>
  <c r="E88" i="48" s="1"/>
  <c r="T212" i="9"/>
  <c r="I212" i="9" s="1"/>
  <c r="J88" i="48" s="1"/>
  <c r="U212" i="9"/>
  <c r="J212" i="9" s="1"/>
  <c r="K88" i="48" s="1"/>
  <c r="E213" i="9"/>
  <c r="L213" i="9"/>
  <c r="A213" i="9" s="1"/>
  <c r="M213" i="9"/>
  <c r="B213" i="9" s="1"/>
  <c r="Q45" i="82" s="1"/>
  <c r="N213" i="9"/>
  <c r="C213" i="9" s="1"/>
  <c r="O213" i="9"/>
  <c r="D213" i="9" s="1"/>
  <c r="E89" i="48" s="1"/>
  <c r="T213" i="9"/>
  <c r="I213" i="9" s="1"/>
  <c r="J89" i="48" s="1"/>
  <c r="U213" i="9"/>
  <c r="J213" i="9" s="1"/>
  <c r="K89" i="48" s="1"/>
  <c r="E214" i="9"/>
  <c r="L214" i="9"/>
  <c r="A214" i="9" s="1"/>
  <c r="M214" i="9"/>
  <c r="B214" i="9" s="1"/>
  <c r="N214" i="9"/>
  <c r="C214" i="9" s="1"/>
  <c r="O214" i="9"/>
  <c r="D214" i="9" s="1"/>
  <c r="E90" i="48" s="1"/>
  <c r="Q214" i="9"/>
  <c r="T214" i="9"/>
  <c r="I214" i="9" s="1"/>
  <c r="J90" i="48" s="1"/>
  <c r="U214" i="9"/>
  <c r="J214" i="9" s="1"/>
  <c r="K90" i="48" s="1"/>
  <c r="E215" i="9"/>
  <c r="L215" i="9"/>
  <c r="A215" i="9" s="1"/>
  <c r="M215" i="9"/>
  <c r="B215" i="9" s="1"/>
  <c r="N215" i="9"/>
  <c r="C215" i="9" s="1"/>
  <c r="O215" i="9"/>
  <c r="D215" i="9" s="1"/>
  <c r="E91" i="48" s="1"/>
  <c r="T215" i="9"/>
  <c r="I215" i="9" s="1"/>
  <c r="J91" i="48" s="1"/>
  <c r="U215" i="9"/>
  <c r="J215" i="9" s="1"/>
  <c r="K91" i="48" s="1"/>
  <c r="E216" i="9"/>
  <c r="L216" i="9"/>
  <c r="A216" i="9" s="1"/>
  <c r="M216" i="9"/>
  <c r="B216" i="9" s="1"/>
  <c r="N216" i="9"/>
  <c r="C216" i="9" s="1"/>
  <c r="O216" i="9"/>
  <c r="D216" i="9" s="1"/>
  <c r="E92" i="48" s="1"/>
  <c r="T216" i="9"/>
  <c r="I216" i="9" s="1"/>
  <c r="J92" i="48" s="1"/>
  <c r="U216" i="9"/>
  <c r="J216" i="9" s="1"/>
  <c r="K92" i="48" s="1"/>
  <c r="E217" i="9"/>
  <c r="L217" i="9"/>
  <c r="A217" i="9" s="1"/>
  <c r="M217" i="9"/>
  <c r="B217" i="9" s="1"/>
  <c r="N217" i="9"/>
  <c r="C217" i="9" s="1"/>
  <c r="O217" i="9"/>
  <c r="D217" i="9" s="1"/>
  <c r="E93" i="48" s="1"/>
  <c r="T217" i="9"/>
  <c r="I217" i="9" s="1"/>
  <c r="J93" i="48" s="1"/>
  <c r="U217" i="9"/>
  <c r="J217" i="9" s="1"/>
  <c r="K93" i="48" s="1"/>
  <c r="E218" i="9"/>
  <c r="L218" i="9"/>
  <c r="A218" i="9" s="1"/>
  <c r="M218" i="9"/>
  <c r="B218" i="9" s="1"/>
  <c r="N218" i="9"/>
  <c r="C218" i="9" s="1"/>
  <c r="O218" i="9"/>
  <c r="D218" i="9" s="1"/>
  <c r="E94" i="48" s="1"/>
  <c r="T218" i="9"/>
  <c r="I218" i="9" s="1"/>
  <c r="J94" i="48" s="1"/>
  <c r="U218" i="9"/>
  <c r="J218" i="9" s="1"/>
  <c r="K94" i="48" s="1"/>
  <c r="E219" i="9"/>
  <c r="L219" i="9"/>
  <c r="A219" i="9" s="1"/>
  <c r="M219" i="9"/>
  <c r="B219" i="9" s="1"/>
  <c r="Q51" i="82" s="1"/>
  <c r="N219" i="9"/>
  <c r="C219" i="9" s="1"/>
  <c r="O219" i="9"/>
  <c r="D219" i="9" s="1"/>
  <c r="E95" i="48" s="1"/>
  <c r="T219" i="9"/>
  <c r="I219" i="9" s="1"/>
  <c r="J95" i="48" s="1"/>
  <c r="U219" i="9"/>
  <c r="J219" i="9" s="1"/>
  <c r="K95" i="48" s="1"/>
  <c r="E220" i="9"/>
  <c r="L220" i="9"/>
  <c r="A220" i="9" s="1"/>
  <c r="M220" i="9"/>
  <c r="B220" i="9" s="1"/>
  <c r="N220" i="9"/>
  <c r="C220" i="9" s="1"/>
  <c r="O220" i="9"/>
  <c r="D220" i="9" s="1"/>
  <c r="E96" i="48" s="1"/>
  <c r="T220" i="9"/>
  <c r="I220" i="9" s="1"/>
  <c r="J96" i="48" s="1"/>
  <c r="U220" i="9"/>
  <c r="J220" i="9" s="1"/>
  <c r="K96" i="48" s="1"/>
  <c r="E221" i="9"/>
  <c r="L221" i="9"/>
  <c r="A221" i="9" s="1"/>
  <c r="M221" i="9"/>
  <c r="B221" i="9" s="1"/>
  <c r="N221" i="9"/>
  <c r="C221" i="9" s="1"/>
  <c r="O221" i="9"/>
  <c r="D221" i="9" s="1"/>
  <c r="E97" i="48" s="1"/>
  <c r="T221" i="9"/>
  <c r="I221" i="9" s="1"/>
  <c r="J97" i="48" s="1"/>
  <c r="U221" i="9"/>
  <c r="J221" i="9" s="1"/>
  <c r="K97" i="48" s="1"/>
  <c r="L222" i="9"/>
  <c r="M222" i="9"/>
  <c r="N222" i="9"/>
  <c r="O222" i="9"/>
  <c r="T222" i="9"/>
  <c r="U222" i="9"/>
  <c r="E223" i="9"/>
  <c r="L223" i="9"/>
  <c r="A223" i="9" s="1"/>
  <c r="M223" i="9"/>
  <c r="B223" i="9" s="1"/>
  <c r="N223" i="9"/>
  <c r="C223" i="9" s="1"/>
  <c r="O223" i="9"/>
  <c r="D223" i="9" s="1"/>
  <c r="E99" i="48" s="1"/>
  <c r="T223" i="9"/>
  <c r="I223" i="9" s="1"/>
  <c r="J99" i="48" s="1"/>
  <c r="U223" i="9"/>
  <c r="J223" i="9" s="1"/>
  <c r="K99" i="48" s="1"/>
  <c r="E224" i="9"/>
  <c r="L224" i="9"/>
  <c r="A224" i="9" s="1"/>
  <c r="M224" i="9"/>
  <c r="B224" i="9" s="1"/>
  <c r="N224" i="9"/>
  <c r="C224" i="9" s="1"/>
  <c r="O224" i="9"/>
  <c r="D224" i="9"/>
  <c r="E100" i="48" s="1"/>
  <c r="T224" i="9"/>
  <c r="I224" i="9" s="1"/>
  <c r="J100" i="48" s="1"/>
  <c r="U224" i="9"/>
  <c r="J224" i="9" s="1"/>
  <c r="K100" i="48" s="1"/>
  <c r="E225" i="9"/>
  <c r="L225" i="9"/>
  <c r="A225" i="9" s="1"/>
  <c r="M225" i="9"/>
  <c r="B225" i="9" s="1"/>
  <c r="N225" i="9"/>
  <c r="C225" i="9" s="1"/>
  <c r="O225" i="9"/>
  <c r="D225" i="9" s="1"/>
  <c r="E101" i="48" s="1"/>
  <c r="T225" i="9"/>
  <c r="I225" i="9" s="1"/>
  <c r="J101" i="48" s="1"/>
  <c r="U225" i="9"/>
  <c r="J225" i="9" s="1"/>
  <c r="K101" i="48" s="1"/>
  <c r="E226" i="9"/>
  <c r="L226" i="9"/>
  <c r="A226" i="9" s="1"/>
  <c r="M226" i="9"/>
  <c r="B226" i="9" s="1"/>
  <c r="N226" i="9"/>
  <c r="C226" i="9" s="1"/>
  <c r="O226" i="9"/>
  <c r="D226" i="9" s="1"/>
  <c r="E102" i="48" s="1"/>
  <c r="T226" i="9"/>
  <c r="I226" i="9" s="1"/>
  <c r="J102" i="48" s="1"/>
  <c r="U226" i="9"/>
  <c r="J226" i="9" s="1"/>
  <c r="K102" i="48" s="1"/>
  <c r="L227" i="9"/>
  <c r="M227" i="9"/>
  <c r="N227" i="9"/>
  <c r="O227" i="9"/>
  <c r="T227" i="9"/>
  <c r="U227" i="9"/>
  <c r="L228" i="9"/>
  <c r="M228" i="9"/>
  <c r="N228" i="9"/>
  <c r="O228" i="9"/>
  <c r="T228" i="9"/>
  <c r="U228" i="9"/>
  <c r="L229" i="9"/>
  <c r="M229" i="9"/>
  <c r="N229" i="9"/>
  <c r="O229" i="9"/>
  <c r="Q229" i="9"/>
  <c r="T229" i="9"/>
  <c r="U229" i="9"/>
  <c r="E230" i="9"/>
  <c r="L230" i="9"/>
  <c r="A230" i="9" s="1"/>
  <c r="B104" i="48" s="1"/>
  <c r="M230" i="9"/>
  <c r="B230" i="9" s="1"/>
  <c r="C3" i="16" s="1"/>
  <c r="N230" i="9"/>
  <c r="C230" i="9" s="1"/>
  <c r="D104" i="48" s="1"/>
  <c r="O230" i="9"/>
  <c r="D230" i="9" s="1"/>
  <c r="E104" i="48" s="1"/>
  <c r="Q230" i="9"/>
  <c r="T230" i="9"/>
  <c r="I230" i="9" s="1"/>
  <c r="J104" i="48" s="1"/>
  <c r="U230" i="9"/>
  <c r="J230" i="9" s="1"/>
  <c r="K104" i="48" s="1"/>
  <c r="E231" i="9"/>
  <c r="L231" i="9"/>
  <c r="A231" i="9" s="1"/>
  <c r="B105" i="48" s="1"/>
  <c r="M231" i="9"/>
  <c r="B231" i="9" s="1"/>
  <c r="C4" i="16" s="1"/>
  <c r="N231" i="9"/>
  <c r="C231" i="9" s="1"/>
  <c r="O231" i="9"/>
  <c r="D231" i="9" s="1"/>
  <c r="E105" i="48" s="1"/>
  <c r="T231" i="9"/>
  <c r="I231" i="9" s="1"/>
  <c r="J105" i="48" s="1"/>
  <c r="U231" i="9"/>
  <c r="J231" i="9" s="1"/>
  <c r="K105" i="48" s="1"/>
  <c r="L232" i="9"/>
  <c r="M232" i="9"/>
  <c r="N232" i="9"/>
  <c r="O232" i="9"/>
  <c r="T232" i="9"/>
  <c r="U232" i="9"/>
  <c r="L233" i="9"/>
  <c r="M233" i="9"/>
  <c r="N233" i="9"/>
  <c r="O233" i="9"/>
  <c r="Q233" i="9"/>
  <c r="T233" i="9"/>
  <c r="U233" i="9"/>
  <c r="E234" i="9"/>
  <c r="L234" i="9"/>
  <c r="A234" i="9" s="1"/>
  <c r="M234" i="9"/>
  <c r="B234" i="9" s="1"/>
  <c r="N234" i="9"/>
  <c r="C234" i="9" s="1"/>
  <c r="D106" i="48" s="1"/>
  <c r="O234" i="9"/>
  <c r="D234" i="9" s="1"/>
  <c r="E106" i="48" s="1"/>
  <c r="Q234" i="9"/>
  <c r="T234" i="9"/>
  <c r="I234" i="9" s="1"/>
  <c r="J106" i="48" s="1"/>
  <c r="U234" i="9"/>
  <c r="J234" i="9" s="1"/>
  <c r="K106" i="48" s="1"/>
  <c r="E235" i="9"/>
  <c r="L235" i="9"/>
  <c r="A235" i="9" s="1"/>
  <c r="B6" i="16" s="1"/>
  <c r="M235" i="9"/>
  <c r="B235" i="9" s="1"/>
  <c r="C107" i="48" s="1"/>
  <c r="N235" i="9"/>
  <c r="C235" i="9" s="1"/>
  <c r="D107" i="48" s="1"/>
  <c r="O235" i="9"/>
  <c r="D235" i="9" s="1"/>
  <c r="E107" i="48" s="1"/>
  <c r="T235" i="9"/>
  <c r="I235" i="9" s="1"/>
  <c r="J107" i="48" s="1"/>
  <c r="U235" i="9"/>
  <c r="J235" i="9" s="1"/>
  <c r="K107" i="48" s="1"/>
  <c r="L236" i="9"/>
  <c r="M236" i="9"/>
  <c r="N236" i="9"/>
  <c r="O236" i="9"/>
  <c r="T236" i="9"/>
  <c r="U236" i="9"/>
  <c r="L237" i="9"/>
  <c r="M237" i="9"/>
  <c r="N237" i="9"/>
  <c r="O237" i="9"/>
  <c r="T237" i="9"/>
  <c r="U237" i="9"/>
  <c r="L238" i="9"/>
  <c r="M238" i="9"/>
  <c r="N238" i="9"/>
  <c r="O238" i="9"/>
  <c r="T238" i="9"/>
  <c r="U238" i="9"/>
  <c r="L239" i="9"/>
  <c r="A239" i="9" s="1"/>
  <c r="M239" i="9"/>
  <c r="B239" i="9" s="1"/>
  <c r="N239" i="9"/>
  <c r="C239" i="9" s="1"/>
  <c r="D7" i="16" s="1"/>
  <c r="O239" i="9"/>
  <c r="D239" i="9" s="1"/>
  <c r="E108" i="48" s="1"/>
  <c r="T239" i="9"/>
  <c r="I239" i="9" s="1"/>
  <c r="J108" i="48" s="1"/>
  <c r="U239" i="9"/>
  <c r="J239" i="9" s="1"/>
  <c r="K108" i="48" s="1"/>
  <c r="L240" i="9"/>
  <c r="A240" i="9" s="1"/>
  <c r="M240" i="9"/>
  <c r="B240" i="9" s="1"/>
  <c r="N240" i="9"/>
  <c r="C240" i="9" s="1"/>
  <c r="O240" i="9"/>
  <c r="D240" i="9" s="1"/>
  <c r="E109" i="48" s="1"/>
  <c r="T240" i="9"/>
  <c r="I240" i="9" s="1"/>
  <c r="J109" i="48" s="1"/>
  <c r="U240" i="9"/>
  <c r="J240" i="9" s="1"/>
  <c r="K109" i="48" s="1"/>
  <c r="L241" i="9"/>
  <c r="M241" i="9"/>
  <c r="N241" i="9"/>
  <c r="O241" i="9"/>
  <c r="Q241" i="9"/>
  <c r="T241" i="9"/>
  <c r="U241" i="9"/>
  <c r="L242" i="9"/>
  <c r="M242" i="9"/>
  <c r="N242" i="9"/>
  <c r="O242" i="9"/>
  <c r="Q242" i="9"/>
  <c r="T242" i="9"/>
  <c r="U242" i="9"/>
  <c r="L243" i="9"/>
  <c r="M243" i="9"/>
  <c r="N243" i="9"/>
  <c r="O243" i="9"/>
  <c r="T243" i="9"/>
  <c r="U243" i="9"/>
  <c r="L244" i="9"/>
  <c r="M244" i="9"/>
  <c r="N244" i="9"/>
  <c r="O244" i="9"/>
  <c r="T244" i="9"/>
  <c r="U244" i="9"/>
  <c r="L245" i="9"/>
  <c r="M245" i="9"/>
  <c r="N245" i="9"/>
  <c r="O245" i="9"/>
  <c r="T245" i="9"/>
  <c r="U245" i="9"/>
  <c r="L246" i="9"/>
  <c r="M246" i="9"/>
  <c r="N246" i="9"/>
  <c r="O246" i="9"/>
  <c r="T246" i="9"/>
  <c r="U246" i="9"/>
  <c r="L247" i="9"/>
  <c r="M247" i="9"/>
  <c r="N247" i="9"/>
  <c r="O247" i="9"/>
  <c r="T247" i="9"/>
  <c r="U247" i="9"/>
  <c r="L248" i="9"/>
  <c r="M248" i="9"/>
  <c r="N248" i="9"/>
  <c r="O248" i="9"/>
  <c r="T248" i="9"/>
  <c r="U248" i="9"/>
  <c r="L249" i="9"/>
  <c r="M249" i="9"/>
  <c r="N249" i="9"/>
  <c r="O249" i="9"/>
  <c r="Q249" i="9"/>
  <c r="T249" i="9"/>
  <c r="U249" i="9"/>
  <c r="L250" i="9"/>
  <c r="M250" i="9"/>
  <c r="N250" i="9"/>
  <c r="O250" i="9"/>
  <c r="Q250" i="9"/>
  <c r="T250" i="9"/>
  <c r="U250" i="9"/>
  <c r="L251" i="9"/>
  <c r="M251" i="9"/>
  <c r="N251" i="9"/>
  <c r="O251" i="9"/>
  <c r="T251" i="9"/>
  <c r="I251" i="9" s="1"/>
  <c r="J112" i="48" s="1"/>
  <c r="U251" i="9"/>
  <c r="L252" i="9"/>
  <c r="M252" i="9"/>
  <c r="N252" i="9"/>
  <c r="O252" i="9"/>
  <c r="T252" i="9"/>
  <c r="U252" i="9"/>
  <c r="L253" i="9"/>
  <c r="M253" i="9"/>
  <c r="N253" i="9"/>
  <c r="O253" i="9"/>
  <c r="T253" i="9"/>
  <c r="U253" i="9"/>
  <c r="L254" i="9"/>
  <c r="M254" i="9"/>
  <c r="N254" i="9"/>
  <c r="O254" i="9"/>
  <c r="T254" i="9"/>
  <c r="U254" i="9"/>
  <c r="L255" i="9"/>
  <c r="M255" i="9"/>
  <c r="N255" i="9"/>
  <c r="O255" i="9"/>
  <c r="T255" i="9"/>
  <c r="U255" i="9"/>
  <c r="L256" i="9"/>
  <c r="M256" i="9"/>
  <c r="N256" i="9"/>
  <c r="O256" i="9"/>
  <c r="T256" i="9"/>
  <c r="U256" i="9"/>
  <c r="L257" i="9"/>
  <c r="M257" i="9"/>
  <c r="N257" i="9"/>
  <c r="O257" i="9"/>
  <c r="Q257" i="9"/>
  <c r="T257" i="9"/>
  <c r="U257" i="9"/>
  <c r="L258" i="9"/>
  <c r="M258" i="9"/>
  <c r="N258" i="9"/>
  <c r="O258" i="9"/>
  <c r="Q258" i="9"/>
  <c r="T258" i="9"/>
  <c r="U258" i="9"/>
  <c r="L259" i="9"/>
  <c r="M259" i="9"/>
  <c r="N259" i="9"/>
  <c r="O259" i="9"/>
  <c r="T259" i="9"/>
  <c r="U259" i="9"/>
  <c r="L260" i="9"/>
  <c r="M260" i="9"/>
  <c r="N260" i="9"/>
  <c r="O260" i="9"/>
  <c r="Q260" i="9"/>
  <c r="T260" i="9"/>
  <c r="U260" i="9"/>
  <c r="L261" i="9"/>
  <c r="M261" i="9"/>
  <c r="N261" i="9"/>
  <c r="O261" i="9"/>
  <c r="Q261" i="9"/>
  <c r="T261" i="9"/>
  <c r="U261" i="9"/>
  <c r="L262" i="9"/>
  <c r="M262" i="9"/>
  <c r="N262" i="9"/>
  <c r="O262" i="9"/>
  <c r="Q262" i="9"/>
  <c r="T262" i="9"/>
  <c r="U262" i="9"/>
  <c r="L263" i="9"/>
  <c r="M263" i="9"/>
  <c r="N263" i="9"/>
  <c r="O263" i="9"/>
  <c r="T263" i="9"/>
  <c r="U263" i="9"/>
  <c r="L264" i="9"/>
  <c r="M264" i="9"/>
  <c r="N264" i="9"/>
  <c r="O264" i="9"/>
  <c r="T264" i="9"/>
  <c r="U264" i="9"/>
  <c r="L265" i="9"/>
  <c r="M265" i="9"/>
  <c r="N265" i="9"/>
  <c r="O265" i="9"/>
  <c r="T265" i="9"/>
  <c r="U265" i="9"/>
  <c r="L266" i="9"/>
  <c r="M266" i="9"/>
  <c r="N266" i="9"/>
  <c r="O266" i="9"/>
  <c r="T266" i="9"/>
  <c r="U266" i="9"/>
  <c r="L267" i="9"/>
  <c r="M267" i="9"/>
  <c r="N267" i="9"/>
  <c r="O267" i="9"/>
  <c r="T267" i="9"/>
  <c r="U267" i="9"/>
  <c r="L268" i="9"/>
  <c r="M268" i="9"/>
  <c r="N268" i="9"/>
  <c r="O268" i="9"/>
  <c r="T268" i="9"/>
  <c r="U268" i="9"/>
  <c r="L269" i="9"/>
  <c r="M269" i="9"/>
  <c r="N269" i="9"/>
  <c r="O269" i="9"/>
  <c r="Q269" i="9"/>
  <c r="T269" i="9"/>
  <c r="U269" i="9"/>
  <c r="L270" i="9"/>
  <c r="M270" i="9"/>
  <c r="N270" i="9"/>
  <c r="O270" i="9"/>
  <c r="Q270" i="9"/>
  <c r="T270" i="9"/>
  <c r="U270" i="9"/>
  <c r="L271" i="9"/>
  <c r="M271" i="9"/>
  <c r="N271" i="9"/>
  <c r="O271" i="9"/>
  <c r="T271" i="9"/>
  <c r="U271" i="9"/>
  <c r="L272" i="9"/>
  <c r="M272" i="9"/>
  <c r="N272" i="9"/>
  <c r="O272" i="9"/>
  <c r="Q272" i="9"/>
  <c r="T272" i="9"/>
  <c r="U272" i="9"/>
  <c r="L273" i="9"/>
  <c r="M273" i="9"/>
  <c r="N273" i="9"/>
  <c r="O273" i="9"/>
  <c r="T273" i="9"/>
  <c r="U273" i="9"/>
  <c r="L274" i="9"/>
  <c r="M274" i="9"/>
  <c r="N274" i="9"/>
  <c r="O274" i="9"/>
  <c r="Q274" i="9"/>
  <c r="T274" i="9"/>
  <c r="U274" i="9"/>
  <c r="L275" i="9"/>
  <c r="M275" i="9"/>
  <c r="N275" i="9"/>
  <c r="O275" i="9"/>
  <c r="T275" i="9"/>
  <c r="U275" i="9"/>
  <c r="L276" i="9"/>
  <c r="M276" i="9"/>
  <c r="N276" i="9"/>
  <c r="O276" i="9"/>
  <c r="T276" i="9"/>
  <c r="U276" i="9"/>
  <c r="L277" i="9"/>
  <c r="M277" i="9"/>
  <c r="N277" i="9"/>
  <c r="O277" i="9"/>
  <c r="Q277" i="9"/>
  <c r="T277" i="9"/>
  <c r="U277" i="9"/>
  <c r="L278" i="9"/>
  <c r="M278" i="9"/>
  <c r="N278" i="9"/>
  <c r="O278" i="9"/>
  <c r="Q278" i="9"/>
  <c r="T278" i="9"/>
  <c r="U278" i="9"/>
  <c r="L279" i="9"/>
  <c r="M279" i="9"/>
  <c r="N279" i="9"/>
  <c r="O279" i="9"/>
  <c r="T279" i="9"/>
  <c r="U279" i="9"/>
  <c r="L280" i="9"/>
  <c r="M280" i="9"/>
  <c r="N280" i="9"/>
  <c r="O280" i="9"/>
  <c r="T280" i="9"/>
  <c r="U280" i="9"/>
  <c r="L281" i="9"/>
  <c r="M281" i="9"/>
  <c r="N281" i="9"/>
  <c r="O281" i="9"/>
  <c r="Q281" i="9"/>
  <c r="T281" i="9"/>
  <c r="U281" i="9"/>
  <c r="L282" i="9"/>
  <c r="M282" i="9"/>
  <c r="N282" i="9"/>
  <c r="O282" i="9"/>
  <c r="Q282" i="9"/>
  <c r="T282" i="9"/>
  <c r="U282" i="9"/>
  <c r="L283" i="9"/>
  <c r="M283" i="9"/>
  <c r="N283" i="9"/>
  <c r="O283" i="9"/>
  <c r="T283" i="9"/>
  <c r="U283" i="9"/>
  <c r="L284" i="9"/>
  <c r="M284" i="9"/>
  <c r="N284" i="9"/>
  <c r="O284" i="9"/>
  <c r="T284" i="9"/>
  <c r="U284" i="9"/>
  <c r="L285" i="9"/>
  <c r="M285" i="9"/>
  <c r="N285" i="9"/>
  <c r="O285" i="9"/>
  <c r="Q285" i="9"/>
  <c r="T285" i="9"/>
  <c r="U285" i="9"/>
  <c r="L286" i="9"/>
  <c r="M286" i="9"/>
  <c r="N286" i="9"/>
  <c r="O286" i="9"/>
  <c r="T286" i="9"/>
  <c r="U286" i="9"/>
  <c r="L287" i="9"/>
  <c r="M287" i="9"/>
  <c r="N287" i="9"/>
  <c r="O287" i="9"/>
  <c r="T287" i="9"/>
  <c r="U287" i="9"/>
  <c r="L288" i="9"/>
  <c r="M288" i="9"/>
  <c r="N288" i="9"/>
  <c r="O288" i="9"/>
  <c r="T288" i="9"/>
  <c r="U288" i="9"/>
  <c r="L289" i="9"/>
  <c r="M289" i="9"/>
  <c r="N289" i="9"/>
  <c r="O289" i="9"/>
  <c r="T289" i="9"/>
  <c r="U289" i="9"/>
  <c r="L290" i="9"/>
  <c r="M290" i="9"/>
  <c r="N290" i="9"/>
  <c r="O290" i="9"/>
  <c r="Q290" i="9"/>
  <c r="T290" i="9"/>
  <c r="U290" i="9"/>
  <c r="L291" i="9"/>
  <c r="M291" i="9"/>
  <c r="N291" i="9"/>
  <c r="O291" i="9"/>
  <c r="T291" i="9"/>
  <c r="U291" i="9"/>
  <c r="L292" i="9"/>
  <c r="M292" i="9"/>
  <c r="N292" i="9"/>
  <c r="O292" i="9"/>
  <c r="T292" i="9"/>
  <c r="U292" i="9"/>
  <c r="L293" i="9"/>
  <c r="M293" i="9"/>
  <c r="N293" i="9"/>
  <c r="O293" i="9"/>
  <c r="Q293" i="9"/>
  <c r="T293" i="9"/>
  <c r="U293" i="9"/>
  <c r="L294" i="9"/>
  <c r="M294" i="9"/>
  <c r="N294" i="9"/>
  <c r="O294" i="9"/>
  <c r="Q294" i="9"/>
  <c r="T294" i="9"/>
  <c r="U294" i="9"/>
  <c r="L295" i="9"/>
  <c r="M295" i="9"/>
  <c r="N295" i="9"/>
  <c r="O295" i="9"/>
  <c r="T295" i="9"/>
  <c r="U295" i="9"/>
  <c r="L296" i="9"/>
  <c r="M296" i="9"/>
  <c r="N296" i="9"/>
  <c r="O296" i="9"/>
  <c r="T296" i="9"/>
  <c r="U296" i="9"/>
  <c r="L297" i="9"/>
  <c r="M297" i="9"/>
  <c r="N297" i="9"/>
  <c r="O297" i="9"/>
  <c r="Q297" i="9"/>
  <c r="T297" i="9"/>
  <c r="U297" i="9"/>
  <c r="L298" i="9"/>
  <c r="M298" i="9"/>
  <c r="N298" i="9"/>
  <c r="O298" i="9"/>
  <c r="Q298" i="9"/>
  <c r="T298" i="9"/>
  <c r="U298" i="9"/>
  <c r="L299" i="9"/>
  <c r="M299" i="9"/>
  <c r="N299" i="9"/>
  <c r="O299" i="9"/>
  <c r="T299" i="9"/>
  <c r="U299" i="9"/>
  <c r="L300" i="9"/>
  <c r="M300" i="9"/>
  <c r="N300" i="9"/>
  <c r="O300" i="9"/>
  <c r="T300" i="9"/>
  <c r="U300" i="9"/>
  <c r="L301" i="9"/>
  <c r="M301" i="9"/>
  <c r="N301" i="9"/>
  <c r="O301" i="9"/>
  <c r="T301" i="9"/>
  <c r="U301" i="9"/>
  <c r="L302" i="9"/>
  <c r="M302" i="9"/>
  <c r="N302" i="9"/>
  <c r="O302" i="9"/>
  <c r="Q302" i="9"/>
  <c r="T302" i="9"/>
  <c r="U302" i="9"/>
  <c r="L303" i="9"/>
  <c r="M303" i="9"/>
  <c r="N303" i="9"/>
  <c r="O303" i="9"/>
  <c r="T303" i="9"/>
  <c r="U303" i="9"/>
  <c r="L304" i="9"/>
  <c r="M304" i="9"/>
  <c r="N304" i="9"/>
  <c r="O304" i="9"/>
  <c r="T304" i="9"/>
  <c r="U304" i="9"/>
  <c r="L305" i="9"/>
  <c r="M305" i="9"/>
  <c r="N305" i="9"/>
  <c r="O305" i="9"/>
  <c r="Q305" i="9"/>
  <c r="T305" i="9"/>
  <c r="U305" i="9"/>
  <c r="L306" i="9"/>
  <c r="M306" i="9"/>
  <c r="N306" i="9"/>
  <c r="O306" i="9"/>
  <c r="Q306" i="9"/>
  <c r="T306" i="9"/>
  <c r="U306" i="9"/>
  <c r="L307" i="9"/>
  <c r="M307" i="9"/>
  <c r="N307" i="9"/>
  <c r="O307" i="9"/>
  <c r="T307" i="9"/>
  <c r="U307" i="9"/>
  <c r="L308" i="9"/>
  <c r="M308" i="9"/>
  <c r="N308" i="9"/>
  <c r="O308" i="9"/>
  <c r="T308" i="9"/>
  <c r="U308" i="9"/>
  <c r="L309" i="9"/>
  <c r="M309" i="9"/>
  <c r="N309" i="9"/>
  <c r="O309" i="9"/>
  <c r="T309" i="9"/>
  <c r="U309" i="9"/>
  <c r="L310" i="9"/>
  <c r="M310" i="9"/>
  <c r="N310" i="9"/>
  <c r="O310" i="9"/>
  <c r="Q310" i="9"/>
  <c r="T310" i="9"/>
  <c r="U310" i="9"/>
  <c r="L311" i="9"/>
  <c r="M311" i="9"/>
  <c r="N311" i="9"/>
  <c r="O311" i="9"/>
  <c r="T311" i="9"/>
  <c r="U311" i="9"/>
  <c r="L312" i="9"/>
  <c r="M312" i="9"/>
  <c r="N312" i="9"/>
  <c r="O312" i="9"/>
  <c r="T312" i="9"/>
  <c r="U312" i="9"/>
  <c r="L313" i="9"/>
  <c r="M313" i="9"/>
  <c r="N313" i="9"/>
  <c r="O313" i="9"/>
  <c r="Q313" i="9"/>
  <c r="T313" i="9"/>
  <c r="U313" i="9"/>
  <c r="L314" i="9"/>
  <c r="M314" i="9"/>
  <c r="N314" i="9"/>
  <c r="O314" i="9"/>
  <c r="Q314" i="9"/>
  <c r="T314" i="9"/>
  <c r="U314" i="9"/>
  <c r="L315" i="9"/>
  <c r="M315" i="9"/>
  <c r="N315" i="9"/>
  <c r="O315" i="9"/>
  <c r="T315" i="9"/>
  <c r="U315" i="9"/>
  <c r="L316" i="9"/>
  <c r="M316" i="9"/>
  <c r="N316" i="9"/>
  <c r="O316" i="9"/>
  <c r="T316" i="9"/>
  <c r="U316" i="9"/>
  <c r="L317" i="9"/>
  <c r="M317" i="9"/>
  <c r="N317" i="9"/>
  <c r="O317" i="9"/>
  <c r="T317" i="9"/>
  <c r="U317" i="9"/>
  <c r="L318" i="9"/>
  <c r="M318" i="9"/>
  <c r="N318" i="9"/>
  <c r="O318" i="9"/>
  <c r="Q318" i="9"/>
  <c r="T318" i="9"/>
  <c r="U318" i="9"/>
  <c r="L319" i="9"/>
  <c r="M319" i="9"/>
  <c r="N319" i="9"/>
  <c r="O319" i="9"/>
  <c r="T319" i="9"/>
  <c r="U319" i="9"/>
  <c r="L320" i="9"/>
  <c r="M320" i="9"/>
  <c r="N320" i="9"/>
  <c r="O320" i="9"/>
  <c r="T320" i="9"/>
  <c r="U320" i="9"/>
  <c r="L321" i="9"/>
  <c r="M321" i="9"/>
  <c r="N321" i="9"/>
  <c r="O321" i="9"/>
  <c r="Q321" i="9"/>
  <c r="T321" i="9"/>
  <c r="U321" i="9"/>
  <c r="E322" i="9"/>
  <c r="L322" i="9"/>
  <c r="A322" i="9" s="1"/>
  <c r="P65" i="105" s="1"/>
  <c r="M322" i="9"/>
  <c r="B322" i="9" s="1"/>
  <c r="Q65" i="95" s="1"/>
  <c r="N322" i="9"/>
  <c r="C322" i="9" s="1"/>
  <c r="R65" i="95" s="1"/>
  <c r="O322" i="9"/>
  <c r="D322" i="9" s="1"/>
  <c r="E130" i="48" s="1"/>
  <c r="Q322" i="9"/>
  <c r="T322" i="9"/>
  <c r="I322" i="9" s="1"/>
  <c r="J130" i="48" s="1"/>
  <c r="U322" i="9"/>
  <c r="J322" i="9" s="1"/>
  <c r="K130" i="48" s="1"/>
  <c r="E323" i="9"/>
  <c r="L323" i="9"/>
  <c r="A323" i="9" s="1"/>
  <c r="P67" i="96" s="1"/>
  <c r="M323" i="9"/>
  <c r="B323" i="9" s="1"/>
  <c r="Q66" i="95" s="1"/>
  <c r="N323" i="9"/>
  <c r="C323" i="9" s="1"/>
  <c r="O323" i="9"/>
  <c r="D323" i="9" s="1"/>
  <c r="E131" i="48" s="1"/>
  <c r="T323" i="9"/>
  <c r="I323" i="9" s="1"/>
  <c r="J131" i="48" s="1"/>
  <c r="U323" i="9"/>
  <c r="J323" i="9" s="1"/>
  <c r="K131" i="48" s="1"/>
  <c r="E324" i="9"/>
  <c r="L324" i="9"/>
  <c r="A324" i="9" s="1"/>
  <c r="M324" i="9"/>
  <c r="B324" i="9" s="1"/>
  <c r="Q67" i="95" s="1"/>
  <c r="N324" i="9"/>
  <c r="C324" i="9" s="1"/>
  <c r="O324" i="9"/>
  <c r="D324" i="9" s="1"/>
  <c r="E132" i="48" s="1"/>
  <c r="T324" i="9"/>
  <c r="I324" i="9" s="1"/>
  <c r="J132" i="48" s="1"/>
  <c r="U324" i="9"/>
  <c r="J324" i="9" s="1"/>
  <c r="K132" i="48" s="1"/>
  <c r="E325" i="9"/>
  <c r="L325" i="9"/>
  <c r="A325" i="9" s="1"/>
  <c r="M325" i="9"/>
  <c r="B325" i="9" s="1"/>
  <c r="N325" i="9"/>
  <c r="C325" i="9" s="1"/>
  <c r="R68" i="80" s="1"/>
  <c r="O325" i="9"/>
  <c r="D325" i="9" s="1"/>
  <c r="E133" i="48" s="1"/>
  <c r="T325" i="9"/>
  <c r="I325" i="9" s="1"/>
  <c r="J133" i="48" s="1"/>
  <c r="U325" i="9"/>
  <c r="J325" i="9" s="1"/>
  <c r="K133" i="48" s="1"/>
  <c r="L326" i="9"/>
  <c r="M326" i="9"/>
  <c r="N326" i="9"/>
  <c r="O326" i="9"/>
  <c r="Q326" i="9"/>
  <c r="T326" i="9"/>
  <c r="U326" i="9"/>
  <c r="L327" i="9"/>
  <c r="M327" i="9"/>
  <c r="N327" i="9"/>
  <c r="O327" i="9"/>
  <c r="T327" i="9"/>
  <c r="U327" i="9"/>
  <c r="L328" i="9"/>
  <c r="M328" i="9"/>
  <c r="N328" i="9"/>
  <c r="O328" i="9"/>
  <c r="T328" i="9"/>
  <c r="U328" i="9"/>
  <c r="L329" i="9"/>
  <c r="M329" i="9"/>
  <c r="N329" i="9"/>
  <c r="O329" i="9"/>
  <c r="T329" i="9"/>
  <c r="U329" i="9"/>
  <c r="E330" i="9"/>
  <c r="L330" i="9"/>
  <c r="A330" i="9" s="1"/>
  <c r="M330" i="9"/>
  <c r="B330" i="9" s="1"/>
  <c r="Q70" i="95" s="1"/>
  <c r="N330" i="9"/>
  <c r="C330" i="9" s="1"/>
  <c r="D134" i="48" s="1"/>
  <c r="O330" i="9"/>
  <c r="D330" i="9" s="1"/>
  <c r="E134" i="48" s="1"/>
  <c r="Q330" i="9"/>
  <c r="T330" i="9"/>
  <c r="I330" i="9" s="1"/>
  <c r="J134" i="48" s="1"/>
  <c r="U330" i="9"/>
  <c r="J330" i="9" s="1"/>
  <c r="K134" i="48" s="1"/>
  <c r="E331" i="9"/>
  <c r="L331" i="9"/>
  <c r="A331" i="9" s="1"/>
  <c r="M331" i="9"/>
  <c r="B331" i="9" s="1"/>
  <c r="Q71" i="95" s="1"/>
  <c r="N331" i="9"/>
  <c r="C331" i="9" s="1"/>
  <c r="R66" i="87" s="1"/>
  <c r="O331" i="9"/>
  <c r="D331" i="9" s="1"/>
  <c r="E135" i="48" s="1"/>
  <c r="T331" i="9"/>
  <c r="I331" i="9" s="1"/>
  <c r="J135" i="48" s="1"/>
  <c r="U331" i="9"/>
  <c r="J331" i="9" s="1"/>
  <c r="K135" i="48" s="1"/>
  <c r="E332" i="9"/>
  <c r="L332" i="9"/>
  <c r="A332" i="9" s="1"/>
  <c r="P72" i="95" s="1"/>
  <c r="M332" i="9"/>
  <c r="B332" i="9" s="1"/>
  <c r="N332" i="9"/>
  <c r="C332" i="9" s="1"/>
  <c r="O332" i="9"/>
  <c r="D332" i="9" s="1"/>
  <c r="E136" i="48" s="1"/>
  <c r="T332" i="9"/>
  <c r="I332" i="9" s="1"/>
  <c r="J136" i="48" s="1"/>
  <c r="U332" i="9"/>
  <c r="J332" i="9" s="1"/>
  <c r="K136" i="48" s="1"/>
  <c r="E333" i="9"/>
  <c r="L333" i="9"/>
  <c r="A333" i="9" s="1"/>
  <c r="M333" i="9"/>
  <c r="B333" i="9" s="1"/>
  <c r="Q73" i="95" s="1"/>
  <c r="N333" i="9"/>
  <c r="C333" i="9" s="1"/>
  <c r="O333" i="9"/>
  <c r="D333" i="9" s="1"/>
  <c r="E137" i="48" s="1"/>
  <c r="T333" i="9"/>
  <c r="I333" i="9" s="1"/>
  <c r="J137" i="48" s="1"/>
  <c r="U333" i="9"/>
  <c r="J333" i="9" s="1"/>
  <c r="K137" i="48" s="1"/>
  <c r="L334" i="9"/>
  <c r="M334" i="9"/>
  <c r="N334" i="9"/>
  <c r="O334" i="9"/>
  <c r="Q334" i="9"/>
  <c r="T334" i="9"/>
  <c r="U334" i="9"/>
  <c r="L335" i="9"/>
  <c r="M335" i="9"/>
  <c r="N335" i="9"/>
  <c r="O335" i="9"/>
  <c r="T335" i="9"/>
  <c r="U335" i="9"/>
  <c r="L336" i="9"/>
  <c r="M336" i="9"/>
  <c r="N336" i="9"/>
  <c r="O336" i="9"/>
  <c r="T336" i="9"/>
  <c r="U336" i="9"/>
  <c r="L337" i="9"/>
  <c r="M337" i="9"/>
  <c r="N337" i="9"/>
  <c r="O337" i="9"/>
  <c r="T337" i="9"/>
  <c r="U337" i="9"/>
  <c r="L338" i="9"/>
  <c r="M338" i="9"/>
  <c r="N338" i="9"/>
  <c r="O338" i="9"/>
  <c r="T338" i="9"/>
  <c r="U338" i="9"/>
  <c r="L339" i="9"/>
  <c r="M339" i="9"/>
  <c r="N339" i="9"/>
  <c r="O339" i="9"/>
  <c r="T339" i="9"/>
  <c r="U339" i="9"/>
  <c r="L340" i="9"/>
  <c r="M340" i="9"/>
  <c r="N340" i="9"/>
  <c r="O340" i="9"/>
  <c r="T340" i="9"/>
  <c r="U340" i="9"/>
  <c r="L341" i="9"/>
  <c r="M341" i="9"/>
  <c r="N341" i="9"/>
  <c r="O341" i="9"/>
  <c r="T341" i="9"/>
  <c r="U341" i="9"/>
  <c r="L342" i="9"/>
  <c r="M342" i="9"/>
  <c r="N342" i="9"/>
  <c r="O342" i="9"/>
  <c r="Q342" i="9"/>
  <c r="T342" i="9"/>
  <c r="U342" i="9"/>
  <c r="L343" i="9"/>
  <c r="M343" i="9"/>
  <c r="N343" i="9"/>
  <c r="O343" i="9"/>
  <c r="T343" i="9"/>
  <c r="U343" i="9"/>
  <c r="L344" i="9"/>
  <c r="M344" i="9"/>
  <c r="N344" i="9"/>
  <c r="O344" i="9"/>
  <c r="T344" i="9"/>
  <c r="U344" i="9"/>
  <c r="L345" i="9"/>
  <c r="M345" i="9"/>
  <c r="N345" i="9"/>
  <c r="O345" i="9"/>
  <c r="T345" i="9"/>
  <c r="U345" i="9"/>
  <c r="L346" i="9"/>
  <c r="M346" i="9"/>
  <c r="N346" i="9"/>
  <c r="O346" i="9"/>
  <c r="Q346" i="9"/>
  <c r="T346" i="9"/>
  <c r="U346" i="9"/>
  <c r="L347" i="9"/>
  <c r="M347" i="9"/>
  <c r="N347" i="9"/>
  <c r="O347" i="9"/>
  <c r="T347" i="9"/>
  <c r="U347" i="9"/>
  <c r="L348" i="9"/>
  <c r="M348" i="9"/>
  <c r="N348" i="9"/>
  <c r="O348" i="9"/>
  <c r="T348" i="9"/>
  <c r="U348" i="9"/>
  <c r="L349" i="9"/>
  <c r="M349" i="9"/>
  <c r="N349" i="9"/>
  <c r="O349" i="9"/>
  <c r="T349" i="9"/>
  <c r="U349" i="9"/>
  <c r="L350" i="9"/>
  <c r="M350" i="9"/>
  <c r="N350" i="9"/>
  <c r="O350" i="9"/>
  <c r="T350" i="9"/>
  <c r="U350" i="9"/>
  <c r="L351" i="9"/>
  <c r="M351" i="9"/>
  <c r="N351" i="9"/>
  <c r="O351" i="9"/>
  <c r="T351" i="9"/>
  <c r="U351" i="9"/>
  <c r="L352" i="9"/>
  <c r="M352" i="9"/>
  <c r="N352" i="9"/>
  <c r="O352" i="9"/>
  <c r="T352" i="9"/>
  <c r="U352" i="9"/>
  <c r="L353" i="9"/>
  <c r="M353" i="9"/>
  <c r="N353" i="9"/>
  <c r="O353" i="9"/>
  <c r="T353" i="9"/>
  <c r="U353" i="9"/>
  <c r="L354" i="9"/>
  <c r="M354" i="9"/>
  <c r="N354" i="9"/>
  <c r="O354" i="9"/>
  <c r="T354" i="9"/>
  <c r="U354" i="9"/>
  <c r="L355" i="9"/>
  <c r="M355" i="9"/>
  <c r="N355" i="9"/>
  <c r="O355" i="9"/>
  <c r="T355" i="9"/>
  <c r="U355" i="9"/>
  <c r="L356" i="9"/>
  <c r="M356" i="9"/>
  <c r="N356" i="9"/>
  <c r="O356" i="9"/>
  <c r="T356" i="9"/>
  <c r="U356" i="9"/>
  <c r="L360" i="9"/>
  <c r="M360" i="9"/>
  <c r="N360" i="9"/>
  <c r="O360" i="9"/>
  <c r="T360" i="9"/>
  <c r="U360" i="9"/>
  <c r="L361" i="9"/>
  <c r="M361" i="9"/>
  <c r="N361" i="9"/>
  <c r="O361" i="9"/>
  <c r="Q361" i="9"/>
  <c r="T361" i="9"/>
  <c r="U361" i="9"/>
  <c r="L362" i="9"/>
  <c r="M362" i="9"/>
  <c r="N362" i="9"/>
  <c r="O362" i="9"/>
  <c r="T362" i="9"/>
  <c r="U362" i="9"/>
  <c r="L363" i="9"/>
  <c r="M363" i="9"/>
  <c r="N363" i="9"/>
  <c r="O363" i="9"/>
  <c r="T363" i="9"/>
  <c r="U363" i="9"/>
  <c r="L364" i="9"/>
  <c r="M364" i="9"/>
  <c r="N364" i="9"/>
  <c r="O364" i="9"/>
  <c r="T364" i="9"/>
  <c r="U364" i="9"/>
  <c r="L365" i="9"/>
  <c r="M365" i="9"/>
  <c r="N365" i="9"/>
  <c r="O365" i="9"/>
  <c r="Q365" i="9"/>
  <c r="T365" i="9"/>
  <c r="U365" i="9"/>
  <c r="L366" i="9"/>
  <c r="M366" i="9"/>
  <c r="N366" i="9"/>
  <c r="O366" i="9"/>
  <c r="T366" i="9"/>
  <c r="U366" i="9"/>
  <c r="L367" i="9"/>
  <c r="M367" i="9"/>
  <c r="N367" i="9"/>
  <c r="O367" i="9"/>
  <c r="T367" i="9"/>
  <c r="U367" i="9"/>
  <c r="L368" i="9"/>
  <c r="M368" i="9"/>
  <c r="N368" i="9"/>
  <c r="O368" i="9"/>
  <c r="T368" i="9"/>
  <c r="U368" i="9"/>
  <c r="L369" i="9"/>
  <c r="M369" i="9"/>
  <c r="N369" i="9"/>
  <c r="O369" i="9"/>
  <c r="Q369" i="9"/>
  <c r="T369" i="9"/>
  <c r="U369" i="9"/>
  <c r="L370" i="9"/>
  <c r="M370" i="9"/>
  <c r="N370" i="9"/>
  <c r="O370" i="9"/>
  <c r="T370" i="9"/>
  <c r="U370" i="9"/>
  <c r="L371" i="9"/>
  <c r="M371" i="9"/>
  <c r="N371" i="9"/>
  <c r="O371" i="9"/>
  <c r="T371" i="9"/>
  <c r="U371" i="9"/>
  <c r="L372" i="9"/>
  <c r="M372" i="9"/>
  <c r="N372" i="9"/>
  <c r="O372" i="9"/>
  <c r="T372" i="9"/>
  <c r="U372" i="9"/>
  <c r="L379" i="9"/>
  <c r="M379" i="9"/>
  <c r="N379" i="9"/>
  <c r="O379" i="9"/>
  <c r="T379" i="9"/>
  <c r="U379" i="9"/>
  <c r="L380" i="9"/>
  <c r="M380" i="9"/>
  <c r="N380" i="9"/>
  <c r="O380" i="9"/>
  <c r="Q380" i="9"/>
  <c r="T380" i="9"/>
  <c r="U380" i="9"/>
  <c r="L381" i="9"/>
  <c r="M381" i="9"/>
  <c r="N381" i="9"/>
  <c r="O381" i="9"/>
  <c r="T381" i="9"/>
  <c r="U381" i="9"/>
  <c r="L382" i="9"/>
  <c r="M382" i="9"/>
  <c r="N382" i="9"/>
  <c r="O382" i="9"/>
  <c r="T382" i="9"/>
  <c r="U382" i="9"/>
  <c r="L383" i="9"/>
  <c r="M383" i="9"/>
  <c r="N383" i="9"/>
  <c r="O383" i="9"/>
  <c r="T383" i="9"/>
  <c r="U383" i="9"/>
  <c r="L384" i="9"/>
  <c r="M384" i="9"/>
  <c r="N384" i="9"/>
  <c r="O384" i="9"/>
  <c r="Q384" i="9"/>
  <c r="T384" i="9"/>
  <c r="U384" i="9"/>
  <c r="L385" i="9"/>
  <c r="M385" i="9"/>
  <c r="N385" i="9"/>
  <c r="O385" i="9"/>
  <c r="T385" i="9"/>
  <c r="U385" i="9"/>
  <c r="L386" i="9"/>
  <c r="M386" i="9"/>
  <c r="N386" i="9"/>
  <c r="O386" i="9"/>
  <c r="T386" i="9"/>
  <c r="U386" i="9"/>
  <c r="L387" i="9"/>
  <c r="M387" i="9"/>
  <c r="N387" i="9"/>
  <c r="O387" i="9"/>
  <c r="T387" i="9"/>
  <c r="U387" i="9"/>
  <c r="L388" i="9"/>
  <c r="M388" i="9"/>
  <c r="N388" i="9"/>
  <c r="O388" i="9"/>
  <c r="Q388" i="9"/>
  <c r="T388" i="9"/>
  <c r="U388" i="9"/>
  <c r="L389" i="9"/>
  <c r="M389" i="9"/>
  <c r="N389" i="9"/>
  <c r="O389" i="9"/>
  <c r="T389" i="9"/>
  <c r="U389" i="9"/>
  <c r="L390" i="9"/>
  <c r="M390" i="9"/>
  <c r="N390" i="9"/>
  <c r="O390" i="9"/>
  <c r="T390" i="9"/>
  <c r="U390" i="9"/>
  <c r="L391" i="9"/>
  <c r="M391" i="9"/>
  <c r="N391" i="9"/>
  <c r="O391" i="9"/>
  <c r="T391" i="9"/>
  <c r="U391" i="9"/>
  <c r="L395" i="9"/>
  <c r="M395" i="9"/>
  <c r="N395" i="9"/>
  <c r="O395" i="9"/>
  <c r="Q395" i="9"/>
  <c r="T395" i="9"/>
  <c r="U395" i="9"/>
  <c r="L396" i="9"/>
  <c r="M396" i="9"/>
  <c r="N396" i="9"/>
  <c r="O396" i="9"/>
  <c r="T396" i="9"/>
  <c r="U396" i="9"/>
  <c r="L397" i="9"/>
  <c r="M397" i="9"/>
  <c r="N397" i="9"/>
  <c r="O397" i="9"/>
  <c r="T397" i="9"/>
  <c r="U397" i="9"/>
  <c r="L398" i="9"/>
  <c r="M398" i="9"/>
  <c r="N398" i="9"/>
  <c r="O398" i="9"/>
  <c r="T398" i="9"/>
  <c r="U398" i="9"/>
  <c r="L399" i="9"/>
  <c r="M399" i="9"/>
  <c r="N399" i="9"/>
  <c r="O399" i="9"/>
  <c r="T399" i="9"/>
  <c r="U399" i="9"/>
  <c r="L400" i="9"/>
  <c r="M400" i="9"/>
  <c r="N400" i="9"/>
  <c r="O400" i="9"/>
  <c r="T400" i="9"/>
  <c r="U400" i="9"/>
  <c r="L401" i="9"/>
  <c r="M401" i="9"/>
  <c r="N401" i="9"/>
  <c r="O401" i="9"/>
  <c r="T401" i="9"/>
  <c r="U401" i="9"/>
  <c r="L402" i="9"/>
  <c r="M402" i="9"/>
  <c r="N402" i="9"/>
  <c r="O402" i="9"/>
  <c r="T402" i="9"/>
  <c r="U402" i="9"/>
  <c r="L403" i="9"/>
  <c r="M403" i="9"/>
  <c r="N403" i="9"/>
  <c r="O403" i="9"/>
  <c r="T403" i="9"/>
  <c r="U403" i="9"/>
  <c r="L404" i="9"/>
  <c r="M404" i="9"/>
  <c r="N404" i="9"/>
  <c r="O404" i="9"/>
  <c r="T404" i="9"/>
  <c r="U404" i="9"/>
  <c r="L405" i="9"/>
  <c r="M405" i="9"/>
  <c r="N405" i="9"/>
  <c r="O405" i="9"/>
  <c r="T405" i="9"/>
  <c r="U405" i="9"/>
  <c r="L406" i="9"/>
  <c r="M406" i="9"/>
  <c r="N406" i="9"/>
  <c r="O406" i="9"/>
  <c r="T406" i="9"/>
  <c r="U406" i="9"/>
  <c r="L407" i="9"/>
  <c r="M407" i="9"/>
  <c r="N407" i="9"/>
  <c r="O407" i="9"/>
  <c r="T407" i="9"/>
  <c r="U407" i="9"/>
  <c r="L408" i="9"/>
  <c r="M408" i="9"/>
  <c r="N408" i="9"/>
  <c r="O408" i="9"/>
  <c r="T408" i="9"/>
  <c r="U408" i="9"/>
  <c r="L409" i="9"/>
  <c r="M409" i="9"/>
  <c r="N409" i="9"/>
  <c r="O409" i="9"/>
  <c r="T409" i="9"/>
  <c r="U409" i="9"/>
  <c r="L410" i="9"/>
  <c r="M410" i="9"/>
  <c r="N410" i="9"/>
  <c r="O410" i="9"/>
  <c r="T410" i="9"/>
  <c r="U410" i="9"/>
  <c r="L413" i="9"/>
  <c r="M413" i="9"/>
  <c r="N413" i="9"/>
  <c r="O413" i="9"/>
  <c r="T413" i="9"/>
  <c r="U413" i="9"/>
  <c r="L414" i="9"/>
  <c r="M414" i="9"/>
  <c r="N414" i="9"/>
  <c r="O414" i="9"/>
  <c r="Q414" i="9"/>
  <c r="T414" i="9"/>
  <c r="U414" i="9"/>
  <c r="L415" i="9"/>
  <c r="M415" i="9"/>
  <c r="N415" i="9"/>
  <c r="O415" i="9"/>
  <c r="Q415" i="9"/>
  <c r="T415" i="9"/>
  <c r="U415" i="9"/>
  <c r="L416" i="9"/>
  <c r="M416" i="9"/>
  <c r="N416" i="9"/>
  <c r="O416" i="9"/>
  <c r="T416" i="9"/>
  <c r="U416" i="9"/>
  <c r="L417" i="9"/>
  <c r="M417" i="9"/>
  <c r="N417" i="9"/>
  <c r="O417" i="9"/>
  <c r="T417" i="9"/>
  <c r="U417" i="9"/>
  <c r="L418" i="9"/>
  <c r="M418" i="9"/>
  <c r="N418" i="9"/>
  <c r="O418" i="9"/>
  <c r="T418" i="9"/>
  <c r="U418" i="9"/>
  <c r="L419" i="9"/>
  <c r="M419" i="9"/>
  <c r="N419" i="9"/>
  <c r="O419" i="9"/>
  <c r="Q419" i="9"/>
  <c r="T419" i="9"/>
  <c r="U419" i="9"/>
  <c r="L420" i="9"/>
  <c r="M420" i="9"/>
  <c r="N420" i="9"/>
  <c r="O420" i="9"/>
  <c r="T420" i="9"/>
  <c r="U420" i="9"/>
  <c r="L421" i="9"/>
  <c r="M421" i="9"/>
  <c r="N421" i="9"/>
  <c r="O421" i="9"/>
  <c r="T421" i="9"/>
  <c r="U421" i="9"/>
  <c r="L422" i="9"/>
  <c r="M422" i="9"/>
  <c r="N422" i="9"/>
  <c r="O422" i="9"/>
  <c r="Q422" i="9"/>
  <c r="T422" i="9"/>
  <c r="U422" i="9"/>
  <c r="L423" i="9"/>
  <c r="M423" i="9"/>
  <c r="N423" i="9"/>
  <c r="O423" i="9"/>
  <c r="Q423" i="9"/>
  <c r="T423" i="9"/>
  <c r="U423" i="9"/>
  <c r="L424" i="9"/>
  <c r="M424" i="9"/>
  <c r="N424" i="9"/>
  <c r="O424" i="9"/>
  <c r="T424" i="9"/>
  <c r="U424" i="9"/>
  <c r="L425" i="9"/>
  <c r="M425" i="9"/>
  <c r="N425" i="9"/>
  <c r="O425" i="9"/>
  <c r="T425" i="9"/>
  <c r="U425" i="9"/>
  <c r="L426" i="9"/>
  <c r="M426" i="9"/>
  <c r="N426" i="9"/>
  <c r="O426" i="9"/>
  <c r="Q426" i="9"/>
  <c r="T426" i="9"/>
  <c r="U426" i="9"/>
  <c r="L427" i="9"/>
  <c r="M427" i="9"/>
  <c r="N427" i="9"/>
  <c r="O427" i="9"/>
  <c r="T427" i="9"/>
  <c r="U427" i="9"/>
  <c r="L428" i="9"/>
  <c r="M428" i="9"/>
  <c r="N428" i="9"/>
  <c r="O428" i="9"/>
  <c r="T428" i="9"/>
  <c r="U428" i="9"/>
  <c r="L429" i="9"/>
  <c r="M429" i="9"/>
  <c r="N429" i="9"/>
  <c r="O429" i="9"/>
  <c r="T429" i="9"/>
  <c r="U429" i="9"/>
  <c r="L430" i="9"/>
  <c r="M430" i="9"/>
  <c r="N430" i="9"/>
  <c r="O430" i="9"/>
  <c r="T430" i="9"/>
  <c r="U430" i="9"/>
  <c r="L431" i="9"/>
  <c r="M431" i="9"/>
  <c r="N431" i="9"/>
  <c r="O431" i="9"/>
  <c r="Q431" i="9"/>
  <c r="T431" i="9"/>
  <c r="U431" i="9"/>
  <c r="L432" i="9"/>
  <c r="M432" i="9"/>
  <c r="N432" i="9"/>
  <c r="O432" i="9"/>
  <c r="T432" i="9"/>
  <c r="U432" i="9"/>
  <c r="L433" i="9"/>
  <c r="M433" i="9"/>
  <c r="N433" i="9"/>
  <c r="O433" i="9"/>
  <c r="T433" i="9"/>
  <c r="U433" i="9"/>
  <c r="L434" i="9"/>
  <c r="M434" i="9"/>
  <c r="N434" i="9"/>
  <c r="O434" i="9"/>
  <c r="T434" i="9"/>
  <c r="U434" i="9"/>
  <c r="L435" i="9"/>
  <c r="M435" i="9"/>
  <c r="N435" i="9"/>
  <c r="O435" i="9"/>
  <c r="Q435" i="9"/>
  <c r="T435" i="9"/>
  <c r="U435" i="9"/>
  <c r="L436" i="9"/>
  <c r="M436" i="9"/>
  <c r="N436" i="9"/>
  <c r="O436" i="9"/>
  <c r="T436" i="9"/>
  <c r="U436" i="9"/>
  <c r="L437" i="9"/>
  <c r="M437" i="9"/>
  <c r="N437" i="9"/>
  <c r="O437" i="9"/>
  <c r="T437" i="9"/>
  <c r="U437" i="9"/>
  <c r="L449" i="9"/>
  <c r="M449" i="9"/>
  <c r="N449" i="9"/>
  <c r="O449" i="9"/>
  <c r="T449" i="9"/>
  <c r="U449" i="9"/>
  <c r="L450" i="9"/>
  <c r="M450" i="9"/>
  <c r="N450" i="9"/>
  <c r="O450" i="9"/>
  <c r="T450" i="9"/>
  <c r="U450" i="9"/>
  <c r="L451" i="9"/>
  <c r="M451" i="9"/>
  <c r="N451" i="9"/>
  <c r="O451" i="9"/>
  <c r="Q451" i="9"/>
  <c r="T451" i="9"/>
  <c r="U451" i="9"/>
  <c r="L452" i="9"/>
  <c r="M452" i="9"/>
  <c r="N452" i="9"/>
  <c r="O452" i="9"/>
  <c r="T452" i="9"/>
  <c r="U452" i="9"/>
  <c r="L453" i="9"/>
  <c r="M453" i="9"/>
  <c r="N453" i="9"/>
  <c r="O453" i="9"/>
  <c r="T453" i="9"/>
  <c r="U453" i="9"/>
  <c r="L454" i="9"/>
  <c r="M454" i="9"/>
  <c r="N454" i="9"/>
  <c r="O454" i="9"/>
  <c r="Q454" i="9"/>
  <c r="T454" i="9"/>
  <c r="U454" i="9"/>
  <c r="L455" i="9"/>
  <c r="M455" i="9"/>
  <c r="N455" i="9"/>
  <c r="O455" i="9"/>
  <c r="T455" i="9"/>
  <c r="U455" i="9"/>
  <c r="L456" i="9"/>
  <c r="M456" i="9"/>
  <c r="N456" i="9"/>
  <c r="O456" i="9"/>
  <c r="T456" i="9"/>
  <c r="U456" i="9"/>
  <c r="L457" i="9"/>
  <c r="M457" i="9"/>
  <c r="N457" i="9"/>
  <c r="O457" i="9"/>
  <c r="T457" i="9"/>
  <c r="U457" i="9"/>
  <c r="L458" i="9"/>
  <c r="M458" i="9"/>
  <c r="N458" i="9"/>
  <c r="O458" i="9"/>
  <c r="T458" i="9"/>
  <c r="U458" i="9"/>
  <c r="L459" i="9"/>
  <c r="M459" i="9"/>
  <c r="N459" i="9"/>
  <c r="O459" i="9"/>
  <c r="Q459" i="9"/>
  <c r="T459" i="9"/>
  <c r="U459" i="9"/>
  <c r="L460" i="9"/>
  <c r="M460" i="9"/>
  <c r="N460" i="9"/>
  <c r="O460" i="9"/>
  <c r="T460" i="9"/>
  <c r="U460" i="9"/>
  <c r="L461" i="9"/>
  <c r="M461" i="9"/>
  <c r="N461" i="9"/>
  <c r="O461" i="9"/>
  <c r="T461" i="9"/>
  <c r="U461" i="9"/>
  <c r="L465" i="9"/>
  <c r="M465" i="9"/>
  <c r="N465" i="9"/>
  <c r="O465" i="9"/>
  <c r="T465" i="9"/>
  <c r="U465" i="9"/>
  <c r="L466" i="9"/>
  <c r="M466" i="9"/>
  <c r="N466" i="9"/>
  <c r="O466" i="9"/>
  <c r="Q466" i="9"/>
  <c r="T466" i="9"/>
  <c r="U466" i="9"/>
  <c r="L467" i="9"/>
  <c r="M467" i="9"/>
  <c r="N467" i="9"/>
  <c r="O467" i="9"/>
  <c r="T467" i="9"/>
  <c r="U467" i="9"/>
  <c r="L468" i="9"/>
  <c r="M468" i="9"/>
  <c r="N468" i="9"/>
  <c r="O468" i="9"/>
  <c r="T468" i="9"/>
  <c r="U468" i="9"/>
  <c r="L469" i="9"/>
  <c r="M469" i="9"/>
  <c r="N469" i="9"/>
  <c r="O469" i="9"/>
  <c r="Q469" i="9"/>
  <c r="T469" i="9"/>
  <c r="U469" i="9"/>
  <c r="L470" i="9"/>
  <c r="M470" i="9"/>
  <c r="N470" i="9"/>
  <c r="O470" i="9"/>
  <c r="Q470" i="9"/>
  <c r="T470" i="9"/>
  <c r="U470" i="9"/>
  <c r="L471" i="9"/>
  <c r="M471" i="9"/>
  <c r="N471" i="9"/>
  <c r="O471" i="9"/>
  <c r="T471" i="9"/>
  <c r="U471" i="9"/>
  <c r="L472" i="9"/>
  <c r="M472" i="9"/>
  <c r="N472" i="9"/>
  <c r="O472" i="9"/>
  <c r="T472" i="9"/>
  <c r="U472" i="9"/>
  <c r="L473" i="9"/>
  <c r="M473" i="9"/>
  <c r="N473" i="9"/>
  <c r="O473" i="9"/>
  <c r="Q473" i="9"/>
  <c r="T473" i="9"/>
  <c r="U473" i="9"/>
  <c r="L474" i="9"/>
  <c r="M474" i="9"/>
  <c r="N474" i="9"/>
  <c r="O474" i="9"/>
  <c r="Q474" i="9"/>
  <c r="T474" i="9"/>
  <c r="U474" i="9"/>
  <c r="L475" i="9"/>
  <c r="M475" i="9"/>
  <c r="N475" i="9"/>
  <c r="O475" i="9"/>
  <c r="T475" i="9"/>
  <c r="U475" i="9"/>
  <c r="L476" i="9"/>
  <c r="M476" i="9"/>
  <c r="N476" i="9"/>
  <c r="O476" i="9"/>
  <c r="T476" i="9"/>
  <c r="U476" i="9"/>
  <c r="L477" i="9"/>
  <c r="M477" i="9"/>
  <c r="N477" i="9"/>
  <c r="O477" i="9"/>
  <c r="T477" i="9"/>
  <c r="U477" i="9"/>
  <c r="L481" i="9"/>
  <c r="M481" i="9"/>
  <c r="N481" i="9"/>
  <c r="O481" i="9"/>
  <c r="Q481" i="9"/>
  <c r="T481" i="9"/>
  <c r="U481" i="9"/>
  <c r="L482" i="9"/>
  <c r="M482" i="9"/>
  <c r="N482" i="9"/>
  <c r="O482" i="9"/>
  <c r="T482" i="9"/>
  <c r="U482" i="9"/>
  <c r="L483" i="9"/>
  <c r="M483" i="9"/>
  <c r="N483" i="9"/>
  <c r="O483" i="9"/>
  <c r="T483" i="9"/>
  <c r="U483" i="9"/>
  <c r="L484" i="9"/>
  <c r="M484" i="9"/>
  <c r="N484" i="9"/>
  <c r="O484" i="9"/>
  <c r="T484" i="9"/>
  <c r="U484" i="9"/>
  <c r="L485" i="9"/>
  <c r="M485" i="9"/>
  <c r="N485" i="9"/>
  <c r="O485" i="9"/>
  <c r="Q485" i="9"/>
  <c r="T485" i="9"/>
  <c r="U485" i="9"/>
  <c r="L486" i="9"/>
  <c r="M486" i="9"/>
  <c r="N486" i="9"/>
  <c r="O486" i="9"/>
  <c r="T486" i="9"/>
  <c r="U486" i="9"/>
  <c r="L487" i="9"/>
  <c r="M487" i="9"/>
  <c r="N487" i="9"/>
  <c r="O487" i="9"/>
  <c r="T487" i="9"/>
  <c r="U487" i="9"/>
  <c r="L488" i="9"/>
  <c r="M488" i="9"/>
  <c r="N488" i="9"/>
  <c r="O488" i="9"/>
  <c r="Q488" i="9"/>
  <c r="T488" i="9"/>
  <c r="U488" i="9"/>
  <c r="L489" i="9"/>
  <c r="M489" i="9"/>
  <c r="N489" i="9"/>
  <c r="O489" i="9"/>
  <c r="T489" i="9"/>
  <c r="U489" i="9"/>
  <c r="L490" i="9"/>
  <c r="M490" i="9"/>
  <c r="N490" i="9"/>
  <c r="O490" i="9"/>
  <c r="T490" i="9"/>
  <c r="U490" i="9"/>
  <c r="L491" i="9"/>
  <c r="M491" i="9"/>
  <c r="N491" i="9"/>
  <c r="O491" i="9"/>
  <c r="T491" i="9"/>
  <c r="U491" i="9"/>
  <c r="L492" i="9"/>
  <c r="M492" i="9"/>
  <c r="N492" i="9"/>
  <c r="O492" i="9"/>
  <c r="Q492" i="9"/>
  <c r="T492" i="9"/>
  <c r="U492" i="9"/>
  <c r="L493" i="9"/>
  <c r="M493" i="9"/>
  <c r="N493" i="9"/>
  <c r="O493" i="9"/>
  <c r="Q493" i="9"/>
  <c r="T493" i="9"/>
  <c r="U493" i="9"/>
  <c r="L494" i="9"/>
  <c r="M494" i="9"/>
  <c r="N494" i="9"/>
  <c r="O494" i="9"/>
  <c r="T494" i="9"/>
  <c r="U494" i="9"/>
  <c r="L495" i="9"/>
  <c r="M495" i="9"/>
  <c r="N495" i="9"/>
  <c r="O495" i="9"/>
  <c r="T495" i="9"/>
  <c r="U495" i="9"/>
  <c r="L496" i="9"/>
  <c r="M496" i="9"/>
  <c r="N496" i="9"/>
  <c r="O496" i="9"/>
  <c r="T496" i="9"/>
  <c r="U496" i="9"/>
  <c r="L500" i="9"/>
  <c r="M500" i="9"/>
  <c r="N500" i="9"/>
  <c r="O500" i="9"/>
  <c r="Q500" i="9"/>
  <c r="U500" i="9"/>
  <c r="L501" i="9"/>
  <c r="M501" i="9"/>
  <c r="N501" i="9"/>
  <c r="O501" i="9"/>
  <c r="T501" i="9"/>
  <c r="U501" i="9"/>
  <c r="L502" i="9"/>
  <c r="M502" i="9"/>
  <c r="N502" i="9"/>
  <c r="O502" i="9"/>
  <c r="T502" i="9"/>
  <c r="U502" i="9"/>
  <c r="L503" i="9"/>
  <c r="M503" i="9"/>
  <c r="N503" i="9"/>
  <c r="O503" i="9"/>
  <c r="Q503" i="9"/>
  <c r="T503" i="9"/>
  <c r="U503" i="9"/>
  <c r="L504" i="9"/>
  <c r="M504" i="9"/>
  <c r="N504" i="9"/>
  <c r="O504" i="9"/>
  <c r="T504" i="9"/>
  <c r="U504" i="9"/>
  <c r="L505" i="9"/>
  <c r="M505" i="9"/>
  <c r="N505" i="9"/>
  <c r="O505" i="9"/>
  <c r="T505" i="9"/>
  <c r="U505" i="9"/>
  <c r="L506" i="9"/>
  <c r="M506" i="9"/>
  <c r="N506" i="9"/>
  <c r="O506" i="9"/>
  <c r="T506" i="9"/>
  <c r="U506" i="9"/>
  <c r="L507" i="9"/>
  <c r="M507" i="9"/>
  <c r="N507" i="9"/>
  <c r="O507" i="9"/>
  <c r="Q507" i="9"/>
  <c r="T507" i="9"/>
  <c r="U507" i="9"/>
  <c r="L508" i="9"/>
  <c r="M508" i="9"/>
  <c r="N508" i="9"/>
  <c r="O508" i="9"/>
  <c r="Q508" i="9"/>
  <c r="T508" i="9"/>
  <c r="U508" i="9"/>
  <c r="L509" i="9"/>
  <c r="M509" i="9"/>
  <c r="N509" i="9"/>
  <c r="O509" i="9"/>
  <c r="T509" i="9"/>
  <c r="U509" i="9"/>
  <c r="L510" i="9"/>
  <c r="M510" i="9"/>
  <c r="N510" i="9"/>
  <c r="O510" i="9"/>
  <c r="T510" i="9"/>
  <c r="U510" i="9"/>
  <c r="L511" i="9"/>
  <c r="M511" i="9"/>
  <c r="N511" i="9"/>
  <c r="O511" i="9"/>
  <c r="Q511" i="9"/>
  <c r="T511" i="9"/>
  <c r="U511" i="9"/>
  <c r="L512" i="9"/>
  <c r="M512" i="9"/>
  <c r="N512" i="9"/>
  <c r="O512" i="9"/>
  <c r="T512" i="9"/>
  <c r="U512" i="9"/>
  <c r="L513" i="9"/>
  <c r="M513" i="9"/>
  <c r="N513" i="9"/>
  <c r="O513" i="9"/>
  <c r="T513" i="9"/>
  <c r="U513" i="9"/>
  <c r="L514" i="9"/>
  <c r="M514" i="9"/>
  <c r="N514" i="9"/>
  <c r="O514" i="9"/>
  <c r="T514" i="9"/>
  <c r="U514" i="9"/>
  <c r="L515" i="9"/>
  <c r="M515" i="9"/>
  <c r="N515" i="9"/>
  <c r="O515" i="9"/>
  <c r="T515" i="9"/>
  <c r="U515" i="9"/>
  <c r="L516" i="9"/>
  <c r="M516" i="9"/>
  <c r="N516" i="9"/>
  <c r="O516" i="9"/>
  <c r="Q516" i="9"/>
  <c r="T516" i="9"/>
  <c r="U516" i="9"/>
  <c r="L517" i="9"/>
  <c r="M517" i="9"/>
  <c r="N517" i="9"/>
  <c r="O517" i="9"/>
  <c r="T517" i="9"/>
  <c r="U517" i="9"/>
  <c r="L518" i="9"/>
  <c r="M518" i="9"/>
  <c r="N518" i="9"/>
  <c r="O518" i="9"/>
  <c r="T518" i="9"/>
  <c r="U518" i="9"/>
  <c r="L519" i="9"/>
  <c r="M519" i="9"/>
  <c r="N519" i="9"/>
  <c r="O519" i="9"/>
  <c r="T519" i="9"/>
  <c r="U519" i="9"/>
  <c r="L520" i="9"/>
  <c r="M520" i="9"/>
  <c r="N520" i="9"/>
  <c r="O520" i="9"/>
  <c r="Q520" i="9"/>
  <c r="T520" i="9"/>
  <c r="U520" i="9"/>
  <c r="L521" i="9"/>
  <c r="M521" i="9"/>
  <c r="N521" i="9"/>
  <c r="O521" i="9"/>
  <c r="T521" i="9"/>
  <c r="U521" i="9"/>
  <c r="L522" i="9"/>
  <c r="M522" i="9"/>
  <c r="N522" i="9"/>
  <c r="O522" i="9"/>
  <c r="T522" i="9"/>
  <c r="U522" i="9"/>
  <c r="L523" i="9"/>
  <c r="M523" i="9"/>
  <c r="N523" i="9"/>
  <c r="O523" i="9"/>
  <c r="Q523" i="9"/>
  <c r="T523" i="9"/>
  <c r="U523" i="9"/>
  <c r="L524" i="9"/>
  <c r="M524" i="9"/>
  <c r="N524" i="9"/>
  <c r="O524" i="9"/>
  <c r="T524" i="9"/>
  <c r="U524" i="9"/>
  <c r="L525" i="9"/>
  <c r="M525" i="9"/>
  <c r="N525" i="9"/>
  <c r="O525" i="9"/>
  <c r="T525" i="9"/>
  <c r="U525" i="9"/>
  <c r="L526" i="9"/>
  <c r="M526" i="9"/>
  <c r="N526" i="9"/>
  <c r="O526" i="9"/>
  <c r="T526" i="9"/>
  <c r="U526" i="9"/>
  <c r="L535" i="9"/>
  <c r="M535" i="9"/>
  <c r="N535" i="9"/>
  <c r="O535" i="9"/>
  <c r="T535" i="9"/>
  <c r="U535" i="9"/>
  <c r="L536" i="9"/>
  <c r="M536" i="9"/>
  <c r="N536" i="9"/>
  <c r="O536" i="9"/>
  <c r="Q536" i="9"/>
  <c r="T536" i="9"/>
  <c r="U536" i="9"/>
  <c r="L537" i="9"/>
  <c r="M537" i="9"/>
  <c r="N537" i="9"/>
  <c r="O537" i="9"/>
  <c r="T537" i="9"/>
  <c r="U537" i="9"/>
  <c r="L538" i="9"/>
  <c r="M538" i="9"/>
  <c r="N538" i="9"/>
  <c r="O538" i="9"/>
  <c r="T538" i="9"/>
  <c r="U538" i="9"/>
  <c r="L539" i="9"/>
  <c r="M539" i="9"/>
  <c r="N539" i="9"/>
  <c r="O539" i="9"/>
  <c r="Q539" i="9"/>
  <c r="T539" i="9"/>
  <c r="U539" i="9"/>
  <c r="L540" i="9"/>
  <c r="M540" i="9"/>
  <c r="N540" i="9"/>
  <c r="O540" i="9"/>
  <c r="Q540" i="9"/>
  <c r="T540" i="9"/>
  <c r="U540" i="9"/>
  <c r="L541" i="9"/>
  <c r="A541" i="9" s="1"/>
  <c r="O18" i="103" s="1"/>
  <c r="M541" i="9"/>
  <c r="N541" i="9"/>
  <c r="O541" i="9"/>
  <c r="T541" i="9"/>
  <c r="I541" i="9" s="1"/>
  <c r="J208" i="48" s="1"/>
  <c r="U541" i="9"/>
  <c r="J541" i="9" s="1"/>
  <c r="K208" i="48" s="1"/>
  <c r="E542" i="9"/>
  <c r="L542" i="9"/>
  <c r="A542" i="9" s="1"/>
  <c r="M542" i="9"/>
  <c r="B542" i="9" s="1"/>
  <c r="N542" i="9"/>
  <c r="C542" i="9" s="1"/>
  <c r="Q19" i="103" s="1"/>
  <c r="O542" i="9"/>
  <c r="D542" i="9" s="1"/>
  <c r="E209" i="48" s="1"/>
  <c r="T542" i="9"/>
  <c r="I542" i="9" s="1"/>
  <c r="J209" i="48" s="1"/>
  <c r="U542" i="9"/>
  <c r="J542" i="9" s="1"/>
  <c r="K209" i="48" s="1"/>
  <c r="E543" i="9"/>
  <c r="L543" i="9"/>
  <c r="A543" i="9" s="1"/>
  <c r="O20" i="103" s="1"/>
  <c r="M543" i="9"/>
  <c r="B543" i="9" s="1"/>
  <c r="N543" i="9"/>
  <c r="C543" i="9" s="1"/>
  <c r="D210" i="48" s="1"/>
  <c r="O543" i="9"/>
  <c r="D543" i="9" s="1"/>
  <c r="E210" i="48" s="1"/>
  <c r="Q543" i="9"/>
  <c r="T543" i="9"/>
  <c r="I543" i="9" s="1"/>
  <c r="J210" i="48" s="1"/>
  <c r="U543" i="9"/>
  <c r="J543" i="9" s="1"/>
  <c r="K210" i="48" s="1"/>
  <c r="E544" i="9"/>
  <c r="L544" i="9"/>
  <c r="A544" i="9" s="1"/>
  <c r="O21" i="103" s="1"/>
  <c r="M544" i="9"/>
  <c r="B544" i="9" s="1"/>
  <c r="C211" i="48" s="1"/>
  <c r="N544" i="9"/>
  <c r="C544" i="9" s="1"/>
  <c r="O544" i="9"/>
  <c r="D544" i="9" s="1"/>
  <c r="E211" i="48" s="1"/>
  <c r="Q544" i="9"/>
  <c r="T544" i="9"/>
  <c r="I544" i="9" s="1"/>
  <c r="J211" i="48" s="1"/>
  <c r="U544" i="9"/>
  <c r="J544" i="9" s="1"/>
  <c r="K211" i="48" s="1"/>
  <c r="E545" i="9"/>
  <c r="L545" i="9"/>
  <c r="A545" i="9" s="1"/>
  <c r="O22" i="103" s="1"/>
  <c r="M545" i="9"/>
  <c r="B545" i="9" s="1"/>
  <c r="N545" i="9"/>
  <c r="C545" i="9" s="1"/>
  <c r="Q22" i="103" s="1"/>
  <c r="O545" i="9"/>
  <c r="D545" i="9" s="1"/>
  <c r="E212" i="48" s="1"/>
  <c r="T545" i="9"/>
  <c r="I545" i="9" s="1"/>
  <c r="J212" i="48" s="1"/>
  <c r="U545" i="9"/>
  <c r="J545" i="9" s="1"/>
  <c r="K212" i="48" s="1"/>
  <c r="L546" i="9"/>
  <c r="M546" i="9"/>
  <c r="N546" i="9"/>
  <c r="O546" i="9"/>
  <c r="T546" i="9"/>
  <c r="U546" i="9"/>
  <c r="L547" i="9"/>
  <c r="M547" i="9"/>
  <c r="N547" i="9"/>
  <c r="O547" i="9"/>
  <c r="Q547" i="9"/>
  <c r="T547" i="9"/>
  <c r="U547" i="9"/>
  <c r="L548" i="9"/>
  <c r="M548" i="9"/>
  <c r="N548" i="9"/>
  <c r="O548" i="9"/>
  <c r="T548" i="9"/>
  <c r="U548" i="9"/>
  <c r="E549" i="9"/>
  <c r="L549" i="9"/>
  <c r="A549" i="9" s="1"/>
  <c r="B214" i="48" s="1"/>
  <c r="M549" i="9"/>
  <c r="B549" i="9" s="1"/>
  <c r="N549" i="9"/>
  <c r="C549" i="9" s="1"/>
  <c r="O549" i="9"/>
  <c r="D549" i="9" s="1"/>
  <c r="E214" i="48" s="1"/>
  <c r="T549" i="9"/>
  <c r="I549" i="9" s="1"/>
  <c r="J214" i="48" s="1"/>
  <c r="U549" i="9"/>
  <c r="J549" i="9" s="1"/>
  <c r="K214" i="48" s="1"/>
  <c r="E550" i="9"/>
  <c r="L550" i="9"/>
  <c r="A550" i="9" s="1"/>
  <c r="M550" i="9"/>
  <c r="B550" i="9" s="1"/>
  <c r="N550" i="9"/>
  <c r="C550" i="9" s="1"/>
  <c r="D24" i="75" s="1"/>
  <c r="O550" i="9"/>
  <c r="D550" i="9" s="1"/>
  <c r="E215" i="48" s="1"/>
  <c r="T550" i="9"/>
  <c r="I550" i="9" s="1"/>
  <c r="J215" i="48" s="1"/>
  <c r="U550" i="9"/>
  <c r="J550" i="9" s="1"/>
  <c r="K215" i="48" s="1"/>
  <c r="E551" i="9"/>
  <c r="L551" i="9"/>
  <c r="A551" i="9" s="1"/>
  <c r="M551" i="9"/>
  <c r="B551" i="9" s="1"/>
  <c r="C216" i="48" s="1"/>
  <c r="N551" i="9"/>
  <c r="C551" i="9" s="1"/>
  <c r="D12" i="16" s="1"/>
  <c r="O551" i="9"/>
  <c r="D551" i="9" s="1"/>
  <c r="E216" i="48" s="1"/>
  <c r="T551" i="9"/>
  <c r="I551" i="9" s="1"/>
  <c r="J216" i="48" s="1"/>
  <c r="U551" i="9"/>
  <c r="J551" i="9" s="1"/>
  <c r="K216" i="48" s="1"/>
  <c r="E552" i="9"/>
  <c r="L552" i="9"/>
  <c r="A552" i="9" s="1"/>
  <c r="B217" i="48" s="1"/>
  <c r="M552" i="9"/>
  <c r="B552" i="9" s="1"/>
  <c r="N552" i="9"/>
  <c r="C552" i="9" s="1"/>
  <c r="O552" i="9"/>
  <c r="D552" i="9" s="1"/>
  <c r="E217" i="48" s="1"/>
  <c r="Q552" i="9"/>
  <c r="T552" i="9"/>
  <c r="I552" i="9" s="1"/>
  <c r="J217" i="48" s="1"/>
  <c r="U552" i="9"/>
  <c r="J552" i="9" s="1"/>
  <c r="K217" i="48" s="1"/>
  <c r="L553" i="9"/>
  <c r="A553" i="9" s="1"/>
  <c r="M553" i="9"/>
  <c r="B553" i="9" s="1"/>
  <c r="C218" i="48" s="1"/>
  <c r="N553" i="9"/>
  <c r="C553" i="9" s="1"/>
  <c r="D218" i="48" s="1"/>
  <c r="O553" i="9"/>
  <c r="D553" i="9" s="1"/>
  <c r="E218" i="48" s="1"/>
  <c r="T553" i="9"/>
  <c r="I553" i="9" s="1"/>
  <c r="J218" i="48" s="1"/>
  <c r="U553" i="9"/>
  <c r="J553" i="9" s="1"/>
  <c r="K218" i="48" s="1"/>
  <c r="L554" i="9"/>
  <c r="A554" i="9" s="1"/>
  <c r="M554" i="9"/>
  <c r="B554" i="9" s="1"/>
  <c r="N554" i="9"/>
  <c r="C554" i="9" s="1"/>
  <c r="O554" i="9"/>
  <c r="D554" i="9" s="1"/>
  <c r="E219" i="48" s="1"/>
  <c r="T554" i="9"/>
  <c r="I554" i="9" s="1"/>
  <c r="J219" i="48" s="1"/>
  <c r="U554" i="9"/>
  <c r="J554" i="9" s="1"/>
  <c r="K219" i="48" s="1"/>
  <c r="L555" i="9"/>
  <c r="M555" i="9"/>
  <c r="N555" i="9"/>
  <c r="O555" i="9"/>
  <c r="T555" i="9"/>
  <c r="U555" i="9"/>
  <c r="L556" i="9"/>
  <c r="M556" i="9"/>
  <c r="N556" i="9"/>
  <c r="O556" i="9"/>
  <c r="Q556" i="9"/>
  <c r="T556" i="9"/>
  <c r="U556" i="9"/>
  <c r="L557" i="9"/>
  <c r="M557" i="9"/>
  <c r="N557" i="9"/>
  <c r="O557" i="9"/>
  <c r="T557" i="9"/>
  <c r="U557" i="9"/>
  <c r="L558" i="9"/>
  <c r="M558" i="9"/>
  <c r="N558" i="9"/>
  <c r="O558" i="9"/>
  <c r="T558" i="9"/>
  <c r="U558" i="9"/>
  <c r="L559" i="9"/>
  <c r="M559" i="9"/>
  <c r="N559" i="9"/>
  <c r="O559" i="9"/>
  <c r="Q559" i="9"/>
  <c r="T559" i="9"/>
  <c r="U559" i="9"/>
  <c r="L560" i="9"/>
  <c r="M560" i="9"/>
  <c r="N560" i="9"/>
  <c r="O560" i="9"/>
  <c r="Q560" i="9"/>
  <c r="T560" i="9"/>
  <c r="U560" i="9"/>
  <c r="L561" i="9"/>
  <c r="M561" i="9"/>
  <c r="N561" i="9"/>
  <c r="O561" i="9"/>
  <c r="T561" i="9"/>
  <c r="U561" i="9"/>
  <c r="L562" i="9"/>
  <c r="M562" i="9"/>
  <c r="N562" i="9"/>
  <c r="O562" i="9"/>
  <c r="T562" i="9"/>
  <c r="U562" i="9"/>
  <c r="L563" i="9"/>
  <c r="M563" i="9"/>
  <c r="N563" i="9"/>
  <c r="O563" i="9"/>
  <c r="T563" i="9"/>
  <c r="U563" i="9"/>
  <c r="L564" i="9"/>
  <c r="M564" i="9"/>
  <c r="N564" i="9"/>
  <c r="O564" i="9"/>
  <c r="Q564" i="9"/>
  <c r="T564" i="9"/>
  <c r="U564" i="9"/>
  <c r="L565" i="9"/>
  <c r="M565" i="9"/>
  <c r="N565" i="9"/>
  <c r="O565" i="9"/>
  <c r="T565" i="9"/>
  <c r="U565" i="9"/>
  <c r="L566" i="9"/>
  <c r="M566" i="9"/>
  <c r="N566" i="9"/>
  <c r="O566" i="9"/>
  <c r="T566" i="9"/>
  <c r="U566" i="9"/>
  <c r="E567" i="9"/>
  <c r="L567" i="9"/>
  <c r="A567" i="9" s="1"/>
  <c r="M567" i="9"/>
  <c r="B567" i="9" s="1"/>
  <c r="C3" i="75" s="1"/>
  <c r="N567" i="9"/>
  <c r="C567" i="9" s="1"/>
  <c r="D3" i="75" s="1"/>
  <c r="O567" i="9"/>
  <c r="D567" i="9" s="1"/>
  <c r="E221" i="48" s="1"/>
  <c r="Q567" i="9"/>
  <c r="T567" i="9"/>
  <c r="I567" i="9" s="1"/>
  <c r="J221" i="48" s="1"/>
  <c r="U567" i="9"/>
  <c r="J567" i="9" s="1"/>
  <c r="K221" i="48" s="1"/>
  <c r="E568" i="9"/>
  <c r="L568" i="9"/>
  <c r="A568" i="9" s="1"/>
  <c r="B222" i="48" s="1"/>
  <c r="M568" i="9"/>
  <c r="B568" i="9" s="1"/>
  <c r="C4" i="75" s="1"/>
  <c r="N568" i="9"/>
  <c r="C568" i="9" s="1"/>
  <c r="D4" i="75" s="1"/>
  <c r="O568" i="9"/>
  <c r="D568" i="9" s="1"/>
  <c r="E222" i="48" s="1"/>
  <c r="Q568" i="9"/>
  <c r="T568" i="9"/>
  <c r="I568" i="9" s="1"/>
  <c r="J222" i="48" s="1"/>
  <c r="U568" i="9"/>
  <c r="J568" i="9" s="1"/>
  <c r="K222" i="48" s="1"/>
  <c r="E569" i="9"/>
  <c r="L569" i="9"/>
  <c r="A569" i="9" s="1"/>
  <c r="M569" i="9"/>
  <c r="B569" i="9" s="1"/>
  <c r="C223" i="48" s="1"/>
  <c r="N569" i="9"/>
  <c r="C569" i="9" s="1"/>
  <c r="D10" i="75" s="1"/>
  <c r="O569" i="9"/>
  <c r="D569" i="9" s="1"/>
  <c r="E223" i="48" s="1"/>
  <c r="T569" i="9"/>
  <c r="I569" i="9" s="1"/>
  <c r="J223" i="48" s="1"/>
  <c r="U569" i="9"/>
  <c r="J569" i="9" s="1"/>
  <c r="K223" i="48" s="1"/>
  <c r="E570" i="9"/>
  <c r="L570" i="9"/>
  <c r="A570" i="9" s="1"/>
  <c r="M570" i="9"/>
  <c r="B570" i="9" s="1"/>
  <c r="N570" i="9"/>
  <c r="C570" i="9" s="1"/>
  <c r="D8" i="75" s="1"/>
  <c r="O570" i="9"/>
  <c r="D570" i="9" s="1"/>
  <c r="E224" i="48" s="1"/>
  <c r="T570" i="9"/>
  <c r="I570" i="9" s="1"/>
  <c r="J224" i="48" s="1"/>
  <c r="U570" i="9"/>
  <c r="J570" i="9" s="1"/>
  <c r="K224" i="48" s="1"/>
  <c r="E571" i="9"/>
  <c r="L571" i="9"/>
  <c r="A571" i="9" s="1"/>
  <c r="M571" i="9"/>
  <c r="B571" i="9" s="1"/>
  <c r="C225" i="48" s="1"/>
  <c r="N571" i="9"/>
  <c r="C571" i="9" s="1"/>
  <c r="D9" i="75" s="1"/>
  <c r="O571" i="9"/>
  <c r="D571" i="9" s="1"/>
  <c r="E225" i="48" s="1"/>
  <c r="Q571" i="9"/>
  <c r="T571" i="9"/>
  <c r="I571" i="9" s="1"/>
  <c r="J225" i="48" s="1"/>
  <c r="U571" i="9"/>
  <c r="J571" i="9" s="1"/>
  <c r="K225" i="48" s="1"/>
  <c r="E572" i="9"/>
  <c r="L572" i="9"/>
  <c r="A572" i="9" s="1"/>
  <c r="M572" i="9"/>
  <c r="B572" i="9" s="1"/>
  <c r="C22" i="75" s="1"/>
  <c r="N572" i="9"/>
  <c r="C572" i="9" s="1"/>
  <c r="D22" i="75" s="1"/>
  <c r="O572" i="9"/>
  <c r="D572" i="9" s="1"/>
  <c r="E226" i="48" s="1"/>
  <c r="T572" i="9"/>
  <c r="I572" i="9" s="1"/>
  <c r="J226" i="48" s="1"/>
  <c r="U572" i="9"/>
  <c r="J572" i="9" s="1"/>
  <c r="K226" i="48" s="1"/>
  <c r="E573" i="9"/>
  <c r="L573" i="9"/>
  <c r="A573" i="9" s="1"/>
  <c r="B227" i="48" s="1"/>
  <c r="M573" i="9"/>
  <c r="B573" i="9" s="1"/>
  <c r="C21" i="75" s="1"/>
  <c r="N573" i="9"/>
  <c r="C573" i="9" s="1"/>
  <c r="O573" i="9"/>
  <c r="D573" i="9" s="1"/>
  <c r="E227" i="48" s="1"/>
  <c r="T573" i="9"/>
  <c r="I573" i="9" s="1"/>
  <c r="J227" i="48" s="1"/>
  <c r="U573" i="9"/>
  <c r="J573" i="9" s="1"/>
  <c r="K227" i="48" s="1"/>
  <c r="E574" i="9"/>
  <c r="L574" i="9"/>
  <c r="A574" i="9" s="1"/>
  <c r="M574" i="9"/>
  <c r="B574" i="9" s="1"/>
  <c r="C27" i="75" s="1"/>
  <c r="N574" i="9"/>
  <c r="C574" i="9" s="1"/>
  <c r="D228" i="48" s="1"/>
  <c r="O574" i="9"/>
  <c r="D574" i="9" s="1"/>
  <c r="E228" i="48" s="1"/>
  <c r="T574" i="9"/>
  <c r="I574" i="9" s="1"/>
  <c r="J228" i="48" s="1"/>
  <c r="U574" i="9"/>
  <c r="J574" i="9" s="1"/>
  <c r="K228" i="48" s="1"/>
  <c r="E575" i="9"/>
  <c r="L575" i="9"/>
  <c r="A575" i="9" s="1"/>
  <c r="M575" i="9"/>
  <c r="B575" i="9" s="1"/>
  <c r="N575" i="9"/>
  <c r="C575" i="9" s="1"/>
  <c r="D23" i="75" s="1"/>
  <c r="O575" i="9"/>
  <c r="D575" i="9" s="1"/>
  <c r="E229" i="48" s="1"/>
  <c r="T575" i="9"/>
  <c r="I575" i="9" s="1"/>
  <c r="J229" i="48" s="1"/>
  <c r="U575" i="9"/>
  <c r="J575" i="9" s="1"/>
  <c r="K229" i="48" s="1"/>
  <c r="E576" i="9"/>
  <c r="L576" i="9"/>
  <c r="A576" i="9" s="1"/>
  <c r="B230" i="48" s="1"/>
  <c r="M576" i="9"/>
  <c r="B576" i="9" s="1"/>
  <c r="C230" i="48" s="1"/>
  <c r="N576" i="9"/>
  <c r="C576" i="9" s="1"/>
  <c r="D230" i="48" s="1"/>
  <c r="O576" i="9"/>
  <c r="D576" i="9" s="1"/>
  <c r="E230" i="48" s="1"/>
  <c r="T576" i="9"/>
  <c r="I576" i="9" s="1"/>
  <c r="J230" i="48" s="1"/>
  <c r="U576" i="9"/>
  <c r="J576" i="9" s="1"/>
  <c r="K230" i="48" s="1"/>
  <c r="E577" i="9"/>
  <c r="L577" i="9"/>
  <c r="A577" i="9" s="1"/>
  <c r="B18" i="75" s="1"/>
  <c r="M577" i="9"/>
  <c r="B577" i="9" s="1"/>
  <c r="C231" i="48" s="1"/>
  <c r="N577" i="9"/>
  <c r="C577" i="9" s="1"/>
  <c r="O577" i="9"/>
  <c r="D577" i="9" s="1"/>
  <c r="E231" i="48" s="1"/>
  <c r="T577" i="9"/>
  <c r="I577" i="9" s="1"/>
  <c r="J231" i="48" s="1"/>
  <c r="U577" i="9"/>
  <c r="J577" i="9" s="1"/>
  <c r="K231" i="48" s="1"/>
  <c r="E578" i="9"/>
  <c r="L578" i="9"/>
  <c r="A578" i="9" s="1"/>
  <c r="B232" i="48" s="1"/>
  <c r="M578" i="9"/>
  <c r="B578" i="9" s="1"/>
  <c r="C232" i="48" s="1"/>
  <c r="N578" i="9"/>
  <c r="C578" i="9" s="1"/>
  <c r="D19" i="75" s="1"/>
  <c r="O578" i="9"/>
  <c r="D578" i="9" s="1"/>
  <c r="E232" i="48" s="1"/>
  <c r="T578" i="9"/>
  <c r="I578" i="9" s="1"/>
  <c r="J232" i="48" s="1"/>
  <c r="U578" i="9"/>
  <c r="J578" i="9" s="1"/>
  <c r="K232" i="48" s="1"/>
  <c r="E579" i="9"/>
  <c r="L579" i="9"/>
  <c r="A579" i="9" s="1"/>
  <c r="M579" i="9"/>
  <c r="B579" i="9" s="1"/>
  <c r="C20" i="75" s="1"/>
  <c r="N579" i="9"/>
  <c r="C579" i="9" s="1"/>
  <c r="D20" i="75" s="1"/>
  <c r="O579" i="9"/>
  <c r="D579" i="9" s="1"/>
  <c r="E233" i="48" s="1"/>
  <c r="T579" i="9"/>
  <c r="I579" i="9" s="1"/>
  <c r="J233" i="48" s="1"/>
  <c r="U579" i="9"/>
  <c r="J579" i="9" s="1"/>
  <c r="K233" i="48" s="1"/>
  <c r="E580" i="9"/>
  <c r="L580" i="9"/>
  <c r="A580" i="9" s="1"/>
  <c r="B234" i="48" s="1"/>
  <c r="M580" i="9"/>
  <c r="B580" i="9" s="1"/>
  <c r="C234" i="48" s="1"/>
  <c r="N580" i="9"/>
  <c r="C580" i="9" s="1"/>
  <c r="D12" i="75" s="1"/>
  <c r="O580" i="9"/>
  <c r="D580" i="9" s="1"/>
  <c r="E234" i="48" s="1"/>
  <c r="Q580" i="9"/>
  <c r="T580" i="9"/>
  <c r="I580" i="9" s="1"/>
  <c r="J234" i="48" s="1"/>
  <c r="U580" i="9"/>
  <c r="J580" i="9" s="1"/>
  <c r="K234" i="48" s="1"/>
  <c r="E581" i="9"/>
  <c r="L581" i="9"/>
  <c r="A581" i="9" s="1"/>
  <c r="B14" i="75" s="1"/>
  <c r="M581" i="9"/>
  <c r="B581" i="9" s="1"/>
  <c r="C235" i="48" s="1"/>
  <c r="N581" i="9"/>
  <c r="C581" i="9" s="1"/>
  <c r="D235" i="48" s="1"/>
  <c r="O581" i="9"/>
  <c r="D581" i="9" s="1"/>
  <c r="E235" i="48" s="1"/>
  <c r="T581" i="9"/>
  <c r="I581" i="9" s="1"/>
  <c r="J235" i="48" s="1"/>
  <c r="U581" i="9"/>
  <c r="J581" i="9" s="1"/>
  <c r="K235" i="48" s="1"/>
  <c r="E582" i="9"/>
  <c r="L582" i="9"/>
  <c r="A582" i="9" s="1"/>
  <c r="B13" i="75" s="1"/>
  <c r="M582" i="9"/>
  <c r="B582" i="9" s="1"/>
  <c r="N582" i="9"/>
  <c r="C582" i="9" s="1"/>
  <c r="D13" i="75" s="1"/>
  <c r="O582" i="9"/>
  <c r="D582" i="9" s="1"/>
  <c r="E236" i="48" s="1"/>
  <c r="T582" i="9"/>
  <c r="I582" i="9" s="1"/>
  <c r="J236" i="48" s="1"/>
  <c r="U582" i="9"/>
  <c r="J582" i="9" s="1"/>
  <c r="K236" i="48" s="1"/>
  <c r="E583" i="9"/>
  <c r="L583" i="9"/>
  <c r="A583" i="9" s="1"/>
  <c r="M583" i="9"/>
  <c r="B583" i="9" s="1"/>
  <c r="C15" i="75" s="1"/>
  <c r="N583" i="9"/>
  <c r="C583" i="9" s="1"/>
  <c r="D237" i="48" s="1"/>
  <c r="O583" i="9"/>
  <c r="D583" i="9" s="1"/>
  <c r="E237" i="48" s="1"/>
  <c r="Q583" i="9"/>
  <c r="T583" i="9"/>
  <c r="I583" i="9" s="1"/>
  <c r="J237" i="48" s="1"/>
  <c r="U583" i="9"/>
  <c r="J583" i="9" s="1"/>
  <c r="K237" i="48" s="1"/>
  <c r="E584" i="9"/>
  <c r="L584" i="9"/>
  <c r="A584" i="9" s="1"/>
  <c r="B16" i="75" s="1"/>
  <c r="M584" i="9"/>
  <c r="B584" i="9" s="1"/>
  <c r="C238" i="48" s="1"/>
  <c r="N584" i="9"/>
  <c r="C584" i="9" s="1"/>
  <c r="O584" i="9"/>
  <c r="D584" i="9" s="1"/>
  <c r="E238" i="48" s="1"/>
  <c r="T584" i="9"/>
  <c r="I584" i="9" s="1"/>
  <c r="J238" i="48" s="1"/>
  <c r="U584" i="9"/>
  <c r="J584" i="9" s="1"/>
  <c r="K238" i="48" s="1"/>
  <c r="E585" i="9"/>
  <c r="L585" i="9"/>
  <c r="A585" i="9" s="1"/>
  <c r="M585" i="9"/>
  <c r="B585" i="9" s="1"/>
  <c r="C239" i="48" s="1"/>
  <c r="N585" i="9"/>
  <c r="C585" i="9" s="1"/>
  <c r="D239" i="48" s="1"/>
  <c r="O585" i="9"/>
  <c r="D585" i="9" s="1"/>
  <c r="E239" i="48" s="1"/>
  <c r="T585" i="9"/>
  <c r="I585" i="9" s="1"/>
  <c r="J239" i="48" s="1"/>
  <c r="U585" i="9"/>
  <c r="J585" i="9" s="1"/>
  <c r="K239" i="48" s="1"/>
  <c r="E586" i="9"/>
  <c r="L586" i="9"/>
  <c r="A586" i="9" s="1"/>
  <c r="M586" i="9"/>
  <c r="B586" i="9" s="1"/>
  <c r="N586" i="9"/>
  <c r="C586" i="9" s="1"/>
  <c r="D5" i="75" s="1"/>
  <c r="O586" i="9"/>
  <c r="D586" i="9" s="1"/>
  <c r="E240" i="48" s="1"/>
  <c r="T586" i="9"/>
  <c r="I586" i="9" s="1"/>
  <c r="J240" i="48" s="1"/>
  <c r="U586" i="9"/>
  <c r="J586" i="9" s="1"/>
  <c r="K240" i="48" s="1"/>
  <c r="E587" i="9"/>
  <c r="L587" i="9"/>
  <c r="A587" i="9" s="1"/>
  <c r="B241" i="48" s="1"/>
  <c r="M587" i="9"/>
  <c r="B587" i="9" s="1"/>
  <c r="C241" i="48" s="1"/>
  <c r="N587" i="9"/>
  <c r="C587" i="9" s="1"/>
  <c r="O587" i="9"/>
  <c r="D587" i="9" s="1"/>
  <c r="E241" i="48" s="1"/>
  <c r="Q587" i="9"/>
  <c r="T587" i="9"/>
  <c r="I587" i="9" s="1"/>
  <c r="J241" i="48" s="1"/>
  <c r="U587" i="9"/>
  <c r="J587" i="9" s="1"/>
  <c r="K241" i="48" s="1"/>
  <c r="E588" i="9"/>
  <c r="L588" i="9"/>
  <c r="A588" i="9" s="1"/>
  <c r="B7" i="75" s="1"/>
  <c r="M588" i="9"/>
  <c r="B588" i="9" s="1"/>
  <c r="C7" i="75" s="1"/>
  <c r="N588" i="9"/>
  <c r="C588" i="9" s="1"/>
  <c r="D7" i="75" s="1"/>
  <c r="O588" i="9"/>
  <c r="D588" i="9" s="1"/>
  <c r="E242" i="48" s="1"/>
  <c r="Q588" i="9"/>
  <c r="T588" i="9"/>
  <c r="I588" i="9" s="1"/>
  <c r="J242" i="48" s="1"/>
  <c r="U588" i="9"/>
  <c r="J588" i="9" s="1"/>
  <c r="K242" i="48" s="1"/>
  <c r="E589" i="9"/>
  <c r="L589" i="9"/>
  <c r="A589" i="9" s="1"/>
  <c r="B243" i="48" s="1"/>
  <c r="M589" i="9"/>
  <c r="B589" i="9" s="1"/>
  <c r="N589" i="9"/>
  <c r="C589" i="9" s="1"/>
  <c r="D243" i="48" s="1"/>
  <c r="O589" i="9"/>
  <c r="D589" i="9" s="1"/>
  <c r="E243" i="48" s="1"/>
  <c r="T589" i="9"/>
  <c r="I589" i="9" s="1"/>
  <c r="J243" i="48" s="1"/>
  <c r="U589" i="9"/>
  <c r="J589" i="9" s="1"/>
  <c r="K243" i="48" s="1"/>
  <c r="E590" i="9"/>
  <c r="L590" i="9"/>
  <c r="A590" i="9" s="1"/>
  <c r="B244" i="48" s="1"/>
  <c r="M590" i="9"/>
  <c r="B590" i="9" s="1"/>
  <c r="N590" i="9"/>
  <c r="C590" i="9" s="1"/>
  <c r="O590" i="9"/>
  <c r="D590" i="9" s="1"/>
  <c r="E244" i="48" s="1"/>
  <c r="T590" i="9"/>
  <c r="I590" i="9" s="1"/>
  <c r="J244" i="48" s="1"/>
  <c r="U590" i="9"/>
  <c r="J590" i="9" s="1"/>
  <c r="K244" i="48" s="1"/>
  <c r="E591" i="9"/>
  <c r="L591" i="9"/>
  <c r="A591" i="9" s="1"/>
  <c r="M591" i="9"/>
  <c r="B591" i="9" s="1"/>
  <c r="C245" i="48" s="1"/>
  <c r="N591" i="9"/>
  <c r="C591" i="9" s="1"/>
  <c r="D25" i="75" s="1"/>
  <c r="O591" i="9"/>
  <c r="D591" i="9" s="1"/>
  <c r="E245" i="48" s="1"/>
  <c r="T591" i="9"/>
  <c r="I591" i="9" s="1"/>
  <c r="J245" i="48" s="1"/>
  <c r="U591" i="9"/>
  <c r="J591" i="9" s="1"/>
  <c r="K245" i="48" s="1"/>
  <c r="E592" i="9"/>
  <c r="L592" i="9"/>
  <c r="A592" i="9" s="1"/>
  <c r="M592" i="9"/>
  <c r="B592" i="9" s="1"/>
  <c r="C29" i="75" s="1"/>
  <c r="N592" i="9"/>
  <c r="C592" i="9" s="1"/>
  <c r="D246" i="48" s="1"/>
  <c r="O592" i="9"/>
  <c r="D592" i="9" s="1"/>
  <c r="E246" i="48" s="1"/>
  <c r="Q592" i="9"/>
  <c r="T592" i="9"/>
  <c r="I592" i="9" s="1"/>
  <c r="J246" i="48" s="1"/>
  <c r="U592" i="9"/>
  <c r="J592" i="9" s="1"/>
  <c r="K246" i="48" s="1"/>
  <c r="E593" i="9"/>
  <c r="L593" i="9"/>
  <c r="A593" i="9" s="1"/>
  <c r="B247" i="48" s="1"/>
  <c r="M593" i="9"/>
  <c r="B593" i="9" s="1"/>
  <c r="C30" i="75" s="1"/>
  <c r="N593" i="9"/>
  <c r="C593" i="9" s="1"/>
  <c r="O593" i="9"/>
  <c r="D593" i="9" s="1"/>
  <c r="E247" i="48" s="1"/>
  <c r="T593" i="9"/>
  <c r="I593" i="9" s="1"/>
  <c r="J247" i="48" s="1"/>
  <c r="U593" i="9"/>
  <c r="J593" i="9" s="1"/>
  <c r="K247" i="48" s="1"/>
  <c r="L594" i="9"/>
  <c r="A594" i="9" s="1"/>
  <c r="M594" i="9"/>
  <c r="B594" i="9" s="1"/>
  <c r="C248" i="48" s="1"/>
  <c r="N594" i="9"/>
  <c r="C594" i="9" s="1"/>
  <c r="D248" i="48" s="1"/>
  <c r="O594" i="9"/>
  <c r="D594" i="9" s="1"/>
  <c r="E248" i="48" s="1"/>
  <c r="T594" i="9"/>
  <c r="I594" i="9" s="1"/>
  <c r="J248" i="48" s="1"/>
  <c r="U594" i="9"/>
  <c r="J594" i="9" s="1"/>
  <c r="K248" i="48" s="1"/>
  <c r="L595" i="9"/>
  <c r="A595" i="9" s="1"/>
  <c r="M595" i="9"/>
  <c r="B595" i="9" s="1"/>
  <c r="C249" i="48" s="1"/>
  <c r="N595" i="9"/>
  <c r="C595" i="9" s="1"/>
  <c r="O595" i="9"/>
  <c r="D595" i="9" s="1"/>
  <c r="E249" i="48" s="1"/>
  <c r="Q595" i="9"/>
  <c r="T595" i="9"/>
  <c r="I595" i="9" s="1"/>
  <c r="J249" i="48" s="1"/>
  <c r="U595" i="9"/>
  <c r="J595" i="9" s="1"/>
  <c r="K249" i="48" s="1"/>
  <c r="L596" i="9"/>
  <c r="A596" i="9" s="1"/>
  <c r="B250" i="48" s="1"/>
  <c r="M596" i="9"/>
  <c r="B596" i="9" s="1"/>
  <c r="N596" i="9"/>
  <c r="C596" i="9" s="1"/>
  <c r="D250" i="48" s="1"/>
  <c r="O596" i="9"/>
  <c r="D596" i="9" s="1"/>
  <c r="E250" i="48" s="1"/>
  <c r="Q596" i="9"/>
  <c r="T596" i="9"/>
  <c r="I596" i="9" s="1"/>
  <c r="J250" i="48" s="1"/>
  <c r="U596" i="9"/>
  <c r="J596" i="9" s="1"/>
  <c r="K250" i="48" s="1"/>
  <c r="L597" i="9"/>
  <c r="A597" i="9" s="1"/>
  <c r="B251" i="48" s="1"/>
  <c r="M597" i="9"/>
  <c r="B597" i="9" s="1"/>
  <c r="C251" i="48" s="1"/>
  <c r="N597" i="9"/>
  <c r="C597" i="9" s="1"/>
  <c r="O597" i="9"/>
  <c r="D597" i="9" s="1"/>
  <c r="E251" i="48" s="1"/>
  <c r="BD251" i="48" s="1"/>
  <c r="T597" i="9"/>
  <c r="I597" i="9" s="1"/>
  <c r="J251" i="48" s="1"/>
  <c r="U597" i="9"/>
  <c r="J597" i="9" s="1"/>
  <c r="K251" i="48" s="1"/>
  <c r="L598" i="9"/>
  <c r="A598" i="9" s="1"/>
  <c r="M598" i="9"/>
  <c r="B598" i="9" s="1"/>
  <c r="N598" i="9"/>
  <c r="C598" i="9" s="1"/>
  <c r="O598" i="9"/>
  <c r="D598" i="9" s="1"/>
  <c r="T598" i="9"/>
  <c r="I598" i="9" s="1"/>
  <c r="U598" i="9"/>
  <c r="J598" i="9" s="1"/>
  <c r="L599" i="9"/>
  <c r="A599" i="9" s="1"/>
  <c r="M599" i="9"/>
  <c r="B599" i="9" s="1"/>
  <c r="N599" i="9"/>
  <c r="C599" i="9" s="1"/>
  <c r="O599" i="9"/>
  <c r="D599" i="9" s="1"/>
  <c r="Q599" i="9"/>
  <c r="T599" i="9"/>
  <c r="I599" i="9" s="1"/>
  <c r="U599" i="9"/>
  <c r="J599" i="9" s="1"/>
  <c r="L600" i="9"/>
  <c r="M600" i="9"/>
  <c r="N600" i="9"/>
  <c r="O600" i="9"/>
  <c r="Q600" i="9"/>
  <c r="T600" i="9"/>
  <c r="U600" i="9"/>
  <c r="L601" i="9"/>
  <c r="M601" i="9"/>
  <c r="N601" i="9"/>
  <c r="O601" i="9"/>
  <c r="T601" i="9"/>
  <c r="U601" i="9"/>
  <c r="L602" i="9"/>
  <c r="M602" i="9"/>
  <c r="N602" i="9"/>
  <c r="O602" i="9"/>
  <c r="T602" i="9"/>
  <c r="U602" i="9"/>
  <c r="L603" i="9"/>
  <c r="M603" i="9"/>
  <c r="N603" i="9"/>
  <c r="O603" i="9"/>
  <c r="T603" i="9"/>
  <c r="U603" i="9"/>
  <c r="L604" i="9"/>
  <c r="M604" i="9"/>
  <c r="N604" i="9"/>
  <c r="O604" i="9"/>
  <c r="Q604" i="9"/>
  <c r="T604" i="9"/>
  <c r="U604" i="9"/>
  <c r="L605" i="9"/>
  <c r="M605" i="9"/>
  <c r="N605" i="9"/>
  <c r="O605" i="9"/>
  <c r="T605" i="9"/>
  <c r="U605" i="9"/>
  <c r="L606" i="9"/>
  <c r="M606" i="9"/>
  <c r="N606" i="9"/>
  <c r="O606" i="9"/>
  <c r="T606" i="9"/>
  <c r="U606" i="9"/>
  <c r="L607" i="9"/>
  <c r="M607" i="9"/>
  <c r="N607" i="9"/>
  <c r="O607" i="9"/>
  <c r="T607" i="9"/>
  <c r="U607" i="9"/>
  <c r="L608" i="9"/>
  <c r="M608" i="9"/>
  <c r="N608" i="9"/>
  <c r="O608" i="9"/>
  <c r="Q608" i="9"/>
  <c r="T608" i="9"/>
  <c r="U608" i="9"/>
  <c r="L609" i="9"/>
  <c r="M609" i="9"/>
  <c r="N609" i="9"/>
  <c r="O609" i="9"/>
  <c r="T609" i="9"/>
  <c r="U609" i="9"/>
  <c r="L610" i="9"/>
  <c r="M610" i="9"/>
  <c r="N610" i="9"/>
  <c r="O610" i="9"/>
  <c r="T610" i="9"/>
  <c r="U610" i="9"/>
  <c r="L611" i="9"/>
  <c r="M611" i="9"/>
  <c r="N611" i="9"/>
  <c r="O611" i="9"/>
  <c r="T611" i="9"/>
  <c r="U611" i="9"/>
  <c r="L612" i="9"/>
  <c r="M612" i="9"/>
  <c r="N612" i="9"/>
  <c r="O612" i="9"/>
  <c r="Q612" i="9"/>
  <c r="T612" i="9"/>
  <c r="U612" i="9"/>
  <c r="L613" i="9"/>
  <c r="M613" i="9"/>
  <c r="N613" i="9"/>
  <c r="O613" i="9"/>
  <c r="T613" i="9"/>
  <c r="U613" i="9"/>
  <c r="L614" i="9"/>
  <c r="M614" i="9"/>
  <c r="N614" i="9"/>
  <c r="O614" i="9"/>
  <c r="T614" i="9"/>
  <c r="U614" i="9"/>
  <c r="L615" i="9"/>
  <c r="M615" i="9"/>
  <c r="N615" i="9"/>
  <c r="O615" i="9"/>
  <c r="T615" i="9"/>
  <c r="U615" i="9"/>
  <c r="L616" i="9"/>
  <c r="M616" i="9"/>
  <c r="N616" i="9"/>
  <c r="O616" i="9"/>
  <c r="Q616" i="9"/>
  <c r="T616" i="9"/>
  <c r="U616" i="9"/>
  <c r="L617" i="9"/>
  <c r="M617" i="9"/>
  <c r="N617" i="9"/>
  <c r="O617" i="9"/>
  <c r="T617" i="9"/>
  <c r="U617" i="9"/>
  <c r="L618" i="9"/>
  <c r="M618" i="9"/>
  <c r="N618" i="9"/>
  <c r="O618" i="9"/>
  <c r="T618" i="9"/>
  <c r="U618" i="9"/>
  <c r="L619" i="9"/>
  <c r="M619" i="9"/>
  <c r="N619" i="9"/>
  <c r="O619" i="9"/>
  <c r="Q619" i="9"/>
  <c r="T619" i="9"/>
  <c r="U619" i="9"/>
  <c r="L620" i="9"/>
  <c r="A620" i="9" s="1"/>
  <c r="B20" i="16" s="1"/>
  <c r="M620" i="9"/>
  <c r="N620" i="9"/>
  <c r="O620" i="9"/>
  <c r="Q620" i="9"/>
  <c r="T620" i="9"/>
  <c r="U620" i="9"/>
  <c r="L621" i="9"/>
  <c r="M621" i="9"/>
  <c r="N621" i="9"/>
  <c r="O621" i="9"/>
  <c r="T621" i="9"/>
  <c r="U621" i="9"/>
  <c r="E622" i="9"/>
  <c r="L622" i="9"/>
  <c r="A622" i="9" s="1"/>
  <c r="B255" i="48" s="1"/>
  <c r="M622" i="9"/>
  <c r="B622" i="9" s="1"/>
  <c r="N622" i="9"/>
  <c r="C622" i="9" s="1"/>
  <c r="D255" i="48" s="1"/>
  <c r="O622" i="9"/>
  <c r="D622" i="9" s="1"/>
  <c r="E255" i="48" s="1"/>
  <c r="T622" i="9"/>
  <c r="I622" i="9" s="1"/>
  <c r="J255" i="48" s="1"/>
  <c r="U622" i="9"/>
  <c r="J622" i="9" s="1"/>
  <c r="K255" i="48" s="1"/>
  <c r="E623" i="9"/>
  <c r="L623" i="9"/>
  <c r="A623" i="9" s="1"/>
  <c r="B256" i="48" s="1"/>
  <c r="M623" i="9"/>
  <c r="B623" i="9" s="1"/>
  <c r="C256" i="48" s="1"/>
  <c r="N623" i="9"/>
  <c r="C623" i="9" s="1"/>
  <c r="D256" i="48" s="1"/>
  <c r="O623" i="9"/>
  <c r="D623" i="9" s="1"/>
  <c r="E256" i="48" s="1"/>
  <c r="T623" i="9"/>
  <c r="I623" i="9" s="1"/>
  <c r="J256" i="48" s="1"/>
  <c r="U623" i="9"/>
  <c r="J623" i="9" s="1"/>
  <c r="K256" i="48" s="1"/>
  <c r="E624" i="9"/>
  <c r="L624" i="9"/>
  <c r="A624" i="9" s="1"/>
  <c r="M624" i="9"/>
  <c r="B624" i="9" s="1"/>
  <c r="N624" i="9"/>
  <c r="C624" i="9" s="1"/>
  <c r="O624" i="9"/>
  <c r="D624" i="9" s="1"/>
  <c r="T624" i="9"/>
  <c r="I624" i="9" s="1"/>
  <c r="U624" i="9"/>
  <c r="J624" i="9" s="1"/>
  <c r="L625" i="9"/>
  <c r="M625" i="9"/>
  <c r="B625" i="9" s="1"/>
  <c r="N625" i="9"/>
  <c r="O625" i="9"/>
  <c r="T625" i="9"/>
  <c r="U625" i="9"/>
  <c r="L626" i="9"/>
  <c r="M626" i="9"/>
  <c r="N626" i="9"/>
  <c r="O626" i="9"/>
  <c r="T626" i="9"/>
  <c r="U626" i="9"/>
  <c r="L627" i="9"/>
  <c r="M627" i="9"/>
  <c r="N627" i="9"/>
  <c r="O627" i="9"/>
  <c r="T627" i="9"/>
  <c r="U627" i="9"/>
  <c r="L628" i="9"/>
  <c r="A628" i="9" s="1"/>
  <c r="M628" i="9"/>
  <c r="N628" i="9"/>
  <c r="O628" i="9"/>
  <c r="Q628" i="9"/>
  <c r="T628" i="9"/>
  <c r="U628" i="9"/>
  <c r="E629" i="9"/>
  <c r="L629" i="9"/>
  <c r="A629" i="9" s="1"/>
  <c r="M629" i="9"/>
  <c r="B629" i="9" s="1"/>
  <c r="N629" i="9"/>
  <c r="C629" i="9" s="1"/>
  <c r="D28" i="16" s="1"/>
  <c r="O629" i="9"/>
  <c r="D629" i="9" s="1"/>
  <c r="E262" i="48" s="1"/>
  <c r="T629" i="9"/>
  <c r="I629" i="9" s="1"/>
  <c r="J262" i="48" s="1"/>
  <c r="U629" i="9"/>
  <c r="J629" i="9" s="1"/>
  <c r="K262" i="48" s="1"/>
  <c r="E630" i="9"/>
  <c r="L630" i="9"/>
  <c r="A630" i="9" s="1"/>
  <c r="M630" i="9"/>
  <c r="B630" i="9" s="1"/>
  <c r="C29" i="16" s="1"/>
  <c r="N630" i="9"/>
  <c r="C630" i="9" s="1"/>
  <c r="O630" i="9"/>
  <c r="D630" i="9" s="1"/>
  <c r="E263" i="48" s="1"/>
  <c r="T630" i="9"/>
  <c r="I630" i="9" s="1"/>
  <c r="J263" i="48" s="1"/>
  <c r="U630" i="9"/>
  <c r="J630" i="9" s="1"/>
  <c r="K263" i="48" s="1"/>
  <c r="E631" i="9"/>
  <c r="L631" i="9"/>
  <c r="A631" i="9" s="1"/>
  <c r="B264" i="48" s="1"/>
  <c r="M631" i="9"/>
  <c r="B631" i="9" s="1"/>
  <c r="C30" i="16" s="1"/>
  <c r="N631" i="9"/>
  <c r="C631" i="9" s="1"/>
  <c r="O631" i="9"/>
  <c r="D631" i="9" s="1"/>
  <c r="E264" i="48" s="1"/>
  <c r="T631" i="9"/>
  <c r="I631" i="9" s="1"/>
  <c r="J264" i="48" s="1"/>
  <c r="U631" i="9"/>
  <c r="J631" i="9" s="1"/>
  <c r="K264" i="48" s="1"/>
  <c r="E632" i="9"/>
  <c r="L632" i="9"/>
  <c r="A632" i="9" s="1"/>
  <c r="M632" i="9"/>
  <c r="B632" i="9" s="1"/>
  <c r="C265" i="48" s="1"/>
  <c r="N632" i="9"/>
  <c r="C632" i="9" s="1"/>
  <c r="O632" i="9"/>
  <c r="D632" i="9" s="1"/>
  <c r="E265" i="48" s="1"/>
  <c r="Q632" i="9"/>
  <c r="T632" i="9"/>
  <c r="I632" i="9" s="1"/>
  <c r="J265" i="48" s="1"/>
  <c r="U632" i="9"/>
  <c r="J632" i="9" s="1"/>
  <c r="K265" i="48" s="1"/>
  <c r="E633" i="9"/>
  <c r="L633" i="9"/>
  <c r="A633" i="9" s="1"/>
  <c r="B32" i="16" s="1"/>
  <c r="M633" i="9"/>
  <c r="B633" i="9" s="1"/>
  <c r="N633" i="9"/>
  <c r="C633" i="9" s="1"/>
  <c r="O633" i="9"/>
  <c r="D633" i="9" s="1"/>
  <c r="E266" i="48" s="1"/>
  <c r="T633" i="9"/>
  <c r="I633" i="9" s="1"/>
  <c r="J266" i="48" s="1"/>
  <c r="U633" i="9"/>
  <c r="J633" i="9" s="1"/>
  <c r="K266" i="48" s="1"/>
  <c r="E634" i="9"/>
  <c r="L634" i="9"/>
  <c r="A634" i="9" s="1"/>
  <c r="B33" i="16" s="1"/>
  <c r="M634" i="9"/>
  <c r="B634" i="9" s="1"/>
  <c r="N634" i="9"/>
  <c r="C634" i="9" s="1"/>
  <c r="D267" i="48" s="1"/>
  <c r="O634" i="9"/>
  <c r="D634" i="9" s="1"/>
  <c r="E267" i="48" s="1"/>
  <c r="T634" i="9"/>
  <c r="I634" i="9" s="1"/>
  <c r="J267" i="48" s="1"/>
  <c r="U634" i="9"/>
  <c r="J634" i="9" s="1"/>
  <c r="K267" i="48" s="1"/>
  <c r="L635" i="9"/>
  <c r="M635" i="9"/>
  <c r="N635" i="9"/>
  <c r="O635" i="9"/>
  <c r="T635" i="9"/>
  <c r="U635" i="9"/>
  <c r="L636" i="9"/>
  <c r="M636" i="9"/>
  <c r="N636" i="9"/>
  <c r="O636" i="9"/>
  <c r="Q636" i="9"/>
  <c r="T636" i="9"/>
  <c r="U636" i="9"/>
  <c r="L637" i="9"/>
  <c r="M637" i="9"/>
  <c r="N637" i="9"/>
  <c r="O637" i="9"/>
  <c r="T637" i="9"/>
  <c r="U637" i="9"/>
  <c r="L638" i="9"/>
  <c r="M638" i="9"/>
  <c r="N638" i="9"/>
  <c r="O638" i="9"/>
  <c r="T638" i="9"/>
  <c r="U638" i="9"/>
  <c r="L639" i="9"/>
  <c r="M639" i="9"/>
  <c r="N639" i="9"/>
  <c r="O639" i="9"/>
  <c r="Q639" i="9"/>
  <c r="T639" i="9"/>
  <c r="U639" i="9"/>
  <c r="L640" i="9"/>
  <c r="M640" i="9"/>
  <c r="N640" i="9"/>
  <c r="O640" i="9"/>
  <c r="T640" i="9"/>
  <c r="U640" i="9"/>
  <c r="E641" i="9"/>
  <c r="L641" i="9"/>
  <c r="A641" i="9" s="1"/>
  <c r="B270" i="48" s="1"/>
  <c r="M641" i="9"/>
  <c r="B641" i="9" s="1"/>
  <c r="C270" i="48" s="1"/>
  <c r="N641" i="9"/>
  <c r="C641" i="9" s="1"/>
  <c r="D270" i="48" s="1"/>
  <c r="O641" i="9"/>
  <c r="D641" i="9" s="1"/>
  <c r="E270" i="48" s="1"/>
  <c r="T641" i="9"/>
  <c r="I641" i="9" s="1"/>
  <c r="J270" i="48" s="1"/>
  <c r="U641" i="9"/>
  <c r="J641" i="9" s="1"/>
  <c r="K270" i="48" s="1"/>
  <c r="E642" i="9"/>
  <c r="L642" i="9"/>
  <c r="A642" i="9" s="1"/>
  <c r="M642" i="9"/>
  <c r="B642" i="9" s="1"/>
  <c r="N642" i="9"/>
  <c r="C642" i="9" s="1"/>
  <c r="O642" i="9"/>
  <c r="D642" i="9" s="1"/>
  <c r="T642" i="9"/>
  <c r="I642" i="9" s="1"/>
  <c r="U642" i="9"/>
  <c r="J642" i="9" s="1"/>
  <c r="L643" i="9"/>
  <c r="M643" i="9"/>
  <c r="N643" i="9"/>
  <c r="O643" i="9"/>
  <c r="T643" i="9"/>
  <c r="U643" i="9"/>
  <c r="L644" i="9"/>
  <c r="M644" i="9"/>
  <c r="N644" i="9"/>
  <c r="O644" i="9"/>
  <c r="Q644" i="9"/>
  <c r="T644" i="9"/>
  <c r="U644" i="9"/>
  <c r="L645" i="9"/>
  <c r="M645" i="9"/>
  <c r="N645" i="9"/>
  <c r="O645" i="9"/>
  <c r="T645" i="9"/>
  <c r="U645" i="9"/>
  <c r="L646" i="9"/>
  <c r="M646" i="9"/>
  <c r="N646" i="9"/>
  <c r="O646" i="9"/>
  <c r="T646" i="9"/>
  <c r="U646" i="9"/>
  <c r="L647" i="9"/>
  <c r="M647" i="9"/>
  <c r="N647" i="9"/>
  <c r="O647" i="9"/>
  <c r="Q647" i="9"/>
  <c r="T647" i="9"/>
  <c r="U647" i="9"/>
  <c r="L648" i="9"/>
  <c r="M648" i="9"/>
  <c r="N648" i="9"/>
  <c r="O648" i="9"/>
  <c r="Q648" i="9"/>
  <c r="T648" i="9"/>
  <c r="U648" i="9"/>
  <c r="L649" i="9"/>
  <c r="M649" i="9"/>
  <c r="N649" i="9"/>
  <c r="O649" i="9"/>
  <c r="T649" i="9"/>
  <c r="U649" i="9"/>
  <c r="L650" i="9"/>
  <c r="M650" i="9"/>
  <c r="N650" i="9"/>
  <c r="O650" i="9"/>
  <c r="T650" i="9"/>
  <c r="U650" i="9"/>
  <c r="L651" i="9"/>
  <c r="M651" i="9"/>
  <c r="N651" i="9"/>
  <c r="O651" i="9"/>
  <c r="Q651" i="9"/>
  <c r="T651" i="9"/>
  <c r="U651" i="9"/>
  <c r="L652" i="9"/>
  <c r="M652" i="9"/>
  <c r="N652" i="9"/>
  <c r="O652" i="9"/>
  <c r="T652" i="9"/>
  <c r="U652" i="9"/>
  <c r="L653" i="9"/>
  <c r="M653" i="9"/>
  <c r="N653" i="9"/>
  <c r="O653" i="9"/>
  <c r="T653" i="9"/>
  <c r="U653" i="9"/>
  <c r="L654" i="9"/>
  <c r="M654" i="9"/>
  <c r="N654" i="9"/>
  <c r="O654" i="9"/>
  <c r="T654" i="9"/>
  <c r="U654" i="9"/>
  <c r="L655" i="9"/>
  <c r="M655" i="9"/>
  <c r="N655" i="9"/>
  <c r="O655" i="9"/>
  <c r="Q655" i="9"/>
  <c r="T655" i="9"/>
  <c r="U655" i="9"/>
  <c r="M656" i="9"/>
  <c r="N656" i="9"/>
  <c r="T656" i="9"/>
  <c r="U656" i="9"/>
  <c r="D657" i="9"/>
  <c r="E272" i="48" s="1"/>
  <c r="E657" i="9"/>
  <c r="L657" i="9"/>
  <c r="A657" i="9" s="1"/>
  <c r="B272" i="48" s="1"/>
  <c r="M657" i="9"/>
  <c r="B657" i="9" s="1"/>
  <c r="C272" i="48" s="1"/>
  <c r="N657" i="9"/>
  <c r="C657" i="9" s="1"/>
  <c r="D272" i="48" s="1"/>
  <c r="T657" i="9"/>
  <c r="I657" i="9" s="1"/>
  <c r="J272" i="48" s="1"/>
  <c r="U657" i="9"/>
  <c r="J657" i="9" s="1"/>
  <c r="K272" i="48" s="1"/>
  <c r="D658" i="9"/>
  <c r="E273" i="48" s="1"/>
  <c r="E658" i="9"/>
  <c r="L658" i="9"/>
  <c r="A658" i="9" s="1"/>
  <c r="B273" i="48" s="1"/>
  <c r="M658" i="9"/>
  <c r="B658" i="9" s="1"/>
  <c r="C273" i="48" s="1"/>
  <c r="N658" i="9"/>
  <c r="C658" i="9" s="1"/>
  <c r="D273" i="48" s="1"/>
  <c r="T658" i="9"/>
  <c r="I658" i="9" s="1"/>
  <c r="J273" i="48" s="1"/>
  <c r="U658" i="9"/>
  <c r="J658" i="9" s="1"/>
  <c r="K273" i="48" s="1"/>
  <c r="D659" i="9"/>
  <c r="E274" i="48" s="1"/>
  <c r="E659" i="9"/>
  <c r="L659" i="9"/>
  <c r="A659" i="9" s="1"/>
  <c r="B274" i="48" s="1"/>
  <c r="M659" i="9"/>
  <c r="B659" i="9" s="1"/>
  <c r="C274" i="48" s="1"/>
  <c r="N659" i="9"/>
  <c r="C659" i="9" s="1"/>
  <c r="D274" i="48" s="1"/>
  <c r="Q659" i="9"/>
  <c r="T659" i="9"/>
  <c r="I659" i="9" s="1"/>
  <c r="J274" i="48" s="1"/>
  <c r="U659" i="9"/>
  <c r="J659" i="9" s="1"/>
  <c r="K274" i="48" s="1"/>
  <c r="D660" i="9"/>
  <c r="E275" i="48"/>
  <c r="E660" i="9"/>
  <c r="L660" i="9"/>
  <c r="A660" i="9" s="1"/>
  <c r="B275" i="48" s="1"/>
  <c r="M660" i="9"/>
  <c r="B660" i="9" s="1"/>
  <c r="C275" i="48" s="1"/>
  <c r="N660" i="9"/>
  <c r="C660" i="9" s="1"/>
  <c r="D275" i="48" s="1"/>
  <c r="T660" i="9"/>
  <c r="I660" i="9" s="1"/>
  <c r="J275" i="48" s="1"/>
  <c r="U660" i="9"/>
  <c r="J660" i="9" s="1"/>
  <c r="K275" i="48" s="1"/>
  <c r="D661" i="9"/>
  <c r="E661" i="9"/>
  <c r="L661" i="9"/>
  <c r="A661" i="9" s="1"/>
  <c r="B276" i="48" s="1"/>
  <c r="M661" i="9"/>
  <c r="B661" i="9" s="1"/>
  <c r="C276" i="48" s="1"/>
  <c r="N661" i="9"/>
  <c r="C661" i="9" s="1"/>
  <c r="D276" i="48" s="1"/>
  <c r="T661" i="9"/>
  <c r="I661" i="9" s="1"/>
  <c r="J276" i="48" s="1"/>
  <c r="U661" i="9"/>
  <c r="J661" i="9" s="1"/>
  <c r="K276" i="48" s="1"/>
  <c r="D662" i="9"/>
  <c r="E277" i="48" s="1"/>
  <c r="E662" i="9"/>
  <c r="L662" i="9"/>
  <c r="A662" i="9" s="1"/>
  <c r="B277" i="48" s="1"/>
  <c r="M662" i="9"/>
  <c r="B662" i="9" s="1"/>
  <c r="C277" i="48" s="1"/>
  <c r="N662" i="9"/>
  <c r="C662" i="9" s="1"/>
  <c r="D277" i="48" s="1"/>
  <c r="T662" i="9"/>
  <c r="I662" i="9" s="1"/>
  <c r="J277" i="48" s="1"/>
  <c r="U662" i="9"/>
  <c r="J662" i="9" s="1"/>
  <c r="K277" i="48" s="1"/>
  <c r="D663" i="9"/>
  <c r="E278" i="48" s="1"/>
  <c r="E663" i="9"/>
  <c r="L663" i="9"/>
  <c r="A663" i="9" s="1"/>
  <c r="B278" i="48" s="1"/>
  <c r="M663" i="9"/>
  <c r="B663" i="9" s="1"/>
  <c r="C278" i="48" s="1"/>
  <c r="N663" i="9"/>
  <c r="C663" i="9" s="1"/>
  <c r="D278" i="48" s="1"/>
  <c r="Q663" i="9"/>
  <c r="T663" i="9"/>
  <c r="I663" i="9" s="1"/>
  <c r="J278" i="48" s="1"/>
  <c r="U663" i="9"/>
  <c r="J663" i="9" s="1"/>
  <c r="K278" i="48" s="1"/>
  <c r="D664" i="9"/>
  <c r="E279" i="48" s="1"/>
  <c r="E664" i="9"/>
  <c r="L664" i="9"/>
  <c r="A664" i="9" s="1"/>
  <c r="B279" i="48" s="1"/>
  <c r="M664" i="9"/>
  <c r="B664" i="9" s="1"/>
  <c r="C279" i="48" s="1"/>
  <c r="N664" i="9"/>
  <c r="C664" i="9" s="1"/>
  <c r="D279" i="48" s="1"/>
  <c r="Q664" i="9"/>
  <c r="T664" i="9"/>
  <c r="I664" i="9" s="1"/>
  <c r="J279" i="48" s="1"/>
  <c r="U664" i="9"/>
  <c r="J664" i="9" s="1"/>
  <c r="K279" i="48" s="1"/>
  <c r="D665" i="9"/>
  <c r="E280" i="48" s="1"/>
  <c r="E665" i="9"/>
  <c r="L665" i="9"/>
  <c r="A665" i="9" s="1"/>
  <c r="B280" i="48" s="1"/>
  <c r="M665" i="9"/>
  <c r="B665" i="9" s="1"/>
  <c r="C280" i="48" s="1"/>
  <c r="N665" i="9"/>
  <c r="C665" i="9" s="1"/>
  <c r="D280" i="48" s="1"/>
  <c r="T665" i="9"/>
  <c r="I665" i="9" s="1"/>
  <c r="J280" i="48" s="1"/>
  <c r="U665" i="9"/>
  <c r="J665" i="9" s="1"/>
  <c r="K280" i="48" s="1"/>
  <c r="D666" i="9"/>
  <c r="E281" i="48"/>
  <c r="E666" i="9"/>
  <c r="L666" i="9"/>
  <c r="A666" i="9" s="1"/>
  <c r="B281" i="48" s="1"/>
  <c r="M666" i="9"/>
  <c r="B666" i="9" s="1"/>
  <c r="C281" i="48" s="1"/>
  <c r="N666" i="9"/>
  <c r="C666" i="9" s="1"/>
  <c r="D281" i="48" s="1"/>
  <c r="T666" i="9"/>
  <c r="I666" i="9" s="1"/>
  <c r="J281" i="48" s="1"/>
  <c r="U666" i="9"/>
  <c r="J666" i="9" s="1"/>
  <c r="K281" i="48" s="1"/>
  <c r="L667" i="9"/>
  <c r="M667" i="9"/>
  <c r="N667" i="9"/>
  <c r="Q667" i="9"/>
  <c r="T667" i="9"/>
  <c r="U667" i="9"/>
  <c r="L668" i="9"/>
  <c r="M668" i="9"/>
  <c r="N668" i="9"/>
  <c r="Q668" i="9"/>
  <c r="T668" i="9"/>
  <c r="U668" i="9"/>
  <c r="L669" i="9"/>
  <c r="M669" i="9"/>
  <c r="N669" i="9"/>
  <c r="Q669" i="9"/>
  <c r="T669" i="9"/>
  <c r="U669" i="9"/>
  <c r="L670" i="9"/>
  <c r="M670" i="9"/>
  <c r="N670" i="9"/>
  <c r="Q670" i="9"/>
  <c r="T670" i="9"/>
  <c r="U670" i="9"/>
  <c r="L671" i="9"/>
  <c r="M671" i="9"/>
  <c r="N671" i="9"/>
  <c r="Q671" i="9"/>
  <c r="T671" i="9"/>
  <c r="U671" i="9"/>
  <c r="L672" i="9"/>
  <c r="M672" i="9"/>
  <c r="N672" i="9"/>
  <c r="Q672" i="9"/>
  <c r="T672" i="9"/>
  <c r="U672" i="9"/>
  <c r="L673" i="9"/>
  <c r="M673" i="9"/>
  <c r="N673" i="9"/>
  <c r="Q673" i="9"/>
  <c r="T673" i="9"/>
  <c r="U673" i="9"/>
  <c r="L674" i="9"/>
  <c r="M674" i="9"/>
  <c r="N674" i="9"/>
  <c r="Q674" i="9"/>
  <c r="T674" i="9"/>
  <c r="U674" i="9"/>
  <c r="L675" i="9"/>
  <c r="M675" i="9"/>
  <c r="N675" i="9"/>
  <c r="Q675" i="9"/>
  <c r="T675" i="9"/>
  <c r="U675" i="9"/>
  <c r="L676" i="9"/>
  <c r="M676" i="9"/>
  <c r="N676" i="9"/>
  <c r="Q676" i="9"/>
  <c r="T676" i="9"/>
  <c r="U676" i="9"/>
  <c r="L677" i="9"/>
  <c r="M677" i="9"/>
  <c r="N677" i="9"/>
  <c r="Q677" i="9"/>
  <c r="T677" i="9"/>
  <c r="U677" i="9"/>
  <c r="L678" i="9"/>
  <c r="M678" i="9"/>
  <c r="N678" i="9"/>
  <c r="Q678" i="9"/>
  <c r="T678" i="9"/>
  <c r="U678" i="9"/>
  <c r="L679" i="9"/>
  <c r="M679" i="9"/>
  <c r="N679" i="9"/>
  <c r="Q679" i="9"/>
  <c r="T679" i="9"/>
  <c r="U679" i="9"/>
  <c r="L680" i="9"/>
  <c r="M680" i="9"/>
  <c r="N680" i="9"/>
  <c r="Q680" i="9"/>
  <c r="T680" i="9"/>
  <c r="U680" i="9"/>
  <c r="L681" i="9"/>
  <c r="M681" i="9"/>
  <c r="N681" i="9"/>
  <c r="Q681" i="9"/>
  <c r="T681" i="9"/>
  <c r="U681" i="9"/>
  <c r="L682" i="9"/>
  <c r="M682" i="9"/>
  <c r="N682" i="9"/>
  <c r="Q682" i="9"/>
  <c r="T682" i="9"/>
  <c r="U682" i="9"/>
  <c r="L683" i="9"/>
  <c r="M683" i="9"/>
  <c r="N683" i="9"/>
  <c r="Q683" i="9"/>
  <c r="T683" i="9"/>
  <c r="U683" i="9"/>
  <c r="L684" i="9"/>
  <c r="M684" i="9"/>
  <c r="N684" i="9"/>
  <c r="Q684" i="9"/>
  <c r="T684" i="9"/>
  <c r="U684" i="9"/>
  <c r="L685" i="9"/>
  <c r="M685" i="9"/>
  <c r="N685" i="9"/>
  <c r="Q685" i="9"/>
  <c r="T685" i="9"/>
  <c r="U685" i="9"/>
  <c r="L686" i="9"/>
  <c r="M686" i="9"/>
  <c r="N686" i="9"/>
  <c r="Q686" i="9"/>
  <c r="T686" i="9"/>
  <c r="U686" i="9"/>
  <c r="L687" i="9"/>
  <c r="M687" i="9"/>
  <c r="N687" i="9"/>
  <c r="Q687" i="9"/>
  <c r="T687" i="9"/>
  <c r="U687" i="9"/>
  <c r="L688" i="9"/>
  <c r="M688" i="9"/>
  <c r="N688" i="9"/>
  <c r="Q688" i="9"/>
  <c r="T688" i="9"/>
  <c r="U688" i="9"/>
  <c r="L689" i="9"/>
  <c r="M689" i="9"/>
  <c r="N689" i="9"/>
  <c r="Q689" i="9"/>
  <c r="T689" i="9"/>
  <c r="U689" i="9"/>
  <c r="L690" i="9"/>
  <c r="M690" i="9"/>
  <c r="N690" i="9"/>
  <c r="Q690" i="9"/>
  <c r="T690" i="9"/>
  <c r="U690" i="9"/>
  <c r="L691" i="9"/>
  <c r="M691" i="9"/>
  <c r="N691" i="9"/>
  <c r="Q691" i="9"/>
  <c r="T691" i="9"/>
  <c r="U691" i="9"/>
  <c r="L692" i="9"/>
  <c r="M692" i="9"/>
  <c r="N692" i="9"/>
  <c r="Q692" i="9"/>
  <c r="T692" i="9"/>
  <c r="U692" i="9"/>
  <c r="L693" i="9"/>
  <c r="M693" i="9"/>
  <c r="N693" i="9"/>
  <c r="Q693" i="9"/>
  <c r="T693" i="9"/>
  <c r="U693" i="9"/>
  <c r="L694" i="9"/>
  <c r="M694" i="9"/>
  <c r="N694" i="9"/>
  <c r="Q694" i="9"/>
  <c r="T694" i="9"/>
  <c r="U694" i="9"/>
  <c r="L695" i="9"/>
  <c r="M695" i="9"/>
  <c r="N695" i="9"/>
  <c r="Q695" i="9"/>
  <c r="T695" i="9"/>
  <c r="U695" i="9"/>
  <c r="L696" i="9"/>
  <c r="M696" i="9"/>
  <c r="N696" i="9"/>
  <c r="Q696" i="9"/>
  <c r="T696" i="9"/>
  <c r="U696" i="9"/>
  <c r="L697" i="9"/>
  <c r="M697" i="9"/>
  <c r="N697" i="9"/>
  <c r="Q697" i="9"/>
  <c r="T697" i="9"/>
  <c r="U697" i="9"/>
  <c r="L698" i="9"/>
  <c r="M698" i="9"/>
  <c r="N698" i="9"/>
  <c r="Q698" i="9"/>
  <c r="T698" i="9"/>
  <c r="U698" i="9"/>
  <c r="L699" i="9"/>
  <c r="M699" i="9"/>
  <c r="N699" i="9"/>
  <c r="Q699" i="9"/>
  <c r="T699" i="9"/>
  <c r="U699" i="9"/>
  <c r="L700" i="9"/>
  <c r="M700" i="9"/>
  <c r="N700" i="9"/>
  <c r="Q700" i="9"/>
  <c r="T700" i="9"/>
  <c r="U700" i="9"/>
  <c r="L701" i="9"/>
  <c r="M701" i="9"/>
  <c r="N701" i="9"/>
  <c r="Q701" i="9"/>
  <c r="T701" i="9"/>
  <c r="U701" i="9"/>
  <c r="L702" i="9"/>
  <c r="M702" i="9"/>
  <c r="N702" i="9"/>
  <c r="Q702" i="9"/>
  <c r="T702" i="9"/>
  <c r="U702" i="9"/>
  <c r="L703" i="9"/>
  <c r="M703" i="9"/>
  <c r="N703" i="9"/>
  <c r="Q703" i="9"/>
  <c r="T703" i="9"/>
  <c r="U703" i="9"/>
  <c r="L704" i="9"/>
  <c r="M704" i="9"/>
  <c r="N704" i="9"/>
  <c r="Q704" i="9"/>
  <c r="T704" i="9"/>
  <c r="U704" i="9"/>
  <c r="L705" i="9"/>
  <c r="M705" i="9"/>
  <c r="N705" i="9"/>
  <c r="Q705" i="9"/>
  <c r="T705" i="9"/>
  <c r="U705" i="9"/>
  <c r="L706" i="9"/>
  <c r="M706" i="9"/>
  <c r="N706" i="9"/>
  <c r="Q706" i="9"/>
  <c r="T706" i="9"/>
  <c r="U706" i="9"/>
  <c r="L707" i="9"/>
  <c r="M707" i="9"/>
  <c r="N707" i="9"/>
  <c r="Q707" i="9"/>
  <c r="T707" i="9"/>
  <c r="U707" i="9"/>
  <c r="L708" i="9"/>
  <c r="M708" i="9"/>
  <c r="N708" i="9"/>
  <c r="Q708" i="9"/>
  <c r="T708" i="9"/>
  <c r="U708" i="9"/>
  <c r="L709" i="9"/>
  <c r="M709" i="9"/>
  <c r="N709" i="9"/>
  <c r="Q709" i="9"/>
  <c r="T709" i="9"/>
  <c r="U709" i="9"/>
  <c r="L710" i="9"/>
  <c r="M710" i="9"/>
  <c r="N710" i="9"/>
  <c r="Q710" i="9"/>
  <c r="T710" i="9"/>
  <c r="U710" i="9"/>
  <c r="L711" i="9"/>
  <c r="M711" i="9"/>
  <c r="N711" i="9"/>
  <c r="Q711" i="9"/>
  <c r="T711" i="9"/>
  <c r="U711" i="9"/>
  <c r="L712" i="9"/>
  <c r="M712" i="9"/>
  <c r="N712" i="9"/>
  <c r="Q712" i="9"/>
  <c r="T712" i="9"/>
  <c r="U712" i="9"/>
  <c r="L713" i="9"/>
  <c r="M713" i="9"/>
  <c r="N713" i="9"/>
  <c r="Q713" i="9"/>
  <c r="T713" i="9"/>
  <c r="U713" i="9"/>
  <c r="L714" i="9"/>
  <c r="M714" i="9"/>
  <c r="N714" i="9"/>
  <c r="Q714" i="9"/>
  <c r="T714" i="9"/>
  <c r="U714" i="9"/>
  <c r="B1" i="12"/>
  <c r="B2" i="48"/>
  <c r="K2" i="48"/>
  <c r="B3" i="48"/>
  <c r="B4" i="48"/>
  <c r="C4" i="48"/>
  <c r="B5" i="48"/>
  <c r="C5" i="48"/>
  <c r="BG5" i="48"/>
  <c r="B7" i="48"/>
  <c r="C7" i="48"/>
  <c r="B8" i="48"/>
  <c r="C8" i="48"/>
  <c r="B9" i="48"/>
  <c r="C9" i="48"/>
  <c r="F70" i="48"/>
  <c r="L70" i="48" s="1"/>
  <c r="M70" i="48" s="1"/>
  <c r="F84" i="48"/>
  <c r="BB104" i="48"/>
  <c r="F104" i="48" s="1"/>
  <c r="BB105" i="48"/>
  <c r="F105" i="48" s="1"/>
  <c r="L105" i="48" s="1"/>
  <c r="BB106" i="48"/>
  <c r="F106" i="48" s="1"/>
  <c r="BB107" i="48"/>
  <c r="F107" i="48" s="1"/>
  <c r="BD116" i="48"/>
  <c r="BD121" i="48"/>
  <c r="AM128" i="48"/>
  <c r="AQ128" i="48"/>
  <c r="BB128" i="48"/>
  <c r="L129" i="48"/>
  <c r="M129" i="48" s="1"/>
  <c r="F150" i="48"/>
  <c r="L150" i="48" s="1"/>
  <c r="F151" i="48"/>
  <c r="BD151" i="48" s="1"/>
  <c r="F157" i="48"/>
  <c r="L157" i="48" s="1"/>
  <c r="BD158" i="48"/>
  <c r="F162" i="48"/>
  <c r="L162" i="48" s="1"/>
  <c r="L163" i="48"/>
  <c r="M163" i="48" s="1"/>
  <c r="F166" i="48"/>
  <c r="L166" i="48" s="1"/>
  <c r="F170" i="48"/>
  <c r="L170" i="48" s="1"/>
  <c r="F188" i="48"/>
  <c r="L188" i="48" s="1"/>
  <c r="L189" i="48"/>
  <c r="M189" i="48" s="1"/>
  <c r="L196" i="48"/>
  <c r="M196" i="48" s="1"/>
  <c r="F198" i="48"/>
  <c r="L198" i="48" s="1"/>
  <c r="BD199" i="48"/>
  <c r="F201" i="48"/>
  <c r="L201" i="48" s="1"/>
  <c r="F203" i="48"/>
  <c r="L203" i="48" s="1"/>
  <c r="M204" i="48"/>
  <c r="BD213" i="48"/>
  <c r="BB214" i="48"/>
  <c r="BB215" i="48"/>
  <c r="BC215" i="48"/>
  <c r="BB216" i="48"/>
  <c r="F216" i="48" s="1"/>
  <c r="BB217" i="48"/>
  <c r="F217" i="48" s="1"/>
  <c r="L220" i="48"/>
  <c r="BC221" i="48"/>
  <c r="F221" i="48"/>
  <c r="L221" i="48" s="1"/>
  <c r="BC222" i="48"/>
  <c r="F222" i="48" s="1"/>
  <c r="L222" i="48" s="1"/>
  <c r="BC223" i="48"/>
  <c r="F223" i="48" s="1"/>
  <c r="L223" i="48" s="1"/>
  <c r="BC224" i="48"/>
  <c r="F224" i="48" s="1"/>
  <c r="L224" i="48" s="1"/>
  <c r="BC225" i="48"/>
  <c r="F225" i="48" s="1"/>
  <c r="L225" i="48" s="1"/>
  <c r="BC226" i="48"/>
  <c r="F226" i="48" s="1"/>
  <c r="BC227" i="48"/>
  <c r="F227" i="48" s="1"/>
  <c r="L227" i="48" s="1"/>
  <c r="BC228" i="48"/>
  <c r="F228" i="48"/>
  <c r="L228" i="48" s="1"/>
  <c r="BC229" i="48"/>
  <c r="F229" i="48" s="1"/>
  <c r="L229" i="48" s="1"/>
  <c r="BC230" i="48"/>
  <c r="F230" i="48" s="1"/>
  <c r="BC231" i="48"/>
  <c r="F231" i="48"/>
  <c r="L231" i="48" s="1"/>
  <c r="BC232" i="48"/>
  <c r="F232" i="48" s="1"/>
  <c r="L232" i="48" s="1"/>
  <c r="BC233" i="48"/>
  <c r="F233" i="48" s="1"/>
  <c r="BC234" i="48"/>
  <c r="F234" i="48" s="1"/>
  <c r="L234" i="48" s="1"/>
  <c r="BC235" i="48"/>
  <c r="F235" i="48" s="1"/>
  <c r="L235" i="48" s="1"/>
  <c r="BC236" i="48"/>
  <c r="F236" i="48" s="1"/>
  <c r="L236" i="48" s="1"/>
  <c r="BC237" i="48"/>
  <c r="F237" i="48" s="1"/>
  <c r="L237" i="48" s="1"/>
  <c r="BC238" i="48"/>
  <c r="F238" i="48" s="1"/>
  <c r="L238" i="48" s="1"/>
  <c r="BC239" i="48"/>
  <c r="F239" i="48" s="1"/>
  <c r="L239" i="48" s="1"/>
  <c r="BC240" i="48"/>
  <c r="F240" i="48" s="1"/>
  <c r="L240" i="48" s="1"/>
  <c r="BC241" i="48"/>
  <c r="F241" i="48" s="1"/>
  <c r="L241" i="48" s="1"/>
  <c r="BC242" i="48"/>
  <c r="F242" i="48" s="1"/>
  <c r="L242" i="48" s="1"/>
  <c r="BC244" i="48"/>
  <c r="F244" i="48" s="1"/>
  <c r="L244" i="48" s="1"/>
  <c r="BC245" i="48"/>
  <c r="F245" i="48" s="1"/>
  <c r="L245" i="48" s="1"/>
  <c r="BC246" i="48"/>
  <c r="F246" i="48" s="1"/>
  <c r="L246" i="48" s="1"/>
  <c r="BC247" i="48"/>
  <c r="F247" i="48" s="1"/>
  <c r="L247" i="48" s="1"/>
  <c r="BD252" i="48"/>
  <c r="BB253" i="48"/>
  <c r="F253" i="48" s="1"/>
  <c r="BB254" i="48"/>
  <c r="F254" i="48" s="1"/>
  <c r="BB255" i="48"/>
  <c r="F255" i="48" s="1"/>
  <c r="BB256" i="48"/>
  <c r="F256" i="48" s="1"/>
  <c r="L256" i="48" s="1"/>
  <c r="BD257" i="48"/>
  <c r="BB258" i="48"/>
  <c r="F258" i="48" s="1"/>
  <c r="BB259" i="48"/>
  <c r="F259" i="48" s="1"/>
  <c r="BB260" i="48"/>
  <c r="F260" i="48" s="1"/>
  <c r="BB261" i="48"/>
  <c r="F261" i="48" s="1"/>
  <c r="BB262" i="48"/>
  <c r="F262" i="48" s="1"/>
  <c r="BB263" i="48"/>
  <c r="F263" i="48" s="1"/>
  <c r="BB264" i="48"/>
  <c r="F264" i="48" s="1"/>
  <c r="L264" i="48" s="1"/>
  <c r="BB265" i="48"/>
  <c r="F265" i="48" s="1"/>
  <c r="BB266" i="48"/>
  <c r="F266" i="48" s="1"/>
  <c r="BB267" i="48"/>
  <c r="F267" i="48" s="1"/>
  <c r="BB268" i="48"/>
  <c r="F268" i="48" s="1"/>
  <c r="BB269" i="48"/>
  <c r="F269" i="48" s="1"/>
  <c r="BB270" i="48"/>
  <c r="F270" i="48" s="1"/>
  <c r="E276" i="48"/>
  <c r="H276" i="48"/>
  <c r="H277" i="48"/>
  <c r="H278" i="48"/>
  <c r="H279" i="48"/>
  <c r="H280" i="48"/>
  <c r="H281" i="48"/>
  <c r="R5" i="15"/>
  <c r="R13" i="15"/>
  <c r="D55" i="15"/>
  <c r="T5" i="15" s="1"/>
  <c r="H55" i="15"/>
  <c r="B58" i="15"/>
  <c r="H60" i="15"/>
  <c r="M6" i="103"/>
  <c r="R18" i="103"/>
  <c r="AZ208" i="48" s="1"/>
  <c r="F208" i="48" s="1"/>
  <c r="L208" i="48" s="1"/>
  <c r="R19" i="103"/>
  <c r="AZ209" i="48" s="1"/>
  <c r="F209" i="48" s="1"/>
  <c r="L209" i="48" s="1"/>
  <c r="R20" i="103"/>
  <c r="AZ210" i="48" s="1"/>
  <c r="F210" i="48" s="1"/>
  <c r="R21" i="103"/>
  <c r="AZ211" i="48" s="1"/>
  <c r="F211" i="48" s="1"/>
  <c r="L211" i="48" s="1"/>
  <c r="R22" i="103"/>
  <c r="AZ212" i="48"/>
  <c r="F212" i="48" s="1"/>
  <c r="L212" i="48" s="1"/>
  <c r="R3" i="102"/>
  <c r="AX200" i="48" s="1"/>
  <c r="F200" i="48" s="1"/>
  <c r="L200" i="48" s="1"/>
  <c r="M6" i="102"/>
  <c r="R8" i="102"/>
  <c r="AX202" i="48" s="1"/>
  <c r="F202" i="48" s="1"/>
  <c r="L202" i="48" s="1"/>
  <c r="S3" i="100"/>
  <c r="AW177" i="48" s="1"/>
  <c r="F177" i="48" s="1"/>
  <c r="L177" i="48" s="1"/>
  <c r="S4" i="100"/>
  <c r="AW178" i="48" s="1"/>
  <c r="F178" i="48" s="1"/>
  <c r="L178" i="48" s="1"/>
  <c r="S5" i="100"/>
  <c r="AW179" i="48" s="1"/>
  <c r="F179" i="48" s="1"/>
  <c r="L179" i="48" s="1"/>
  <c r="N6" i="100"/>
  <c r="S6" i="100"/>
  <c r="AW180" i="48" s="1"/>
  <c r="F180" i="48" s="1"/>
  <c r="L180" i="48" s="1"/>
  <c r="S9" i="100"/>
  <c r="AW183" i="48" s="1"/>
  <c r="F183" i="48" s="1"/>
  <c r="L183" i="48" s="1"/>
  <c r="S10" i="100"/>
  <c r="AW184" i="48"/>
  <c r="F184" i="48" s="1"/>
  <c r="L184" i="48" s="1"/>
  <c r="S11" i="100"/>
  <c r="AW185" i="48" s="1"/>
  <c r="F185" i="48" s="1"/>
  <c r="L185" i="48" s="1"/>
  <c r="S12" i="100"/>
  <c r="AW186" i="48" s="1"/>
  <c r="F186" i="48" s="1"/>
  <c r="L186" i="48" s="1"/>
  <c r="S15" i="100"/>
  <c r="AW190" i="48" s="1"/>
  <c r="F190" i="48" s="1"/>
  <c r="L190" i="48" s="1"/>
  <c r="S16" i="100"/>
  <c r="AW191" i="48" s="1"/>
  <c r="F191" i="48" s="1"/>
  <c r="S17" i="100"/>
  <c r="AW192" i="48" s="1"/>
  <c r="F192" i="48" s="1"/>
  <c r="L192" i="48" s="1"/>
  <c r="S18" i="100"/>
  <c r="AW193" i="48" s="1"/>
  <c r="F193" i="48" s="1"/>
  <c r="L193" i="48" s="1"/>
  <c r="S21" i="100"/>
  <c r="AW197" i="48" s="1"/>
  <c r="F197" i="48" s="1"/>
  <c r="L197" i="48" s="1"/>
  <c r="R3" i="101"/>
  <c r="R4" i="101"/>
  <c r="M6" i="101"/>
  <c r="R8" i="101"/>
  <c r="AU167" i="48" s="1"/>
  <c r="F167" i="48" s="1"/>
  <c r="L167" i="48" s="1"/>
  <c r="R9" i="101"/>
  <c r="AU168" i="48" s="1"/>
  <c r="F168" i="48" s="1"/>
  <c r="L168" i="48" s="1"/>
  <c r="R10" i="101"/>
  <c r="AU169" i="48"/>
  <c r="F169" i="48" s="1"/>
  <c r="L169" i="48" s="1"/>
  <c r="B27" i="101"/>
  <c r="S3" i="99"/>
  <c r="AT139" i="48" s="1"/>
  <c r="F139" i="48" s="1"/>
  <c r="L139" i="48" s="1"/>
  <c r="S4" i="99"/>
  <c r="AT140" i="48" s="1"/>
  <c r="F140" i="48" s="1"/>
  <c r="L140" i="48" s="1"/>
  <c r="S5" i="99"/>
  <c r="AT141" i="48" s="1"/>
  <c r="F141" i="48" s="1"/>
  <c r="L141" i="48" s="1"/>
  <c r="N6" i="99"/>
  <c r="S6" i="99"/>
  <c r="AT142" i="48" s="1"/>
  <c r="F142" i="48" s="1"/>
  <c r="S9" i="99"/>
  <c r="AT145" i="48" s="1"/>
  <c r="F145" i="48" s="1"/>
  <c r="L145" i="48" s="1"/>
  <c r="S10" i="99"/>
  <c r="AT146" i="48" s="1"/>
  <c r="F146" i="48" s="1"/>
  <c r="L146" i="48" s="1"/>
  <c r="S11" i="99"/>
  <c r="AT147" i="48" s="1"/>
  <c r="F147" i="48" s="1"/>
  <c r="L147" i="48" s="1"/>
  <c r="S12" i="99"/>
  <c r="AT148" i="48" s="1"/>
  <c r="F148" i="48" s="1"/>
  <c r="L148" i="48" s="1"/>
  <c r="S15" i="99"/>
  <c r="AT152" i="48"/>
  <c r="F152" i="48" s="1"/>
  <c r="L152" i="48" s="1"/>
  <c r="S16" i="99"/>
  <c r="AT153" i="48" s="1"/>
  <c r="F153" i="48" s="1"/>
  <c r="L153" i="48" s="1"/>
  <c r="S17" i="99"/>
  <c r="AT154" i="48" s="1"/>
  <c r="F154" i="48" s="1"/>
  <c r="L154" i="48" s="1"/>
  <c r="S18" i="99"/>
  <c r="AT155" i="48"/>
  <c r="F155" i="48" s="1"/>
  <c r="L155" i="48" s="1"/>
  <c r="S21" i="99"/>
  <c r="AT159" i="48"/>
  <c r="F159" i="48" s="1"/>
  <c r="L159" i="48" s="1"/>
  <c r="S22" i="99"/>
  <c r="AT160" i="48" s="1"/>
  <c r="F160" i="48" s="1"/>
  <c r="L160" i="48" s="1"/>
  <c r="S23" i="99"/>
  <c r="AT161" i="48" s="1"/>
  <c r="F161" i="48" s="1"/>
  <c r="L161" i="48" s="1"/>
  <c r="B31" i="99"/>
  <c r="B32" i="99"/>
  <c r="P6" i="3"/>
  <c r="F18" i="3"/>
  <c r="I7" i="16"/>
  <c r="AQ17" i="48"/>
  <c r="AQ18" i="48"/>
  <c r="AQ31" i="48"/>
  <c r="N8" i="97"/>
  <c r="AQ32" i="48"/>
  <c r="AQ33" i="48"/>
  <c r="I12" i="97"/>
  <c r="I13" i="97"/>
  <c r="AQ61" i="48"/>
  <c r="AQ63" i="48"/>
  <c r="AQ66" i="48"/>
  <c r="AQ126" i="48"/>
  <c r="AO18" i="48"/>
  <c r="S62" i="96"/>
  <c r="AO123" i="48" s="1"/>
  <c r="N8" i="96"/>
  <c r="AO32" i="48"/>
  <c r="AO33" i="48"/>
  <c r="I12" i="96"/>
  <c r="I13" i="96"/>
  <c r="AO61" i="48"/>
  <c r="AO63" i="48"/>
  <c r="AO65" i="48"/>
  <c r="AO125" i="48"/>
  <c r="AO126" i="48"/>
  <c r="AO130" i="48"/>
  <c r="AO131" i="48"/>
  <c r="S68" i="96"/>
  <c r="S69" i="96"/>
  <c r="AO134" i="48"/>
  <c r="AO135" i="48"/>
  <c r="S73" i="96"/>
  <c r="S74" i="96"/>
  <c r="AM31" i="48"/>
  <c r="N8" i="92"/>
  <c r="AM33" i="48"/>
  <c r="I12" i="92"/>
  <c r="I13" i="92"/>
  <c r="AM61" i="48"/>
  <c r="AM63" i="48"/>
  <c r="AM65" i="48"/>
  <c r="AM126" i="48"/>
  <c r="AM127" i="48"/>
  <c r="U3" i="109"/>
  <c r="U4" i="109"/>
  <c r="I6" i="109"/>
  <c r="S80" i="109"/>
  <c r="N8" i="109"/>
  <c r="AL39" i="48"/>
  <c r="S82" i="109"/>
  <c r="AL53" i="48" s="1"/>
  <c r="I12" i="109"/>
  <c r="I13" i="109"/>
  <c r="AL63" i="48"/>
  <c r="AL65" i="48"/>
  <c r="AL66" i="48"/>
  <c r="AL62" i="48"/>
  <c r="AL131" i="48"/>
  <c r="AL135" i="48"/>
  <c r="S78" i="109"/>
  <c r="S79" i="109"/>
  <c r="S83" i="109"/>
  <c r="AL54" i="48" s="1"/>
  <c r="S84" i="109"/>
  <c r="AL55" i="48" s="1"/>
  <c r="S3" i="112"/>
  <c r="S4" i="112"/>
  <c r="AI18" i="48" s="1"/>
  <c r="S5" i="112"/>
  <c r="AI19" i="48" s="1"/>
  <c r="H6" i="112"/>
  <c r="S6" i="112"/>
  <c r="AI20" i="48"/>
  <c r="S7" i="112"/>
  <c r="AI21" i="48" s="1"/>
  <c r="M8" i="112"/>
  <c r="S8" i="112"/>
  <c r="S9" i="112"/>
  <c r="S41" i="112" s="1"/>
  <c r="S10" i="112"/>
  <c r="S12" i="112"/>
  <c r="S13" i="112"/>
  <c r="S14" i="112"/>
  <c r="S15" i="112"/>
  <c r="S16" i="112"/>
  <c r="S53" i="112"/>
  <c r="AI55" i="48" s="1"/>
  <c r="S17" i="112"/>
  <c r="G18" i="112"/>
  <c r="S18" i="112"/>
  <c r="S19" i="112"/>
  <c r="S20" i="112"/>
  <c r="S22" i="112"/>
  <c r="K23" i="112"/>
  <c r="S23" i="112"/>
  <c r="K24" i="112"/>
  <c r="F26" i="112"/>
  <c r="G26" i="112"/>
  <c r="H26" i="112"/>
  <c r="I26" i="112"/>
  <c r="S26" i="112"/>
  <c r="AI61" i="48" s="1"/>
  <c r="F28" i="112"/>
  <c r="H28" i="112"/>
  <c r="S28" i="112"/>
  <c r="AI63" i="48" s="1"/>
  <c r="G29" i="112"/>
  <c r="I29" i="112"/>
  <c r="S30" i="112"/>
  <c r="AI65" i="48" s="1"/>
  <c r="S32" i="112"/>
  <c r="AI67" i="48" s="1"/>
  <c r="S34" i="112"/>
  <c r="AI69" i="48" s="1"/>
  <c r="S3" i="90"/>
  <c r="AH17" i="48" s="1"/>
  <c r="S4" i="90"/>
  <c r="AH18" i="48" s="1"/>
  <c r="S5" i="90"/>
  <c r="AH19" i="48" s="1"/>
  <c r="H6" i="90"/>
  <c r="S6" i="90"/>
  <c r="AH20" i="48" s="1"/>
  <c r="S7" i="90"/>
  <c r="AH21" i="48" s="1"/>
  <c r="M8" i="90"/>
  <c r="S8" i="90"/>
  <c r="S9" i="90"/>
  <c r="S10" i="90"/>
  <c r="S37" i="90" s="1"/>
  <c r="S12" i="90"/>
  <c r="AH31" i="48" s="1"/>
  <c r="S13" i="90"/>
  <c r="AH32" i="48" s="1"/>
  <c r="S14" i="90"/>
  <c r="S15" i="90"/>
  <c r="S16" i="90"/>
  <c r="AH35" i="48" s="1"/>
  <c r="S17" i="90"/>
  <c r="G18" i="90"/>
  <c r="S18" i="90"/>
  <c r="S39" i="90" s="1"/>
  <c r="S19" i="90"/>
  <c r="S20" i="90"/>
  <c r="S22" i="90"/>
  <c r="K23" i="90"/>
  <c r="S23" i="90"/>
  <c r="K24" i="90"/>
  <c r="F26" i="90"/>
  <c r="G26" i="90"/>
  <c r="H26" i="90"/>
  <c r="I26" i="90"/>
  <c r="S26" i="90"/>
  <c r="AH61" i="48" s="1"/>
  <c r="F28" i="90"/>
  <c r="H28" i="90"/>
  <c r="S28" i="90"/>
  <c r="AH63" i="48" s="1"/>
  <c r="G29" i="90"/>
  <c r="I29" i="90"/>
  <c r="S30" i="90"/>
  <c r="AH65" i="48" s="1"/>
  <c r="S32" i="90"/>
  <c r="AH67" i="48"/>
  <c r="S34" i="90"/>
  <c r="AH69" i="48" s="1"/>
  <c r="H6" i="111"/>
  <c r="AF18" i="48"/>
  <c r="N8" i="111"/>
  <c r="S17" i="111"/>
  <c r="AF61" i="48" s="1"/>
  <c r="S18" i="111"/>
  <c r="AF62" i="48" s="1"/>
  <c r="S19" i="111"/>
  <c r="AF63" i="48" s="1"/>
  <c r="S20" i="111"/>
  <c r="AF64" i="48" s="1"/>
  <c r="S21" i="111"/>
  <c r="AF65" i="48" s="1"/>
  <c r="S22" i="111"/>
  <c r="AF66" i="48" s="1"/>
  <c r="S23" i="111"/>
  <c r="AF67" i="48" s="1"/>
  <c r="S24" i="111"/>
  <c r="AF68" i="48" s="1"/>
  <c r="S25" i="111"/>
  <c r="AF69" i="48" s="1"/>
  <c r="S29" i="111"/>
  <c r="AF75" i="48" s="1"/>
  <c r="S30" i="111"/>
  <c r="AF76" i="48" s="1"/>
  <c r="S31" i="111"/>
  <c r="AF77" i="48" s="1"/>
  <c r="S32" i="111"/>
  <c r="AF78" i="48" s="1"/>
  <c r="S33" i="111"/>
  <c r="AF79" i="48" s="1"/>
  <c r="S34" i="111"/>
  <c r="AF80" i="48" s="1"/>
  <c r="S35" i="111"/>
  <c r="AF81" i="48" s="1"/>
  <c r="S36" i="111"/>
  <c r="AF82" i="48" s="1"/>
  <c r="H6" i="110"/>
  <c r="N8" i="110"/>
  <c r="S17" i="110"/>
  <c r="AE61" i="48" s="1"/>
  <c r="S18" i="110"/>
  <c r="AE62" i="48" s="1"/>
  <c r="S19" i="110"/>
  <c r="AE63" i="48" s="1"/>
  <c r="S20" i="110"/>
  <c r="AE64" i="48" s="1"/>
  <c r="S21" i="110"/>
  <c r="AE65" i="48" s="1"/>
  <c r="S22" i="110"/>
  <c r="AE66" i="48" s="1"/>
  <c r="S23" i="110"/>
  <c r="AE67" i="48" s="1"/>
  <c r="S24" i="110"/>
  <c r="AE68" i="48" s="1"/>
  <c r="S25" i="110"/>
  <c r="AE69" i="48" s="1"/>
  <c r="S29" i="110"/>
  <c r="AE75" i="48" s="1"/>
  <c r="S30" i="110"/>
  <c r="AE76" i="48" s="1"/>
  <c r="S31" i="110"/>
  <c r="AE77" i="48" s="1"/>
  <c r="S32" i="110"/>
  <c r="AE78" i="48" s="1"/>
  <c r="S33" i="110"/>
  <c r="AE79" i="48" s="1"/>
  <c r="S34" i="110"/>
  <c r="AE80" i="48" s="1"/>
  <c r="S35" i="110"/>
  <c r="AE81" i="48" s="1"/>
  <c r="S36" i="110"/>
  <c r="AE82" i="48" s="1"/>
  <c r="H6" i="108"/>
  <c r="S7" i="108"/>
  <c r="AD38" i="48" s="1"/>
  <c r="N8" i="108"/>
  <c r="S8" i="108"/>
  <c r="AD39" i="48" s="1"/>
  <c r="S9" i="108"/>
  <c r="S10" i="108"/>
  <c r="AD41" i="48" s="1"/>
  <c r="S11" i="108"/>
  <c r="AD42" i="48" s="1"/>
  <c r="S13" i="108"/>
  <c r="S14" i="108"/>
  <c r="S15" i="108"/>
  <c r="S16" i="108"/>
  <c r="S17" i="108"/>
  <c r="AD61" i="48" s="1"/>
  <c r="S18" i="108"/>
  <c r="AD62" i="48" s="1"/>
  <c r="S19" i="108"/>
  <c r="AD63" i="48"/>
  <c r="S20" i="108"/>
  <c r="AD64" i="48" s="1"/>
  <c r="S21" i="108"/>
  <c r="AD65" i="48" s="1"/>
  <c r="S22" i="108"/>
  <c r="AD66" i="48" s="1"/>
  <c r="S23" i="108"/>
  <c r="AD67" i="48" s="1"/>
  <c r="S24" i="108"/>
  <c r="AD68" i="48" s="1"/>
  <c r="S25" i="108"/>
  <c r="AD69" i="48" s="1"/>
  <c r="S27" i="108"/>
  <c r="S28" i="108"/>
  <c r="S29" i="108"/>
  <c r="S30" i="108"/>
  <c r="S31" i="108"/>
  <c r="S32" i="108"/>
  <c r="S33" i="108"/>
  <c r="S34" i="108"/>
  <c r="S35" i="108"/>
  <c r="S36" i="108"/>
  <c r="S37" i="108"/>
  <c r="S38" i="108"/>
  <c r="S39" i="108"/>
  <c r="S47" i="108"/>
  <c r="S48" i="108"/>
  <c r="S3" i="89"/>
  <c r="S4" i="89"/>
  <c r="S5" i="89"/>
  <c r="H6" i="89"/>
  <c r="S6" i="89"/>
  <c r="S7" i="89"/>
  <c r="AC31" i="48" s="1"/>
  <c r="N8" i="89"/>
  <c r="S8" i="89"/>
  <c r="S9" i="89"/>
  <c r="AC33" i="48" s="1"/>
  <c r="S10" i="89"/>
  <c r="AC34" i="48" s="1"/>
  <c r="S11" i="89"/>
  <c r="AC35" i="48"/>
  <c r="S13" i="89"/>
  <c r="S14" i="89"/>
  <c r="S15" i="89"/>
  <c r="S16" i="89"/>
  <c r="S17" i="89"/>
  <c r="AC61" i="48" s="1"/>
  <c r="S18" i="89"/>
  <c r="AC62" i="48" s="1"/>
  <c r="S19" i="89"/>
  <c r="AC63" i="48" s="1"/>
  <c r="S20" i="89"/>
  <c r="AC64" i="48" s="1"/>
  <c r="S21" i="89"/>
  <c r="AC65" i="48" s="1"/>
  <c r="S22" i="89"/>
  <c r="AC66" i="48" s="1"/>
  <c r="S23" i="89"/>
  <c r="AC67" i="48" s="1"/>
  <c r="S24" i="89"/>
  <c r="AC68" i="48"/>
  <c r="S25" i="89"/>
  <c r="AC69" i="48" s="1"/>
  <c r="S27" i="89"/>
  <c r="S28" i="89"/>
  <c r="S29" i="89"/>
  <c r="S30" i="89"/>
  <c r="S31" i="89"/>
  <c r="S32" i="89"/>
  <c r="S33" i="89"/>
  <c r="S34" i="89"/>
  <c r="S35" i="89"/>
  <c r="S36" i="89"/>
  <c r="S37" i="89"/>
  <c r="S38" i="89"/>
  <c r="S39" i="89"/>
  <c r="S3" i="93"/>
  <c r="S4" i="93"/>
  <c r="S5" i="93"/>
  <c r="S6" i="93"/>
  <c r="S7" i="93"/>
  <c r="AB17" i="48" s="1"/>
  <c r="N8" i="93"/>
  <c r="S8" i="93"/>
  <c r="AB18" i="48" s="1"/>
  <c r="S9" i="93"/>
  <c r="AB19" i="48" s="1"/>
  <c r="S10" i="93"/>
  <c r="AB20" i="48" s="1"/>
  <c r="S11" i="93"/>
  <c r="AB21" i="48" s="1"/>
  <c r="S13" i="93"/>
  <c r="S14" i="93"/>
  <c r="S15" i="93"/>
  <c r="S16" i="93"/>
  <c r="S17" i="93"/>
  <c r="AB61" i="48" s="1"/>
  <c r="S18" i="93"/>
  <c r="AB62" i="48" s="1"/>
  <c r="S19" i="93"/>
  <c r="AB63" i="48" s="1"/>
  <c r="S20" i="93"/>
  <c r="AB64" i="48" s="1"/>
  <c r="S21" i="93"/>
  <c r="S22" i="93"/>
  <c r="AB66" i="48" s="1"/>
  <c r="S23" i="93"/>
  <c r="AB67" i="48" s="1"/>
  <c r="S24" i="93"/>
  <c r="AB68" i="48" s="1"/>
  <c r="S25" i="93"/>
  <c r="AB69" i="48" s="1"/>
  <c r="S27" i="93"/>
  <c r="S28" i="93"/>
  <c r="S29" i="93"/>
  <c r="S30" i="93"/>
  <c r="S31" i="93"/>
  <c r="S32" i="93"/>
  <c r="S33" i="93"/>
  <c r="S34" i="93"/>
  <c r="S35" i="93"/>
  <c r="S36" i="93"/>
  <c r="S37" i="93"/>
  <c r="S38" i="93"/>
  <c r="Z43" i="48"/>
  <c r="F43" i="48" s="1"/>
  <c r="L43" i="48" s="1"/>
  <c r="N8" i="86"/>
  <c r="S13" i="86"/>
  <c r="S14" i="86"/>
  <c r="S15" i="86"/>
  <c r="S16" i="86"/>
  <c r="S17" i="86"/>
  <c r="Z61" i="48" s="1"/>
  <c r="S18" i="86"/>
  <c r="Z62" i="48" s="1"/>
  <c r="S19" i="86"/>
  <c r="Z63" i="48" s="1"/>
  <c r="S20" i="86"/>
  <c r="Z64" i="48" s="1"/>
  <c r="S21" i="86"/>
  <c r="Z65" i="48"/>
  <c r="S22" i="86"/>
  <c r="Z66" i="48" s="1"/>
  <c r="S23" i="86"/>
  <c r="Z67" i="48" s="1"/>
  <c r="S24" i="86"/>
  <c r="Z68" i="48" s="1"/>
  <c r="S25" i="86"/>
  <c r="Z69" i="48" s="1"/>
  <c r="S27" i="86"/>
  <c r="S28" i="86"/>
  <c r="S29" i="86"/>
  <c r="S30" i="86"/>
  <c r="S31" i="86"/>
  <c r="Z75" i="48" s="1"/>
  <c r="S32" i="86"/>
  <c r="Z76" i="48"/>
  <c r="S33" i="86"/>
  <c r="Z77" i="48" s="1"/>
  <c r="S34" i="86"/>
  <c r="Z78" i="48" s="1"/>
  <c r="S35" i="86"/>
  <c r="Z79" i="48" s="1"/>
  <c r="S36" i="86"/>
  <c r="Z80" i="48"/>
  <c r="S37" i="86"/>
  <c r="Z81" i="48" s="1"/>
  <c r="S38" i="86"/>
  <c r="Z82" i="48" s="1"/>
  <c r="S39" i="86"/>
  <c r="Z83" i="48" s="1"/>
  <c r="H6" i="107"/>
  <c r="N8" i="107"/>
  <c r="H12" i="107"/>
  <c r="H13" i="107"/>
  <c r="S13" i="107"/>
  <c r="Y57" i="48" s="1"/>
  <c r="S14" i="107"/>
  <c r="Y58" i="48" s="1"/>
  <c r="S15" i="107"/>
  <c r="Y59" i="48" s="1"/>
  <c r="S16" i="107"/>
  <c r="Y60" i="48" s="1"/>
  <c r="S17" i="107"/>
  <c r="Y61" i="48" s="1"/>
  <c r="S18" i="107"/>
  <c r="Y62" i="48" s="1"/>
  <c r="S19" i="107"/>
  <c r="Y63" i="48" s="1"/>
  <c r="S20" i="107"/>
  <c r="Y64" i="48" s="1"/>
  <c r="S21" i="107"/>
  <c r="Y65" i="48" s="1"/>
  <c r="S22" i="107"/>
  <c r="Y66" i="48" s="1"/>
  <c r="S23" i="107"/>
  <c r="Y67" i="48" s="1"/>
  <c r="S24" i="107"/>
  <c r="Y68" i="48" s="1"/>
  <c r="S25" i="107"/>
  <c r="Y69" i="48" s="1"/>
  <c r="S27" i="107"/>
  <c r="Y71" i="48" s="1"/>
  <c r="S28" i="107"/>
  <c r="Y72" i="48" s="1"/>
  <c r="S29" i="107"/>
  <c r="Y73" i="48" s="1"/>
  <c r="S30" i="107"/>
  <c r="Y74" i="48" s="1"/>
  <c r="S31" i="107"/>
  <c r="Y75" i="48" s="1"/>
  <c r="S32" i="107"/>
  <c r="Y76" i="48" s="1"/>
  <c r="S33" i="107"/>
  <c r="Y77" i="48" s="1"/>
  <c r="S34" i="107"/>
  <c r="Y78" i="48" s="1"/>
  <c r="S35" i="107"/>
  <c r="Y79" i="48" s="1"/>
  <c r="S36" i="107"/>
  <c r="Y80" i="48" s="1"/>
  <c r="S37" i="107"/>
  <c r="Y81" i="48" s="1"/>
  <c r="S38" i="107"/>
  <c r="Y82" i="48"/>
  <c r="S39" i="107"/>
  <c r="Y83" i="48" s="1"/>
  <c r="H6" i="88"/>
  <c r="N8" i="88"/>
  <c r="H12" i="88"/>
  <c r="H13" i="88"/>
  <c r="S13" i="88"/>
  <c r="X57" i="48" s="1"/>
  <c r="S14" i="88"/>
  <c r="X58" i="48" s="1"/>
  <c r="S15" i="88"/>
  <c r="X59" i="48" s="1"/>
  <c r="S16" i="88"/>
  <c r="X60" i="48"/>
  <c r="S17" i="88"/>
  <c r="X61" i="48" s="1"/>
  <c r="S18" i="88"/>
  <c r="X62" i="48" s="1"/>
  <c r="S19" i="88"/>
  <c r="X63" i="48" s="1"/>
  <c r="S20" i="88"/>
  <c r="X64" i="48" s="1"/>
  <c r="S21" i="88"/>
  <c r="X65" i="48" s="1"/>
  <c r="S22" i="88"/>
  <c r="S23" i="88"/>
  <c r="X67" i="48" s="1"/>
  <c r="S24" i="88"/>
  <c r="X68" i="48" s="1"/>
  <c r="S25" i="88"/>
  <c r="S27" i="88"/>
  <c r="X71" i="48"/>
  <c r="S28" i="88"/>
  <c r="X72" i="48" s="1"/>
  <c r="S29" i="88"/>
  <c r="X73" i="48"/>
  <c r="S30" i="88"/>
  <c r="S31" i="88"/>
  <c r="X75" i="48" s="1"/>
  <c r="S32" i="88"/>
  <c r="X76" i="48"/>
  <c r="S33" i="88"/>
  <c r="X77" i="48" s="1"/>
  <c r="S34" i="88"/>
  <c r="X78" i="48" s="1"/>
  <c r="S35" i="88"/>
  <c r="X79" i="48" s="1"/>
  <c r="S36" i="88"/>
  <c r="X80" i="48"/>
  <c r="S37" i="88"/>
  <c r="X81" i="48" s="1"/>
  <c r="S38" i="88"/>
  <c r="X82" i="48" s="1"/>
  <c r="S39" i="88"/>
  <c r="X83" i="48" s="1"/>
  <c r="H6" i="106"/>
  <c r="N8" i="106"/>
  <c r="H12" i="106"/>
  <c r="H13" i="106"/>
  <c r="S13" i="106"/>
  <c r="W57" i="48" s="1"/>
  <c r="H14" i="106"/>
  <c r="S14" i="106"/>
  <c r="W58" i="48" s="1"/>
  <c r="H15" i="106"/>
  <c r="S15" i="106"/>
  <c r="W59" i="48" s="1"/>
  <c r="S16" i="106"/>
  <c r="W60" i="48" s="1"/>
  <c r="S17" i="106"/>
  <c r="W61" i="48"/>
  <c r="S18" i="106"/>
  <c r="W62" i="48" s="1"/>
  <c r="S19" i="106"/>
  <c r="S20" i="106"/>
  <c r="W64" i="48" s="1"/>
  <c r="S21" i="106"/>
  <c r="W65" i="48" s="1"/>
  <c r="S22" i="106"/>
  <c r="W66" i="48" s="1"/>
  <c r="S23" i="106"/>
  <c r="W67" i="48" s="1"/>
  <c r="S24" i="106"/>
  <c r="S25" i="106"/>
  <c r="W69" i="48" s="1"/>
  <c r="S27" i="106"/>
  <c r="W71" i="48" s="1"/>
  <c r="S28" i="106"/>
  <c r="W72" i="48" s="1"/>
  <c r="S29" i="106"/>
  <c r="W73" i="48" s="1"/>
  <c r="S30" i="106"/>
  <c r="W74" i="48" s="1"/>
  <c r="S31" i="106"/>
  <c r="W75" i="48"/>
  <c r="S32" i="106"/>
  <c r="W76" i="48" s="1"/>
  <c r="S33" i="106"/>
  <c r="W77" i="48" s="1"/>
  <c r="S34" i="106"/>
  <c r="W78" i="48" s="1"/>
  <c r="S35" i="106"/>
  <c r="W79" i="48" s="1"/>
  <c r="S36" i="106"/>
  <c r="W80" i="48" s="1"/>
  <c r="S37" i="106"/>
  <c r="W81" i="48"/>
  <c r="S38" i="106"/>
  <c r="W82" i="48" s="1"/>
  <c r="S39" i="106"/>
  <c r="W83" i="48" s="1"/>
  <c r="H6" i="87"/>
  <c r="N8" i="87"/>
  <c r="V34" i="48"/>
  <c r="H12" i="87"/>
  <c r="H13" i="87"/>
  <c r="S13" i="87"/>
  <c r="H14" i="87"/>
  <c r="S14" i="87"/>
  <c r="H15" i="87"/>
  <c r="S15" i="87"/>
  <c r="V59" i="48"/>
  <c r="S16" i="87"/>
  <c r="V60" i="48" s="1"/>
  <c r="S17" i="87"/>
  <c r="V61" i="48" s="1"/>
  <c r="S18" i="87"/>
  <c r="V62" i="48" s="1"/>
  <c r="S19" i="87"/>
  <c r="V63" i="48" s="1"/>
  <c r="S20" i="87"/>
  <c r="V64" i="48" s="1"/>
  <c r="S21" i="87"/>
  <c r="V65" i="48" s="1"/>
  <c r="S22" i="87"/>
  <c r="V66" i="48" s="1"/>
  <c r="S23" i="87"/>
  <c r="V67" i="48" s="1"/>
  <c r="S24" i="87"/>
  <c r="V68" i="48" s="1"/>
  <c r="S25" i="87"/>
  <c r="V69" i="48" s="1"/>
  <c r="S27" i="87"/>
  <c r="V71" i="48" s="1"/>
  <c r="S28" i="87"/>
  <c r="V72" i="48"/>
  <c r="S29" i="87"/>
  <c r="V73" i="48" s="1"/>
  <c r="S30" i="87"/>
  <c r="V74" i="48" s="1"/>
  <c r="S31" i="87"/>
  <c r="V75" i="48" s="1"/>
  <c r="S32" i="87"/>
  <c r="S33" i="87"/>
  <c r="V77" i="48" s="1"/>
  <c r="S34" i="87"/>
  <c r="V78" i="48"/>
  <c r="S35" i="87"/>
  <c r="V79" i="48" s="1"/>
  <c r="S36" i="87"/>
  <c r="V80" i="48" s="1"/>
  <c r="S37" i="87"/>
  <c r="V81" i="48" s="1"/>
  <c r="S38" i="87"/>
  <c r="V82" i="48" s="1"/>
  <c r="S39" i="87"/>
  <c r="V83" i="48" s="1"/>
  <c r="H6" i="105"/>
  <c r="N8" i="105"/>
  <c r="H12" i="105"/>
  <c r="H13" i="105"/>
  <c r="S13" i="105"/>
  <c r="U57" i="48" s="1"/>
  <c r="H14" i="105"/>
  <c r="S14" i="105"/>
  <c r="H15" i="105"/>
  <c r="S15" i="105"/>
  <c r="U59" i="48" s="1"/>
  <c r="S16" i="105"/>
  <c r="U60" i="48" s="1"/>
  <c r="S17" i="105"/>
  <c r="S18" i="105"/>
  <c r="U62" i="48" s="1"/>
  <c r="S19" i="105"/>
  <c r="U63" i="48" s="1"/>
  <c r="S20" i="105"/>
  <c r="U64" i="48" s="1"/>
  <c r="S21" i="105"/>
  <c r="U65" i="48" s="1"/>
  <c r="S22" i="105"/>
  <c r="U66" i="48" s="1"/>
  <c r="S23" i="105"/>
  <c r="U67" i="48" s="1"/>
  <c r="S24" i="105"/>
  <c r="U68" i="48" s="1"/>
  <c r="S25" i="105"/>
  <c r="U69" i="48" s="1"/>
  <c r="S27" i="105"/>
  <c r="U71" i="48" s="1"/>
  <c r="S28" i="105"/>
  <c r="U72" i="48" s="1"/>
  <c r="S29" i="105"/>
  <c r="U73" i="48" s="1"/>
  <c r="S30" i="105"/>
  <c r="U74" i="48" s="1"/>
  <c r="S31" i="105"/>
  <c r="U75" i="48" s="1"/>
  <c r="S32" i="105"/>
  <c r="U76" i="48" s="1"/>
  <c r="S33" i="105"/>
  <c r="U77" i="48" s="1"/>
  <c r="S34" i="105"/>
  <c r="U78" i="48" s="1"/>
  <c r="S35" i="105"/>
  <c r="U79" i="48"/>
  <c r="S36" i="105"/>
  <c r="U80" i="48" s="1"/>
  <c r="S37" i="105"/>
  <c r="U81" i="48" s="1"/>
  <c r="S38" i="105"/>
  <c r="U82" i="48" s="1"/>
  <c r="S39" i="105"/>
  <c r="U83" i="48" s="1"/>
  <c r="H6" i="80"/>
  <c r="T31" i="48"/>
  <c r="N8" i="80"/>
  <c r="H12" i="80"/>
  <c r="H13" i="80"/>
  <c r="S13" i="80"/>
  <c r="H14" i="80"/>
  <c r="S14" i="80"/>
  <c r="T58" i="48"/>
  <c r="H15" i="80"/>
  <c r="S15" i="80"/>
  <c r="T59" i="48" s="1"/>
  <c r="S16" i="80"/>
  <c r="T60" i="48" s="1"/>
  <c r="S17" i="80"/>
  <c r="T61" i="48"/>
  <c r="S18" i="80"/>
  <c r="T62" i="48" s="1"/>
  <c r="S19" i="80"/>
  <c r="T63" i="48" s="1"/>
  <c r="S20" i="80"/>
  <c r="T64" i="48" s="1"/>
  <c r="S21" i="80"/>
  <c r="T65" i="48" s="1"/>
  <c r="S22" i="80"/>
  <c r="T66" i="48" s="1"/>
  <c r="S23" i="80"/>
  <c r="T67" i="48" s="1"/>
  <c r="S24" i="80"/>
  <c r="T68" i="48" s="1"/>
  <c r="S25" i="80"/>
  <c r="T69" i="48"/>
  <c r="S27" i="80"/>
  <c r="S28" i="80"/>
  <c r="T72" i="48" s="1"/>
  <c r="S29" i="80"/>
  <c r="T73" i="48"/>
  <c r="S30" i="80"/>
  <c r="S31" i="80"/>
  <c r="T75" i="48" s="1"/>
  <c r="S32" i="80"/>
  <c r="T76" i="48" s="1"/>
  <c r="S33" i="80"/>
  <c r="T77" i="48" s="1"/>
  <c r="S34" i="80"/>
  <c r="T78" i="48" s="1"/>
  <c r="S35" i="80"/>
  <c r="T79" i="48" s="1"/>
  <c r="S36" i="80"/>
  <c r="T80" i="48" s="1"/>
  <c r="S37" i="80"/>
  <c r="T81" i="48"/>
  <c r="S38" i="80"/>
  <c r="T82" i="48" s="1"/>
  <c r="S39" i="80"/>
  <c r="T83" i="48" s="1"/>
  <c r="H6" i="104"/>
  <c r="N8" i="104"/>
  <c r="S13" i="104"/>
  <c r="S57" i="48" s="1"/>
  <c r="S14" i="104"/>
  <c r="S58" i="48" s="1"/>
  <c r="S15" i="104"/>
  <c r="S59" i="48" s="1"/>
  <c r="S16" i="104"/>
  <c r="S60" i="48" s="1"/>
  <c r="S17" i="104"/>
  <c r="S61" i="48" s="1"/>
  <c r="S18" i="104"/>
  <c r="S62" i="48" s="1"/>
  <c r="S19" i="104"/>
  <c r="S63" i="48"/>
  <c r="S20" i="104"/>
  <c r="S64" i="48" s="1"/>
  <c r="S21" i="104"/>
  <c r="S65" i="48" s="1"/>
  <c r="S22" i="104"/>
  <c r="S66" i="48" s="1"/>
  <c r="S23" i="104"/>
  <c r="S67" i="48" s="1"/>
  <c r="S24" i="104"/>
  <c r="S68" i="48" s="1"/>
  <c r="S25" i="104"/>
  <c r="S69" i="48"/>
  <c r="S27" i="104"/>
  <c r="S71" i="48" s="1"/>
  <c r="S28" i="104"/>
  <c r="S72" i="48"/>
  <c r="S29" i="104"/>
  <c r="S73" i="48" s="1"/>
  <c r="S30" i="104"/>
  <c r="S74" i="48" s="1"/>
  <c r="S31" i="104"/>
  <c r="S75" i="48" s="1"/>
  <c r="S32" i="104"/>
  <c r="S76" i="48" s="1"/>
  <c r="S33" i="104"/>
  <c r="S77" i="48" s="1"/>
  <c r="S34" i="104"/>
  <c r="S78" i="48"/>
  <c r="S35" i="104"/>
  <c r="S79" i="48" s="1"/>
  <c r="S36" i="104"/>
  <c r="S80" i="48" s="1"/>
  <c r="S37" i="104"/>
  <c r="S81" i="48" s="1"/>
  <c r="S38" i="104"/>
  <c r="S82" i="48"/>
  <c r="S39" i="104"/>
  <c r="S83" i="48" s="1"/>
  <c r="H6" i="85"/>
  <c r="N8" i="85"/>
  <c r="S13" i="85"/>
  <c r="R57" i="48" s="1"/>
  <c r="S14" i="85"/>
  <c r="R58" i="48"/>
  <c r="S15" i="85"/>
  <c r="R59" i="48" s="1"/>
  <c r="S16" i="85"/>
  <c r="R60" i="48" s="1"/>
  <c r="S17" i="85"/>
  <c r="R61" i="48" s="1"/>
  <c r="S18" i="85"/>
  <c r="R62" i="48" s="1"/>
  <c r="S19" i="85"/>
  <c r="R63" i="48" s="1"/>
  <c r="S20" i="85"/>
  <c r="R64" i="48" s="1"/>
  <c r="S21" i="85"/>
  <c r="R65" i="48" s="1"/>
  <c r="S22" i="85"/>
  <c r="R66" i="48" s="1"/>
  <c r="S23" i="85"/>
  <c r="R67" i="48" s="1"/>
  <c r="S24" i="85"/>
  <c r="R68" i="48" s="1"/>
  <c r="S25" i="85"/>
  <c r="R69" i="48" s="1"/>
  <c r="S27" i="85"/>
  <c r="R71" i="48" s="1"/>
  <c r="S28" i="85"/>
  <c r="R72" i="48" s="1"/>
  <c r="S29" i="85"/>
  <c r="R73" i="48" s="1"/>
  <c r="S30" i="85"/>
  <c r="R74" i="48" s="1"/>
  <c r="S31" i="85"/>
  <c r="R75" i="48"/>
  <c r="S32" i="85"/>
  <c r="S33" i="85"/>
  <c r="R77" i="48" s="1"/>
  <c r="S34" i="85"/>
  <c r="R78" i="48"/>
  <c r="S35" i="85"/>
  <c r="R79" i="48" s="1"/>
  <c r="S36" i="85"/>
  <c r="R80" i="48" s="1"/>
  <c r="S37" i="85"/>
  <c r="R81" i="48" s="1"/>
  <c r="S38" i="85"/>
  <c r="R82" i="48" s="1"/>
  <c r="S39" i="85"/>
  <c r="R83" i="48" s="1"/>
  <c r="N8" i="84"/>
  <c r="S14" i="84"/>
  <c r="Q59" i="48" s="1"/>
  <c r="S15" i="84"/>
  <c r="Q60" i="48" s="1"/>
  <c r="S16" i="84"/>
  <c r="Q61" i="48" s="1"/>
  <c r="S17" i="84"/>
  <c r="Q62" i="48" s="1"/>
  <c r="S18" i="84"/>
  <c r="Q63" i="48"/>
  <c r="S19" i="84"/>
  <c r="Q64" i="48" s="1"/>
  <c r="S20" i="84"/>
  <c r="Q65" i="48" s="1"/>
  <c r="S21" i="84"/>
  <c r="Q66" i="48" s="1"/>
  <c r="S27" i="84"/>
  <c r="Q73" i="48" s="1"/>
  <c r="S28" i="84"/>
  <c r="Q74" i="48" s="1"/>
  <c r="S29" i="84"/>
  <c r="Q75" i="48"/>
  <c r="S30" i="84"/>
  <c r="Q76" i="48" s="1"/>
  <c r="S31" i="84"/>
  <c r="Q77" i="48" s="1"/>
  <c r="S32" i="84"/>
  <c r="Q78" i="48" s="1"/>
  <c r="S33" i="84"/>
  <c r="Q79" i="48" s="1"/>
  <c r="S34" i="84"/>
  <c r="Q80" i="48" s="1"/>
  <c r="P17" i="48"/>
  <c r="N8" i="81"/>
  <c r="H10" i="81"/>
  <c r="S13" i="81"/>
  <c r="P57" i="48"/>
  <c r="S14" i="81"/>
  <c r="P58" i="48" s="1"/>
  <c r="S15" i="81"/>
  <c r="P59" i="48" s="1"/>
  <c r="S16" i="81"/>
  <c r="P60" i="48" s="1"/>
  <c r="S17" i="81"/>
  <c r="P61" i="48" s="1"/>
  <c r="S18" i="81"/>
  <c r="P62" i="48" s="1"/>
  <c r="S19" i="81"/>
  <c r="P63" i="48" s="1"/>
  <c r="S20" i="81"/>
  <c r="P64" i="48" s="1"/>
  <c r="S21" i="81"/>
  <c r="P65" i="48" s="1"/>
  <c r="S22" i="81"/>
  <c r="P66" i="48" s="1"/>
  <c r="S23" i="81"/>
  <c r="P67" i="48" s="1"/>
  <c r="S24" i="81"/>
  <c r="P68" i="48" s="1"/>
  <c r="S25" i="81"/>
  <c r="P69" i="48"/>
  <c r="S27" i="81"/>
  <c r="P71" i="48" s="1"/>
  <c r="S28" i="81"/>
  <c r="P72" i="48" s="1"/>
  <c r="S29" i="81"/>
  <c r="P73" i="48" s="1"/>
  <c r="S30" i="81"/>
  <c r="P74" i="48" s="1"/>
  <c r="S31" i="81"/>
  <c r="P75" i="48" s="1"/>
  <c r="S32" i="81"/>
  <c r="P76" i="48" s="1"/>
  <c r="S33" i="81"/>
  <c r="P77" i="48" s="1"/>
  <c r="S34" i="81"/>
  <c r="P78" i="48" s="1"/>
  <c r="S35" i="81"/>
  <c r="P79" i="48" s="1"/>
  <c r="S36" i="81"/>
  <c r="P80" i="48" s="1"/>
  <c r="S37" i="81"/>
  <c r="S38" i="81"/>
  <c r="P82" i="48" s="1"/>
  <c r="S39" i="81"/>
  <c r="P83" i="48" s="1"/>
  <c r="N8" i="82"/>
  <c r="S13" i="82"/>
  <c r="O57" i="48" s="1"/>
  <c r="S14" i="82"/>
  <c r="O58" i="48" s="1"/>
  <c r="S15" i="82"/>
  <c r="O59" i="48" s="1"/>
  <c r="S16" i="82"/>
  <c r="O60" i="48" s="1"/>
  <c r="S17" i="82"/>
  <c r="O61" i="48" s="1"/>
  <c r="S18" i="82"/>
  <c r="O62" i="48" s="1"/>
  <c r="S19" i="82"/>
  <c r="O63" i="48" s="1"/>
  <c r="S20" i="82"/>
  <c r="O64" i="48" s="1"/>
  <c r="S21" i="82"/>
  <c r="O65" i="48" s="1"/>
  <c r="S22" i="82"/>
  <c r="O66" i="48" s="1"/>
  <c r="S23" i="82"/>
  <c r="O67" i="48" s="1"/>
  <c r="S24" i="82"/>
  <c r="O68" i="48" s="1"/>
  <c r="S25" i="82"/>
  <c r="O69" i="48" s="1"/>
  <c r="S27" i="82"/>
  <c r="O71" i="48" s="1"/>
  <c r="S28" i="82"/>
  <c r="O72" i="48" s="1"/>
  <c r="S29" i="82"/>
  <c r="O73" i="48" s="1"/>
  <c r="S30" i="82"/>
  <c r="O74" i="48"/>
  <c r="S31" i="82"/>
  <c r="O75" i="48" s="1"/>
  <c r="S32" i="82"/>
  <c r="O76" i="48" s="1"/>
  <c r="S33" i="82"/>
  <c r="O77" i="48" s="1"/>
  <c r="S34" i="82"/>
  <c r="O78" i="48" s="1"/>
  <c r="S35" i="82"/>
  <c r="O79" i="48" s="1"/>
  <c r="S36" i="82"/>
  <c r="O80" i="48"/>
  <c r="S37" i="82"/>
  <c r="O81" i="48" s="1"/>
  <c r="S38" i="82"/>
  <c r="O82" i="48" s="1"/>
  <c r="S39" i="82"/>
  <c r="O83" i="48" s="1"/>
  <c r="N8" i="83"/>
  <c r="S16" i="83"/>
  <c r="N61" i="48" s="1"/>
  <c r="S18" i="83"/>
  <c r="N63" i="48" s="1"/>
  <c r="S29" i="83"/>
  <c r="N75" i="48" s="1"/>
  <c r="S31" i="83"/>
  <c r="N77" i="48"/>
  <c r="T7" i="10"/>
  <c r="E18" i="10"/>
  <c r="K18" i="10"/>
  <c r="E25" i="10"/>
  <c r="K25" i="10"/>
  <c r="Q25" i="10"/>
  <c r="E33" i="10"/>
  <c r="K33" i="10"/>
  <c r="Q33" i="10"/>
  <c r="E41" i="10"/>
  <c r="K41" i="10"/>
  <c r="E48" i="10"/>
  <c r="K48" i="10"/>
  <c r="E56" i="10"/>
  <c r="K56" i="10"/>
  <c r="E82" i="10"/>
  <c r="K82" i="10"/>
  <c r="E91" i="10"/>
  <c r="K91" i="10"/>
  <c r="E64" i="10"/>
  <c r="K64" i="10"/>
  <c r="E73" i="10"/>
  <c r="K73" i="10"/>
  <c r="K10" i="11"/>
  <c r="O13" i="11"/>
  <c r="J7" i="112" s="1"/>
  <c r="I21" i="11"/>
  <c r="G23" i="11"/>
  <c r="B25" i="11"/>
  <c r="B26" i="11"/>
  <c r="B27" i="11"/>
  <c r="B28" i="11"/>
  <c r="B29" i="11"/>
  <c r="B30" i="11"/>
  <c r="S53" i="108"/>
  <c r="AD55" i="48" s="1"/>
  <c r="AB65" i="48"/>
  <c r="T71" i="48"/>
  <c r="X66" i="48"/>
  <c r="AR65" i="48"/>
  <c r="AN38" i="48"/>
  <c r="S71" i="113"/>
  <c r="AN53" i="48" s="1"/>
  <c r="S49" i="108"/>
  <c r="AD51" i="48" s="1"/>
  <c r="AL40" i="48"/>
  <c r="AP38" i="48"/>
  <c r="AR38" i="48"/>
  <c r="L171" i="48"/>
  <c r="M171" i="48" s="1"/>
  <c r="BD204" i="48"/>
  <c r="B263" i="12"/>
  <c r="B400" i="11" s="1"/>
  <c r="B29" i="12"/>
  <c r="T4" i="11" s="1"/>
  <c r="B147" i="12"/>
  <c r="B114" i="12"/>
  <c r="B11" i="3" s="1"/>
  <c r="BD196" i="48"/>
  <c r="P15" i="93"/>
  <c r="P73" i="107"/>
  <c r="R71" i="106"/>
  <c r="P15" i="106"/>
  <c r="Q19" i="113"/>
  <c r="P15" i="82"/>
  <c r="P71" i="105"/>
  <c r="P81" i="114"/>
  <c r="P50" i="108"/>
  <c r="P71" i="107"/>
  <c r="P13" i="88"/>
  <c r="Q18" i="81"/>
  <c r="Q66" i="87"/>
  <c r="R64" i="104"/>
  <c r="P23" i="96"/>
  <c r="Q17" i="97"/>
  <c r="B57" i="48"/>
  <c r="R71" i="105"/>
  <c r="Q14" i="87"/>
  <c r="P23" i="109"/>
  <c r="P24" i="107"/>
  <c r="Q13" i="115"/>
  <c r="P12" i="113"/>
  <c r="C6" i="16"/>
  <c r="P13" i="107"/>
  <c r="Q25" i="104"/>
  <c r="P24" i="85"/>
  <c r="Q25" i="80"/>
  <c r="Q14" i="105"/>
  <c r="R69" i="115"/>
  <c r="C15" i="16"/>
  <c r="P13" i="89"/>
  <c r="R48" i="112"/>
  <c r="D11" i="16"/>
  <c r="P23" i="97"/>
  <c r="Q25" i="93"/>
  <c r="Q25" i="89"/>
  <c r="D222" i="48"/>
  <c r="P23" i="92"/>
  <c r="Q25" i="106"/>
  <c r="Q25" i="105"/>
  <c r="Q34" i="90"/>
  <c r="Q25" i="87"/>
  <c r="P33" i="90"/>
  <c r="P23" i="115"/>
  <c r="P24" i="108"/>
  <c r="P14" i="113"/>
  <c r="P49" i="112"/>
  <c r="P80" i="109"/>
  <c r="R68" i="105"/>
  <c r="P71" i="96"/>
  <c r="P68" i="105"/>
  <c r="P32" i="84"/>
  <c r="P34" i="107"/>
  <c r="R69" i="96"/>
  <c r="C16" i="75"/>
  <c r="Q13" i="114"/>
  <c r="P12" i="115"/>
  <c r="P12" i="109"/>
  <c r="R80" i="114"/>
  <c r="P13" i="81"/>
  <c r="R30" i="107"/>
  <c r="Q14" i="80"/>
  <c r="P12" i="92"/>
  <c r="P13" i="105"/>
  <c r="R71" i="107"/>
  <c r="R74" i="111"/>
  <c r="D50" i="48"/>
  <c r="R68" i="113"/>
  <c r="S52" i="108"/>
  <c r="AD54" i="48" s="1"/>
  <c r="P24" i="90"/>
  <c r="S62" i="97"/>
  <c r="AQ124" i="48" s="1"/>
  <c r="G12" i="102"/>
  <c r="D232" i="48"/>
  <c r="R18" i="80"/>
  <c r="Q12" i="92"/>
  <c r="Q74" i="115"/>
  <c r="Q85" i="114"/>
  <c r="B3" i="16"/>
  <c r="B26" i="75"/>
  <c r="C11" i="75"/>
  <c r="Q29" i="80"/>
  <c r="R21" i="111"/>
  <c r="R21" i="86"/>
  <c r="P23" i="90"/>
  <c r="Q35" i="88"/>
  <c r="Q35" i="80"/>
  <c r="Q35" i="105"/>
  <c r="P32" i="111"/>
  <c r="P34" i="108"/>
  <c r="P34" i="93"/>
  <c r="P34" i="104"/>
  <c r="B238" i="48"/>
  <c r="P14" i="82"/>
  <c r="P34" i="106"/>
  <c r="P22" i="90"/>
  <c r="P13" i="93"/>
  <c r="P12" i="96"/>
  <c r="P13" i="87"/>
  <c r="P13" i="85"/>
  <c r="P22" i="112"/>
  <c r="P13" i="106"/>
  <c r="P13" i="82"/>
  <c r="P13" i="86"/>
  <c r="P13" i="108"/>
  <c r="P13" i="104"/>
  <c r="P12" i="97"/>
  <c r="P12" i="114"/>
  <c r="Q72" i="96"/>
  <c r="C135" i="48"/>
  <c r="R30" i="90"/>
  <c r="R21" i="93"/>
  <c r="U61" i="48"/>
  <c r="AD40" i="48"/>
  <c r="S51" i="108"/>
  <c r="AD53" i="48" s="1"/>
  <c r="Q35" i="85"/>
  <c r="Q35" i="107"/>
  <c r="P34" i="86"/>
  <c r="P34" i="87"/>
  <c r="P34" i="88"/>
  <c r="P34" i="105"/>
  <c r="P34" i="80"/>
  <c r="P34" i="85"/>
  <c r="P34" i="81"/>
  <c r="P34" i="82"/>
  <c r="R18" i="82"/>
  <c r="C18" i="75"/>
  <c r="R39" i="107"/>
  <c r="R37" i="110"/>
  <c r="R39" i="89"/>
  <c r="R37" i="111"/>
  <c r="Q38" i="93"/>
  <c r="Q38" i="106"/>
  <c r="Q38" i="82"/>
  <c r="R27" i="82"/>
  <c r="R27" i="86"/>
  <c r="R27" i="85"/>
  <c r="R27" i="88"/>
  <c r="R27" i="107"/>
  <c r="R27" i="87"/>
  <c r="R27" i="89"/>
  <c r="D71" i="48"/>
  <c r="R27" i="93"/>
  <c r="R27" i="104"/>
  <c r="R27" i="80"/>
  <c r="R27" i="81"/>
  <c r="R27" i="108"/>
  <c r="P25" i="80"/>
  <c r="P25" i="104"/>
  <c r="Q22" i="106"/>
  <c r="C66" i="48"/>
  <c r="Q21" i="109"/>
  <c r="Q22" i="85"/>
  <c r="Q22" i="107"/>
  <c r="Q22" i="80"/>
  <c r="Q31" i="90"/>
  <c r="Q22" i="111"/>
  <c r="Q22" i="81"/>
  <c r="Q22" i="86"/>
  <c r="Q21" i="113"/>
  <c r="Q21" i="96"/>
  <c r="Q22" i="88"/>
  <c r="Q22" i="93"/>
  <c r="Q22" i="82"/>
  <c r="Q21" i="114"/>
  <c r="Q31" i="112"/>
  <c r="Q22" i="108"/>
  <c r="Q21" i="97"/>
  <c r="Q22" i="87"/>
  <c r="Q21" i="92"/>
  <c r="Q21" i="115"/>
  <c r="Q21" i="84"/>
  <c r="Q20" i="107"/>
  <c r="Q20" i="85"/>
  <c r="C64" i="48"/>
  <c r="Q29" i="90"/>
  <c r="Q19" i="96"/>
  <c r="Q20" i="86"/>
  <c r="Q29" i="112"/>
  <c r="Q20" i="110"/>
  <c r="Q20" i="93"/>
  <c r="P18" i="109"/>
  <c r="R16" i="83"/>
  <c r="R16" i="105"/>
  <c r="R70" i="105"/>
  <c r="R67" i="113"/>
  <c r="Q22" i="89"/>
  <c r="R27" i="106"/>
  <c r="R39" i="81"/>
  <c r="P68" i="114"/>
  <c r="Q34" i="89"/>
  <c r="P33" i="85"/>
  <c r="P31" i="83"/>
  <c r="P33" i="86"/>
  <c r="P31" i="111"/>
  <c r="P33" i="82"/>
  <c r="P33" i="107"/>
  <c r="P33" i="105"/>
  <c r="P33" i="80"/>
  <c r="B77" i="48"/>
  <c r="R25" i="110"/>
  <c r="R74" i="105"/>
  <c r="P37" i="111"/>
  <c r="P39" i="81"/>
  <c r="P39" i="82"/>
  <c r="C79" i="48"/>
  <c r="Q33" i="84"/>
  <c r="Q35" i="86"/>
  <c r="Q35" i="104"/>
  <c r="Q33" i="111"/>
  <c r="Q35" i="108"/>
  <c r="Q35" i="89"/>
  <c r="Q35" i="81"/>
  <c r="Q35" i="93"/>
  <c r="Q33" i="110"/>
  <c r="Q35" i="87"/>
  <c r="Q35" i="82"/>
  <c r="R30" i="89"/>
  <c r="R30" i="93"/>
  <c r="R30" i="106"/>
  <c r="R30" i="85"/>
  <c r="R30" i="86"/>
  <c r="R28" i="111"/>
  <c r="Q29" i="87"/>
  <c r="Q29" i="105"/>
  <c r="C73" i="48"/>
  <c r="Q29" i="104"/>
  <c r="Q27" i="110"/>
  <c r="P23" i="85"/>
  <c r="Q18" i="108"/>
  <c r="Q18" i="111"/>
  <c r="Q18" i="80"/>
  <c r="Q18" i="93"/>
  <c r="Q17" i="114"/>
  <c r="Q18" i="88"/>
  <c r="Q17" i="113"/>
  <c r="Q17" i="96"/>
  <c r="Q18" i="107"/>
  <c r="Q18" i="105"/>
  <c r="Q17" i="115"/>
  <c r="Q18" i="89"/>
  <c r="Q18" i="85"/>
  <c r="Q17" i="92"/>
  <c r="Q17" i="109"/>
  <c r="Q17" i="84"/>
  <c r="Q27" i="112"/>
  <c r="Q18" i="87"/>
  <c r="Q27" i="90"/>
  <c r="C62" i="48"/>
  <c r="Q18" i="82"/>
  <c r="Q18" i="106"/>
  <c r="Q18" i="110"/>
  <c r="P17" i="87"/>
  <c r="P17" i="81"/>
  <c r="P17" i="104"/>
  <c r="B61" i="48"/>
  <c r="P26" i="90"/>
  <c r="P17" i="106"/>
  <c r="P17" i="82"/>
  <c r="P17" i="111"/>
  <c r="P16" i="92"/>
  <c r="P16" i="109"/>
  <c r="P16" i="83"/>
  <c r="P26" i="112"/>
  <c r="P17" i="107"/>
  <c r="P17" i="80"/>
  <c r="P16" i="115"/>
  <c r="P16" i="96"/>
  <c r="P17" i="85"/>
  <c r="P17" i="110"/>
  <c r="P16" i="97"/>
  <c r="P16" i="114"/>
  <c r="P17" i="108"/>
  <c r="P16" i="84"/>
  <c r="P17" i="86"/>
  <c r="R52" i="112"/>
  <c r="Q18" i="86"/>
  <c r="R27" i="105"/>
  <c r="P17" i="105"/>
  <c r="P17" i="93"/>
  <c r="Q22" i="104"/>
  <c r="Q22" i="110"/>
  <c r="P15" i="110"/>
  <c r="P15" i="86"/>
  <c r="P15" i="85"/>
  <c r="Q36" i="106"/>
  <c r="AI39" i="48"/>
  <c r="S50" i="112"/>
  <c r="AI52" i="48"/>
  <c r="P83" i="114"/>
  <c r="P25" i="86"/>
  <c r="AH33" i="48"/>
  <c r="AO19" i="48"/>
  <c r="AU165" i="48"/>
  <c r="F165" i="48" s="1"/>
  <c r="L165" i="48" s="1"/>
  <c r="B30" i="75"/>
  <c r="AC32" i="48"/>
  <c r="S41" i="89"/>
  <c r="AC114" i="48" s="1"/>
  <c r="Q31" i="82"/>
  <c r="P25" i="89"/>
  <c r="P34" i="90"/>
  <c r="P25" i="107"/>
  <c r="P34" i="112"/>
  <c r="B69" i="48"/>
  <c r="P25" i="106"/>
  <c r="P25" i="87"/>
  <c r="P25" i="82"/>
  <c r="P25" i="110"/>
  <c r="P25" i="88"/>
  <c r="P25" i="81"/>
  <c r="P25" i="108"/>
  <c r="P25" i="85"/>
  <c r="P25" i="111"/>
  <c r="P25" i="93"/>
  <c r="P16" i="111"/>
  <c r="AI42" i="48"/>
  <c r="P25" i="105"/>
  <c r="W68" i="48"/>
  <c r="C9" i="75"/>
  <c r="R37" i="89"/>
  <c r="R35" i="111"/>
  <c r="R37" i="108"/>
  <c r="R37" i="106"/>
  <c r="R37" i="93"/>
  <c r="R37" i="105"/>
  <c r="R37" i="88"/>
  <c r="D81" i="48"/>
  <c r="R37" i="107"/>
  <c r="R37" i="82"/>
  <c r="R37" i="85"/>
  <c r="R37" i="87"/>
  <c r="R37" i="104"/>
  <c r="R37" i="81"/>
  <c r="P36" i="105"/>
  <c r="Q30" i="86"/>
  <c r="Q30" i="80"/>
  <c r="Q28" i="110"/>
  <c r="Q30" i="105"/>
  <c r="Q30" i="81"/>
  <c r="Q28" i="111"/>
  <c r="Q30" i="106"/>
  <c r="Q30" i="107"/>
  <c r="P21" i="86"/>
  <c r="P20" i="114"/>
  <c r="P20" i="97"/>
  <c r="P21" i="108"/>
  <c r="P21" i="88"/>
  <c r="P21" i="93"/>
  <c r="P21" i="111"/>
  <c r="P21" i="82"/>
  <c r="P30" i="112"/>
  <c r="P21" i="107"/>
  <c r="P21" i="106"/>
  <c r="P21" i="104"/>
  <c r="P21" i="110"/>
  <c r="P21" i="89"/>
  <c r="P20" i="92"/>
  <c r="P20" i="84"/>
  <c r="P21" i="105"/>
  <c r="P21" i="87"/>
  <c r="P21" i="80"/>
  <c r="P20" i="96"/>
  <c r="B65" i="48"/>
  <c r="P20" i="115"/>
  <c r="P21" i="81"/>
  <c r="P20" i="109"/>
  <c r="P30" i="90"/>
  <c r="R20" i="86"/>
  <c r="R73" i="106"/>
  <c r="R81" i="109"/>
  <c r="R50" i="112"/>
  <c r="R66" i="104"/>
  <c r="R71" i="115"/>
  <c r="R76" i="111"/>
  <c r="R50" i="108"/>
  <c r="R73" i="105"/>
  <c r="D52" i="48"/>
  <c r="R82" i="114"/>
  <c r="R73" i="107"/>
  <c r="R13" i="82"/>
  <c r="R37" i="80"/>
  <c r="Q30" i="108"/>
  <c r="P20" i="113"/>
  <c r="R36" i="87"/>
  <c r="B5" i="16"/>
  <c r="B106" i="48"/>
  <c r="B4" i="16"/>
  <c r="P33" i="111"/>
  <c r="R31" i="88"/>
  <c r="R29" i="110"/>
  <c r="R31" i="89"/>
  <c r="R31" i="105"/>
  <c r="R31" i="82"/>
  <c r="R31" i="87"/>
  <c r="D75" i="48"/>
  <c r="R31" i="80"/>
  <c r="R29" i="111"/>
  <c r="R31" i="85"/>
  <c r="P19" i="92"/>
  <c r="P20" i="93"/>
  <c r="P20" i="81"/>
  <c r="P19" i="113"/>
  <c r="P20" i="85"/>
  <c r="B64" i="48"/>
  <c r="P20" i="108"/>
  <c r="P20" i="110"/>
  <c r="P20" i="88"/>
  <c r="P20" i="80"/>
  <c r="P20" i="82"/>
  <c r="P20" i="86"/>
  <c r="P19" i="109"/>
  <c r="P20" i="111"/>
  <c r="P19" i="97"/>
  <c r="P19" i="96"/>
  <c r="P53" i="108"/>
  <c r="P76" i="105"/>
  <c r="P69" i="104"/>
  <c r="P79" i="111"/>
  <c r="P73" i="113"/>
  <c r="B55" i="48"/>
  <c r="P53" i="112"/>
  <c r="P76" i="107"/>
  <c r="P74" i="115"/>
  <c r="P76" i="106"/>
  <c r="P84" i="109"/>
  <c r="P85" i="114"/>
  <c r="Q84" i="114"/>
  <c r="Q83" i="109"/>
  <c r="Q75" i="105"/>
  <c r="Q73" i="115"/>
  <c r="C54" i="48"/>
  <c r="Q82" i="109"/>
  <c r="Q72" i="115"/>
  <c r="Q74" i="107"/>
  <c r="Q74" i="105"/>
  <c r="Q74" i="106"/>
  <c r="Q51" i="108"/>
  <c r="R37" i="86"/>
  <c r="Q77" i="111"/>
  <c r="R70" i="113"/>
  <c r="Q67" i="80"/>
  <c r="C132" i="48"/>
  <c r="R66" i="114"/>
  <c r="R65" i="80"/>
  <c r="R65" i="109"/>
  <c r="R65" i="105"/>
  <c r="D130" i="48"/>
  <c r="B107" i="48"/>
  <c r="R36" i="108"/>
  <c r="R36" i="106"/>
  <c r="R36" i="86"/>
  <c r="R36" i="89"/>
  <c r="R36" i="82"/>
  <c r="R36" i="81"/>
  <c r="R36" i="105"/>
  <c r="R36" i="93"/>
  <c r="R36" i="107"/>
  <c r="R34" i="111"/>
  <c r="R36" i="104"/>
  <c r="D80" i="48"/>
  <c r="R36" i="85"/>
  <c r="R34" i="84"/>
  <c r="R34" i="110"/>
  <c r="R36" i="80"/>
  <c r="R35" i="93"/>
  <c r="D79" i="48"/>
  <c r="R35" i="106"/>
  <c r="R22" i="86"/>
  <c r="R22" i="110"/>
  <c r="D57" i="48"/>
  <c r="Q67" i="105"/>
  <c r="R22" i="90"/>
  <c r="Q30" i="85"/>
  <c r="P21" i="85"/>
  <c r="Q68" i="104"/>
  <c r="B223" i="48"/>
  <c r="B10" i="75"/>
  <c r="C13" i="16"/>
  <c r="C214" i="48"/>
  <c r="B211" i="48"/>
  <c r="Q72" i="109"/>
  <c r="Q73" i="96"/>
  <c r="Q67" i="106"/>
  <c r="C136" i="48"/>
  <c r="Q73" i="114"/>
  <c r="P71" i="114"/>
  <c r="P70" i="109"/>
  <c r="P68" i="80"/>
  <c r="B133" i="48"/>
  <c r="R38" i="93"/>
  <c r="Q37" i="93"/>
  <c r="R34" i="107"/>
  <c r="R34" i="82"/>
  <c r="Q33" i="93"/>
  <c r="Q33" i="80"/>
  <c r="C77" i="48"/>
  <c r="Q33" i="87"/>
  <c r="Q31" i="83"/>
  <c r="Q33" i="108"/>
  <c r="Q33" i="104"/>
  <c r="Q33" i="88"/>
  <c r="Q31" i="80"/>
  <c r="Q29" i="110"/>
  <c r="Q28" i="89"/>
  <c r="Q28" i="104"/>
  <c r="R34" i="112"/>
  <c r="R25" i="106"/>
  <c r="R24" i="93"/>
  <c r="R19" i="104"/>
  <c r="R19" i="108"/>
  <c r="R19" i="106"/>
  <c r="D62" i="48"/>
  <c r="R18" i="104"/>
  <c r="R18" i="106"/>
  <c r="R18" i="111"/>
  <c r="R18" i="93"/>
  <c r="R18" i="105"/>
  <c r="R18" i="85"/>
  <c r="R18" i="108"/>
  <c r="R18" i="110"/>
  <c r="R18" i="89"/>
  <c r="R27" i="112"/>
  <c r="R18" i="86"/>
  <c r="R16" i="84"/>
  <c r="R17" i="104"/>
  <c r="R17" i="80"/>
  <c r="R17" i="85"/>
  <c r="R26" i="112"/>
  <c r="R17" i="106"/>
  <c r="R26" i="90"/>
  <c r="R17" i="81"/>
  <c r="Q16" i="93"/>
  <c r="Q16" i="111"/>
  <c r="R24" i="104"/>
  <c r="Q29" i="84"/>
  <c r="D31" i="75"/>
  <c r="R21" i="108"/>
  <c r="B78" i="48"/>
  <c r="P32" i="110"/>
  <c r="P34" i="89"/>
  <c r="C227" i="48"/>
  <c r="B4" i="75"/>
  <c r="P28" i="82"/>
  <c r="B30" i="16"/>
  <c r="B6" i="75"/>
  <c r="C226" i="48"/>
  <c r="Q32" i="105"/>
  <c r="P30" i="104"/>
  <c r="P30" i="82"/>
  <c r="P30" i="80"/>
  <c r="P30" i="93"/>
  <c r="P30" i="85"/>
  <c r="R23" i="111"/>
  <c r="R23" i="87"/>
  <c r="R23" i="104"/>
  <c r="R23" i="85"/>
  <c r="R23" i="108"/>
  <c r="R23" i="89"/>
  <c r="R23" i="86"/>
  <c r="R23" i="88"/>
  <c r="R23" i="80"/>
  <c r="R32" i="112"/>
  <c r="R32" i="90"/>
  <c r="R23" i="93"/>
  <c r="R23" i="107"/>
  <c r="R23" i="106"/>
  <c r="R23" i="81"/>
  <c r="R23" i="110"/>
  <c r="R23" i="105"/>
  <c r="R23" i="82"/>
  <c r="D67" i="48"/>
  <c r="R70" i="115"/>
  <c r="AI17" i="48"/>
  <c r="S36" i="112"/>
  <c r="AI112" i="48" s="1"/>
  <c r="W63" i="48"/>
  <c r="AQ65" i="48"/>
  <c r="AQ19" i="48"/>
  <c r="AI41" i="48"/>
  <c r="S52" i="112"/>
  <c r="AI54" i="48" s="1"/>
  <c r="AI38" i="48"/>
  <c r="S49" i="112"/>
  <c r="AI51" i="48" s="1"/>
  <c r="BD144" i="48"/>
  <c r="P68" i="87"/>
  <c r="D234" i="48"/>
  <c r="D33" i="16"/>
  <c r="D31" i="16"/>
  <c r="D265" i="48"/>
  <c r="B22" i="16"/>
  <c r="D17" i="75"/>
  <c r="B13" i="16"/>
  <c r="C263" i="48"/>
  <c r="C264" i="48"/>
  <c r="R66" i="80"/>
  <c r="R66" i="105"/>
  <c r="R67" i="114"/>
  <c r="R66" i="109"/>
  <c r="R35" i="107"/>
  <c r="Q34" i="107"/>
  <c r="Q32" i="111"/>
  <c r="R67" i="106"/>
  <c r="C34" i="75"/>
  <c r="D33" i="75"/>
  <c r="L144" i="48"/>
  <c r="M144" i="48" s="1"/>
  <c r="L213" i="48"/>
  <c r="M213" i="48" s="1"/>
  <c r="L158" i="48"/>
  <c r="M158" i="48" s="1"/>
  <c r="BD129" i="48"/>
  <c r="L142" i="48"/>
  <c r="D8" i="16"/>
  <c r="D109" i="48"/>
  <c r="W52" i="48"/>
  <c r="S73" i="105"/>
  <c r="U52" i="48" s="1"/>
  <c r="S75" i="105"/>
  <c r="U54" i="48" s="1"/>
  <c r="X27" i="48"/>
  <c r="S71" i="107"/>
  <c r="Y50" i="48" s="1"/>
  <c r="X69" i="48"/>
  <c r="S71" i="105"/>
  <c r="U50" i="48" s="1"/>
  <c r="T74" i="48"/>
  <c r="U58" i="48"/>
  <c r="V76" i="48"/>
  <c r="V57" i="48"/>
  <c r="T57" i="48"/>
  <c r="V58" i="48"/>
  <c r="Q23" i="48"/>
  <c r="F23" i="48" s="1"/>
  <c r="L23" i="48" s="1"/>
  <c r="P81" i="48"/>
  <c r="C33" i="16" l="1"/>
  <c r="C267" i="48"/>
  <c r="B265" i="48"/>
  <c r="B31" i="16"/>
  <c r="D34" i="75"/>
  <c r="D251" i="48"/>
  <c r="C33" i="75"/>
  <c r="C250" i="48"/>
  <c r="D26" i="75"/>
  <c r="D244" i="48"/>
  <c r="B5" i="75"/>
  <c r="B240" i="48"/>
  <c r="D238" i="48"/>
  <c r="D16" i="75"/>
  <c r="B20" i="75"/>
  <c r="B233" i="48"/>
  <c r="D231" i="48"/>
  <c r="D18" i="75"/>
  <c r="D227" i="48"/>
  <c r="D21" i="75"/>
  <c r="B8" i="75"/>
  <c r="B224" i="48"/>
  <c r="Q36" i="82"/>
  <c r="Q36" i="81"/>
  <c r="R16" i="81"/>
  <c r="R16" i="85"/>
  <c r="P13" i="95"/>
  <c r="P14" i="87"/>
  <c r="P14" i="86"/>
  <c r="Q30" i="110"/>
  <c r="Q37" i="87"/>
  <c r="P31" i="112"/>
  <c r="Q74" i="96"/>
  <c r="R33" i="105"/>
  <c r="P14" i="106"/>
  <c r="Q36" i="108"/>
  <c r="B9" i="75"/>
  <c r="B225" i="48"/>
  <c r="R39" i="106"/>
  <c r="R39" i="108"/>
  <c r="Q38" i="87"/>
  <c r="Q38" i="104"/>
  <c r="P36" i="89"/>
  <c r="P36" i="80"/>
  <c r="R34" i="85"/>
  <c r="R32" i="111"/>
  <c r="R30" i="80"/>
  <c r="R30" i="81"/>
  <c r="R30" i="105"/>
  <c r="R30" i="87"/>
  <c r="Q29" i="81"/>
  <c r="Q29" i="89"/>
  <c r="Q27" i="111"/>
  <c r="Q19" i="95"/>
  <c r="Q19" i="114"/>
  <c r="Q20" i="111"/>
  <c r="Q20" i="104"/>
  <c r="Q20" i="106"/>
  <c r="Q19" i="92"/>
  <c r="Q20" i="81"/>
  <c r="Q20" i="82"/>
  <c r="P76" i="111"/>
  <c r="P70" i="113"/>
  <c r="B50" i="48"/>
  <c r="P64" i="104"/>
  <c r="R17" i="86"/>
  <c r="R17" i="108"/>
  <c r="D69" i="48"/>
  <c r="Q28" i="108"/>
  <c r="Q33" i="86"/>
  <c r="Q33" i="82"/>
  <c r="R34" i="88"/>
  <c r="R13" i="104"/>
  <c r="R28" i="80"/>
  <c r="Q83" i="114"/>
  <c r="Q52" i="112"/>
  <c r="K83" i="48"/>
  <c r="Q27" i="86"/>
  <c r="P34" i="84"/>
  <c r="B17" i="75"/>
  <c r="D221" i="48"/>
  <c r="R30" i="104"/>
  <c r="Q29" i="86"/>
  <c r="Q29" i="108"/>
  <c r="R28" i="84"/>
  <c r="Q38" i="80"/>
  <c r="R17" i="82"/>
  <c r="Q20" i="89"/>
  <c r="Q20" i="80"/>
  <c r="Q38" i="81"/>
  <c r="B218" i="48"/>
  <c r="B15" i="16"/>
  <c r="P33" i="95"/>
  <c r="P35" i="106"/>
  <c r="Q70" i="115"/>
  <c r="Q75" i="111"/>
  <c r="P78" i="109"/>
  <c r="P70" i="105"/>
  <c r="P33" i="110"/>
  <c r="R38" i="107"/>
  <c r="Q36" i="85"/>
  <c r="R21" i="107"/>
  <c r="R20" i="84"/>
  <c r="R21" i="85"/>
  <c r="R30" i="112"/>
  <c r="R21" i="104"/>
  <c r="P15" i="87"/>
  <c r="P14" i="96"/>
  <c r="P14" i="109"/>
  <c r="P15" i="107"/>
  <c r="P15" i="81"/>
  <c r="P65" i="104"/>
  <c r="P72" i="105"/>
  <c r="P70" i="115"/>
  <c r="C12" i="16"/>
  <c r="Q31" i="84"/>
  <c r="Q15" i="114"/>
  <c r="R17" i="93"/>
  <c r="R17" i="88"/>
  <c r="Q33" i="81"/>
  <c r="Q31" i="111"/>
  <c r="R38" i="81"/>
  <c r="P31" i="90"/>
  <c r="Q67" i="109"/>
  <c r="D22" i="16"/>
  <c r="C53" i="48"/>
  <c r="Q75" i="107"/>
  <c r="Q75" i="106"/>
  <c r="R21" i="89"/>
  <c r="P15" i="104"/>
  <c r="Q38" i="89"/>
  <c r="Q29" i="85"/>
  <c r="R30" i="108"/>
  <c r="R16" i="104"/>
  <c r="Q20" i="105"/>
  <c r="Q19" i="115"/>
  <c r="Q20" i="88"/>
  <c r="P35" i="111"/>
  <c r="R39" i="87"/>
  <c r="R39" i="88"/>
  <c r="B253" i="48"/>
  <c r="Q19" i="80"/>
  <c r="Q29" i="106"/>
  <c r="R21" i="81"/>
  <c r="R21" i="80"/>
  <c r="P14" i="85"/>
  <c r="D27" i="75"/>
  <c r="D133" i="48"/>
  <c r="P68" i="113"/>
  <c r="D55" i="48"/>
  <c r="B51" i="48"/>
  <c r="P14" i="115"/>
  <c r="P69" i="113"/>
  <c r="P73" i="114"/>
  <c r="P69" i="115"/>
  <c r="P72" i="106"/>
  <c r="C255" i="48"/>
  <c r="C22" i="16"/>
  <c r="R72" i="95"/>
  <c r="R73" i="114"/>
  <c r="Q68" i="95"/>
  <c r="Q68" i="80"/>
  <c r="P33" i="87"/>
  <c r="P33" i="104"/>
  <c r="P31" i="110"/>
  <c r="P33" i="89"/>
  <c r="P33" i="93"/>
  <c r="R29" i="95"/>
  <c r="R31" i="108"/>
  <c r="R31" i="106"/>
  <c r="R31" i="86"/>
  <c r="R31" i="107"/>
  <c r="Q28" i="95"/>
  <c r="C74" i="48"/>
  <c r="Q30" i="87"/>
  <c r="Q30" i="89"/>
  <c r="Q30" i="93"/>
  <c r="P23" i="113"/>
  <c r="P24" i="87"/>
  <c r="P24" i="80"/>
  <c r="P24" i="106"/>
  <c r="P23" i="114"/>
  <c r="P24" i="110"/>
  <c r="P24" i="93"/>
  <c r="P19" i="95"/>
  <c r="P20" i="107"/>
  <c r="P29" i="112"/>
  <c r="P20" i="87"/>
  <c r="P20" i="104"/>
  <c r="P19" i="114"/>
  <c r="Q34" i="86"/>
  <c r="Q71" i="114"/>
  <c r="B208" i="48"/>
  <c r="Q32" i="82"/>
  <c r="P28" i="107"/>
  <c r="R18" i="88"/>
  <c r="Q72" i="106"/>
  <c r="Q16" i="108"/>
  <c r="R17" i="107"/>
  <c r="D61" i="48"/>
  <c r="R17" i="89"/>
  <c r="R18" i="87"/>
  <c r="R18" i="81"/>
  <c r="R27" i="90"/>
  <c r="R18" i="107"/>
  <c r="R24" i="88"/>
  <c r="Q28" i="82"/>
  <c r="P32" i="105"/>
  <c r="Q33" i="89"/>
  <c r="Q33" i="105"/>
  <c r="Q33" i="85"/>
  <c r="Q31" i="110"/>
  <c r="Q37" i="108"/>
  <c r="D82" i="48"/>
  <c r="C19" i="75"/>
  <c r="R29" i="83"/>
  <c r="R13" i="89"/>
  <c r="P22" i="93"/>
  <c r="R28" i="106"/>
  <c r="R35" i="86"/>
  <c r="Q68" i="96"/>
  <c r="Q71" i="113"/>
  <c r="Q67" i="104"/>
  <c r="Q78" i="111"/>
  <c r="Q52" i="108"/>
  <c r="P29" i="90"/>
  <c r="P20" i="106"/>
  <c r="P20" i="89"/>
  <c r="P19" i="84"/>
  <c r="P20" i="105"/>
  <c r="R31" i="81"/>
  <c r="R31" i="93"/>
  <c r="R31" i="104"/>
  <c r="P35" i="86"/>
  <c r="Q30" i="104"/>
  <c r="Q28" i="84"/>
  <c r="Q30" i="88"/>
  <c r="P36" i="93"/>
  <c r="P21" i="103"/>
  <c r="R17" i="87"/>
  <c r="D223" i="48"/>
  <c r="Q65" i="80"/>
  <c r="P15" i="80"/>
  <c r="R75" i="105"/>
  <c r="Q29" i="93"/>
  <c r="Q29" i="82"/>
  <c r="D74" i="48"/>
  <c r="R30" i="82"/>
  <c r="R28" i="110"/>
  <c r="R74" i="106"/>
  <c r="P31" i="84"/>
  <c r="P33" i="106"/>
  <c r="P33" i="88"/>
  <c r="Q34" i="106"/>
  <c r="R16" i="110"/>
  <c r="R17" i="111"/>
  <c r="Q19" i="84"/>
  <c r="Q19" i="97"/>
  <c r="Q20" i="108"/>
  <c r="Q20" i="87"/>
  <c r="P37" i="104"/>
  <c r="Q38" i="85"/>
  <c r="R39" i="82"/>
  <c r="R39" i="80"/>
  <c r="R21" i="88"/>
  <c r="Q66" i="106"/>
  <c r="P14" i="80"/>
  <c r="R21" i="106"/>
  <c r="Q29" i="88"/>
  <c r="D36" i="16"/>
  <c r="Q13" i="106"/>
  <c r="R36" i="110"/>
  <c r="R71" i="96"/>
  <c r="P72" i="107"/>
  <c r="P15" i="89"/>
  <c r="P24" i="82"/>
  <c r="Q39" i="89"/>
  <c r="P24" i="104"/>
  <c r="P24" i="88"/>
  <c r="P24" i="81"/>
  <c r="Q72" i="114"/>
  <c r="P75" i="111"/>
  <c r="P49" i="108"/>
  <c r="P24" i="112"/>
  <c r="C209" i="48"/>
  <c r="P19" i="103"/>
  <c r="D28" i="75"/>
  <c r="B36" i="16"/>
  <c r="Q32" i="106"/>
  <c r="Q30" i="111"/>
  <c r="R38" i="80"/>
  <c r="P67" i="113"/>
  <c r="Q65" i="104"/>
  <c r="Q49" i="108"/>
  <c r="R24" i="106"/>
  <c r="D68" i="48"/>
  <c r="Q37" i="105"/>
  <c r="Q37" i="82"/>
  <c r="Q37" i="81"/>
  <c r="Q37" i="86"/>
  <c r="R38" i="104"/>
  <c r="R38" i="86"/>
  <c r="P22" i="87"/>
  <c r="B66" i="48"/>
  <c r="R28" i="107"/>
  <c r="D64" i="48"/>
  <c r="P35" i="93"/>
  <c r="P35" i="105"/>
  <c r="P35" i="87"/>
  <c r="P35" i="108"/>
  <c r="R20" i="81"/>
  <c r="C130" i="48"/>
  <c r="R33" i="86"/>
  <c r="R73" i="115"/>
  <c r="R84" i="114"/>
  <c r="Q68" i="87"/>
  <c r="Q69" i="113"/>
  <c r="C52" i="48"/>
  <c r="R67" i="104"/>
  <c r="R51" i="108"/>
  <c r="R16" i="111"/>
  <c r="R16" i="108"/>
  <c r="R15" i="84"/>
  <c r="R16" i="89"/>
  <c r="D60" i="48"/>
  <c r="R33" i="88"/>
  <c r="C247" i="48"/>
  <c r="B266" i="48"/>
  <c r="P13" i="113"/>
  <c r="P14" i="108"/>
  <c r="P14" i="93"/>
  <c r="P13" i="92"/>
  <c r="P14" i="107"/>
  <c r="Q36" i="104"/>
  <c r="P13" i="115"/>
  <c r="Q36" i="107"/>
  <c r="Q34" i="84"/>
  <c r="Q36" i="86"/>
  <c r="R36" i="111"/>
  <c r="C32" i="75"/>
  <c r="D233" i="48"/>
  <c r="Q32" i="88"/>
  <c r="P68" i="115"/>
  <c r="Q71" i="106"/>
  <c r="C51" i="48"/>
  <c r="Q72" i="105"/>
  <c r="R33" i="90"/>
  <c r="R24" i="86"/>
  <c r="Q37" i="89"/>
  <c r="Q35" i="111"/>
  <c r="Q37" i="107"/>
  <c r="R38" i="85"/>
  <c r="R38" i="89"/>
  <c r="R38" i="87"/>
  <c r="B210" i="48"/>
  <c r="B212" i="48"/>
  <c r="P21" i="92"/>
  <c r="P35" i="107"/>
  <c r="P22" i="105"/>
  <c r="P22" i="89"/>
  <c r="P21" i="84"/>
  <c r="R28" i="88"/>
  <c r="P35" i="104"/>
  <c r="P35" i="80"/>
  <c r="P35" i="85"/>
  <c r="P33" i="84"/>
  <c r="B79" i="48"/>
  <c r="P22" i="106"/>
  <c r="D229" i="48"/>
  <c r="Q68" i="106"/>
  <c r="Q65" i="105"/>
  <c r="R16" i="106"/>
  <c r="R72" i="113"/>
  <c r="R68" i="104"/>
  <c r="Q74" i="114"/>
  <c r="Q72" i="107"/>
  <c r="R77" i="111"/>
  <c r="R51" i="112"/>
  <c r="R16" i="88"/>
  <c r="R16" i="80"/>
  <c r="R25" i="90"/>
  <c r="R16" i="86"/>
  <c r="R33" i="82"/>
  <c r="B58" i="48"/>
  <c r="P14" i="104"/>
  <c r="P14" i="105"/>
  <c r="P14" i="89"/>
  <c r="P13" i="114"/>
  <c r="P13" i="96"/>
  <c r="Q37" i="85"/>
  <c r="C80" i="48"/>
  <c r="Q36" i="87"/>
  <c r="R38" i="88"/>
  <c r="Q27" i="106"/>
  <c r="Q30" i="84"/>
  <c r="Q32" i="108"/>
  <c r="Q32" i="86"/>
  <c r="Q37" i="104"/>
  <c r="P63" i="104"/>
  <c r="Q81" i="114"/>
  <c r="Q80" i="109"/>
  <c r="Q71" i="115"/>
  <c r="R24" i="80"/>
  <c r="R24" i="110"/>
  <c r="Q37" i="88"/>
  <c r="Q37" i="106"/>
  <c r="R38" i="105"/>
  <c r="R38" i="106"/>
  <c r="R38" i="108"/>
  <c r="R20" i="93"/>
  <c r="P21" i="113"/>
  <c r="P22" i="104"/>
  <c r="P21" i="109"/>
  <c r="R28" i="81"/>
  <c r="R28" i="86"/>
  <c r="D224" i="48"/>
  <c r="P35" i="82"/>
  <c r="P35" i="81"/>
  <c r="P35" i="89"/>
  <c r="R20" i="87"/>
  <c r="Q27" i="88"/>
  <c r="Q65" i="109"/>
  <c r="Q36" i="89"/>
  <c r="B49" i="48"/>
  <c r="R52" i="108"/>
  <c r="R75" i="107"/>
  <c r="C246" i="48"/>
  <c r="R72" i="115"/>
  <c r="R82" i="109"/>
  <c r="R25" i="112"/>
  <c r="R16" i="87"/>
  <c r="R16" i="93"/>
  <c r="R16" i="107"/>
  <c r="Q19" i="105"/>
  <c r="P23" i="112"/>
  <c r="P14" i="88"/>
  <c r="P13" i="109"/>
  <c r="P14" i="81"/>
  <c r="P13" i="97"/>
  <c r="Q36" i="93"/>
  <c r="Q66" i="114"/>
  <c r="Q36" i="105"/>
  <c r="R74" i="107"/>
  <c r="AU164" i="48"/>
  <c r="F164" i="48" s="1"/>
  <c r="L164" i="48" s="1"/>
  <c r="G12" i="101"/>
  <c r="P17" i="113"/>
  <c r="P18" i="110"/>
  <c r="P18" i="82"/>
  <c r="P18" i="81"/>
  <c r="P18" i="106"/>
  <c r="P18" i="85"/>
  <c r="P18" i="108"/>
  <c r="P17" i="109"/>
  <c r="P18" i="89"/>
  <c r="P17" i="84"/>
  <c r="B62" i="48"/>
  <c r="P18" i="107"/>
  <c r="Q32" i="81"/>
  <c r="Q32" i="93"/>
  <c r="Q32" i="87"/>
  <c r="Q32" i="104"/>
  <c r="C76" i="48"/>
  <c r="C221" i="48"/>
  <c r="R24" i="85"/>
  <c r="R24" i="81"/>
  <c r="R20" i="82"/>
  <c r="P22" i="82"/>
  <c r="P22" i="88"/>
  <c r="P22" i="107"/>
  <c r="P21" i="114"/>
  <c r="P22" i="108"/>
  <c r="R28" i="93"/>
  <c r="R28" i="104"/>
  <c r="R28" i="82"/>
  <c r="R28" i="89"/>
  <c r="Q27" i="107"/>
  <c r="R20" i="80"/>
  <c r="R20" i="88"/>
  <c r="R20" i="111"/>
  <c r="Q27" i="85"/>
  <c r="Q27" i="87"/>
  <c r="Q27" i="105"/>
  <c r="S41" i="90"/>
  <c r="P18" i="86"/>
  <c r="P27" i="90"/>
  <c r="B2" i="16"/>
  <c r="P48" i="15"/>
  <c r="S75" i="107"/>
  <c r="Y54" i="48" s="1"/>
  <c r="Y41" i="48"/>
  <c r="C240" i="48"/>
  <c r="C5" i="75"/>
  <c r="C14" i="16"/>
  <c r="C217" i="48"/>
  <c r="P31" i="105"/>
  <c r="P31" i="87"/>
  <c r="P31" i="89"/>
  <c r="P31" i="80"/>
  <c r="D73" i="48"/>
  <c r="R29" i="81"/>
  <c r="R27" i="111"/>
  <c r="R24" i="107"/>
  <c r="R24" i="108"/>
  <c r="R33" i="112"/>
  <c r="P21" i="95"/>
  <c r="P22" i="85"/>
  <c r="Q18" i="97"/>
  <c r="Q19" i="106"/>
  <c r="Q19" i="86"/>
  <c r="Q19" i="81"/>
  <c r="Q19" i="87"/>
  <c r="Q18" i="92"/>
  <c r="Q18" i="84"/>
  <c r="Q18" i="96"/>
  <c r="C63" i="48"/>
  <c r="Q19" i="111"/>
  <c r="Q18" i="115"/>
  <c r="Q19" i="82"/>
  <c r="Q19" i="89"/>
  <c r="Q18" i="83"/>
  <c r="Q19" i="93"/>
  <c r="W40" i="48"/>
  <c r="S74" i="106"/>
  <c r="W53" i="48" s="1"/>
  <c r="Q32" i="85"/>
  <c r="Q32" i="89"/>
  <c r="Q32" i="107"/>
  <c r="Q32" i="80"/>
  <c r="R24" i="82"/>
  <c r="R24" i="89"/>
  <c r="R24" i="111"/>
  <c r="R24" i="105"/>
  <c r="D72" i="48"/>
  <c r="R20" i="104"/>
  <c r="R20" i="108"/>
  <c r="P21" i="115"/>
  <c r="P22" i="81"/>
  <c r="P22" i="86"/>
  <c r="P22" i="110"/>
  <c r="P22" i="111"/>
  <c r="P21" i="96"/>
  <c r="R28" i="108"/>
  <c r="R28" i="105"/>
  <c r="R28" i="87"/>
  <c r="Q27" i="82"/>
  <c r="R20" i="105"/>
  <c r="R20" i="107"/>
  <c r="R20" i="106"/>
  <c r="R20" i="110"/>
  <c r="Q27" i="89"/>
  <c r="Q27" i="93"/>
  <c r="Q27" i="104"/>
  <c r="P17" i="114"/>
  <c r="Q18" i="114"/>
  <c r="S50" i="108"/>
  <c r="AD52" i="48" s="1"/>
  <c r="S42" i="89"/>
  <c r="AC120" i="48" s="1"/>
  <c r="S39" i="112"/>
  <c r="S42" i="112"/>
  <c r="AI120" i="48" s="1"/>
  <c r="Q34" i="80"/>
  <c r="Q34" i="87"/>
  <c r="Q34" i="81"/>
  <c r="C78" i="48"/>
  <c r="Q34" i="85"/>
  <c r="Q34" i="105"/>
  <c r="Q34" i="82"/>
  <c r="Q34" i="93"/>
  <c r="Q34" i="108"/>
  <c r="Q34" i="104"/>
  <c r="Q13" i="108"/>
  <c r="C57" i="48"/>
  <c r="Q13" i="88"/>
  <c r="Q13" i="87"/>
  <c r="Q13" i="104"/>
  <c r="Q13" i="86"/>
  <c r="Q13" i="81"/>
  <c r="Q12" i="96"/>
  <c r="Q13" i="89"/>
  <c r="Q12" i="97"/>
  <c r="Q12" i="115"/>
  <c r="Q22" i="90"/>
  <c r="Q12" i="113"/>
  <c r="Q12" i="114"/>
  <c r="Q76" i="106"/>
  <c r="Q76" i="107"/>
  <c r="Q53" i="112"/>
  <c r="Q76" i="105"/>
  <c r="Q53" i="108"/>
  <c r="P78" i="111"/>
  <c r="P73" i="115"/>
  <c r="P51" i="108"/>
  <c r="P77" i="111"/>
  <c r="P74" i="107"/>
  <c r="P74" i="106"/>
  <c r="P72" i="115"/>
  <c r="B53" i="48"/>
  <c r="P67" i="104"/>
  <c r="P74" i="105"/>
  <c r="R63" i="104"/>
  <c r="D49" i="48"/>
  <c r="R70" i="106"/>
  <c r="R68" i="115"/>
  <c r="R47" i="112"/>
  <c r="R78" i="109"/>
  <c r="R70" i="107"/>
  <c r="R47" i="108"/>
  <c r="R73" i="111"/>
  <c r="R79" i="114"/>
  <c r="R20" i="89"/>
  <c r="R29" i="90"/>
  <c r="R29" i="112"/>
  <c r="Q27" i="108"/>
  <c r="Q27" i="80"/>
  <c r="C71" i="48"/>
  <c r="U40" i="48"/>
  <c r="P18" i="111"/>
  <c r="Q19" i="88"/>
  <c r="S41" i="93"/>
  <c r="AB112" i="48" s="1"/>
  <c r="AH34" i="48"/>
  <c r="S42" i="90"/>
  <c r="AH120" i="48" s="1"/>
  <c r="S38" i="90"/>
  <c r="AH114" i="48" s="1"/>
  <c r="C266" i="48"/>
  <c r="Q89" i="114"/>
  <c r="Q69" i="92"/>
  <c r="Q69" i="97"/>
  <c r="Q78" i="115"/>
  <c r="Q89" i="109"/>
  <c r="Q79" i="96"/>
  <c r="Q79" i="113"/>
  <c r="Q77" i="95"/>
  <c r="J628" i="9"/>
  <c r="K261" i="48" s="1"/>
  <c r="C628" i="9"/>
  <c r="D27" i="16" s="1"/>
  <c r="I627" i="9"/>
  <c r="J260" i="48" s="1"/>
  <c r="A627" i="9"/>
  <c r="B26" i="16" s="1"/>
  <c r="C626" i="9"/>
  <c r="D25" i="16" s="1"/>
  <c r="I625" i="9"/>
  <c r="J258" i="48" s="1"/>
  <c r="A625" i="9"/>
  <c r="B258" i="48" s="1"/>
  <c r="I621" i="9"/>
  <c r="J254" i="48" s="1"/>
  <c r="A621" i="9"/>
  <c r="D620" i="9"/>
  <c r="E253" i="48" s="1"/>
  <c r="BD253" i="48" s="1"/>
  <c r="B24" i="75"/>
  <c r="B11" i="16"/>
  <c r="B215" i="48"/>
  <c r="P22" i="103"/>
  <c r="C212" i="48"/>
  <c r="P20" i="103"/>
  <c r="C210" i="48"/>
  <c r="R74" i="114"/>
  <c r="R68" i="87"/>
  <c r="R74" i="96"/>
  <c r="Q72" i="95"/>
  <c r="Q67" i="87"/>
  <c r="P71" i="95"/>
  <c r="P66" i="87"/>
  <c r="P70" i="95"/>
  <c r="P65" i="87"/>
  <c r="B134" i="48"/>
  <c r="P65" i="106"/>
  <c r="P68" i="95"/>
  <c r="P68" i="109"/>
  <c r="P69" i="114"/>
  <c r="R66" i="95"/>
  <c r="R67" i="96"/>
  <c r="D131" i="48"/>
  <c r="P37" i="95"/>
  <c r="P39" i="106"/>
  <c r="P39" i="80"/>
  <c r="P39" i="107"/>
  <c r="P39" i="104"/>
  <c r="P39" i="105"/>
  <c r="P39" i="87"/>
  <c r="P39" i="88"/>
  <c r="P39" i="86"/>
  <c r="B83" i="48"/>
  <c r="P39" i="89"/>
  <c r="P37" i="110"/>
  <c r="P39" i="85"/>
  <c r="B143" i="12"/>
  <c r="L25" i="3" s="1"/>
  <c r="B210" i="12"/>
  <c r="P77" i="95"/>
  <c r="P89" i="114"/>
  <c r="P69" i="92"/>
  <c r="P69" i="97"/>
  <c r="P79" i="96"/>
  <c r="P78" i="115"/>
  <c r="P79" i="113"/>
  <c r="P89" i="109"/>
  <c r="D263" i="48"/>
  <c r="R78" i="113"/>
  <c r="R88" i="109"/>
  <c r="R76" i="95"/>
  <c r="R77" i="115"/>
  <c r="R88" i="114"/>
  <c r="R68" i="92"/>
  <c r="R68" i="97"/>
  <c r="R78" i="96"/>
  <c r="I628" i="9"/>
  <c r="J261" i="48" s="1"/>
  <c r="B628" i="9"/>
  <c r="C27" i="16" s="1"/>
  <c r="D627" i="9"/>
  <c r="E260" i="48" s="1"/>
  <c r="BD260" i="48" s="1"/>
  <c r="J626" i="9"/>
  <c r="K259" i="48" s="1"/>
  <c r="B626" i="9"/>
  <c r="C259" i="48" s="1"/>
  <c r="D625" i="9"/>
  <c r="E258" i="48" s="1"/>
  <c r="BD258" i="48" s="1"/>
  <c r="D621" i="9"/>
  <c r="E254" i="48" s="1"/>
  <c r="BD254" i="48" s="1"/>
  <c r="J620" i="9"/>
  <c r="K253" i="48" s="1"/>
  <c r="C620" i="9"/>
  <c r="D253" i="48" s="1"/>
  <c r="Q78" i="96"/>
  <c r="Q88" i="114"/>
  <c r="Q68" i="97"/>
  <c r="Q78" i="113"/>
  <c r="Q88" i="109"/>
  <c r="Q76" i="95"/>
  <c r="Q77" i="115"/>
  <c r="Q68" i="92"/>
  <c r="C627" i="9"/>
  <c r="D26" i="16" s="1"/>
  <c r="I626" i="9"/>
  <c r="J259" i="48" s="1"/>
  <c r="A626" i="9"/>
  <c r="B259" i="48" s="1"/>
  <c r="C625" i="9"/>
  <c r="D258" i="48" s="1"/>
  <c r="C621" i="9"/>
  <c r="D21" i="16" s="1"/>
  <c r="I620" i="9"/>
  <c r="J253" i="48" s="1"/>
  <c r="B620" i="9"/>
  <c r="C20" i="16" s="1"/>
  <c r="J63" i="9"/>
  <c r="K24" i="48" s="1"/>
  <c r="E532" i="9"/>
  <c r="A532" i="9"/>
  <c r="D529" i="9"/>
  <c r="E205" i="48" s="1"/>
  <c r="D532" i="9"/>
  <c r="E206" i="48" s="1"/>
  <c r="J529" i="9"/>
  <c r="K205" i="48" s="1"/>
  <c r="C529" i="9"/>
  <c r="B532" i="9"/>
  <c r="A529" i="9"/>
  <c r="I532" i="9"/>
  <c r="J206" i="48" s="1"/>
  <c r="J532" i="9"/>
  <c r="K206" i="48" s="1"/>
  <c r="C532" i="9"/>
  <c r="I529" i="9"/>
  <c r="J205" i="48" s="1"/>
  <c r="B529" i="9"/>
  <c r="E529" i="9"/>
  <c r="N54" i="15"/>
  <c r="L21" i="3"/>
  <c r="S42" i="93"/>
  <c r="AB118" i="48" s="1"/>
  <c r="S41" i="108"/>
  <c r="AD114" i="48" s="1"/>
  <c r="R79" i="96"/>
  <c r="R78" i="115"/>
  <c r="R89" i="114"/>
  <c r="R69" i="97"/>
  <c r="R79" i="113"/>
  <c r="R89" i="109"/>
  <c r="R77" i="95"/>
  <c r="R69" i="92"/>
  <c r="B263" i="48"/>
  <c r="P88" i="114"/>
  <c r="P68" i="92"/>
  <c r="P68" i="97"/>
  <c r="P78" i="113"/>
  <c r="P76" i="95"/>
  <c r="P78" i="96"/>
  <c r="P88" i="109"/>
  <c r="P77" i="115"/>
  <c r="D628" i="9"/>
  <c r="E261" i="48" s="1"/>
  <c r="BD261" i="48" s="1"/>
  <c r="J627" i="9"/>
  <c r="K260" i="48" s="1"/>
  <c r="B627" i="9"/>
  <c r="C260" i="48" s="1"/>
  <c r="D626" i="9"/>
  <c r="E259" i="48" s="1"/>
  <c r="BD259" i="48" s="1"/>
  <c r="J625" i="9"/>
  <c r="K258" i="48" s="1"/>
  <c r="J621" i="9"/>
  <c r="K254" i="48" s="1"/>
  <c r="B621" i="9"/>
  <c r="C21" i="16" s="1"/>
  <c r="BD229" i="48"/>
  <c r="L84" i="48"/>
  <c r="M84" i="48" s="1"/>
  <c r="BD84" i="48"/>
  <c r="BD250" i="48"/>
  <c r="L98" i="48"/>
  <c r="M98" i="48" s="1"/>
  <c r="H98" i="48" s="1"/>
  <c r="BD98" i="48"/>
  <c r="BD246" i="48"/>
  <c r="L6" i="3"/>
  <c r="I3" i="117"/>
  <c r="BD237" i="48"/>
  <c r="BD219" i="48"/>
  <c r="BD104" i="48"/>
  <c r="BD256" i="48"/>
  <c r="BD227" i="48"/>
  <c r="P29" i="89"/>
  <c r="P29" i="106"/>
  <c r="P27" i="110"/>
  <c r="P29" i="88"/>
  <c r="P27" i="84"/>
  <c r="P27" i="111"/>
  <c r="P29" i="81"/>
  <c r="P29" i="93"/>
  <c r="P29" i="80"/>
  <c r="P29" i="87"/>
  <c r="P29" i="104"/>
  <c r="P29" i="82"/>
  <c r="P29" i="105"/>
  <c r="B73" i="48"/>
  <c r="P29" i="108"/>
  <c r="P29" i="86"/>
  <c r="C83" i="48"/>
  <c r="Q39" i="106"/>
  <c r="Q39" i="104"/>
  <c r="Q39" i="86"/>
  <c r="Q39" i="80"/>
  <c r="P37" i="85"/>
  <c r="P37" i="82"/>
  <c r="P37" i="105"/>
  <c r="P37" i="86"/>
  <c r="R25" i="108"/>
  <c r="R34" i="90"/>
  <c r="P36" i="108"/>
  <c r="C23" i="16"/>
  <c r="P28" i="84"/>
  <c r="P30" i="105"/>
  <c r="R25" i="107"/>
  <c r="R25" i="80"/>
  <c r="Q28" i="105"/>
  <c r="Q28" i="106"/>
  <c r="Q31" i="107"/>
  <c r="R34" i="89"/>
  <c r="B80" i="48"/>
  <c r="P36" i="107"/>
  <c r="R25" i="82"/>
  <c r="R33" i="106"/>
  <c r="P37" i="89"/>
  <c r="P37" i="93"/>
  <c r="Q39" i="87"/>
  <c r="AI40" i="48"/>
  <c r="AI214" i="48" s="1"/>
  <c r="S51" i="112"/>
  <c r="AI53" i="48" s="1"/>
  <c r="C31" i="75"/>
  <c r="S40" i="90"/>
  <c r="AH118" i="48" s="1"/>
  <c r="B74" i="48"/>
  <c r="P30" i="89"/>
  <c r="P30" i="108"/>
  <c r="P28" i="111"/>
  <c r="D245" i="48"/>
  <c r="D29" i="75"/>
  <c r="R34" i="108"/>
  <c r="P70" i="107"/>
  <c r="P73" i="111"/>
  <c r="R25" i="105"/>
  <c r="R25" i="89"/>
  <c r="R25" i="88"/>
  <c r="P27" i="93"/>
  <c r="Q28" i="87"/>
  <c r="Q28" i="86"/>
  <c r="Q28" i="93"/>
  <c r="Q31" i="87"/>
  <c r="C75" i="48"/>
  <c r="Q31" i="108"/>
  <c r="R34" i="87"/>
  <c r="R34" i="105"/>
  <c r="D78" i="48"/>
  <c r="P34" i="110"/>
  <c r="P36" i="106"/>
  <c r="P36" i="81"/>
  <c r="P34" i="111"/>
  <c r="Q31" i="93"/>
  <c r="Q31" i="104"/>
  <c r="P70" i="106"/>
  <c r="Q24" i="104"/>
  <c r="R25" i="111"/>
  <c r="R31" i="110"/>
  <c r="D77" i="48"/>
  <c r="B81" i="48"/>
  <c r="P37" i="88"/>
  <c r="P37" i="106"/>
  <c r="C25" i="75"/>
  <c r="D216" i="48"/>
  <c r="Q39" i="88"/>
  <c r="S37" i="112"/>
  <c r="P16" i="95"/>
  <c r="P17" i="89"/>
  <c r="P17" i="88"/>
  <c r="P16" i="113"/>
  <c r="P14" i="95"/>
  <c r="P15" i="88"/>
  <c r="P14" i="97"/>
  <c r="P15" i="105"/>
  <c r="P15" i="111"/>
  <c r="P14" i="114"/>
  <c r="P14" i="92"/>
  <c r="P14" i="84"/>
  <c r="P15" i="108"/>
  <c r="P81" i="109"/>
  <c r="P82" i="114"/>
  <c r="B52" i="48"/>
  <c r="C541" i="9"/>
  <c r="D208" i="48" s="1"/>
  <c r="R31" i="95"/>
  <c r="R33" i="85"/>
  <c r="R33" i="93"/>
  <c r="R33" i="87"/>
  <c r="R33" i="104"/>
  <c r="S40" i="112"/>
  <c r="AI118" i="48" s="1"/>
  <c r="P30" i="88"/>
  <c r="P28" i="110"/>
  <c r="R25" i="86"/>
  <c r="P27" i="81"/>
  <c r="Q28" i="88"/>
  <c r="Q31" i="86"/>
  <c r="Q31" i="106"/>
  <c r="R34" i="93"/>
  <c r="R32" i="110"/>
  <c r="P36" i="86"/>
  <c r="P36" i="104"/>
  <c r="Q31" i="85"/>
  <c r="P37" i="87"/>
  <c r="R33" i="108"/>
  <c r="R33" i="107"/>
  <c r="R33" i="80"/>
  <c r="P37" i="80"/>
  <c r="B11" i="75"/>
  <c r="B239" i="48"/>
  <c r="S36" i="90"/>
  <c r="AH112" i="48" s="1"/>
  <c r="P30" i="86"/>
  <c r="P30" i="87"/>
  <c r="P30" i="106"/>
  <c r="P30" i="81"/>
  <c r="P30" i="107"/>
  <c r="R34" i="80"/>
  <c r="P79" i="114"/>
  <c r="P47" i="108"/>
  <c r="R25" i="104"/>
  <c r="R25" i="87"/>
  <c r="R25" i="93"/>
  <c r="B71" i="48"/>
  <c r="Q28" i="107"/>
  <c r="C72" i="48"/>
  <c r="Q28" i="85"/>
  <c r="Q29" i="111"/>
  <c r="Q29" i="83"/>
  <c r="Q31" i="89"/>
  <c r="R32" i="84"/>
  <c r="R34" i="81"/>
  <c r="R34" i="86"/>
  <c r="D20" i="16"/>
  <c r="P36" i="87"/>
  <c r="P36" i="82"/>
  <c r="P36" i="85"/>
  <c r="Q31" i="88"/>
  <c r="D212" i="48"/>
  <c r="S38" i="112"/>
  <c r="AI114" i="48" s="1"/>
  <c r="P27" i="106"/>
  <c r="R25" i="81"/>
  <c r="R31" i="84"/>
  <c r="R33" i="89"/>
  <c r="R31" i="83"/>
  <c r="P37" i="108"/>
  <c r="P35" i="110"/>
  <c r="R34" i="106"/>
  <c r="B21" i="75"/>
  <c r="Q39" i="85"/>
  <c r="Q39" i="105"/>
  <c r="R70" i="95"/>
  <c r="R65" i="106"/>
  <c r="R68" i="95"/>
  <c r="R68" i="109"/>
  <c r="R39" i="105"/>
  <c r="R39" i="85"/>
  <c r="R39" i="104"/>
  <c r="D83" i="48"/>
  <c r="Q36" i="95"/>
  <c r="Q36" i="110"/>
  <c r="Q36" i="111"/>
  <c r="Q38" i="108"/>
  <c r="Q34" i="95"/>
  <c r="Q34" i="110"/>
  <c r="Q36" i="80"/>
  <c r="Q36" i="88"/>
  <c r="Q32" i="112"/>
  <c r="Q22" i="115"/>
  <c r="Q18" i="95"/>
  <c r="Q18" i="109"/>
  <c r="Q19" i="104"/>
  <c r="Q18" i="113"/>
  <c r="Q28" i="90"/>
  <c r="Q19" i="85"/>
  <c r="Q19" i="107"/>
  <c r="Q19" i="108"/>
  <c r="P17" i="96"/>
  <c r="P17" i="97"/>
  <c r="P18" i="93"/>
  <c r="P27" i="112"/>
  <c r="P18" i="104"/>
  <c r="P18" i="80"/>
  <c r="P17" i="115"/>
  <c r="Q12" i="95"/>
  <c r="Q13" i="80"/>
  <c r="Q13" i="93"/>
  <c r="Q13" i="105"/>
  <c r="Q13" i="85"/>
  <c r="Q13" i="107"/>
  <c r="Q13" i="82"/>
  <c r="Q69" i="104"/>
  <c r="C55" i="48"/>
  <c r="Q79" i="111"/>
  <c r="Q84" i="109"/>
  <c r="S42" i="108"/>
  <c r="AD120" i="48" s="1"/>
  <c r="R79" i="109"/>
  <c r="R48" i="108"/>
  <c r="B441" i="9"/>
  <c r="S73" i="107"/>
  <c r="Y52" i="48" s="1"/>
  <c r="Y39" i="48"/>
  <c r="B541" i="9"/>
  <c r="P18" i="103" s="1"/>
  <c r="D541" i="9"/>
  <c r="E208" i="48" s="1"/>
  <c r="BD208" i="48" s="1"/>
  <c r="BD249" i="48"/>
  <c r="BD248" i="48"/>
  <c r="D370" i="9"/>
  <c r="E148" i="48" s="1"/>
  <c r="BD148" i="48" s="1"/>
  <c r="C236" i="48"/>
  <c r="C13" i="75"/>
  <c r="C5" i="16"/>
  <c r="C106" i="48"/>
  <c r="B12" i="16"/>
  <c r="B216" i="48"/>
  <c r="Q15" i="89"/>
  <c r="Q24" i="90"/>
  <c r="Q15" i="88"/>
  <c r="Q15" i="104"/>
  <c r="Q14" i="97"/>
  <c r="Q24" i="112"/>
  <c r="Q14" i="84"/>
  <c r="C28" i="75"/>
  <c r="C243" i="48"/>
  <c r="B28" i="75"/>
  <c r="B33" i="75"/>
  <c r="C36" i="16"/>
  <c r="C133" i="48"/>
  <c r="Q68" i="105"/>
  <c r="R67" i="87"/>
  <c r="D136" i="48"/>
  <c r="R68" i="106"/>
  <c r="D209" i="48"/>
  <c r="P69" i="96"/>
  <c r="D11" i="75"/>
  <c r="C10" i="75"/>
  <c r="B236" i="48"/>
  <c r="C32" i="16"/>
  <c r="D225" i="48"/>
  <c r="C242" i="48"/>
  <c r="D226" i="48"/>
  <c r="D15" i="16"/>
  <c r="C12" i="75"/>
  <c r="C233" i="48"/>
  <c r="Q68" i="109"/>
  <c r="B23" i="16"/>
  <c r="R73" i="96"/>
  <c r="Q18" i="103"/>
  <c r="D242" i="48"/>
  <c r="R69" i="114"/>
  <c r="C25" i="16"/>
  <c r="B34" i="75"/>
  <c r="C104" i="48"/>
  <c r="B29" i="16"/>
  <c r="Q69" i="96"/>
  <c r="R72" i="109"/>
  <c r="C31" i="16"/>
  <c r="C222" i="48"/>
  <c r="BD224" i="48"/>
  <c r="F215" i="48"/>
  <c r="BD215" i="48" s="1"/>
  <c r="BD241" i="48"/>
  <c r="BD239" i="48"/>
  <c r="BD236" i="48"/>
  <c r="BD225" i="48"/>
  <c r="BD212" i="48"/>
  <c r="BD209" i="48"/>
  <c r="L230" i="48"/>
  <c r="BD230" i="48"/>
  <c r="BD238" i="48"/>
  <c r="L151" i="48"/>
  <c r="M151" i="48" s="1"/>
  <c r="BD221" i="48"/>
  <c r="F128" i="48"/>
  <c r="L128" i="48" s="1"/>
  <c r="BD243" i="48"/>
  <c r="F24" i="48"/>
  <c r="L233" i="48"/>
  <c r="BD233" i="48"/>
  <c r="L226" i="48"/>
  <c r="BD226" i="48"/>
  <c r="BD223" i="48"/>
  <c r="BD245" i="48"/>
  <c r="L121" i="48"/>
  <c r="M121" i="48" s="1"/>
  <c r="BD163" i="48"/>
  <c r="L199" i="48"/>
  <c r="M199" i="48" s="1"/>
  <c r="BD247" i="48"/>
  <c r="BD211" i="48"/>
  <c r="BD232" i="48"/>
  <c r="BD138" i="48"/>
  <c r="F73" i="48"/>
  <c r="BD73" i="48" s="1"/>
  <c r="BD271" i="48"/>
  <c r="BD244" i="48"/>
  <c r="BD235" i="48"/>
  <c r="BD231" i="48"/>
  <c r="BD105" i="48"/>
  <c r="L116" i="48"/>
  <c r="M116" i="48" s="1"/>
  <c r="BD242" i="48"/>
  <c r="BD234" i="48"/>
  <c r="BD228" i="48"/>
  <c r="Q16" i="95"/>
  <c r="Q16" i="109"/>
  <c r="Q17" i="110"/>
  <c r="Q17" i="106"/>
  <c r="Q17" i="89"/>
  <c r="Q17" i="93"/>
  <c r="Q17" i="108"/>
  <c r="Q16" i="115"/>
  <c r="Q17" i="80"/>
  <c r="Q17" i="88"/>
  <c r="Q16" i="84"/>
  <c r="Q26" i="90"/>
  <c r="Q17" i="81"/>
  <c r="C61" i="48"/>
  <c r="Q17" i="82"/>
  <c r="Q17" i="111"/>
  <c r="Q26" i="112"/>
  <c r="Q17" i="87"/>
  <c r="Q16" i="113"/>
  <c r="Q17" i="86"/>
  <c r="Q16" i="96"/>
  <c r="Q17" i="105"/>
  <c r="Q17" i="107"/>
  <c r="Q16" i="114"/>
  <c r="Q16" i="92"/>
  <c r="Q17" i="104"/>
  <c r="Q16" i="83"/>
  <c r="Q17" i="85"/>
  <c r="Q16" i="97"/>
  <c r="B226" i="48"/>
  <c r="B22" i="75"/>
  <c r="Q20" i="95"/>
  <c r="Q21" i="88"/>
  <c r="Q21" i="81"/>
  <c r="Q20" i="109"/>
  <c r="Q21" i="108"/>
  <c r="Q21" i="105"/>
  <c r="Q21" i="106"/>
  <c r="Q21" i="111"/>
  <c r="Q20" i="84"/>
  <c r="Q21" i="87"/>
  <c r="Q21" i="104"/>
  <c r="Q21" i="89"/>
  <c r="Q30" i="112"/>
  <c r="Q20" i="114"/>
  <c r="Q20" i="97"/>
  <c r="Q20" i="113"/>
  <c r="Q21" i="93"/>
  <c r="Q20" i="92"/>
  <c r="Q21" i="85"/>
  <c r="Q21" i="80"/>
  <c r="Q20" i="96"/>
  <c r="C65" i="48"/>
  <c r="Q21" i="110"/>
  <c r="Q30" i="90"/>
  <c r="Q21" i="107"/>
  <c r="Q20" i="115"/>
  <c r="Q21" i="82"/>
  <c r="R67" i="95"/>
  <c r="R67" i="105"/>
  <c r="R68" i="96"/>
  <c r="D132" i="48"/>
  <c r="R67" i="80"/>
  <c r="R27" i="95"/>
  <c r="R27" i="110"/>
  <c r="R29" i="80"/>
  <c r="R29" i="106"/>
  <c r="R29" i="104"/>
  <c r="Q13" i="95"/>
  <c r="Q14" i="93"/>
  <c r="Q23" i="112"/>
  <c r="Q14" i="85"/>
  <c r="Q13" i="92"/>
  <c r="R85" i="114"/>
  <c r="R84" i="109"/>
  <c r="D23" i="16"/>
  <c r="P28" i="81"/>
  <c r="Q16" i="89"/>
  <c r="R13" i="93"/>
  <c r="R35" i="104"/>
  <c r="B135" i="48"/>
  <c r="B19" i="75"/>
  <c r="Q50" i="108"/>
  <c r="P72" i="109"/>
  <c r="Q15" i="108"/>
  <c r="Q15" i="81"/>
  <c r="Q15" i="80"/>
  <c r="C59" i="48"/>
  <c r="Q15" i="82"/>
  <c r="Q15" i="107"/>
  <c r="Q15" i="86"/>
  <c r="Q14" i="82"/>
  <c r="R29" i="87"/>
  <c r="P29" i="83"/>
  <c r="Q13" i="109"/>
  <c r="P31" i="106"/>
  <c r="Q15" i="96"/>
  <c r="R29" i="89"/>
  <c r="R27" i="84"/>
  <c r="Q14" i="89"/>
  <c r="R29" i="88"/>
  <c r="Q15" i="115"/>
  <c r="Q14" i="108"/>
  <c r="P31" i="95"/>
  <c r="P33" i="81"/>
  <c r="Q27" i="95"/>
  <c r="Q29" i="107"/>
  <c r="P79" i="109"/>
  <c r="P48" i="112"/>
  <c r="P48" i="108"/>
  <c r="P71" i="106"/>
  <c r="P80" i="114"/>
  <c r="P74" i="111"/>
  <c r="Q14" i="95"/>
  <c r="Q15" i="110"/>
  <c r="Q14" i="92"/>
  <c r="C105" i="48"/>
  <c r="D262" i="48"/>
  <c r="Q15" i="84"/>
  <c r="Q66" i="104"/>
  <c r="Q16" i="87"/>
  <c r="R13" i="80"/>
  <c r="R13" i="107"/>
  <c r="R33" i="84"/>
  <c r="R69" i="104"/>
  <c r="D6" i="16"/>
  <c r="B267" i="48"/>
  <c r="D15" i="75"/>
  <c r="P28" i="104"/>
  <c r="Q15" i="97"/>
  <c r="C6" i="75"/>
  <c r="R35" i="80"/>
  <c r="D29" i="16"/>
  <c r="B231" i="48"/>
  <c r="B242" i="48"/>
  <c r="Q23" i="90"/>
  <c r="P72" i="114"/>
  <c r="P72" i="96"/>
  <c r="Q73" i="106"/>
  <c r="B136" i="48"/>
  <c r="B254" i="48"/>
  <c r="Q15" i="85"/>
  <c r="Q14" i="96"/>
  <c r="Q15" i="105"/>
  <c r="Q14" i="115"/>
  <c r="Q15" i="93"/>
  <c r="Q14" i="109"/>
  <c r="C17" i="75"/>
  <c r="Q13" i="96"/>
  <c r="R29" i="85"/>
  <c r="P31" i="81"/>
  <c r="B75" i="48"/>
  <c r="R29" i="107"/>
  <c r="D5" i="16"/>
  <c r="R29" i="108"/>
  <c r="R29" i="105"/>
  <c r="Q14" i="81"/>
  <c r="C14" i="75"/>
  <c r="Q13" i="97"/>
  <c r="Q14" i="104"/>
  <c r="R73" i="113"/>
  <c r="R73" i="95"/>
  <c r="D137" i="48"/>
  <c r="Q35" i="95"/>
  <c r="Q37" i="80"/>
  <c r="P29" i="95"/>
  <c r="P31" i="88"/>
  <c r="P29" i="110"/>
  <c r="P31" i="93"/>
  <c r="P31" i="104"/>
  <c r="P31" i="85"/>
  <c r="C134" i="48"/>
  <c r="P28" i="89"/>
  <c r="P28" i="80"/>
  <c r="Q70" i="113"/>
  <c r="Q16" i="106"/>
  <c r="P27" i="105"/>
  <c r="P27" i="104"/>
  <c r="P27" i="80"/>
  <c r="R13" i="81"/>
  <c r="R35" i="108"/>
  <c r="R35" i="81"/>
  <c r="Q65" i="106"/>
  <c r="D14" i="75"/>
  <c r="P28" i="105"/>
  <c r="P28" i="93"/>
  <c r="Q16" i="104"/>
  <c r="Q50" i="112"/>
  <c r="Q73" i="105"/>
  <c r="Q16" i="81"/>
  <c r="Q16" i="85"/>
  <c r="P27" i="88"/>
  <c r="P27" i="107"/>
  <c r="R13" i="88"/>
  <c r="R13" i="87"/>
  <c r="R13" i="108"/>
  <c r="R13" i="106"/>
  <c r="R33" i="111"/>
  <c r="R35" i="82"/>
  <c r="R35" i="105"/>
  <c r="D108" i="48"/>
  <c r="Q70" i="109"/>
  <c r="Q71" i="96"/>
  <c r="R72" i="106"/>
  <c r="P28" i="87"/>
  <c r="P28" i="88"/>
  <c r="P28" i="86"/>
  <c r="Q81" i="109"/>
  <c r="Q76" i="111"/>
  <c r="Q73" i="107"/>
  <c r="Q16" i="107"/>
  <c r="Q16" i="86"/>
  <c r="Q16" i="105"/>
  <c r="P27" i="87"/>
  <c r="P27" i="82"/>
  <c r="R13" i="85"/>
  <c r="R13" i="105"/>
  <c r="R22" i="112"/>
  <c r="R35" i="89"/>
  <c r="R33" i="110"/>
  <c r="R35" i="88"/>
  <c r="R35" i="87"/>
  <c r="C228" i="48"/>
  <c r="Q67" i="114"/>
  <c r="C237" i="48"/>
  <c r="Q14" i="86"/>
  <c r="P27" i="108"/>
  <c r="P66" i="106"/>
  <c r="P67" i="106"/>
  <c r="Q15" i="111"/>
  <c r="Q15" i="87"/>
  <c r="Q15" i="106"/>
  <c r="Q14" i="113"/>
  <c r="Q14" i="114"/>
  <c r="Q14" i="88"/>
  <c r="R29" i="93"/>
  <c r="P29" i="111"/>
  <c r="D3" i="16"/>
  <c r="P29" i="84"/>
  <c r="P65" i="80"/>
  <c r="P31" i="86"/>
  <c r="R29" i="82"/>
  <c r="Q13" i="113"/>
  <c r="Q14" i="106"/>
  <c r="Q14" i="107"/>
  <c r="P31" i="107"/>
  <c r="R74" i="115"/>
  <c r="Q25" i="112"/>
  <c r="C60" i="48"/>
  <c r="R76" i="106"/>
  <c r="P34" i="95"/>
  <c r="P36" i="88"/>
  <c r="R32" i="95"/>
  <c r="R34" i="104"/>
  <c r="Q25" i="107"/>
  <c r="Q25" i="110"/>
  <c r="Q25" i="88"/>
  <c r="C69" i="48"/>
  <c r="P23" i="95"/>
  <c r="P24" i="105"/>
  <c r="P33" i="112"/>
  <c r="P24" i="111"/>
  <c r="P24" i="89"/>
  <c r="P24" i="86"/>
  <c r="P17" i="95"/>
  <c r="P18" i="105"/>
  <c r="P18" i="88"/>
  <c r="P17" i="92"/>
  <c r="BD222" i="48"/>
  <c r="O19" i="103"/>
  <c r="B209" i="48"/>
  <c r="P73" i="95"/>
  <c r="P73" i="109"/>
  <c r="P74" i="96"/>
  <c r="P49" i="114"/>
  <c r="P49" i="113"/>
  <c r="P49" i="115"/>
  <c r="P49" i="97"/>
  <c r="P49" i="96"/>
  <c r="P49" i="92"/>
  <c r="P49" i="109"/>
  <c r="P49" i="95"/>
  <c r="R41" i="113"/>
  <c r="R41" i="114"/>
  <c r="R41" i="97"/>
  <c r="R41" i="96"/>
  <c r="R41" i="109"/>
  <c r="R41" i="92"/>
  <c r="R41" i="115"/>
  <c r="R41" i="95"/>
  <c r="R41" i="82"/>
  <c r="Q79" i="114"/>
  <c r="Q68" i="115"/>
  <c r="Q63" i="104"/>
  <c r="C49" i="48"/>
  <c r="Q70" i="106"/>
  <c r="Q73" i="111"/>
  <c r="B14" i="16"/>
  <c r="P68" i="106"/>
  <c r="B137" i="48"/>
  <c r="R69" i="113"/>
  <c r="R72" i="107"/>
  <c r="P32" i="86"/>
  <c r="R22" i="93"/>
  <c r="Q70" i="105"/>
  <c r="B235" i="48"/>
  <c r="B32" i="75"/>
  <c r="B249" i="48"/>
  <c r="C26" i="75"/>
  <c r="C244" i="48"/>
  <c r="P65" i="95"/>
  <c r="B130" i="48"/>
  <c r="P66" i="114"/>
  <c r="P66" i="96"/>
  <c r="D4" i="16"/>
  <c r="D105" i="48"/>
  <c r="Q58" i="82"/>
  <c r="Q58" i="96"/>
  <c r="Q58" i="92"/>
  <c r="Q58" i="97"/>
  <c r="Q58" i="113"/>
  <c r="Q58" i="115"/>
  <c r="Q58" i="109"/>
  <c r="Q58" i="95"/>
  <c r="Q58" i="114"/>
  <c r="R56" i="82"/>
  <c r="R56" i="114"/>
  <c r="R56" i="113"/>
  <c r="R56" i="115"/>
  <c r="R56" i="96"/>
  <c r="R56" i="92"/>
  <c r="R56" i="97"/>
  <c r="R56" i="109"/>
  <c r="R56" i="95"/>
  <c r="R55" i="82"/>
  <c r="R55" i="96"/>
  <c r="R55" i="92"/>
  <c r="R55" i="97"/>
  <c r="R55" i="113"/>
  <c r="R55" i="109"/>
  <c r="R55" i="95"/>
  <c r="R55" i="114"/>
  <c r="R55" i="115"/>
  <c r="Q53" i="96"/>
  <c r="Q53" i="92"/>
  <c r="Q53" i="97"/>
  <c r="Q53" i="114"/>
  <c r="Q53" i="113"/>
  <c r="Q53" i="109"/>
  <c r="Q53" i="95"/>
  <c r="Q53" i="115"/>
  <c r="R50" i="96"/>
  <c r="R50" i="92"/>
  <c r="R50" i="97"/>
  <c r="R50" i="114"/>
  <c r="R50" i="113"/>
  <c r="R50" i="109"/>
  <c r="R50" i="115"/>
  <c r="R50" i="95"/>
  <c r="R46" i="82"/>
  <c r="R46" i="96"/>
  <c r="R46" i="92"/>
  <c r="R46" i="97"/>
  <c r="R46" i="113"/>
  <c r="R46" i="109"/>
  <c r="R46" i="114"/>
  <c r="R46" i="115"/>
  <c r="R46" i="95"/>
  <c r="P30" i="95"/>
  <c r="P32" i="88"/>
  <c r="P32" i="93"/>
  <c r="P32" i="80"/>
  <c r="P30" i="111"/>
  <c r="P32" i="87"/>
  <c r="P32" i="106"/>
  <c r="P30" i="84"/>
  <c r="P32" i="104"/>
  <c r="P32" i="89"/>
  <c r="P30" i="110"/>
  <c r="P32" i="81"/>
  <c r="Q23" i="95"/>
  <c r="Q23" i="92"/>
  <c r="Q24" i="81"/>
  <c r="Q24" i="106"/>
  <c r="Q24" i="87"/>
  <c r="Q24" i="88"/>
  <c r="C68" i="48"/>
  <c r="Q23" i="115"/>
  <c r="Q24" i="80"/>
  <c r="Q24" i="82"/>
  <c r="Q24" i="107"/>
  <c r="Q23" i="113"/>
  <c r="Q23" i="96"/>
  <c r="Q24" i="86"/>
  <c r="Q24" i="110"/>
  <c r="Q23" i="114"/>
  <c r="Q24" i="105"/>
  <c r="Q23" i="109"/>
  <c r="Q23" i="97"/>
  <c r="Q33" i="112"/>
  <c r="Q22" i="95"/>
  <c r="Q23" i="106"/>
  <c r="Q22" i="113"/>
  <c r="Q23" i="81"/>
  <c r="Q22" i="114"/>
  <c r="Q22" i="96"/>
  <c r="Q22" i="109"/>
  <c r="Q32" i="90"/>
  <c r="Q23" i="107"/>
  <c r="Q23" i="80"/>
  <c r="Q23" i="108"/>
  <c r="Q23" i="111"/>
  <c r="Q23" i="85"/>
  <c r="Q23" i="89"/>
  <c r="Q23" i="82"/>
  <c r="Q22" i="92"/>
  <c r="Q23" i="87"/>
  <c r="C67" i="48"/>
  <c r="Q23" i="110"/>
  <c r="Q23" i="88"/>
  <c r="R21" i="114"/>
  <c r="R21" i="113"/>
  <c r="R21" i="115"/>
  <c r="R21" i="92"/>
  <c r="R21" i="97"/>
  <c r="R21" i="96"/>
  <c r="R21" i="109"/>
  <c r="R21" i="95"/>
  <c r="R22" i="106"/>
  <c r="R22" i="107"/>
  <c r="R22" i="80"/>
  <c r="R22" i="81"/>
  <c r="R22" i="82"/>
  <c r="R31" i="112"/>
  <c r="R22" i="105"/>
  <c r="R21" i="84"/>
  <c r="D66" i="48"/>
  <c r="R14" i="114"/>
  <c r="R14" i="113"/>
  <c r="R14" i="115"/>
  <c r="R14" i="96"/>
  <c r="R14" i="109"/>
  <c r="R14" i="92"/>
  <c r="R14" i="97"/>
  <c r="R14" i="95"/>
  <c r="R15" i="82"/>
  <c r="R24" i="112"/>
  <c r="R15" i="110"/>
  <c r="R15" i="106"/>
  <c r="R15" i="87"/>
  <c r="R15" i="81"/>
  <c r="R15" i="104"/>
  <c r="R15" i="86"/>
  <c r="R15" i="85"/>
  <c r="R15" i="93"/>
  <c r="R15" i="80"/>
  <c r="R15" i="88"/>
  <c r="R15" i="111"/>
  <c r="R15" i="107"/>
  <c r="R15" i="89"/>
  <c r="P52" i="108"/>
  <c r="P68" i="104"/>
  <c r="P75" i="105"/>
  <c r="B54" i="48"/>
  <c r="P75" i="106"/>
  <c r="P72" i="113"/>
  <c r="R65" i="104"/>
  <c r="R81" i="114"/>
  <c r="R75" i="111"/>
  <c r="C50" i="48"/>
  <c r="Q80" i="114"/>
  <c r="Q48" i="112"/>
  <c r="Q71" i="105"/>
  <c r="Q48" i="108"/>
  <c r="Q68" i="113"/>
  <c r="R49" i="112"/>
  <c r="D51" i="48"/>
  <c r="D240" i="48"/>
  <c r="B76" i="48"/>
  <c r="Q71" i="107"/>
  <c r="P32" i="82"/>
  <c r="P32" i="107"/>
  <c r="R22" i="108"/>
  <c r="R22" i="87"/>
  <c r="Q67" i="113"/>
  <c r="Q47" i="112"/>
  <c r="Q78" i="109"/>
  <c r="R31" i="90"/>
  <c r="P84" i="114"/>
  <c r="P83" i="109"/>
  <c r="Q74" i="111"/>
  <c r="Q24" i="111"/>
  <c r="Q24" i="108"/>
  <c r="P52" i="112"/>
  <c r="R15" i="108"/>
  <c r="R71" i="95"/>
  <c r="R72" i="114"/>
  <c r="R71" i="109"/>
  <c r="D135" i="48"/>
  <c r="R72" i="96"/>
  <c r="P66" i="95"/>
  <c r="P66" i="109"/>
  <c r="P66" i="80"/>
  <c r="B131" i="48"/>
  <c r="P66" i="105"/>
  <c r="D236" i="48"/>
  <c r="P74" i="114"/>
  <c r="R72" i="105"/>
  <c r="R49" i="108"/>
  <c r="Q64" i="104"/>
  <c r="Q69" i="115"/>
  <c r="P32" i="108"/>
  <c r="R22" i="104"/>
  <c r="R22" i="89"/>
  <c r="R22" i="85"/>
  <c r="R22" i="88"/>
  <c r="Q70" i="107"/>
  <c r="P75" i="107"/>
  <c r="Q24" i="93"/>
  <c r="Q33" i="90"/>
  <c r="C26" i="16"/>
  <c r="R24" i="90"/>
  <c r="Q23" i="104"/>
  <c r="Q23" i="105"/>
  <c r="R14" i="84"/>
  <c r="Q23" i="93"/>
  <c r="B23" i="75"/>
  <c r="B229" i="48"/>
  <c r="P67" i="95"/>
  <c r="P67" i="80"/>
  <c r="P67" i="109"/>
  <c r="B132" i="48"/>
  <c r="P67" i="105"/>
  <c r="P58" i="82"/>
  <c r="P58" i="114"/>
  <c r="P58" i="113"/>
  <c r="P58" i="115"/>
  <c r="P58" i="97"/>
  <c r="P58" i="96"/>
  <c r="P58" i="92"/>
  <c r="P58" i="109"/>
  <c r="P58" i="95"/>
  <c r="P57" i="82"/>
  <c r="P57" i="96"/>
  <c r="P57" i="92"/>
  <c r="P57" i="97"/>
  <c r="P57" i="115"/>
  <c r="P57" i="114"/>
  <c r="P57" i="113"/>
  <c r="P57" i="109"/>
  <c r="P57" i="95"/>
  <c r="P51" i="82"/>
  <c r="P51" i="113"/>
  <c r="P51" i="114"/>
  <c r="P51" i="92"/>
  <c r="P51" i="109"/>
  <c r="P51" i="97"/>
  <c r="P51" i="115"/>
  <c r="P51" i="96"/>
  <c r="P51" i="95"/>
  <c r="Q46" i="114"/>
  <c r="Q46" i="113"/>
  <c r="Q46" i="115"/>
  <c r="Q46" i="95"/>
  <c r="Q46" i="97"/>
  <c r="Q46" i="96"/>
  <c r="Q46" i="92"/>
  <c r="Q46" i="109"/>
  <c r="Q42" i="114"/>
  <c r="Q42" i="113"/>
  <c r="Q42" i="96"/>
  <c r="Q42" i="115"/>
  <c r="Q42" i="92"/>
  <c r="Q42" i="97"/>
  <c r="Q42" i="109"/>
  <c r="Q42" i="95"/>
  <c r="Q25" i="82"/>
  <c r="Q34" i="112"/>
  <c r="R53" i="108"/>
  <c r="R76" i="107"/>
  <c r="P50" i="112"/>
  <c r="P66" i="104"/>
  <c r="P28" i="106"/>
  <c r="P28" i="108"/>
  <c r="B72" i="48"/>
  <c r="P28" i="85"/>
  <c r="Q15" i="92"/>
  <c r="Q16" i="82"/>
  <c r="Q16" i="80"/>
  <c r="Q25" i="90"/>
  <c r="Q16" i="110"/>
  <c r="P27" i="86"/>
  <c r="P27" i="89"/>
  <c r="P27" i="85"/>
  <c r="Q68" i="114"/>
  <c r="Q66" i="80"/>
  <c r="Q39" i="107"/>
  <c r="Q66" i="96"/>
  <c r="P51" i="112"/>
  <c r="P82" i="109"/>
  <c r="R67" i="109"/>
  <c r="R75" i="106"/>
  <c r="D54" i="48"/>
  <c r="R83" i="109"/>
  <c r="Q38" i="107"/>
  <c r="R71" i="113"/>
  <c r="R83" i="114"/>
  <c r="Q69" i="114"/>
  <c r="P73" i="96"/>
  <c r="Q38" i="86"/>
  <c r="C82" i="48"/>
  <c r="Q38" i="105"/>
  <c r="R68" i="114"/>
  <c r="R21" i="105"/>
  <c r="R21" i="87"/>
  <c r="R21" i="82"/>
  <c r="R21" i="110"/>
  <c r="R73" i="109"/>
  <c r="R71" i="114"/>
  <c r="P73" i="106"/>
  <c r="Q15" i="113"/>
  <c r="Q25" i="111"/>
  <c r="Q25" i="86"/>
  <c r="Q39" i="82"/>
  <c r="Q39" i="108"/>
  <c r="Q25" i="108"/>
  <c r="R70" i="109"/>
  <c r="D215" i="48"/>
  <c r="Q25" i="85"/>
  <c r="R53" i="112"/>
  <c r="R76" i="105"/>
  <c r="P71" i="115"/>
  <c r="P73" i="105"/>
  <c r="Q15" i="109"/>
  <c r="B221" i="48"/>
  <c r="B3" i="75"/>
  <c r="R52" i="92"/>
  <c r="R52" i="97"/>
  <c r="R52" i="96"/>
  <c r="R52" i="109"/>
  <c r="R52" i="95"/>
  <c r="R52" i="115"/>
  <c r="R52" i="114"/>
  <c r="R52" i="113"/>
  <c r="R52" i="82"/>
  <c r="P47" i="82"/>
  <c r="P47" i="113"/>
  <c r="P47" i="114"/>
  <c r="P47" i="97"/>
  <c r="P47" i="96"/>
  <c r="P47" i="109"/>
  <c r="P47" i="92"/>
  <c r="P47" i="115"/>
  <c r="P47" i="95"/>
  <c r="Q35" i="106"/>
  <c r="Q33" i="95"/>
  <c r="Q32" i="95"/>
  <c r="Q34" i="88"/>
  <c r="P29" i="85"/>
  <c r="P27" i="95"/>
  <c r="P29" i="107"/>
  <c r="D30" i="16"/>
  <c r="D264" i="48"/>
  <c r="Q48" i="82"/>
  <c r="Q48" i="113"/>
  <c r="Q48" i="114"/>
  <c r="Q48" i="92"/>
  <c r="Q48" i="95"/>
  <c r="Q48" i="109"/>
  <c r="Q48" i="97"/>
  <c r="Q48" i="115"/>
  <c r="Q48" i="96"/>
  <c r="R47" i="114"/>
  <c r="R47" i="113"/>
  <c r="R47" i="96"/>
  <c r="R47" i="115"/>
  <c r="R47" i="92"/>
  <c r="R47" i="97"/>
  <c r="R47" i="109"/>
  <c r="R47" i="95"/>
  <c r="P45" i="82"/>
  <c r="P45" i="114"/>
  <c r="P45" i="113"/>
  <c r="P45" i="96"/>
  <c r="P45" i="115"/>
  <c r="P45" i="92"/>
  <c r="P45" i="97"/>
  <c r="P45" i="109"/>
  <c r="P45" i="95"/>
  <c r="P44" i="82"/>
  <c r="P44" i="96"/>
  <c r="P44" i="92"/>
  <c r="P44" i="97"/>
  <c r="P44" i="113"/>
  <c r="P44" i="95"/>
  <c r="P44" i="109"/>
  <c r="P44" i="114"/>
  <c r="P44" i="115"/>
  <c r="P43" i="82"/>
  <c r="P43" i="113"/>
  <c r="P43" i="114"/>
  <c r="P43" i="92"/>
  <c r="P43" i="109"/>
  <c r="P43" i="97"/>
  <c r="P43" i="115"/>
  <c r="P43" i="96"/>
  <c r="P43" i="95"/>
  <c r="Q37" i="95"/>
  <c r="Q39" i="81"/>
  <c r="Q31" i="81"/>
  <c r="Q29" i="95"/>
  <c r="R20" i="113"/>
  <c r="R20" i="115"/>
  <c r="R20" i="114"/>
  <c r="R20" i="96"/>
  <c r="R20" i="109"/>
  <c r="R20" i="92"/>
  <c r="R20" i="97"/>
  <c r="R20" i="95"/>
  <c r="Q41" i="96"/>
  <c r="Q41" i="92"/>
  <c r="Q41" i="97"/>
  <c r="Q41" i="113"/>
  <c r="Q41" i="95"/>
  <c r="Q41" i="109"/>
  <c r="Q41" i="114"/>
  <c r="Q41" i="115"/>
  <c r="R58" i="113"/>
  <c r="R58" i="115"/>
  <c r="R58" i="114"/>
  <c r="R58" i="97"/>
  <c r="R58" i="96"/>
  <c r="R58" i="109"/>
  <c r="R58" i="92"/>
  <c r="R58" i="95"/>
  <c r="Q56" i="92"/>
  <c r="Q56" i="97"/>
  <c r="Q56" i="96"/>
  <c r="Q56" i="109"/>
  <c r="Q56" i="95"/>
  <c r="Q56" i="115"/>
  <c r="Q56" i="114"/>
  <c r="Q56" i="113"/>
  <c r="Q55" i="82"/>
  <c r="Q55" i="114"/>
  <c r="Q55" i="113"/>
  <c r="Q55" i="115"/>
  <c r="Q55" i="97"/>
  <c r="Q55" i="96"/>
  <c r="Q55" i="92"/>
  <c r="Q55" i="109"/>
  <c r="Q55" i="95"/>
  <c r="P53" i="114"/>
  <c r="P53" i="113"/>
  <c r="P53" i="96"/>
  <c r="P53" i="115"/>
  <c r="P53" i="92"/>
  <c r="P53" i="97"/>
  <c r="P53" i="109"/>
  <c r="P53" i="95"/>
  <c r="Q52" i="82"/>
  <c r="Q52" i="113"/>
  <c r="Q52" i="114"/>
  <c r="Q52" i="97"/>
  <c r="Q52" i="96"/>
  <c r="Q52" i="109"/>
  <c r="Q52" i="92"/>
  <c r="Q52" i="115"/>
  <c r="Q52" i="95"/>
  <c r="R51" i="114"/>
  <c r="R51" i="113"/>
  <c r="R51" i="115"/>
  <c r="R51" i="97"/>
  <c r="R51" i="96"/>
  <c r="R51" i="92"/>
  <c r="R51" i="109"/>
  <c r="R51" i="95"/>
  <c r="Q50" i="114"/>
  <c r="Q50" i="113"/>
  <c r="Q50" i="96"/>
  <c r="Q50" i="115"/>
  <c r="Q50" i="95"/>
  <c r="Q50" i="92"/>
  <c r="Q50" i="97"/>
  <c r="Q50" i="109"/>
  <c r="R49" i="82"/>
  <c r="R49" i="113"/>
  <c r="R49" i="114"/>
  <c r="R49" i="97"/>
  <c r="R49" i="96"/>
  <c r="R49" i="109"/>
  <c r="R49" i="92"/>
  <c r="R49" i="115"/>
  <c r="R49" i="95"/>
  <c r="P48" i="82"/>
  <c r="P48" i="96"/>
  <c r="P48" i="92"/>
  <c r="P48" i="97"/>
  <c r="P48" i="114"/>
  <c r="P48" i="113"/>
  <c r="P48" i="109"/>
  <c r="P48" i="115"/>
  <c r="P48" i="95"/>
  <c r="P46" i="92"/>
  <c r="P46" i="97"/>
  <c r="P46" i="96"/>
  <c r="P46" i="114"/>
  <c r="P46" i="109"/>
  <c r="P46" i="113"/>
  <c r="P46" i="115"/>
  <c r="P46" i="95"/>
  <c r="Q45" i="96"/>
  <c r="Q45" i="92"/>
  <c r="Q45" i="97"/>
  <c r="Q45" i="95"/>
  <c r="Q45" i="114"/>
  <c r="Q45" i="113"/>
  <c r="Q45" i="109"/>
  <c r="Q45" i="115"/>
  <c r="R44" i="92"/>
  <c r="R44" i="97"/>
  <c r="R44" i="96"/>
  <c r="R44" i="109"/>
  <c r="R44" i="115"/>
  <c r="R44" i="114"/>
  <c r="R44" i="95"/>
  <c r="R44" i="113"/>
  <c r="P41" i="82"/>
  <c r="P41" i="114"/>
  <c r="P41" i="113"/>
  <c r="P41" i="115"/>
  <c r="P41" i="97"/>
  <c r="P41" i="96"/>
  <c r="P41" i="92"/>
  <c r="P41" i="109"/>
  <c r="P41" i="95"/>
  <c r="P38" i="108"/>
  <c r="P36" i="95"/>
  <c r="R32" i="86"/>
  <c r="R30" i="95"/>
  <c r="P22" i="115"/>
  <c r="P22" i="95"/>
  <c r="R18" i="113"/>
  <c r="R18" i="115"/>
  <c r="R18" i="114"/>
  <c r="R18" i="96"/>
  <c r="R18" i="109"/>
  <c r="R18" i="92"/>
  <c r="R18" i="97"/>
  <c r="R18" i="95"/>
  <c r="P19" i="106"/>
  <c r="P18" i="95"/>
  <c r="R16" i="113"/>
  <c r="R16" i="115"/>
  <c r="R16" i="114"/>
  <c r="R16" i="96"/>
  <c r="R16" i="109"/>
  <c r="R16" i="92"/>
  <c r="R16" i="97"/>
  <c r="R16" i="95"/>
  <c r="P16" i="110"/>
  <c r="P15" i="95"/>
  <c r="R13" i="96"/>
  <c r="R13" i="109"/>
  <c r="R13" i="92"/>
  <c r="R13" i="97"/>
  <c r="R13" i="113"/>
  <c r="R13" i="115"/>
  <c r="R13" i="114"/>
  <c r="R13" i="95"/>
  <c r="BD218" i="48"/>
  <c r="R57" i="92"/>
  <c r="R57" i="97"/>
  <c r="R57" i="96"/>
  <c r="R57" i="114"/>
  <c r="R57" i="109"/>
  <c r="R57" i="95"/>
  <c r="R57" i="113"/>
  <c r="R57" i="115"/>
  <c r="P56" i="113"/>
  <c r="P56" i="114"/>
  <c r="P56" i="97"/>
  <c r="P56" i="96"/>
  <c r="P56" i="109"/>
  <c r="P56" i="92"/>
  <c r="P56" i="115"/>
  <c r="P56" i="95"/>
  <c r="Q47" i="82"/>
  <c r="Q47" i="92"/>
  <c r="Q47" i="97"/>
  <c r="Q47" i="96"/>
  <c r="Q47" i="109"/>
  <c r="Q47" i="95"/>
  <c r="Q47" i="115"/>
  <c r="Q47" i="114"/>
  <c r="Q47" i="113"/>
  <c r="Q44" i="82"/>
  <c r="Q44" i="113"/>
  <c r="Q44" i="114"/>
  <c r="Q44" i="97"/>
  <c r="Q44" i="96"/>
  <c r="Q44" i="109"/>
  <c r="Q44" i="92"/>
  <c r="Q44" i="115"/>
  <c r="Q44" i="95"/>
  <c r="R43" i="82"/>
  <c r="R43" i="114"/>
  <c r="R43" i="113"/>
  <c r="R43" i="115"/>
  <c r="R43" i="97"/>
  <c r="R43" i="96"/>
  <c r="R43" i="92"/>
  <c r="R43" i="109"/>
  <c r="R43" i="95"/>
  <c r="P42" i="92"/>
  <c r="P42" i="97"/>
  <c r="P42" i="96"/>
  <c r="P42" i="109"/>
  <c r="P42" i="115"/>
  <c r="P42" i="114"/>
  <c r="P42" i="95"/>
  <c r="P42" i="113"/>
  <c r="R39" i="86"/>
  <c r="R37" i="95"/>
  <c r="P37" i="81"/>
  <c r="P35" i="95"/>
  <c r="Q33" i="107"/>
  <c r="Q31" i="95"/>
  <c r="Q28" i="80"/>
  <c r="Q26" i="95"/>
  <c r="R23" i="96"/>
  <c r="R23" i="109"/>
  <c r="R23" i="92"/>
  <c r="R23" i="97"/>
  <c r="R23" i="113"/>
  <c r="R23" i="115"/>
  <c r="R23" i="114"/>
  <c r="R23" i="95"/>
  <c r="R19" i="114"/>
  <c r="R19" i="113"/>
  <c r="R19" i="115"/>
  <c r="R19" i="92"/>
  <c r="R19" i="97"/>
  <c r="R19" i="96"/>
  <c r="R19" i="109"/>
  <c r="R19" i="95"/>
  <c r="Q57" i="113"/>
  <c r="Q57" i="115"/>
  <c r="Q57" i="114"/>
  <c r="Q57" i="92"/>
  <c r="Q57" i="109"/>
  <c r="Q57" i="97"/>
  <c r="Q57" i="96"/>
  <c r="Q57" i="95"/>
  <c r="P55" i="92"/>
  <c r="P55" i="97"/>
  <c r="P55" i="96"/>
  <c r="P55" i="114"/>
  <c r="P55" i="109"/>
  <c r="P55" i="95"/>
  <c r="P55" i="113"/>
  <c r="P55" i="115"/>
  <c r="R53" i="82"/>
  <c r="R53" i="113"/>
  <c r="R53" i="114"/>
  <c r="R53" i="92"/>
  <c r="R53" i="109"/>
  <c r="R53" i="97"/>
  <c r="R53" i="115"/>
  <c r="R53" i="96"/>
  <c r="R53" i="95"/>
  <c r="P52" i="96"/>
  <c r="P52" i="92"/>
  <c r="P52" i="97"/>
  <c r="P52" i="113"/>
  <c r="P52" i="109"/>
  <c r="P52" i="95"/>
  <c r="P52" i="114"/>
  <c r="P52" i="115"/>
  <c r="Q51" i="92"/>
  <c r="Q51" i="97"/>
  <c r="Q51" i="96"/>
  <c r="Q51" i="114"/>
  <c r="Q51" i="109"/>
  <c r="Q51" i="95"/>
  <c r="Q51" i="113"/>
  <c r="Q51" i="115"/>
  <c r="P50" i="82"/>
  <c r="P50" i="92"/>
  <c r="P50" i="97"/>
  <c r="P50" i="96"/>
  <c r="P50" i="109"/>
  <c r="P50" i="115"/>
  <c r="P50" i="114"/>
  <c r="P50" i="113"/>
  <c r="P50" i="95"/>
  <c r="Q49" i="96"/>
  <c r="Q49" i="92"/>
  <c r="Q49" i="97"/>
  <c r="Q49" i="113"/>
  <c r="Q49" i="95"/>
  <c r="Q49" i="109"/>
  <c r="Q49" i="114"/>
  <c r="Q49" i="115"/>
  <c r="R48" i="82"/>
  <c r="R48" i="92"/>
  <c r="R48" i="97"/>
  <c r="R48" i="96"/>
  <c r="R48" i="114"/>
  <c r="R48" i="109"/>
  <c r="R48" i="113"/>
  <c r="R48" i="115"/>
  <c r="R48" i="95"/>
  <c r="R45" i="82"/>
  <c r="R45" i="113"/>
  <c r="R45" i="114"/>
  <c r="R45" i="92"/>
  <c r="R45" i="109"/>
  <c r="R45" i="97"/>
  <c r="R45" i="115"/>
  <c r="R45" i="96"/>
  <c r="R45" i="95"/>
  <c r="Q43" i="92"/>
  <c r="Q43" i="97"/>
  <c r="Q43" i="96"/>
  <c r="Q43" i="114"/>
  <c r="Q43" i="109"/>
  <c r="Q43" i="113"/>
  <c r="Q43" i="115"/>
  <c r="Q43" i="95"/>
  <c r="R42" i="96"/>
  <c r="R42" i="92"/>
  <c r="R42" i="97"/>
  <c r="R42" i="95"/>
  <c r="R42" i="114"/>
  <c r="R42" i="113"/>
  <c r="R42" i="109"/>
  <c r="R42" i="115"/>
  <c r="R30" i="88"/>
  <c r="R28" i="95"/>
  <c r="R22" i="113"/>
  <c r="R22" i="115"/>
  <c r="R22" i="114"/>
  <c r="R22" i="96"/>
  <c r="R22" i="109"/>
  <c r="R22" i="92"/>
  <c r="R22" i="97"/>
  <c r="R22" i="95"/>
  <c r="R17" i="114"/>
  <c r="R17" i="113"/>
  <c r="R17" i="115"/>
  <c r="R17" i="92"/>
  <c r="R17" i="97"/>
  <c r="R17" i="96"/>
  <c r="R17" i="109"/>
  <c r="R17" i="95"/>
  <c r="R15" i="92"/>
  <c r="R15" i="97"/>
  <c r="R15" i="96"/>
  <c r="R15" i="109"/>
  <c r="R15" i="95"/>
  <c r="R15" i="114"/>
  <c r="R15" i="113"/>
  <c r="R15" i="115"/>
  <c r="R12" i="113"/>
  <c r="R12" i="115"/>
  <c r="R12" i="114"/>
  <c r="R12" i="92"/>
  <c r="R12" i="97"/>
  <c r="R12" i="96"/>
  <c r="R12" i="109"/>
  <c r="R12" i="95"/>
  <c r="D119" i="9"/>
  <c r="E36" i="48" s="1"/>
  <c r="A151" i="9"/>
  <c r="P18" i="90" s="1"/>
  <c r="A420" i="9"/>
  <c r="B166" i="48" s="1"/>
  <c r="I424" i="9"/>
  <c r="J167" i="48" s="1"/>
  <c r="E456" i="9"/>
  <c r="A159" i="9"/>
  <c r="D79" i="9"/>
  <c r="E28" i="48" s="1"/>
  <c r="A523" i="9"/>
  <c r="B203" i="48" s="1"/>
  <c r="A475" i="9"/>
  <c r="P12" i="100" s="1"/>
  <c r="J414" i="9"/>
  <c r="K164" i="48" s="1"/>
  <c r="C351" i="9"/>
  <c r="R5" i="99" s="1"/>
  <c r="D151" i="9"/>
  <c r="E44" i="48" s="1"/>
  <c r="A103" i="9"/>
  <c r="P10" i="89" s="1"/>
  <c r="J51" i="9"/>
  <c r="K21" i="48" s="1"/>
  <c r="A497" i="9"/>
  <c r="P19" i="100" s="1"/>
  <c r="E354" i="9"/>
  <c r="D392" i="9"/>
  <c r="E156" i="48" s="1"/>
  <c r="J139" i="9"/>
  <c r="K41" i="48" s="1"/>
  <c r="I59" i="9"/>
  <c r="J23" i="48" s="1"/>
  <c r="I507" i="9"/>
  <c r="J198" i="48" s="1"/>
  <c r="J453" i="9"/>
  <c r="K178" i="48" s="1"/>
  <c r="A405" i="9"/>
  <c r="B161" i="48" s="1"/>
  <c r="C338" i="9"/>
  <c r="R64" i="113" s="1"/>
  <c r="D139" i="9"/>
  <c r="E41" i="48" s="1"/>
  <c r="A87" i="9"/>
  <c r="P6" i="92" s="1"/>
  <c r="D39" i="9"/>
  <c r="E18" i="48" s="1"/>
  <c r="C497" i="9"/>
  <c r="D194" i="48" s="1"/>
  <c r="I27" i="9"/>
  <c r="J15" i="48" s="1"/>
  <c r="B420" i="9"/>
  <c r="C166" i="48" s="1"/>
  <c r="B516" i="9"/>
  <c r="C201" i="48" s="1"/>
  <c r="E500" i="9"/>
  <c r="E405" i="9"/>
  <c r="I306" i="9"/>
  <c r="J125" i="48" s="1"/>
  <c r="B123" i="9"/>
  <c r="C37" i="48" s="1"/>
  <c r="J39" i="9"/>
  <c r="K18" i="48" s="1"/>
  <c r="E376" i="9"/>
  <c r="D494" i="9"/>
  <c r="E193" i="48" s="1"/>
  <c r="BD193" i="48" s="1"/>
  <c r="A450" i="9"/>
  <c r="I395" i="9"/>
  <c r="J157" i="48" s="1"/>
  <c r="J259" i="9"/>
  <c r="K114" i="48" s="1"/>
  <c r="B131" i="9"/>
  <c r="Q8" i="114" s="1"/>
  <c r="D75" i="9"/>
  <c r="E27" i="48" s="1"/>
  <c r="A430" i="9"/>
  <c r="O10" i="101" s="1"/>
  <c r="D95" i="9"/>
  <c r="E32" i="48" s="1"/>
  <c r="J91" i="9"/>
  <c r="K31" i="48" s="1"/>
  <c r="B91" i="9"/>
  <c r="Q9" i="110" s="1"/>
  <c r="J87" i="9"/>
  <c r="K30" i="48" s="1"/>
  <c r="J478" i="9"/>
  <c r="K187" i="48" s="1"/>
  <c r="I19" i="9"/>
  <c r="J13" i="48" s="1"/>
  <c r="C115" i="9"/>
  <c r="I485" i="9"/>
  <c r="J190" i="48" s="1"/>
  <c r="D15" i="9"/>
  <c r="E12" i="48" s="1"/>
  <c r="E380" i="9"/>
  <c r="B31" i="9"/>
  <c r="Q5" i="110" s="1"/>
  <c r="J247" i="9"/>
  <c r="K111" i="48" s="1"/>
  <c r="C103" i="9"/>
  <c r="R15" i="90" s="1"/>
  <c r="E638" i="9"/>
  <c r="I635" i="9"/>
  <c r="J268" i="48" s="1"/>
  <c r="A520" i="9"/>
  <c r="O8" i="102" s="1"/>
  <c r="I516" i="9"/>
  <c r="J201" i="48" s="1"/>
  <c r="A513" i="9"/>
  <c r="B200" i="48" s="1"/>
  <c r="A494" i="9"/>
  <c r="I491" i="9"/>
  <c r="J192" i="48" s="1"/>
  <c r="A491" i="9"/>
  <c r="B192" i="48" s="1"/>
  <c r="D488" i="9"/>
  <c r="E191" i="48" s="1"/>
  <c r="BD191" i="48" s="1"/>
  <c r="J485" i="9"/>
  <c r="K190" i="48" s="1"/>
  <c r="C433" i="9"/>
  <c r="D170" i="48" s="1"/>
  <c r="J430" i="9"/>
  <c r="K169" i="48" s="1"/>
  <c r="B430" i="9"/>
  <c r="P10" i="101" s="1"/>
  <c r="D424" i="9"/>
  <c r="E167" i="48" s="1"/>
  <c r="BD167" i="48" s="1"/>
  <c r="J420" i="9"/>
  <c r="K166" i="48" s="1"/>
  <c r="C417" i="9"/>
  <c r="Q4" i="101" s="1"/>
  <c r="J159" i="9"/>
  <c r="K46" i="48" s="1"/>
  <c r="B159" i="9"/>
  <c r="C46" i="48" s="1"/>
  <c r="C155" i="9"/>
  <c r="R9" i="86" s="1"/>
  <c r="B35" i="9"/>
  <c r="Q7" i="82" s="1"/>
  <c r="J95" i="9"/>
  <c r="K32" i="48" s="1"/>
  <c r="B95" i="9"/>
  <c r="Q8" i="97" s="1"/>
  <c r="D91" i="9"/>
  <c r="E31" i="48" s="1"/>
  <c r="D516" i="9"/>
  <c r="E201" i="48" s="1"/>
  <c r="BD201" i="48" s="1"/>
  <c r="C494" i="9"/>
  <c r="D475" i="9"/>
  <c r="E186" i="48" s="1"/>
  <c r="BD186" i="48" s="1"/>
  <c r="I433" i="9"/>
  <c r="J170" i="48" s="1"/>
  <c r="A433" i="9"/>
  <c r="B170" i="48" s="1"/>
  <c r="D430" i="9"/>
  <c r="E169" i="48" s="1"/>
  <c r="BD169" i="48" s="1"/>
  <c r="J427" i="9"/>
  <c r="K168" i="48" s="1"/>
  <c r="B427" i="9"/>
  <c r="D420" i="9"/>
  <c r="E166" i="48" s="1"/>
  <c r="BD166" i="48" s="1"/>
  <c r="I417" i="9"/>
  <c r="J165" i="48" s="1"/>
  <c r="A417" i="9"/>
  <c r="B165" i="48" s="1"/>
  <c r="A414" i="9"/>
  <c r="O3" i="101" s="1"/>
  <c r="C405" i="9"/>
  <c r="D161" i="48" s="1"/>
  <c r="A155" i="9"/>
  <c r="B45" i="48" s="1"/>
  <c r="I151" i="9"/>
  <c r="J44" i="48" s="1"/>
  <c r="D35" i="9"/>
  <c r="E17" i="48" s="1"/>
  <c r="I31" i="9"/>
  <c r="J16" i="48" s="1"/>
  <c r="A31" i="9"/>
  <c r="P5" i="110" s="1"/>
  <c r="J7" i="108"/>
  <c r="B299" i="12"/>
  <c r="B300" i="12"/>
  <c r="B255" i="12"/>
  <c r="B20" i="12"/>
  <c r="M11" i="117" s="1"/>
  <c r="F6" i="9"/>
  <c r="F171" i="9" s="1"/>
  <c r="B22" i="11"/>
  <c r="A276" i="9"/>
  <c r="C272" i="9"/>
  <c r="R61" i="83" s="1"/>
  <c r="A272" i="9"/>
  <c r="E278" i="9"/>
  <c r="J272" i="9"/>
  <c r="K117" i="48" s="1"/>
  <c r="J7" i="110"/>
  <c r="D272" i="9"/>
  <c r="E117" i="48" s="1"/>
  <c r="E274" i="9"/>
  <c r="A278" i="9"/>
  <c r="P61" i="104" s="1"/>
  <c r="B272" i="9"/>
  <c r="Q61" i="83" s="1"/>
  <c r="I272" i="9"/>
  <c r="J117" i="48" s="1"/>
  <c r="B278" i="9"/>
  <c r="C274" i="9"/>
  <c r="I278" i="9"/>
  <c r="J120" i="48" s="1"/>
  <c r="E272" i="9"/>
  <c r="C278" i="9"/>
  <c r="I274" i="9"/>
  <c r="J118" i="48" s="1"/>
  <c r="D117" i="48"/>
  <c r="D276" i="9"/>
  <c r="E119" i="48" s="1"/>
  <c r="J276" i="9"/>
  <c r="K119" i="48" s="1"/>
  <c r="D278" i="9"/>
  <c r="E120" i="48" s="1"/>
  <c r="B274" i="9"/>
  <c r="J7" i="82"/>
  <c r="D274" i="9"/>
  <c r="E118" i="48" s="1"/>
  <c r="J278" i="9"/>
  <c r="K120" i="48" s="1"/>
  <c r="C276" i="9"/>
  <c r="E276" i="9"/>
  <c r="I276" i="9"/>
  <c r="J119" i="48" s="1"/>
  <c r="B276" i="9"/>
  <c r="J274" i="9"/>
  <c r="K118" i="48" s="1"/>
  <c r="A274" i="9"/>
  <c r="G12" i="116"/>
  <c r="B186" i="48"/>
  <c r="C462" i="9"/>
  <c r="D181" i="48" s="1"/>
  <c r="A478" i="9"/>
  <c r="B187" i="48" s="1"/>
  <c r="A441" i="9"/>
  <c r="A438" i="9"/>
  <c r="O6" i="116" s="1"/>
  <c r="I23" i="9"/>
  <c r="J14" i="48" s="1"/>
  <c r="C47" i="9"/>
  <c r="R10" i="81" s="1"/>
  <c r="I67" i="9"/>
  <c r="J25" i="48" s="1"/>
  <c r="A91" i="9"/>
  <c r="D123" i="9"/>
  <c r="E37" i="48" s="1"/>
  <c r="A147" i="9"/>
  <c r="A293" i="9"/>
  <c r="P62" i="114" s="1"/>
  <c r="J364" i="9"/>
  <c r="K146" i="48" s="1"/>
  <c r="I399" i="9"/>
  <c r="J159" i="48" s="1"/>
  <c r="J424" i="9"/>
  <c r="K167" i="48" s="1"/>
  <c r="B453" i="9"/>
  <c r="J481" i="9"/>
  <c r="K188" i="48" s="1"/>
  <c r="D504" i="9"/>
  <c r="E197" i="48" s="1"/>
  <c r="BD197" i="48" s="1"/>
  <c r="D638" i="9"/>
  <c r="E269" i="48" s="1"/>
  <c r="BD269" i="48" s="1"/>
  <c r="E462" i="9"/>
  <c r="J27" i="9"/>
  <c r="K15" i="48" s="1"/>
  <c r="J71" i="9"/>
  <c r="K26" i="48" s="1"/>
  <c r="I111" i="9"/>
  <c r="B151" i="9"/>
  <c r="Q18" i="112" s="1"/>
  <c r="D285" i="9"/>
  <c r="E122" i="48" s="1"/>
  <c r="C392" i="9"/>
  <c r="D156" i="48" s="1"/>
  <c r="E520" i="9"/>
  <c r="E466" i="9"/>
  <c r="E485" i="9"/>
  <c r="A318" i="9"/>
  <c r="D47" i="9"/>
  <c r="E20" i="48" s="1"/>
  <c r="A63" i="9"/>
  <c r="P7" i="84" s="1"/>
  <c r="A75" i="9"/>
  <c r="P3" i="95" s="1"/>
  <c r="B87" i="9"/>
  <c r="Q6" i="85" s="1"/>
  <c r="B99" i="9"/>
  <c r="Q9" i="95" s="1"/>
  <c r="B103" i="9"/>
  <c r="Q10" i="95" s="1"/>
  <c r="C139" i="9"/>
  <c r="A163" i="9"/>
  <c r="D247" i="9"/>
  <c r="E111" i="48" s="1"/>
  <c r="B263" i="9"/>
  <c r="C115" i="48" s="1"/>
  <c r="A285" i="9"/>
  <c r="P63" i="97" s="1"/>
  <c r="A306" i="9"/>
  <c r="J306" i="9"/>
  <c r="K125" i="48" s="1"/>
  <c r="A338" i="9"/>
  <c r="C348" i="9"/>
  <c r="I427" i="9"/>
  <c r="J168" i="48" s="1"/>
  <c r="B450" i="9"/>
  <c r="Q3" i="100" s="1"/>
  <c r="I39" i="9"/>
  <c r="J18" i="48" s="1"/>
  <c r="I63" i="9"/>
  <c r="J24" i="48" s="1"/>
  <c r="A71" i="9"/>
  <c r="P9" i="84" s="1"/>
  <c r="C79" i="9"/>
  <c r="R4" i="92" s="1"/>
  <c r="J103" i="9"/>
  <c r="K34" i="48" s="1"/>
  <c r="J115" i="9"/>
  <c r="J119" i="9"/>
  <c r="K36" i="48" s="1"/>
  <c r="I131" i="9"/>
  <c r="J39" i="48" s="1"/>
  <c r="J143" i="9"/>
  <c r="I163" i="9"/>
  <c r="J47" i="48" s="1"/>
  <c r="C255" i="9"/>
  <c r="D113" i="48" s="1"/>
  <c r="J255" i="9"/>
  <c r="K113" i="48" s="1"/>
  <c r="B297" i="9"/>
  <c r="Q61" i="92" s="1"/>
  <c r="C318" i="9"/>
  <c r="B338" i="9"/>
  <c r="Q65" i="97" s="1"/>
  <c r="B348" i="9"/>
  <c r="Q4" i="99" s="1"/>
  <c r="A361" i="9"/>
  <c r="B145" i="48" s="1"/>
  <c r="B386" i="9"/>
  <c r="C154" i="48" s="1"/>
  <c r="B405" i="9"/>
  <c r="Q23" i="99" s="1"/>
  <c r="C475" i="9"/>
  <c r="J475" i="9"/>
  <c r="K186" i="48" s="1"/>
  <c r="B47" i="9"/>
  <c r="C63" i="9"/>
  <c r="R8" i="90" s="1"/>
  <c r="C71" i="9"/>
  <c r="R10" i="112" s="1"/>
  <c r="J83" i="9"/>
  <c r="K29" i="48" s="1"/>
  <c r="D111" i="9"/>
  <c r="C127" i="9"/>
  <c r="R7" i="105" s="1"/>
  <c r="J318" i="9"/>
  <c r="K128" i="48" s="1"/>
  <c r="A354" i="9"/>
  <c r="B142" i="48" s="1"/>
  <c r="J399" i="9"/>
  <c r="K159" i="48" s="1"/>
  <c r="J469" i="9"/>
  <c r="K184" i="48" s="1"/>
  <c r="I494" i="9"/>
  <c r="J193" i="48" s="1"/>
  <c r="I513" i="9"/>
  <c r="J200" i="48" s="1"/>
  <c r="C520" i="9"/>
  <c r="D202" i="48" s="1"/>
  <c r="C523" i="9"/>
  <c r="D203" i="48" s="1"/>
  <c r="B638" i="9"/>
  <c r="C35" i="16" s="1"/>
  <c r="B2" i="9"/>
  <c r="E459" i="9"/>
  <c r="E504" i="9"/>
  <c r="E386" i="9"/>
  <c r="E427" i="9"/>
  <c r="E430" i="9"/>
  <c r="E494" i="9"/>
  <c r="E361" i="9"/>
  <c r="E408" i="9"/>
  <c r="E441" i="9"/>
  <c r="E424" i="9"/>
  <c r="E318" i="9"/>
  <c r="E367" i="9"/>
  <c r="J35" i="9"/>
  <c r="K17" i="48" s="1"/>
  <c r="D11" i="9"/>
  <c r="E11" i="48" s="1"/>
  <c r="BD11" i="48" s="1"/>
  <c r="B306" i="9"/>
  <c r="C125" i="48" s="1"/>
  <c r="D263" i="9"/>
  <c r="E115" i="48" s="1"/>
  <c r="A251" i="9"/>
  <c r="P60" i="110" s="1"/>
  <c r="I159" i="9"/>
  <c r="J46" i="48" s="1"/>
  <c r="J151" i="9"/>
  <c r="K44" i="48" s="1"/>
  <c r="A143" i="9"/>
  <c r="P16" i="112" s="1"/>
  <c r="C135" i="9"/>
  <c r="R14" i="112" s="1"/>
  <c r="J123" i="9"/>
  <c r="K37" i="48" s="1"/>
  <c r="A115" i="9"/>
  <c r="B107" i="9"/>
  <c r="I95" i="9"/>
  <c r="J32" i="48" s="1"/>
  <c r="C83" i="9"/>
  <c r="R5" i="113" s="1"/>
  <c r="D63" i="9"/>
  <c r="E24" i="48" s="1"/>
  <c r="B55" i="9"/>
  <c r="B43" i="9"/>
  <c r="D31" i="9"/>
  <c r="E16" i="48" s="1"/>
  <c r="C19" i="9"/>
  <c r="D497" i="9"/>
  <c r="E194" i="48" s="1"/>
  <c r="BD194" i="48" s="1"/>
  <c r="J441" i="9"/>
  <c r="K173" i="48" s="1"/>
  <c r="A376" i="9"/>
  <c r="B150" i="48" s="1"/>
  <c r="A373" i="9"/>
  <c r="B149" i="48" s="1"/>
  <c r="E357" i="9"/>
  <c r="D99" i="9"/>
  <c r="E33" i="48" s="1"/>
  <c r="B143" i="9"/>
  <c r="Q11" i="105" s="1"/>
  <c r="C163" i="9"/>
  <c r="D47" i="48" s="1"/>
  <c r="C306" i="9"/>
  <c r="C345" i="9"/>
  <c r="B354" i="9"/>
  <c r="Q6" i="99" s="1"/>
  <c r="I354" i="9"/>
  <c r="J142" i="48" s="1"/>
  <c r="B456" i="9"/>
  <c r="C459" i="9"/>
  <c r="B469" i="9"/>
  <c r="J507" i="9"/>
  <c r="K198" i="48" s="1"/>
  <c r="J513" i="9"/>
  <c r="K200" i="48" s="1"/>
  <c r="D523" i="9"/>
  <c r="E203" i="48" s="1"/>
  <c r="BD203" i="48" s="1"/>
  <c r="D635" i="9"/>
  <c r="E268" i="48" s="1"/>
  <c r="BD268" i="48" s="1"/>
  <c r="E395" i="9"/>
  <c r="E348" i="9"/>
  <c r="E345" i="9"/>
  <c r="E383" i="9"/>
  <c r="E472" i="9"/>
  <c r="J67" i="9"/>
  <c r="K25" i="48" s="1"/>
  <c r="E433" i="9"/>
  <c r="E351" i="9"/>
  <c r="E516" i="9"/>
  <c r="E399" i="9"/>
  <c r="E364" i="9"/>
  <c r="E523" i="9"/>
  <c r="E402" i="9"/>
  <c r="J23" i="9"/>
  <c r="K14" i="48" s="1"/>
  <c r="E373" i="9"/>
  <c r="I376" i="9"/>
  <c r="J150" i="48" s="1"/>
  <c r="A345" i="9"/>
  <c r="P3" i="99" s="1"/>
  <c r="A310" i="9"/>
  <c r="P63" i="92" s="1"/>
  <c r="I293" i="9"/>
  <c r="J123" i="48" s="1"/>
  <c r="A255" i="9"/>
  <c r="P37" i="112" s="1"/>
  <c r="J155" i="9"/>
  <c r="K45" i="48" s="1"/>
  <c r="C147" i="9"/>
  <c r="R7" i="86" s="1"/>
  <c r="B139" i="9"/>
  <c r="J127" i="9"/>
  <c r="K38" i="48" s="1"/>
  <c r="C119" i="9"/>
  <c r="R5" i="106" s="1"/>
  <c r="A111" i="9"/>
  <c r="I99" i="9"/>
  <c r="J33" i="48" s="1"/>
  <c r="C91" i="9"/>
  <c r="R7" i="114" s="1"/>
  <c r="J75" i="9"/>
  <c r="K27" i="48" s="1"/>
  <c r="B71" i="9"/>
  <c r="A59" i="9"/>
  <c r="A47" i="9"/>
  <c r="P6" i="90" s="1"/>
  <c r="B39" i="9"/>
  <c r="B27" i="9"/>
  <c r="Q4" i="111" s="1"/>
  <c r="A11" i="9"/>
  <c r="P7" i="83" s="1"/>
  <c r="B376" i="9"/>
  <c r="C150" i="48" s="1"/>
  <c r="B438" i="9"/>
  <c r="J373" i="9"/>
  <c r="K149" i="48" s="1"/>
  <c r="C357" i="9"/>
  <c r="D143" i="48" s="1"/>
  <c r="J357" i="9"/>
  <c r="K143" i="48" s="1"/>
  <c r="I75" i="9"/>
  <c r="J27" i="48" s="1"/>
  <c r="D103" i="9"/>
  <c r="E34" i="48" s="1"/>
  <c r="B135" i="9"/>
  <c r="Q9" i="106" s="1"/>
  <c r="J380" i="9"/>
  <c r="K152" i="48" s="1"/>
  <c r="C500" i="9"/>
  <c r="D195" i="48" s="1"/>
  <c r="J523" i="9"/>
  <c r="K203" i="48" s="1"/>
  <c r="E635" i="9"/>
  <c r="E491" i="9"/>
  <c r="E469" i="9"/>
  <c r="E507" i="9"/>
  <c r="E420" i="9"/>
  <c r="E389" i="9"/>
  <c r="B23" i="9"/>
  <c r="C14" i="48" s="1"/>
  <c r="B318" i="9"/>
  <c r="C128" i="48" s="1"/>
  <c r="C259" i="9"/>
  <c r="D163" i="9"/>
  <c r="E47" i="48" s="1"/>
  <c r="BD47" i="48" s="1"/>
  <c r="I143" i="9"/>
  <c r="J42" i="48" s="1"/>
  <c r="B127" i="9"/>
  <c r="Q7" i="115" s="1"/>
  <c r="J107" i="9"/>
  <c r="K35" i="48" s="1"/>
  <c r="C87" i="9"/>
  <c r="R6" i="96" s="1"/>
  <c r="C67" i="9"/>
  <c r="R9" i="112" s="1"/>
  <c r="J43" i="9"/>
  <c r="K19" i="48" s="1"/>
  <c r="C23" i="9"/>
  <c r="J438" i="9"/>
  <c r="K172" i="48" s="1"/>
  <c r="A357" i="9"/>
  <c r="P7" i="99" s="1"/>
  <c r="D520" i="9"/>
  <c r="E202" i="48" s="1"/>
  <c r="BD202" i="48" s="1"/>
  <c r="B507" i="9"/>
  <c r="C198" i="48" s="1"/>
  <c r="D491" i="9"/>
  <c r="E192" i="48" s="1"/>
  <c r="BD192" i="48" s="1"/>
  <c r="B485" i="9"/>
  <c r="Q15" i="100" s="1"/>
  <c r="I472" i="9"/>
  <c r="J185" i="48" s="1"/>
  <c r="J433" i="9"/>
  <c r="K170" i="48" s="1"/>
  <c r="C427" i="9"/>
  <c r="Q9" i="101" s="1"/>
  <c r="C414" i="9"/>
  <c r="C402" i="9"/>
  <c r="D160" i="48" s="1"/>
  <c r="B395" i="9"/>
  <c r="C157" i="48" s="1"/>
  <c r="C367" i="9"/>
  <c r="D147" i="48" s="1"/>
  <c r="I348" i="9"/>
  <c r="J140" i="48" s="1"/>
  <c r="J297" i="9"/>
  <c r="K124" i="48" s="1"/>
  <c r="B259" i="9"/>
  <c r="Q60" i="106" s="1"/>
  <c r="B247" i="9"/>
  <c r="C111" i="48" s="1"/>
  <c r="J163" i="9"/>
  <c r="K47" i="48" s="1"/>
  <c r="I147" i="9"/>
  <c r="J43" i="48" s="1"/>
  <c r="I135" i="9"/>
  <c r="J40" i="48" s="1"/>
  <c r="D127" i="9"/>
  <c r="E38" i="48" s="1"/>
  <c r="C111" i="9"/>
  <c r="C99" i="9"/>
  <c r="R9" i="96" s="1"/>
  <c r="A83" i="9"/>
  <c r="P5" i="80" s="1"/>
  <c r="D71" i="9"/>
  <c r="E26" i="48" s="1"/>
  <c r="B63" i="9"/>
  <c r="B51" i="9"/>
  <c r="Q11" i="82" s="1"/>
  <c r="I35" i="9"/>
  <c r="J17" i="48" s="1"/>
  <c r="D27" i="9"/>
  <c r="E15" i="48" s="1"/>
  <c r="A19" i="9"/>
  <c r="F67" i="9"/>
  <c r="I444" i="9"/>
  <c r="J174" i="48" s="1"/>
  <c r="I438" i="9"/>
  <c r="J172" i="48" s="1"/>
  <c r="E497" i="9"/>
  <c r="D438" i="9"/>
  <c r="E172" i="48" s="1"/>
  <c r="BD172" i="48" s="1"/>
  <c r="D462" i="9"/>
  <c r="E181" i="48" s="1"/>
  <c r="BD181" i="48" s="1"/>
  <c r="I55" i="9"/>
  <c r="J22" i="48" s="1"/>
  <c r="J263" i="9"/>
  <c r="K115" i="48" s="1"/>
  <c r="C361" i="9"/>
  <c r="A383" i="9"/>
  <c r="C504" i="9"/>
  <c r="I523" i="9"/>
  <c r="J203" i="48" s="1"/>
  <c r="E488" i="9"/>
  <c r="E438" i="9"/>
  <c r="E414" i="9"/>
  <c r="E370" i="9"/>
  <c r="E453" i="9"/>
  <c r="E444" i="9"/>
  <c r="E450" i="9"/>
  <c r="A39" i="9"/>
  <c r="P4" i="97" s="1"/>
  <c r="I392" i="9"/>
  <c r="J156" i="48" s="1"/>
  <c r="D338" i="9"/>
  <c r="E127" i="48" s="1"/>
  <c r="D297" i="9"/>
  <c r="E124" i="48" s="1"/>
  <c r="C247" i="9"/>
  <c r="B155" i="9"/>
  <c r="I115" i="9"/>
  <c r="A99" i="9"/>
  <c r="P9" i="95" s="1"/>
  <c r="B75" i="9"/>
  <c r="J55" i="9"/>
  <c r="K22" i="48" s="1"/>
  <c r="C35" i="9"/>
  <c r="D17" i="48" s="1"/>
  <c r="D373" i="9"/>
  <c r="E149" i="48" s="1"/>
  <c r="BD149" i="48" s="1"/>
  <c r="D376" i="9"/>
  <c r="E150" i="48" s="1"/>
  <c r="BD150" i="48" s="1"/>
  <c r="I11" i="9"/>
  <c r="J11" i="48" s="1"/>
  <c r="C635" i="9"/>
  <c r="C513" i="9"/>
  <c r="D200" i="48" s="1"/>
  <c r="B500" i="9"/>
  <c r="C195" i="48" s="1"/>
  <c r="C488" i="9"/>
  <c r="I475" i="9"/>
  <c r="J186" i="48" s="1"/>
  <c r="D466" i="9"/>
  <c r="E183" i="48" s="1"/>
  <c r="BD183" i="48" s="1"/>
  <c r="I450" i="9"/>
  <c r="J177" i="48" s="1"/>
  <c r="I430" i="9"/>
  <c r="J169" i="48" s="1"/>
  <c r="B424" i="9"/>
  <c r="P8" i="101" s="1"/>
  <c r="I405" i="9"/>
  <c r="J161" i="48" s="1"/>
  <c r="A399" i="9"/>
  <c r="B159" i="48" s="1"/>
  <c r="A380" i="9"/>
  <c r="B364" i="9"/>
  <c r="C146" i="48" s="1"/>
  <c r="D345" i="9"/>
  <c r="E139" i="48" s="1"/>
  <c r="BD139" i="48" s="1"/>
  <c r="J285" i="9"/>
  <c r="K122" i="48" s="1"/>
  <c r="D251" i="9"/>
  <c r="E112" i="48" s="1"/>
  <c r="C478" i="9"/>
  <c r="D187" i="48" s="1"/>
  <c r="D155" i="9"/>
  <c r="E45" i="48" s="1"/>
  <c r="BD45" i="48" s="1"/>
  <c r="C143" i="9"/>
  <c r="R11" i="106" s="1"/>
  <c r="J131" i="9"/>
  <c r="K39" i="48" s="1"/>
  <c r="A119" i="9"/>
  <c r="I103" i="9"/>
  <c r="J34" i="48" s="1"/>
  <c r="I87" i="9"/>
  <c r="J30" i="48" s="1"/>
  <c r="B79" i="9"/>
  <c r="Q4" i="95" s="1"/>
  <c r="A67" i="9"/>
  <c r="D55" i="9"/>
  <c r="E22" i="48" s="1"/>
  <c r="BD22" i="48" s="1"/>
  <c r="D43" i="9"/>
  <c r="E19" i="48" s="1"/>
  <c r="J31" i="9"/>
  <c r="K16" i="48" s="1"/>
  <c r="A23" i="9"/>
  <c r="P4" i="82" s="1"/>
  <c r="B15" i="9"/>
  <c r="C12" i="48" s="1"/>
  <c r="I441" i="9"/>
  <c r="J173" i="48" s="1"/>
  <c r="B478" i="9"/>
  <c r="C187" i="48" s="1"/>
  <c r="D444" i="9"/>
  <c r="E174" i="48" s="1"/>
  <c r="BD174" i="48" s="1"/>
  <c r="E478" i="9"/>
  <c r="A462" i="9"/>
  <c r="P7" i="100" s="1"/>
  <c r="A444" i="9"/>
  <c r="J15" i="9"/>
  <c r="K12" i="48" s="1"/>
  <c r="A35" i="9"/>
  <c r="P7" i="81" s="1"/>
  <c r="C59" i="9"/>
  <c r="J79" i="9"/>
  <c r="K28" i="48" s="1"/>
  <c r="D107" i="9"/>
  <c r="E35" i="48" s="1"/>
  <c r="A135" i="9"/>
  <c r="B163" i="9"/>
  <c r="D255" i="9"/>
  <c r="E113" i="48" s="1"/>
  <c r="A348" i="9"/>
  <c r="J383" i="9"/>
  <c r="K153" i="48" s="1"/>
  <c r="C408" i="9"/>
  <c r="D162" i="48" s="1"/>
  <c r="B433" i="9"/>
  <c r="C170" i="48" s="1"/>
  <c r="A469" i="9"/>
  <c r="J488" i="9"/>
  <c r="K191" i="48" s="1"/>
  <c r="A516" i="9"/>
  <c r="B201" i="48" s="1"/>
  <c r="B357" i="9"/>
  <c r="B444" i="9"/>
  <c r="C373" i="9"/>
  <c r="R13" i="99" s="1"/>
  <c r="D51" i="9"/>
  <c r="E21" i="48" s="1"/>
  <c r="A95" i="9"/>
  <c r="B32" i="48" s="1"/>
  <c r="D131" i="9"/>
  <c r="E39" i="48" s="1"/>
  <c r="C31" i="9"/>
  <c r="E513" i="9"/>
  <c r="E417" i="9"/>
  <c r="E481" i="9"/>
  <c r="E475" i="9"/>
  <c r="C310" i="9"/>
  <c r="D126" i="48" s="1"/>
  <c r="D67" i="9"/>
  <c r="E25" i="48" s="1"/>
  <c r="I638" i="9"/>
  <c r="J269" i="48" s="1"/>
  <c r="I520" i="9"/>
  <c r="J202" i="48" s="1"/>
  <c r="A507" i="9"/>
  <c r="B198" i="48" s="1"/>
  <c r="I383" i="9"/>
  <c r="J153" i="48" s="1"/>
  <c r="I380" i="9"/>
  <c r="J152" i="48" s="1"/>
  <c r="B380" i="9"/>
  <c r="J370" i="9"/>
  <c r="K148" i="48" s="1"/>
  <c r="B370" i="9"/>
  <c r="I367" i="9"/>
  <c r="J147" i="48" s="1"/>
  <c r="A367" i="9"/>
  <c r="B147" i="48" s="1"/>
  <c r="D364" i="9"/>
  <c r="E146" i="48" s="1"/>
  <c r="BD146" i="48" s="1"/>
  <c r="J361" i="9"/>
  <c r="K145" i="48" s="1"/>
  <c r="C263" i="9"/>
  <c r="I47" i="9"/>
  <c r="J20" i="48" s="1"/>
  <c r="C638" i="9"/>
  <c r="D35" i="16" s="1"/>
  <c r="B635" i="9"/>
  <c r="C507" i="9"/>
  <c r="D198" i="48" s="1"/>
  <c r="I504" i="9"/>
  <c r="J197" i="48" s="1"/>
  <c r="B504" i="9"/>
  <c r="J494" i="9"/>
  <c r="K193" i="48" s="1"/>
  <c r="C383" i="9"/>
  <c r="D380" i="9"/>
  <c r="E152" i="48" s="1"/>
  <c r="BD152" i="48" s="1"/>
  <c r="B361" i="9"/>
  <c r="Q9" i="99" s="1"/>
  <c r="A139" i="9"/>
  <c r="P10" i="114" s="1"/>
  <c r="J135" i="9"/>
  <c r="K40" i="48" s="1"/>
  <c r="J59" i="9"/>
  <c r="K23" i="48" s="1"/>
  <c r="B59" i="9"/>
  <c r="A638" i="9"/>
  <c r="B269" i="48" s="1"/>
  <c r="A635" i="9"/>
  <c r="B523" i="9"/>
  <c r="C203" i="48" s="1"/>
  <c r="B520" i="9"/>
  <c r="P8" i="102" s="1"/>
  <c r="J516" i="9"/>
  <c r="K201" i="48" s="1"/>
  <c r="C516" i="9"/>
  <c r="D201" i="48" s="1"/>
  <c r="D513" i="9"/>
  <c r="E200" i="48" s="1"/>
  <c r="BD200" i="48" s="1"/>
  <c r="D507" i="9"/>
  <c r="E198" i="48" s="1"/>
  <c r="BD198" i="48" s="1"/>
  <c r="J504" i="9"/>
  <c r="K197" i="48" s="1"/>
  <c r="D500" i="9"/>
  <c r="E195" i="48" s="1"/>
  <c r="BD195" i="48" s="1"/>
  <c r="A500" i="9"/>
  <c r="B195" i="48" s="1"/>
  <c r="C481" i="9"/>
  <c r="D188" i="48" s="1"/>
  <c r="A472" i="9"/>
  <c r="I469" i="9"/>
  <c r="J184" i="48" s="1"/>
  <c r="I466" i="9"/>
  <c r="J183" i="48" s="1"/>
  <c r="B466" i="9"/>
  <c r="C183" i="48" s="1"/>
  <c r="J459" i="9"/>
  <c r="K180" i="48" s="1"/>
  <c r="J456" i="9"/>
  <c r="K179" i="48" s="1"/>
  <c r="J402" i="9"/>
  <c r="K160" i="48" s="1"/>
  <c r="B402" i="9"/>
  <c r="D389" i="9"/>
  <c r="E155" i="48" s="1"/>
  <c r="BD155" i="48" s="1"/>
  <c r="J351" i="9"/>
  <c r="K141" i="48" s="1"/>
  <c r="B285" i="9"/>
  <c r="Q61" i="81" s="1"/>
  <c r="A259" i="9"/>
  <c r="P60" i="113" s="1"/>
  <c r="I127" i="9"/>
  <c r="J38" i="48" s="1"/>
  <c r="B115" i="9"/>
  <c r="J111" i="9"/>
  <c r="I83" i="9"/>
  <c r="J29" i="48" s="1"/>
  <c r="J638" i="9"/>
  <c r="K269" i="48" s="1"/>
  <c r="J635" i="9"/>
  <c r="K268" i="48" s="1"/>
  <c r="J520" i="9"/>
  <c r="K202" i="48" s="1"/>
  <c r="B513" i="9"/>
  <c r="A504" i="9"/>
  <c r="J500" i="9"/>
  <c r="K195" i="48" s="1"/>
  <c r="B494" i="9"/>
  <c r="A488" i="9"/>
  <c r="D485" i="9"/>
  <c r="E190" i="48" s="1"/>
  <c r="BD190" i="48" s="1"/>
  <c r="A481" i="9"/>
  <c r="B188" i="48" s="1"/>
  <c r="C472" i="9"/>
  <c r="R11" i="100" s="1"/>
  <c r="D469" i="9"/>
  <c r="E184" i="48" s="1"/>
  <c r="BD184" i="48" s="1"/>
  <c r="D402" i="9"/>
  <c r="E160" i="48" s="1"/>
  <c r="BD160" i="48" s="1"/>
  <c r="C399" i="9"/>
  <c r="D159" i="48" s="1"/>
  <c r="J389" i="9"/>
  <c r="K155" i="48" s="1"/>
  <c r="B389" i="9"/>
  <c r="I386" i="9"/>
  <c r="J154" i="48" s="1"/>
  <c r="D354" i="9"/>
  <c r="E142" i="48" s="1"/>
  <c r="BD142" i="48" s="1"/>
  <c r="D351" i="9"/>
  <c r="E141" i="48" s="1"/>
  <c r="BD141" i="48" s="1"/>
  <c r="J348" i="9"/>
  <c r="K140" i="48" s="1"/>
  <c r="D318" i="9"/>
  <c r="E128" i="48" s="1"/>
  <c r="B293" i="9"/>
  <c r="Q62" i="114" s="1"/>
  <c r="A131" i="9"/>
  <c r="P13" i="112" s="1"/>
  <c r="D115" i="9"/>
  <c r="C485" i="9"/>
  <c r="D481" i="9"/>
  <c r="E188" i="48" s="1"/>
  <c r="BD188" i="48" s="1"/>
  <c r="D472" i="9"/>
  <c r="E185" i="48" s="1"/>
  <c r="BD185" i="48" s="1"/>
  <c r="A466" i="9"/>
  <c r="I459" i="9"/>
  <c r="J180" i="48" s="1"/>
  <c r="I456" i="9"/>
  <c r="J179" i="48" s="1"/>
  <c r="I453" i="9"/>
  <c r="J178" i="48" s="1"/>
  <c r="A453" i="9"/>
  <c r="P4" i="100" s="1"/>
  <c r="D450" i="9"/>
  <c r="E177" i="48" s="1"/>
  <c r="BD177" i="48" s="1"/>
  <c r="D408" i="9"/>
  <c r="E162" i="48" s="1"/>
  <c r="BD162" i="48" s="1"/>
  <c r="J405" i="9"/>
  <c r="K161" i="48" s="1"/>
  <c r="I402" i="9"/>
  <c r="J160" i="48" s="1"/>
  <c r="A402" i="9"/>
  <c r="B160" i="48" s="1"/>
  <c r="D399" i="9"/>
  <c r="E159" i="48" s="1"/>
  <c r="BD159" i="48" s="1"/>
  <c r="B383" i="9"/>
  <c r="C380" i="9"/>
  <c r="C370" i="9"/>
  <c r="D148" i="48" s="1"/>
  <c r="J367" i="9"/>
  <c r="K147" i="48" s="1"/>
  <c r="B367" i="9"/>
  <c r="C147" i="48" s="1"/>
  <c r="I364" i="9"/>
  <c r="J146" i="48" s="1"/>
  <c r="A364" i="9"/>
  <c r="P10" i="99" s="1"/>
  <c r="D361" i="9"/>
  <c r="E145" i="48" s="1"/>
  <c r="BD145" i="48" s="1"/>
  <c r="J354" i="9"/>
  <c r="K142" i="48" s="1"/>
  <c r="C354" i="9"/>
  <c r="J345" i="9"/>
  <c r="K139" i="48" s="1"/>
  <c r="J338" i="9"/>
  <c r="K127" i="48" s="1"/>
  <c r="I297" i="9"/>
  <c r="J124" i="48" s="1"/>
  <c r="A263" i="9"/>
  <c r="P39" i="90" s="1"/>
  <c r="D259" i="9"/>
  <c r="E114" i="48" s="1"/>
  <c r="D147" i="9"/>
  <c r="E43" i="48" s="1"/>
  <c r="BD43" i="48" s="1"/>
  <c r="I139" i="9"/>
  <c r="J41" i="48" s="1"/>
  <c r="A127" i="9"/>
  <c r="I123" i="9"/>
  <c r="J37" i="48" s="1"/>
  <c r="A123" i="9"/>
  <c r="B37" i="48" s="1"/>
  <c r="I107" i="9"/>
  <c r="J35" i="48" s="1"/>
  <c r="A107" i="9"/>
  <c r="B35" i="48" s="1"/>
  <c r="C75" i="9"/>
  <c r="R3" i="92" s="1"/>
  <c r="I43" i="9"/>
  <c r="J19" i="48" s="1"/>
  <c r="A43" i="9"/>
  <c r="P9" i="82" s="1"/>
  <c r="C27" i="9"/>
  <c r="D23" i="9"/>
  <c r="E14" i="48" s="1"/>
  <c r="A15" i="9"/>
  <c r="C444" i="9"/>
  <c r="D441" i="9"/>
  <c r="E173" i="48" s="1"/>
  <c r="BD173" i="48" s="1"/>
  <c r="C438" i="9"/>
  <c r="D172" i="48" s="1"/>
  <c r="C491" i="9"/>
  <c r="D459" i="9"/>
  <c r="E180" i="48" s="1"/>
  <c r="BD180" i="48" s="1"/>
  <c r="A459" i="9"/>
  <c r="C456" i="9"/>
  <c r="C453" i="9"/>
  <c r="R4" i="100" s="1"/>
  <c r="J450" i="9"/>
  <c r="K177" i="48" s="1"/>
  <c r="D433" i="9"/>
  <c r="E170" i="48" s="1"/>
  <c r="BD170" i="48" s="1"/>
  <c r="C430" i="9"/>
  <c r="C424" i="9"/>
  <c r="I420" i="9"/>
  <c r="J166" i="48" s="1"/>
  <c r="J417" i="9"/>
  <c r="K165" i="48" s="1"/>
  <c r="B417" i="9"/>
  <c r="I414" i="9"/>
  <c r="J164" i="48" s="1"/>
  <c r="B414" i="9"/>
  <c r="J408" i="9"/>
  <c r="K162" i="48" s="1"/>
  <c r="B408" i="9"/>
  <c r="C162" i="48" s="1"/>
  <c r="C395" i="9"/>
  <c r="D157" i="48" s="1"/>
  <c r="I389" i="9"/>
  <c r="J155" i="48" s="1"/>
  <c r="A389" i="9"/>
  <c r="D386" i="9"/>
  <c r="E154" i="48" s="1"/>
  <c r="BD154" i="48" s="1"/>
  <c r="A351" i="9"/>
  <c r="I310" i="9"/>
  <c r="J126" i="48" s="1"/>
  <c r="B310" i="9"/>
  <c r="Q63" i="107" s="1"/>
  <c r="D306" i="9"/>
  <c r="E125" i="48" s="1"/>
  <c r="J293" i="9"/>
  <c r="K123" i="48" s="1"/>
  <c r="C293" i="9"/>
  <c r="R61" i="105" s="1"/>
  <c r="B255" i="9"/>
  <c r="J251" i="9"/>
  <c r="K112" i="48" s="1"/>
  <c r="B251" i="9"/>
  <c r="Q36" i="90" s="1"/>
  <c r="A247" i="9"/>
  <c r="C159" i="9"/>
  <c r="J147" i="9"/>
  <c r="K43" i="48" s="1"/>
  <c r="B147" i="9"/>
  <c r="C95" i="9"/>
  <c r="R8" i="96" s="1"/>
  <c r="I91" i="9"/>
  <c r="J31" i="48" s="1"/>
  <c r="D83" i="9"/>
  <c r="E29" i="48" s="1"/>
  <c r="I79" i="9"/>
  <c r="J28" i="48" s="1"/>
  <c r="A55" i="9"/>
  <c r="P5" i="84" s="1"/>
  <c r="C51" i="9"/>
  <c r="D21" i="48" s="1"/>
  <c r="C43" i="9"/>
  <c r="R9" i="93" s="1"/>
  <c r="Q10" i="110"/>
  <c r="B202" i="48"/>
  <c r="P19" i="90"/>
  <c r="C39" i="9"/>
  <c r="R4" i="112" s="1"/>
  <c r="J47" i="9"/>
  <c r="K20" i="48" s="1"/>
  <c r="D59" i="9"/>
  <c r="E23" i="48" s="1"/>
  <c r="BD23" i="48" s="1"/>
  <c r="B67" i="9"/>
  <c r="I71" i="9"/>
  <c r="J26" i="48" s="1"/>
  <c r="B83" i="9"/>
  <c r="J99" i="9"/>
  <c r="K33" i="48" s="1"/>
  <c r="C107" i="9"/>
  <c r="C131" i="9"/>
  <c r="I155" i="9"/>
  <c r="J45" i="48" s="1"/>
  <c r="I255" i="9"/>
  <c r="J113" i="48" s="1"/>
  <c r="I259" i="9"/>
  <c r="J114" i="48" s="1"/>
  <c r="C285" i="9"/>
  <c r="I285" i="9"/>
  <c r="J122" i="48" s="1"/>
  <c r="A297" i="9"/>
  <c r="P62" i="115" s="1"/>
  <c r="C297" i="9"/>
  <c r="J310" i="9"/>
  <c r="K126" i="48" s="1"/>
  <c r="I351" i="9"/>
  <c r="J141" i="48" s="1"/>
  <c r="C386" i="9"/>
  <c r="J386" i="9"/>
  <c r="K154" i="48" s="1"/>
  <c r="D395" i="9"/>
  <c r="E157" i="48" s="1"/>
  <c r="BD157" i="48" s="1"/>
  <c r="J395" i="9"/>
  <c r="K157" i="48" s="1"/>
  <c r="A408" i="9"/>
  <c r="B162" i="48" s="1"/>
  <c r="C450" i="9"/>
  <c r="C466" i="9"/>
  <c r="D183" i="48" s="1"/>
  <c r="B491" i="9"/>
  <c r="Q17" i="100" s="1"/>
  <c r="J491" i="9"/>
  <c r="K192" i="48" s="1"/>
  <c r="I488" i="9"/>
  <c r="J191" i="48" s="1"/>
  <c r="B488" i="9"/>
  <c r="A485" i="9"/>
  <c r="P15" i="100" s="1"/>
  <c r="I481" i="9"/>
  <c r="J188" i="48" s="1"/>
  <c r="B481" i="9"/>
  <c r="C188" i="48" s="1"/>
  <c r="B475" i="9"/>
  <c r="J472" i="9"/>
  <c r="K185" i="48" s="1"/>
  <c r="B472" i="9"/>
  <c r="C185" i="48" s="1"/>
  <c r="C469" i="9"/>
  <c r="J466" i="9"/>
  <c r="K183" i="48" s="1"/>
  <c r="B459" i="9"/>
  <c r="Q6" i="100" s="1"/>
  <c r="D456" i="9"/>
  <c r="E179" i="48" s="1"/>
  <c r="BD179" i="48" s="1"/>
  <c r="A456" i="9"/>
  <c r="D453" i="9"/>
  <c r="E178" i="48" s="1"/>
  <c r="BD178" i="48" s="1"/>
  <c r="D427" i="9"/>
  <c r="E168" i="48" s="1"/>
  <c r="BD168" i="48" s="1"/>
  <c r="A427" i="9"/>
  <c r="A424" i="9"/>
  <c r="O8" i="101" s="1"/>
  <c r="C420" i="9"/>
  <c r="D166" i="48" s="1"/>
  <c r="D417" i="9"/>
  <c r="E165" i="48" s="1"/>
  <c r="BD165" i="48" s="1"/>
  <c r="D414" i="9"/>
  <c r="E164" i="48" s="1"/>
  <c r="BD164" i="48" s="1"/>
  <c r="I408" i="9"/>
  <c r="J162" i="48" s="1"/>
  <c r="D405" i="9"/>
  <c r="E161" i="48" s="1"/>
  <c r="BD161" i="48" s="1"/>
  <c r="B399" i="9"/>
  <c r="A395" i="9"/>
  <c r="B157" i="48" s="1"/>
  <c r="C389" i="9"/>
  <c r="A386" i="9"/>
  <c r="D383" i="9"/>
  <c r="E153" i="48" s="1"/>
  <c r="BD153" i="48" s="1"/>
  <c r="I370" i="9"/>
  <c r="J148" i="48" s="1"/>
  <c r="A370" i="9"/>
  <c r="P12" i="99" s="1"/>
  <c r="D367" i="9"/>
  <c r="E147" i="48" s="1"/>
  <c r="BD147" i="48" s="1"/>
  <c r="C364" i="9"/>
  <c r="R10" i="99" s="1"/>
  <c r="I361" i="9"/>
  <c r="J145" i="48" s="1"/>
  <c r="B351" i="9"/>
  <c r="C141" i="48" s="1"/>
  <c r="D348" i="9"/>
  <c r="E140" i="48" s="1"/>
  <c r="BD140" i="48" s="1"/>
  <c r="I345" i="9"/>
  <c r="J139" i="48" s="1"/>
  <c r="B345" i="9"/>
  <c r="I338" i="9"/>
  <c r="J127" i="48" s="1"/>
  <c r="I318" i="9"/>
  <c r="J128" i="48" s="1"/>
  <c r="D310" i="9"/>
  <c r="E126" i="48" s="1"/>
  <c r="D293" i="9"/>
  <c r="E123" i="48" s="1"/>
  <c r="I263" i="9"/>
  <c r="J115" i="48" s="1"/>
  <c r="C251" i="9"/>
  <c r="I247" i="9"/>
  <c r="J111" i="48" s="1"/>
  <c r="D159" i="9"/>
  <c r="E46" i="48" s="1"/>
  <c r="BD46" i="48" s="1"/>
  <c r="C151" i="9"/>
  <c r="D143" i="9"/>
  <c r="E42" i="48" s="1"/>
  <c r="D135" i="9"/>
  <c r="E40" i="48" s="1"/>
  <c r="C123" i="9"/>
  <c r="I119" i="9"/>
  <c r="J36" i="48" s="1"/>
  <c r="B119" i="9"/>
  <c r="B111" i="9"/>
  <c r="D87" i="9"/>
  <c r="E30" i="48" s="1"/>
  <c r="A79" i="9"/>
  <c r="P4" i="87" s="1"/>
  <c r="C55" i="9"/>
  <c r="I51" i="9"/>
  <c r="J21" i="48" s="1"/>
  <c r="A51" i="9"/>
  <c r="A27" i="9"/>
  <c r="P4" i="111" s="1"/>
  <c r="P23" i="99"/>
  <c r="C161" i="48"/>
  <c r="Q6" i="89"/>
  <c r="R7" i="108"/>
  <c r="Q63" i="96"/>
  <c r="B462" i="9"/>
  <c r="C181" i="48" s="1"/>
  <c r="J462" i="9"/>
  <c r="K181" i="48" s="1"/>
  <c r="D478" i="9"/>
  <c r="E187" i="48" s="1"/>
  <c r="BD187" i="48" s="1"/>
  <c r="B497" i="9"/>
  <c r="C194" i="48" s="1"/>
  <c r="D357" i="9"/>
  <c r="E143" i="48" s="1"/>
  <c r="J376" i="9"/>
  <c r="K150" i="48" s="1"/>
  <c r="C376" i="9"/>
  <c r="D150" i="48" s="1"/>
  <c r="B373" i="9"/>
  <c r="Q13" i="99" s="1"/>
  <c r="I373" i="9"/>
  <c r="J149" i="48" s="1"/>
  <c r="A392" i="9"/>
  <c r="B156" i="48" s="1"/>
  <c r="I497" i="9"/>
  <c r="J194" i="48" s="1"/>
  <c r="F25" i="48"/>
  <c r="S61" i="84"/>
  <c r="Q119" i="48" s="1"/>
  <c r="F119" i="48" s="1"/>
  <c r="L119" i="48" s="1"/>
  <c r="S36" i="48"/>
  <c r="S65" i="80"/>
  <c r="T130" i="48" s="1"/>
  <c r="S61" i="80"/>
  <c r="T123" i="48" s="1"/>
  <c r="U38" i="48"/>
  <c r="U214" i="48" s="1"/>
  <c r="S76" i="105"/>
  <c r="U55" i="48" s="1"/>
  <c r="S63" i="105"/>
  <c r="U125" i="48" s="1"/>
  <c r="S67" i="87"/>
  <c r="V136" i="48" s="1"/>
  <c r="V214" i="48"/>
  <c r="S75" i="106"/>
  <c r="W54" i="48" s="1"/>
  <c r="W39" i="48"/>
  <c r="S66" i="106"/>
  <c r="W135" i="48" s="1"/>
  <c r="S68" i="106"/>
  <c r="W137" i="48" s="1"/>
  <c r="W38" i="48"/>
  <c r="S70" i="106"/>
  <c r="S63" i="106"/>
  <c r="W125" i="48" s="1"/>
  <c r="S61" i="106"/>
  <c r="W123" i="48" s="1"/>
  <c r="X214" i="48"/>
  <c r="Y38" i="48"/>
  <c r="S74" i="107"/>
  <c r="Y53" i="48" s="1"/>
  <c r="Y36" i="48"/>
  <c r="F80" i="48"/>
  <c r="L80" i="48" s="1"/>
  <c r="S60" i="111"/>
  <c r="AF17" i="48"/>
  <c r="F83" i="48"/>
  <c r="L83" i="48" s="1"/>
  <c r="L218" i="48"/>
  <c r="S61" i="83"/>
  <c r="N117" i="48" s="1"/>
  <c r="F117" i="48" s="1"/>
  <c r="F12" i="48"/>
  <c r="L12" i="48" s="1"/>
  <c r="N214" i="48"/>
  <c r="S60" i="83"/>
  <c r="N111" i="48" s="1"/>
  <c r="F111" i="48" s="1"/>
  <c r="L111" i="48" s="1"/>
  <c r="O85" i="48"/>
  <c r="F85" i="48" s="1"/>
  <c r="L85" i="48" s="1"/>
  <c r="F57" i="48"/>
  <c r="F99" i="48"/>
  <c r="L99" i="48" s="1"/>
  <c r="P21" i="48"/>
  <c r="F21" i="48" s="1"/>
  <c r="S63" i="81"/>
  <c r="P126" i="48" s="1"/>
  <c r="F86" i="48"/>
  <c r="L86" i="48" s="1"/>
  <c r="Q214" i="48"/>
  <c r="S60" i="84"/>
  <c r="F100" i="48"/>
  <c r="L100" i="48" s="1"/>
  <c r="S66" i="80"/>
  <c r="T131" i="48" s="1"/>
  <c r="S63" i="80"/>
  <c r="T125" i="48" s="1"/>
  <c r="F88" i="48"/>
  <c r="L88" i="48" s="1"/>
  <c r="T28" i="48"/>
  <c r="T214" i="48" s="1"/>
  <c r="S66" i="105"/>
  <c r="U131" i="48" s="1"/>
  <c r="S61" i="105"/>
  <c r="U123" i="48" s="1"/>
  <c r="S65" i="105"/>
  <c r="U130" i="48" s="1"/>
  <c r="S67" i="105"/>
  <c r="U132" i="48" s="1"/>
  <c r="S60" i="105"/>
  <c r="U114" i="48" s="1"/>
  <c r="S68" i="105"/>
  <c r="U133" i="48" s="1"/>
  <c r="S70" i="105"/>
  <c r="S68" i="87"/>
  <c r="V137" i="48" s="1"/>
  <c r="F87" i="48"/>
  <c r="L87" i="48" s="1"/>
  <c r="S63" i="87"/>
  <c r="V125" i="48" s="1"/>
  <c r="S65" i="87"/>
  <c r="V134" i="48" s="1"/>
  <c r="S61" i="87"/>
  <c r="V123" i="48" s="1"/>
  <c r="S66" i="87"/>
  <c r="V135" i="48" s="1"/>
  <c r="F135" i="48" s="1"/>
  <c r="BD135" i="48" s="1"/>
  <c r="F30" i="48"/>
  <c r="L30" i="48" s="1"/>
  <c r="S60" i="106"/>
  <c r="W114" i="48" s="1"/>
  <c r="F89" i="48"/>
  <c r="L89" i="48" s="1"/>
  <c r="S67" i="106"/>
  <c r="W136" i="48" s="1"/>
  <c r="F136" i="48" s="1"/>
  <c r="S76" i="106"/>
  <c r="W55" i="48" s="1"/>
  <c r="W37" i="48"/>
  <c r="S65" i="106"/>
  <c r="W134" i="48" s="1"/>
  <c r="F29" i="48"/>
  <c r="S64" i="88"/>
  <c r="X127" i="48" s="1"/>
  <c r="F91" i="48"/>
  <c r="L91" i="48" s="1"/>
  <c r="F95" i="48"/>
  <c r="L95" i="48" s="1"/>
  <c r="S61" i="88"/>
  <c r="X124" i="48" s="1"/>
  <c r="S63" i="107"/>
  <c r="Y126" i="48" s="1"/>
  <c r="F94" i="48"/>
  <c r="L94" i="48" s="1"/>
  <c r="S60" i="107"/>
  <c r="Y114" i="48" s="1"/>
  <c r="S64" i="107"/>
  <c r="Y127" i="48" s="1"/>
  <c r="Y42" i="48"/>
  <c r="S61" i="107"/>
  <c r="Y124" i="48" s="1"/>
  <c r="F92" i="48"/>
  <c r="L92" i="48" s="1"/>
  <c r="F93" i="48"/>
  <c r="L93" i="48" s="1"/>
  <c r="F97" i="48"/>
  <c r="L97" i="48" s="1"/>
  <c r="F90" i="48"/>
  <c r="L90" i="48" s="1"/>
  <c r="F101" i="48"/>
  <c r="L101" i="48" s="1"/>
  <c r="F96" i="48"/>
  <c r="L96" i="48" s="1"/>
  <c r="F75" i="48"/>
  <c r="L75" i="48" s="1"/>
  <c r="F79" i="48"/>
  <c r="BD79" i="48" s="1"/>
  <c r="L194" i="48"/>
  <c r="L149" i="48"/>
  <c r="S76" i="111"/>
  <c r="AF52" i="48" s="1"/>
  <c r="S75" i="111"/>
  <c r="AF51" i="48" s="1"/>
  <c r="S63" i="111"/>
  <c r="AF120" i="48" s="1"/>
  <c r="L25" i="48"/>
  <c r="F102" i="48"/>
  <c r="L102" i="48" s="1"/>
  <c r="S62" i="86"/>
  <c r="Z120" i="48" s="1"/>
  <c r="S60" i="86"/>
  <c r="Z115" i="48" s="1"/>
  <c r="F115" i="48" s="1"/>
  <c r="Z44" i="48"/>
  <c r="F44" i="48" s="1"/>
  <c r="L44" i="48" s="1"/>
  <c r="S61" i="86"/>
  <c r="BD70" i="48"/>
  <c r="L11" i="48"/>
  <c r="S39" i="48"/>
  <c r="S65" i="104"/>
  <c r="S51" i="48" s="1"/>
  <c r="S68" i="104"/>
  <c r="S54" i="48" s="1"/>
  <c r="S67" i="104"/>
  <c r="S53" i="48" s="1"/>
  <c r="F77" i="48"/>
  <c r="L77" i="48" s="1"/>
  <c r="S60" i="104"/>
  <c r="S114" i="48" s="1"/>
  <c r="S64" i="104"/>
  <c r="S50" i="48" s="1"/>
  <c r="F50" i="48" s="1"/>
  <c r="S69" i="104"/>
  <c r="S55" i="48" s="1"/>
  <c r="S61" i="104"/>
  <c r="S120" i="48" s="1"/>
  <c r="R214" i="48"/>
  <c r="F27" i="48"/>
  <c r="L27" i="48" s="1"/>
  <c r="S61" i="85"/>
  <c r="R120" i="48" s="1"/>
  <c r="S60" i="85"/>
  <c r="R114" i="48" s="1"/>
  <c r="S61" i="97"/>
  <c r="AQ114" i="48" s="1"/>
  <c r="S60" i="114"/>
  <c r="AP112" i="48" s="1"/>
  <c r="S60" i="97"/>
  <c r="AQ112" i="48" s="1"/>
  <c r="AO31" i="48"/>
  <c r="F31" i="48" s="1"/>
  <c r="AL38" i="48"/>
  <c r="AL214" i="48" s="1"/>
  <c r="S60" i="115"/>
  <c r="AR112" i="48" s="1"/>
  <c r="S61" i="96"/>
  <c r="AO114" i="48" s="1"/>
  <c r="S62" i="114"/>
  <c r="AP123" i="48" s="1"/>
  <c r="S63" i="97"/>
  <c r="AQ122" i="48" s="1"/>
  <c r="S62" i="115"/>
  <c r="AR124" i="48" s="1"/>
  <c r="S61" i="114"/>
  <c r="AP114" i="48" s="1"/>
  <c r="S61" i="82"/>
  <c r="O16" i="48"/>
  <c r="O214" i="48" s="1"/>
  <c r="D30" i="75"/>
  <c r="D247" i="48"/>
  <c r="B29" i="75"/>
  <c r="B246" i="48"/>
  <c r="C224" i="48"/>
  <c r="C8" i="75"/>
  <c r="D14" i="16"/>
  <c r="D217" i="48"/>
  <c r="D214" i="48"/>
  <c r="D13" i="16"/>
  <c r="R28" i="90"/>
  <c r="R19" i="111"/>
  <c r="D63" i="48"/>
  <c r="R19" i="88"/>
  <c r="R18" i="84"/>
  <c r="R28" i="112"/>
  <c r="R19" i="86"/>
  <c r="R19" i="85"/>
  <c r="R19" i="93"/>
  <c r="R18" i="83"/>
  <c r="R19" i="89"/>
  <c r="R19" i="107"/>
  <c r="R19" i="105"/>
  <c r="R19" i="87"/>
  <c r="R19" i="81"/>
  <c r="R19" i="80"/>
  <c r="P15" i="113"/>
  <c r="Q20" i="103"/>
  <c r="R19" i="110"/>
  <c r="R10" i="93"/>
  <c r="B261" i="48"/>
  <c r="B27" i="16"/>
  <c r="B248" i="48"/>
  <c r="B31" i="75"/>
  <c r="B237" i="48"/>
  <c r="B15" i="75"/>
  <c r="C11" i="16"/>
  <c r="C215" i="48"/>
  <c r="C24" i="75"/>
  <c r="Q21" i="103"/>
  <c r="D211" i="48"/>
  <c r="P38" i="105"/>
  <c r="P38" i="81"/>
  <c r="P38" i="93"/>
  <c r="P38" i="106"/>
  <c r="P36" i="110"/>
  <c r="P36" i="111"/>
  <c r="P38" i="87"/>
  <c r="P38" i="88"/>
  <c r="P38" i="80"/>
  <c r="P38" i="85"/>
  <c r="P38" i="86"/>
  <c r="P38" i="89"/>
  <c r="P38" i="104"/>
  <c r="R32" i="105"/>
  <c r="R32" i="87"/>
  <c r="R32" i="108"/>
  <c r="R32" i="82"/>
  <c r="D76" i="48"/>
  <c r="R30" i="84"/>
  <c r="R32" i="106"/>
  <c r="R30" i="111"/>
  <c r="R32" i="93"/>
  <c r="R32" i="107"/>
  <c r="R32" i="89"/>
  <c r="R32" i="104"/>
  <c r="R32" i="80"/>
  <c r="R32" i="85"/>
  <c r="R30" i="110"/>
  <c r="R32" i="88"/>
  <c r="R32" i="81"/>
  <c r="P23" i="81"/>
  <c r="P23" i="107"/>
  <c r="P23" i="93"/>
  <c r="P23" i="82"/>
  <c r="P23" i="87"/>
  <c r="P23" i="105"/>
  <c r="P22" i="114"/>
  <c r="P23" i="80"/>
  <c r="P23" i="89"/>
  <c r="P23" i="111"/>
  <c r="P32" i="90"/>
  <c r="P23" i="86"/>
  <c r="P22" i="96"/>
  <c r="P22" i="92"/>
  <c r="P32" i="112"/>
  <c r="P22" i="113"/>
  <c r="B67" i="48"/>
  <c r="P23" i="108"/>
  <c r="P23" i="88"/>
  <c r="P23" i="110"/>
  <c r="P22" i="109"/>
  <c r="P19" i="88"/>
  <c r="P19" i="108"/>
  <c r="P18" i="114"/>
  <c r="P19" i="93"/>
  <c r="P19" i="82"/>
  <c r="P19" i="87"/>
  <c r="P18" i="97"/>
  <c r="P18" i="83"/>
  <c r="P19" i="85"/>
  <c r="P28" i="90"/>
  <c r="P19" i="111"/>
  <c r="P18" i="115"/>
  <c r="P19" i="107"/>
  <c r="P19" i="110"/>
  <c r="P28" i="112"/>
  <c r="P19" i="81"/>
  <c r="B63" i="48"/>
  <c r="P18" i="96"/>
  <c r="P19" i="86"/>
  <c r="P18" i="84"/>
  <c r="P19" i="104"/>
  <c r="P18" i="113"/>
  <c r="P19" i="80"/>
  <c r="P15" i="92"/>
  <c r="P25" i="90"/>
  <c r="P16" i="104"/>
  <c r="P25" i="112"/>
  <c r="P16" i="89"/>
  <c r="P16" i="80"/>
  <c r="P15" i="115"/>
  <c r="P16" i="108"/>
  <c r="P15" i="97"/>
  <c r="P16" i="107"/>
  <c r="P16" i="82"/>
  <c r="P16" i="87"/>
  <c r="P16" i="93"/>
  <c r="P15" i="109"/>
  <c r="P15" i="114"/>
  <c r="P15" i="84"/>
  <c r="P16" i="106"/>
  <c r="P16" i="88"/>
  <c r="P16" i="86"/>
  <c r="P16" i="81"/>
  <c r="P16" i="105"/>
  <c r="R14" i="86"/>
  <c r="R14" i="107"/>
  <c r="R14" i="81"/>
  <c r="R23" i="90"/>
  <c r="D58" i="48"/>
  <c r="R14" i="104"/>
  <c r="R14" i="82"/>
  <c r="R14" i="89"/>
  <c r="R14" i="93"/>
  <c r="R14" i="88"/>
  <c r="R14" i="85"/>
  <c r="R14" i="106"/>
  <c r="R14" i="108"/>
  <c r="R14" i="80"/>
  <c r="R14" i="87"/>
  <c r="R7" i="84"/>
  <c r="P15" i="96"/>
  <c r="B60" i="48"/>
  <c r="P23" i="104"/>
  <c r="R19" i="82"/>
  <c r="P19" i="89"/>
  <c r="B12" i="75"/>
  <c r="B82" i="48"/>
  <c r="R14" i="105"/>
  <c r="D266" i="48"/>
  <c r="D32" i="16"/>
  <c r="C262" i="48"/>
  <c r="C28" i="16"/>
  <c r="C24" i="16"/>
  <c r="C258" i="48"/>
  <c r="D249" i="48"/>
  <c r="D32" i="75"/>
  <c r="C23" i="75"/>
  <c r="C229" i="48"/>
  <c r="Q66" i="105"/>
  <c r="Q67" i="96"/>
  <c r="C131" i="48"/>
  <c r="Q66" i="109"/>
  <c r="B228" i="48"/>
  <c r="B27" i="75"/>
  <c r="C137" i="48"/>
  <c r="Q73" i="109"/>
  <c r="B245" i="48"/>
  <c r="B25" i="75"/>
  <c r="BD240" i="48"/>
  <c r="R66" i="106"/>
  <c r="R65" i="87"/>
  <c r="R66" i="96"/>
  <c r="Q12" i="109"/>
  <c r="P65" i="109"/>
  <c r="P19" i="115"/>
  <c r="P67" i="114"/>
  <c r="P22" i="80"/>
  <c r="Q24" i="85"/>
  <c r="R15" i="105"/>
  <c r="P18" i="87"/>
  <c r="F72" i="48"/>
  <c r="L72" i="48" s="1"/>
  <c r="F26" i="48"/>
  <c r="AC214" i="48"/>
  <c r="AH214" i="48"/>
  <c r="F71" i="48"/>
  <c r="L191" i="48"/>
  <c r="R19" i="100"/>
  <c r="L210" i="48"/>
  <c r="BD210" i="48"/>
  <c r="B143" i="48"/>
  <c r="F81" i="48"/>
  <c r="AB214" i="48"/>
  <c r="AD214" i="48"/>
  <c r="B262" i="48"/>
  <c r="B28" i="16"/>
  <c r="D241" i="48"/>
  <c r="D6" i="75"/>
  <c r="F82" i="48"/>
  <c r="F78" i="48"/>
  <c r="L78" i="48" s="1"/>
  <c r="F60" i="48"/>
  <c r="F20" i="48"/>
  <c r="R76" i="48"/>
  <c r="F76" i="48" s="1"/>
  <c r="L76" i="48" s="1"/>
  <c r="X74" i="48"/>
  <c r="F74" i="48" s="1"/>
  <c r="L74" i="48" s="1"/>
  <c r="F41" i="48"/>
  <c r="L41" i="48" s="1"/>
  <c r="BD189" i="48"/>
  <c r="R58" i="111"/>
  <c r="R58" i="104"/>
  <c r="R58" i="110"/>
  <c r="R58" i="86"/>
  <c r="R58" i="85"/>
  <c r="R58" i="87"/>
  <c r="R58" i="106"/>
  <c r="R58" i="88"/>
  <c r="R58" i="105"/>
  <c r="R58" i="81"/>
  <c r="D102" i="48"/>
  <c r="R58" i="107"/>
  <c r="R58" i="80"/>
  <c r="R58" i="84"/>
  <c r="R58" i="82"/>
  <c r="Q57" i="110"/>
  <c r="Q57" i="111"/>
  <c r="Q57" i="86"/>
  <c r="Q57" i="85"/>
  <c r="Q57" i="104"/>
  <c r="Q57" i="105"/>
  <c r="Q57" i="106"/>
  <c r="Q57" i="88"/>
  <c r="Q57" i="87"/>
  <c r="Q57" i="107"/>
  <c r="Q57" i="80"/>
  <c r="Q57" i="84"/>
  <c r="Q57" i="81"/>
  <c r="Q57" i="83"/>
  <c r="C101" i="48"/>
  <c r="Q57" i="82"/>
  <c r="Q56" i="110"/>
  <c r="Q56" i="111"/>
  <c r="Q56" i="104"/>
  <c r="Q56" i="86"/>
  <c r="Q56" i="85"/>
  <c r="Q56" i="87"/>
  <c r="Q56" i="105"/>
  <c r="Q56" i="106"/>
  <c r="Q56" i="88"/>
  <c r="Q56" i="84"/>
  <c r="Q56" i="83"/>
  <c r="Q56" i="81"/>
  <c r="Q56" i="107"/>
  <c r="C100" i="48"/>
  <c r="Q56" i="80"/>
  <c r="Q56" i="82"/>
  <c r="Q53" i="110"/>
  <c r="Q53" i="104"/>
  <c r="Q53" i="86"/>
  <c r="Q53" i="111"/>
  <c r="Q53" i="85"/>
  <c r="Q53" i="105"/>
  <c r="Q53" i="87"/>
  <c r="Q53" i="106"/>
  <c r="Q53" i="88"/>
  <c r="C97" i="48"/>
  <c r="Q53" i="80"/>
  <c r="Q53" i="107"/>
  <c r="Q53" i="81"/>
  <c r="Q53" i="82"/>
  <c r="P52" i="111"/>
  <c r="P52" i="86"/>
  <c r="P52" i="85"/>
  <c r="P52" i="110"/>
  <c r="P52" i="104"/>
  <c r="P52" i="87"/>
  <c r="P52" i="106"/>
  <c r="P52" i="88"/>
  <c r="P52" i="105"/>
  <c r="P52" i="107"/>
  <c r="B96" i="48"/>
  <c r="P52" i="80"/>
  <c r="P52" i="81"/>
  <c r="P52" i="82"/>
  <c r="Q43" i="110"/>
  <c r="Q43" i="104"/>
  <c r="Q43" i="86"/>
  <c r="Q43" i="111"/>
  <c r="Q43" i="85"/>
  <c r="Q43" i="105"/>
  <c r="Q43" i="87"/>
  <c r="Q43" i="106"/>
  <c r="Q43" i="88"/>
  <c r="Q43" i="84"/>
  <c r="Q43" i="107"/>
  <c r="Q43" i="80"/>
  <c r="Q43" i="81"/>
  <c r="C87" i="48"/>
  <c r="Q43" i="82"/>
  <c r="F59" i="48"/>
  <c r="L59" i="48" s="1"/>
  <c r="BD220" i="48"/>
  <c r="P56" i="110"/>
  <c r="P56" i="85"/>
  <c r="P56" i="111"/>
  <c r="P56" i="104"/>
  <c r="P56" i="105"/>
  <c r="P56" i="86"/>
  <c r="P56" i="106"/>
  <c r="P56" i="88"/>
  <c r="P56" i="87"/>
  <c r="P56" i="107"/>
  <c r="P56" i="80"/>
  <c r="P56" i="84"/>
  <c r="P56" i="81"/>
  <c r="B100" i="48"/>
  <c r="P56" i="83"/>
  <c r="P56" i="82"/>
  <c r="P55" i="110"/>
  <c r="P55" i="104"/>
  <c r="P55" i="86"/>
  <c r="P55" i="85"/>
  <c r="P55" i="111"/>
  <c r="P55" i="105"/>
  <c r="P55" i="87"/>
  <c r="P55" i="106"/>
  <c r="P55" i="88"/>
  <c r="P55" i="107"/>
  <c r="P55" i="80"/>
  <c r="B99" i="48"/>
  <c r="P55" i="81"/>
  <c r="P55" i="82"/>
  <c r="P53" i="85"/>
  <c r="P53" i="104"/>
  <c r="P53" i="86"/>
  <c r="P53" i="111"/>
  <c r="P53" i="110"/>
  <c r="P53" i="88"/>
  <c r="P53" i="105"/>
  <c r="P53" i="87"/>
  <c r="P53" i="80"/>
  <c r="P53" i="106"/>
  <c r="P53" i="107"/>
  <c r="P53" i="81"/>
  <c r="B97" i="48"/>
  <c r="P53" i="82"/>
  <c r="Q46" i="110"/>
  <c r="Q46" i="111"/>
  <c r="Q46" i="104"/>
  <c r="Q46" i="86"/>
  <c r="Q46" i="106"/>
  <c r="Q46" i="88"/>
  <c r="Q46" i="105"/>
  <c r="Q46" i="107"/>
  <c r="Q46" i="85"/>
  <c r="Q46" i="87"/>
  <c r="Q46" i="80"/>
  <c r="Q46" i="84"/>
  <c r="Q46" i="81"/>
  <c r="C90" i="48"/>
  <c r="Q46" i="82"/>
  <c r="F58" i="48"/>
  <c r="L58" i="48" s="1"/>
  <c r="P71" i="109"/>
  <c r="P68" i="96"/>
  <c r="R50" i="111"/>
  <c r="R50" i="110"/>
  <c r="R50" i="85"/>
  <c r="R50" i="104"/>
  <c r="R50" i="86"/>
  <c r="R50" i="88"/>
  <c r="R50" i="105"/>
  <c r="R50" i="87"/>
  <c r="R50" i="80"/>
  <c r="R50" i="106"/>
  <c r="R50" i="107"/>
  <c r="D94" i="48"/>
  <c r="R50" i="84"/>
  <c r="R50" i="81"/>
  <c r="R50" i="82"/>
  <c r="Q49" i="110"/>
  <c r="Q49" i="104"/>
  <c r="Q49" i="86"/>
  <c r="Q49" i="111"/>
  <c r="Q49" i="85"/>
  <c r="Q49" i="105"/>
  <c r="Q49" i="87"/>
  <c r="Q49" i="106"/>
  <c r="Q49" i="84"/>
  <c r="Q49" i="88"/>
  <c r="Q49" i="80"/>
  <c r="C93" i="48"/>
  <c r="Q49" i="81"/>
  <c r="Q49" i="107"/>
  <c r="Q49" i="82"/>
  <c r="AQ62" i="48"/>
  <c r="R57" i="111"/>
  <c r="R57" i="110"/>
  <c r="R57" i="85"/>
  <c r="R57" i="104"/>
  <c r="R57" i="105"/>
  <c r="R57" i="86"/>
  <c r="R57" i="106"/>
  <c r="R57" i="88"/>
  <c r="R57" i="87"/>
  <c r="R57" i="107"/>
  <c r="R57" i="80"/>
  <c r="R57" i="84"/>
  <c r="R57" i="81"/>
  <c r="R57" i="83"/>
  <c r="D101" i="48"/>
  <c r="R57" i="82"/>
  <c r="R51" i="111"/>
  <c r="R51" i="86"/>
  <c r="R51" i="110"/>
  <c r="R51" i="85"/>
  <c r="R51" i="104"/>
  <c r="R51" i="87"/>
  <c r="R51" i="106"/>
  <c r="R51" i="88"/>
  <c r="R51" i="105"/>
  <c r="R51" i="107"/>
  <c r="R51" i="80"/>
  <c r="R51" i="81"/>
  <c r="D95" i="48"/>
  <c r="R51" i="82"/>
  <c r="C16" i="16"/>
  <c r="C219" i="48"/>
  <c r="B108" i="48"/>
  <c r="B7" i="16"/>
  <c r="Q51" i="111"/>
  <c r="Q51" i="104"/>
  <c r="Q51" i="86"/>
  <c r="Q51" i="110"/>
  <c r="Q51" i="85"/>
  <c r="Q51" i="105"/>
  <c r="Q51" i="87"/>
  <c r="Q51" i="106"/>
  <c r="Q51" i="88"/>
  <c r="Q51" i="107"/>
  <c r="Q51" i="80"/>
  <c r="C95" i="48"/>
  <c r="Q51" i="81"/>
  <c r="P47" i="110"/>
  <c r="P47" i="111"/>
  <c r="P47" i="85"/>
  <c r="P47" i="104"/>
  <c r="P47" i="86"/>
  <c r="P47" i="105"/>
  <c r="P47" i="87"/>
  <c r="P47" i="80"/>
  <c r="P47" i="106"/>
  <c r="P47" i="88"/>
  <c r="P47" i="83"/>
  <c r="B91" i="48"/>
  <c r="P47" i="107"/>
  <c r="P47" i="84"/>
  <c r="P47" i="81"/>
  <c r="P44" i="86"/>
  <c r="P44" i="111"/>
  <c r="P44" i="110"/>
  <c r="P44" i="85"/>
  <c r="P44" i="104"/>
  <c r="P44" i="87"/>
  <c r="P44" i="106"/>
  <c r="P44" i="88"/>
  <c r="P44" i="84"/>
  <c r="P44" i="105"/>
  <c r="P44" i="107"/>
  <c r="B88" i="48"/>
  <c r="P44" i="80"/>
  <c r="P44" i="81"/>
  <c r="R42" i="110"/>
  <c r="R42" i="111"/>
  <c r="R42" i="104"/>
  <c r="R42" i="86"/>
  <c r="R42" i="85"/>
  <c r="R42" i="105"/>
  <c r="R42" i="87"/>
  <c r="R42" i="106"/>
  <c r="R42" i="80"/>
  <c r="R42" i="107"/>
  <c r="D86" i="48"/>
  <c r="R42" i="88"/>
  <c r="R42" i="81"/>
  <c r="P42" i="86"/>
  <c r="P42" i="111"/>
  <c r="P42" i="110"/>
  <c r="P42" i="85"/>
  <c r="P42" i="104"/>
  <c r="P42" i="87"/>
  <c r="P42" i="106"/>
  <c r="P42" i="105"/>
  <c r="P42" i="88"/>
  <c r="P42" i="107"/>
  <c r="P42" i="80"/>
  <c r="P42" i="81"/>
  <c r="B86" i="48"/>
  <c r="P42" i="82"/>
  <c r="R41" i="110"/>
  <c r="R41" i="111"/>
  <c r="R41" i="86"/>
  <c r="R41" i="85"/>
  <c r="R41" i="104"/>
  <c r="R41" i="87"/>
  <c r="R41" i="106"/>
  <c r="R41" i="105"/>
  <c r="R41" i="88"/>
  <c r="R41" i="107"/>
  <c r="R41" i="81"/>
  <c r="D85" i="48"/>
  <c r="R41" i="80"/>
  <c r="R38" i="82"/>
  <c r="C81" i="48"/>
  <c r="R33" i="81"/>
  <c r="P33" i="108"/>
  <c r="R29" i="84"/>
  <c r="P31" i="108"/>
  <c r="R29" i="86"/>
  <c r="R16" i="82"/>
  <c r="B16" i="16"/>
  <c r="B219" i="48"/>
  <c r="P67" i="87"/>
  <c r="Q71" i="109"/>
  <c r="Q65" i="87"/>
  <c r="C8" i="16"/>
  <c r="C109" i="48"/>
  <c r="Q52" i="85"/>
  <c r="Q52" i="111"/>
  <c r="Q52" i="110"/>
  <c r="Q52" i="104"/>
  <c r="Q52" i="86"/>
  <c r="Q52" i="106"/>
  <c r="Q52" i="88"/>
  <c r="Q52" i="105"/>
  <c r="Q52" i="107"/>
  <c r="Q52" i="87"/>
  <c r="Q52" i="80"/>
  <c r="C96" i="48"/>
  <c r="Q52" i="81"/>
  <c r="P50" i="110"/>
  <c r="P50" i="86"/>
  <c r="P50" i="85"/>
  <c r="P50" i="111"/>
  <c r="P50" i="104"/>
  <c r="P50" i="87"/>
  <c r="P50" i="106"/>
  <c r="P50" i="88"/>
  <c r="P50" i="84"/>
  <c r="P50" i="105"/>
  <c r="P50" i="107"/>
  <c r="P50" i="80"/>
  <c r="P50" i="81"/>
  <c r="B94" i="48"/>
  <c r="R48" i="110"/>
  <c r="R48" i="85"/>
  <c r="R48" i="111"/>
  <c r="R48" i="104"/>
  <c r="R48" i="86"/>
  <c r="R48" i="88"/>
  <c r="R48" i="105"/>
  <c r="R48" i="87"/>
  <c r="R48" i="80"/>
  <c r="R48" i="106"/>
  <c r="R48" i="84"/>
  <c r="R48" i="81"/>
  <c r="R48" i="107"/>
  <c r="D92" i="48"/>
  <c r="R45" i="110"/>
  <c r="R45" i="111"/>
  <c r="R45" i="86"/>
  <c r="R45" i="85"/>
  <c r="R45" i="104"/>
  <c r="R45" i="87"/>
  <c r="R45" i="106"/>
  <c r="R45" i="88"/>
  <c r="R45" i="105"/>
  <c r="R45" i="107"/>
  <c r="R45" i="80"/>
  <c r="D89" i="48"/>
  <c r="R45" i="84"/>
  <c r="R45" i="81"/>
  <c r="R45" i="83"/>
  <c r="P39" i="108"/>
  <c r="R36" i="88"/>
  <c r="R35" i="85"/>
  <c r="P35" i="88"/>
  <c r="Q27" i="84"/>
  <c r="Q23" i="86"/>
  <c r="R17" i="105"/>
  <c r="Q16" i="88"/>
  <c r="B8" i="16"/>
  <c r="B109" i="48"/>
  <c r="P58" i="110"/>
  <c r="P58" i="111"/>
  <c r="P58" i="85"/>
  <c r="P58" i="104"/>
  <c r="P58" i="105"/>
  <c r="P58" i="86"/>
  <c r="P58" i="106"/>
  <c r="P58" i="88"/>
  <c r="P58" i="87"/>
  <c r="P58" i="107"/>
  <c r="P58" i="80"/>
  <c r="P58" i="84"/>
  <c r="P58" i="81"/>
  <c r="B102" i="48"/>
  <c r="R56" i="111"/>
  <c r="R56" i="104"/>
  <c r="R56" i="86"/>
  <c r="R56" i="110"/>
  <c r="R56" i="85"/>
  <c r="R56" i="87"/>
  <c r="R56" i="105"/>
  <c r="R56" i="106"/>
  <c r="R56" i="88"/>
  <c r="R56" i="107"/>
  <c r="R56" i="83"/>
  <c r="R56" i="80"/>
  <c r="R56" i="81"/>
  <c r="R56" i="84"/>
  <c r="D100" i="48"/>
  <c r="Q55" i="110"/>
  <c r="Q55" i="111"/>
  <c r="Q55" i="85"/>
  <c r="Q55" i="105"/>
  <c r="Q55" i="104"/>
  <c r="Q55" i="86"/>
  <c r="Q55" i="106"/>
  <c r="Q55" i="88"/>
  <c r="Q55" i="107"/>
  <c r="Q55" i="87"/>
  <c r="Q55" i="80"/>
  <c r="Q55" i="81"/>
  <c r="C99" i="48"/>
  <c r="R53" i="110"/>
  <c r="R53" i="111"/>
  <c r="R53" i="86"/>
  <c r="R53" i="85"/>
  <c r="R53" i="104"/>
  <c r="R53" i="105"/>
  <c r="R53" i="87"/>
  <c r="R53" i="106"/>
  <c r="R53" i="88"/>
  <c r="R53" i="107"/>
  <c r="R53" i="81"/>
  <c r="R53" i="80"/>
  <c r="D97" i="48"/>
  <c r="P51" i="110"/>
  <c r="P51" i="111"/>
  <c r="P51" i="85"/>
  <c r="P51" i="104"/>
  <c r="P51" i="86"/>
  <c r="P51" i="88"/>
  <c r="P51" i="105"/>
  <c r="P51" i="87"/>
  <c r="P51" i="80"/>
  <c r="P51" i="106"/>
  <c r="B95" i="48"/>
  <c r="P51" i="107"/>
  <c r="P51" i="81"/>
  <c r="Q50" i="110"/>
  <c r="Q50" i="111"/>
  <c r="Q50" i="85"/>
  <c r="Q50" i="104"/>
  <c r="Q50" i="86"/>
  <c r="Q50" i="106"/>
  <c r="Q50" i="88"/>
  <c r="Q50" i="105"/>
  <c r="Q50" i="107"/>
  <c r="Q50" i="87"/>
  <c r="Q50" i="80"/>
  <c r="Q50" i="84"/>
  <c r="Q50" i="81"/>
  <c r="C94" i="48"/>
  <c r="Q50" i="82"/>
  <c r="R49" i="110"/>
  <c r="R49" i="111"/>
  <c r="R49" i="86"/>
  <c r="R49" i="85"/>
  <c r="R49" i="104"/>
  <c r="R49" i="87"/>
  <c r="R49" i="106"/>
  <c r="R49" i="88"/>
  <c r="R49" i="105"/>
  <c r="R49" i="107"/>
  <c r="R49" i="84"/>
  <c r="D93" i="48"/>
  <c r="R49" i="81"/>
  <c r="R49" i="80"/>
  <c r="P48" i="111"/>
  <c r="P48" i="86"/>
  <c r="P48" i="85"/>
  <c r="P48" i="110"/>
  <c r="P48" i="104"/>
  <c r="P48" i="87"/>
  <c r="P48" i="106"/>
  <c r="P48" i="88"/>
  <c r="P48" i="105"/>
  <c r="P48" i="107"/>
  <c r="P48" i="84"/>
  <c r="B92" i="48"/>
  <c r="P48" i="80"/>
  <c r="P48" i="81"/>
  <c r="Q47" i="111"/>
  <c r="Q47" i="104"/>
  <c r="Q47" i="86"/>
  <c r="Q47" i="110"/>
  <c r="Q47" i="85"/>
  <c r="Q47" i="105"/>
  <c r="Q47" i="87"/>
  <c r="Q47" i="106"/>
  <c r="Q47" i="84"/>
  <c r="Q47" i="88"/>
  <c r="Q47" i="107"/>
  <c r="Q47" i="83"/>
  <c r="C91" i="48"/>
  <c r="Q47" i="80"/>
  <c r="Q47" i="81"/>
  <c r="R46" i="111"/>
  <c r="R46" i="110"/>
  <c r="R46" i="85"/>
  <c r="R46" i="104"/>
  <c r="R46" i="86"/>
  <c r="R46" i="105"/>
  <c r="R46" i="87"/>
  <c r="R46" i="80"/>
  <c r="R46" i="84"/>
  <c r="R46" i="106"/>
  <c r="R46" i="107"/>
  <c r="R46" i="81"/>
  <c r="D90" i="48"/>
  <c r="R46" i="88"/>
  <c r="P45" i="104"/>
  <c r="P45" i="86"/>
  <c r="P45" i="111"/>
  <c r="P45" i="110"/>
  <c r="P45" i="105"/>
  <c r="P45" i="85"/>
  <c r="P45" i="87"/>
  <c r="P45" i="80"/>
  <c r="P45" i="106"/>
  <c r="P45" i="84"/>
  <c r="P45" i="107"/>
  <c r="P45" i="81"/>
  <c r="P45" i="83"/>
  <c r="P45" i="88"/>
  <c r="B89" i="48"/>
  <c r="Q44" i="110"/>
  <c r="Q44" i="111"/>
  <c r="Q44" i="104"/>
  <c r="Q44" i="86"/>
  <c r="Q44" i="106"/>
  <c r="Q44" i="85"/>
  <c r="Q44" i="105"/>
  <c r="Q44" i="107"/>
  <c r="Q44" i="87"/>
  <c r="Q44" i="80"/>
  <c r="Q44" i="84"/>
  <c r="Q44" i="88"/>
  <c r="C88" i="48"/>
  <c r="Q44" i="81"/>
  <c r="R43" i="110"/>
  <c r="R43" i="111"/>
  <c r="R43" i="86"/>
  <c r="R43" i="85"/>
  <c r="R43" i="104"/>
  <c r="R43" i="87"/>
  <c r="R43" i="106"/>
  <c r="R43" i="88"/>
  <c r="R43" i="105"/>
  <c r="R43" i="107"/>
  <c r="R43" i="80"/>
  <c r="R43" i="84"/>
  <c r="R43" i="81"/>
  <c r="D87" i="48"/>
  <c r="Q42" i="110"/>
  <c r="Q42" i="111"/>
  <c r="Q42" i="104"/>
  <c r="Q42" i="86"/>
  <c r="Q42" i="85"/>
  <c r="Q42" i="105"/>
  <c r="Q42" i="87"/>
  <c r="Q42" i="106"/>
  <c r="Q42" i="80"/>
  <c r="Q42" i="88"/>
  <c r="Q42" i="107"/>
  <c r="Q42" i="81"/>
  <c r="C86" i="48"/>
  <c r="Q42" i="82"/>
  <c r="Q38" i="88"/>
  <c r="Q34" i="111"/>
  <c r="Q32" i="84"/>
  <c r="Q30" i="82"/>
  <c r="R28" i="85"/>
  <c r="Q27" i="81"/>
  <c r="P23" i="106"/>
  <c r="R20" i="85"/>
  <c r="P18" i="92"/>
  <c r="Q18" i="104"/>
  <c r="B59" i="48"/>
  <c r="D16" i="16"/>
  <c r="D219" i="48"/>
  <c r="C7" i="16"/>
  <c r="C108" i="48"/>
  <c r="Q58" i="111"/>
  <c r="Q58" i="104"/>
  <c r="Q58" i="110"/>
  <c r="Q58" i="86"/>
  <c r="Q58" i="85"/>
  <c r="Q58" i="105"/>
  <c r="Q58" i="87"/>
  <c r="Q58" i="106"/>
  <c r="Q58" i="88"/>
  <c r="Q58" i="84"/>
  <c r="Q58" i="80"/>
  <c r="C102" i="48"/>
  <c r="Q58" i="107"/>
  <c r="Q58" i="81"/>
  <c r="P57" i="110"/>
  <c r="P57" i="104"/>
  <c r="P57" i="86"/>
  <c r="P57" i="85"/>
  <c r="P57" i="111"/>
  <c r="P57" i="87"/>
  <c r="P57" i="106"/>
  <c r="P57" i="88"/>
  <c r="P57" i="84"/>
  <c r="P57" i="105"/>
  <c r="P57" i="83"/>
  <c r="B101" i="48"/>
  <c r="P57" i="107"/>
  <c r="P57" i="80"/>
  <c r="P57" i="81"/>
  <c r="R55" i="111"/>
  <c r="R55" i="110"/>
  <c r="R55" i="85"/>
  <c r="R55" i="104"/>
  <c r="R55" i="86"/>
  <c r="R55" i="88"/>
  <c r="R55" i="105"/>
  <c r="R55" i="87"/>
  <c r="R55" i="80"/>
  <c r="R55" i="106"/>
  <c r="R55" i="107"/>
  <c r="D99" i="48"/>
  <c r="R55" i="81"/>
  <c r="R52" i="110"/>
  <c r="R52" i="85"/>
  <c r="R52" i="111"/>
  <c r="R52" i="104"/>
  <c r="R52" i="86"/>
  <c r="R52" i="88"/>
  <c r="R52" i="105"/>
  <c r="R52" i="87"/>
  <c r="R52" i="80"/>
  <c r="R52" i="106"/>
  <c r="R52" i="81"/>
  <c r="R52" i="107"/>
  <c r="D96" i="48"/>
  <c r="P49" i="85"/>
  <c r="P49" i="104"/>
  <c r="P49" i="86"/>
  <c r="P49" i="111"/>
  <c r="P49" i="110"/>
  <c r="P49" i="88"/>
  <c r="P49" i="105"/>
  <c r="P49" i="87"/>
  <c r="P49" i="80"/>
  <c r="P49" i="106"/>
  <c r="P49" i="107"/>
  <c r="P49" i="81"/>
  <c r="P49" i="84"/>
  <c r="B93" i="48"/>
  <c r="P49" i="82"/>
  <c r="Q48" i="111"/>
  <c r="Q48" i="110"/>
  <c r="Q48" i="104"/>
  <c r="Q48" i="86"/>
  <c r="Q48" i="106"/>
  <c r="Q48" i="88"/>
  <c r="Q48" i="85"/>
  <c r="Q48" i="105"/>
  <c r="Q48" i="107"/>
  <c r="Q48" i="84"/>
  <c r="Q48" i="87"/>
  <c r="Q48" i="80"/>
  <c r="Q48" i="81"/>
  <c r="C92" i="48"/>
  <c r="R47" i="111"/>
  <c r="R47" i="86"/>
  <c r="R47" i="110"/>
  <c r="R47" i="85"/>
  <c r="R47" i="104"/>
  <c r="R47" i="87"/>
  <c r="R47" i="106"/>
  <c r="R47" i="88"/>
  <c r="R47" i="105"/>
  <c r="R47" i="107"/>
  <c r="R47" i="84"/>
  <c r="R47" i="81"/>
  <c r="R47" i="80"/>
  <c r="R47" i="83"/>
  <c r="D91" i="48"/>
  <c r="R47" i="82"/>
  <c r="P46" i="110"/>
  <c r="P46" i="86"/>
  <c r="P46" i="85"/>
  <c r="P46" i="111"/>
  <c r="P46" i="104"/>
  <c r="P46" i="87"/>
  <c r="P46" i="106"/>
  <c r="P46" i="88"/>
  <c r="P46" i="105"/>
  <c r="P46" i="107"/>
  <c r="P46" i="80"/>
  <c r="P46" i="81"/>
  <c r="B90" i="48"/>
  <c r="P46" i="84"/>
  <c r="P46" i="82"/>
  <c r="Q45" i="110"/>
  <c r="Q45" i="104"/>
  <c r="Q45" i="86"/>
  <c r="Q45" i="111"/>
  <c r="Q45" i="85"/>
  <c r="Q45" i="105"/>
  <c r="Q45" i="87"/>
  <c r="Q45" i="106"/>
  <c r="Q45" i="88"/>
  <c r="C89" i="48"/>
  <c r="Q45" i="84"/>
  <c r="Q45" i="80"/>
  <c r="Q45" i="81"/>
  <c r="Q45" i="83"/>
  <c r="Q45" i="107"/>
  <c r="R44" i="110"/>
  <c r="R44" i="111"/>
  <c r="R44" i="104"/>
  <c r="R44" i="86"/>
  <c r="R44" i="85"/>
  <c r="R44" i="105"/>
  <c r="R44" i="87"/>
  <c r="R44" i="80"/>
  <c r="R44" i="106"/>
  <c r="R44" i="88"/>
  <c r="R44" i="107"/>
  <c r="D88" i="48"/>
  <c r="R44" i="84"/>
  <c r="R44" i="81"/>
  <c r="R44" i="82"/>
  <c r="P43" i="104"/>
  <c r="P43" i="86"/>
  <c r="P43" i="111"/>
  <c r="P43" i="110"/>
  <c r="P43" i="85"/>
  <c r="P43" i="105"/>
  <c r="P43" i="87"/>
  <c r="P43" i="80"/>
  <c r="P43" i="84"/>
  <c r="P43" i="106"/>
  <c r="P43" i="88"/>
  <c r="P43" i="81"/>
  <c r="B87" i="48"/>
  <c r="P43" i="107"/>
  <c r="Q37" i="110"/>
  <c r="P38" i="82"/>
  <c r="R35" i="110"/>
  <c r="Q22" i="105"/>
  <c r="Q19" i="109"/>
  <c r="C58" i="48"/>
  <c r="P41" i="104"/>
  <c r="P41" i="86"/>
  <c r="P41" i="111"/>
  <c r="P41" i="110"/>
  <c r="P41" i="85"/>
  <c r="P41" i="105"/>
  <c r="P41" i="87"/>
  <c r="P41" i="106"/>
  <c r="P41" i="80"/>
  <c r="P41" i="107"/>
  <c r="P41" i="81"/>
  <c r="B85" i="48"/>
  <c r="P41" i="88"/>
  <c r="I478" i="9"/>
  <c r="J187" i="48" s="1"/>
  <c r="C11" i="9"/>
  <c r="J11" i="9"/>
  <c r="K11" i="48" s="1"/>
  <c r="I15" i="9"/>
  <c r="J12" i="48" s="1"/>
  <c r="B19" i="9"/>
  <c r="D19" i="9"/>
  <c r="E13" i="48" s="1"/>
  <c r="J19" i="9"/>
  <c r="K13" i="48" s="1"/>
  <c r="I500" i="9"/>
  <c r="J195" i="48" s="1"/>
  <c r="I462" i="9"/>
  <c r="J181" i="48" s="1"/>
  <c r="J392" i="9"/>
  <c r="K156" i="48" s="1"/>
  <c r="E392" i="9"/>
  <c r="I357" i="9"/>
  <c r="J143" i="48" s="1"/>
  <c r="J497" i="9"/>
  <c r="K194" i="48" s="1"/>
  <c r="J444" i="9"/>
  <c r="K174" i="48" s="1"/>
  <c r="B11" i="9"/>
  <c r="C15" i="9"/>
  <c r="B392" i="9"/>
  <c r="C441" i="9"/>
  <c r="B68" i="48"/>
  <c r="Q21" i="86"/>
  <c r="Q19" i="110"/>
  <c r="R23" i="112"/>
  <c r="P13" i="80"/>
  <c r="Q41" i="110"/>
  <c r="Q41" i="104"/>
  <c r="Q41" i="86"/>
  <c r="Q41" i="111"/>
  <c r="Q41" i="85"/>
  <c r="Q41" i="87"/>
  <c r="Q41" i="106"/>
  <c r="Q41" i="105"/>
  <c r="Q41" i="88"/>
  <c r="Q41" i="107"/>
  <c r="Q41" i="80"/>
  <c r="Q41" i="81"/>
  <c r="C85" i="48"/>
  <c r="Q41" i="82"/>
  <c r="AT143" i="48"/>
  <c r="F143" i="48" s="1"/>
  <c r="L143" i="48" s="1"/>
  <c r="L110" i="48"/>
  <c r="M110" i="48" s="1"/>
  <c r="S60" i="81"/>
  <c r="AT156" i="48"/>
  <c r="F156" i="48" s="1"/>
  <c r="L156" i="48" s="1"/>
  <c r="S60" i="82"/>
  <c r="O112" i="48" s="1"/>
  <c r="P13" i="48"/>
  <c r="S61" i="81"/>
  <c r="S60" i="80"/>
  <c r="S60" i="87"/>
  <c r="S68" i="80"/>
  <c r="S67" i="80"/>
  <c r="S63" i="88"/>
  <c r="S60" i="88"/>
  <c r="F34" i="48"/>
  <c r="F35" i="48"/>
  <c r="AK64" i="48"/>
  <c r="AK66" i="48"/>
  <c r="J7" i="90"/>
  <c r="O4" i="11"/>
  <c r="J7" i="89"/>
  <c r="J7" i="93"/>
  <c r="R9" i="15"/>
  <c r="B141" i="12"/>
  <c r="B13" i="12"/>
  <c r="M3" i="117" s="1"/>
  <c r="B66" i="12"/>
  <c r="B245" i="12"/>
  <c r="H6" i="48" s="1"/>
  <c r="B170" i="12"/>
  <c r="B65" i="12"/>
  <c r="B161" i="12"/>
  <c r="B43" i="88" s="1"/>
  <c r="B303" i="12"/>
  <c r="B296" i="12"/>
  <c r="B306" i="12"/>
  <c r="J7" i="86"/>
  <c r="J7" i="85"/>
  <c r="B53" i="15"/>
  <c r="B90" i="12"/>
  <c r="B411" i="11" s="1"/>
  <c r="B160" i="12"/>
  <c r="B44" i="81" s="1"/>
  <c r="B18" i="12"/>
  <c r="M10" i="117" s="1"/>
  <c r="B249" i="12"/>
  <c r="B241" i="12"/>
  <c r="C103" i="11" s="1"/>
  <c r="B24" i="12"/>
  <c r="K2" i="11" s="1"/>
  <c r="B200" i="12"/>
  <c r="B302" i="12"/>
  <c r="D36" i="86" s="1"/>
  <c r="B297" i="12"/>
  <c r="B298" i="12"/>
  <c r="P86" i="95" s="1"/>
  <c r="J7" i="83"/>
  <c r="J7" i="111"/>
  <c r="B110" i="12"/>
  <c r="H2" i="8" s="1"/>
  <c r="B150" i="12"/>
  <c r="B159" i="12"/>
  <c r="B42" i="88" s="1"/>
  <c r="B12" i="12"/>
  <c r="M9" i="117" s="1"/>
  <c r="B59" i="12"/>
  <c r="B18" i="15" s="1"/>
  <c r="B224" i="12"/>
  <c r="B272" i="12"/>
  <c r="B304" i="12"/>
  <c r="B295" i="12"/>
  <c r="N10" i="109"/>
  <c r="N10" i="87"/>
  <c r="N10" i="108"/>
  <c r="N10" i="84"/>
  <c r="R16" i="15"/>
  <c r="J7" i="84"/>
  <c r="J7" i="104"/>
  <c r="B37" i="12"/>
  <c r="N10" i="11" s="1"/>
  <c r="B52" i="12"/>
  <c r="B188" i="12"/>
  <c r="B131" i="12"/>
  <c r="B250" i="12"/>
  <c r="H21" i="11" s="1"/>
  <c r="B91" i="12"/>
  <c r="B243" i="12"/>
  <c r="C111" i="11" s="1"/>
  <c r="B144" i="12"/>
  <c r="B174" i="12"/>
  <c r="B279" i="12"/>
  <c r="B234" i="12"/>
  <c r="B36" i="12"/>
  <c r="B88" i="12"/>
  <c r="N24" i="11" s="1"/>
  <c r="B207" i="12"/>
  <c r="B187" i="12"/>
  <c r="B218" i="12"/>
  <c r="B127" i="12"/>
  <c r="B278" i="12"/>
  <c r="B62" i="12"/>
  <c r="B109" i="12"/>
  <c r="N111" i="83" s="1"/>
  <c r="B220" i="12"/>
  <c r="B282" i="12"/>
  <c r="B225" i="12"/>
  <c r="B230" i="12"/>
  <c r="B204" i="12"/>
  <c r="B19" i="100" s="1"/>
  <c r="B58" i="12"/>
  <c r="B176" i="12"/>
  <c r="B233" i="12"/>
  <c r="B75" i="12"/>
  <c r="B89" i="12"/>
  <c r="E148" i="11" s="1"/>
  <c r="B285" i="12"/>
  <c r="B70" i="12"/>
  <c r="B212" i="12"/>
  <c r="B274" i="12"/>
  <c r="B415" i="11" s="1"/>
  <c r="B85" i="12"/>
  <c r="B21" i="11" s="1"/>
  <c r="B246" i="12"/>
  <c r="H8" i="48" s="1"/>
  <c r="B98" i="12"/>
  <c r="B16" i="12"/>
  <c r="B398" i="11" s="1"/>
  <c r="B82" i="12"/>
  <c r="B293" i="12"/>
  <c r="N32" i="111" s="1"/>
  <c r="B294" i="12"/>
  <c r="P85" i="95" s="1"/>
  <c r="B28" i="12"/>
  <c r="B78" i="12"/>
  <c r="K32" i="10" s="1"/>
  <c r="B136" i="12"/>
  <c r="B4" i="12"/>
  <c r="M4" i="117" s="1"/>
  <c r="B54" i="12"/>
  <c r="B95" i="12"/>
  <c r="A10" i="8" s="1"/>
  <c r="L10" i="9" s="1"/>
  <c r="A10" i="9" s="1"/>
  <c r="B10" i="48" s="1"/>
  <c r="B132" i="12"/>
  <c r="B24" i="103" s="1"/>
  <c r="B183" i="12"/>
  <c r="B228" i="12"/>
  <c r="B269" i="12"/>
  <c r="B408" i="11" s="1"/>
  <c r="B283" i="12"/>
  <c r="B40" i="12"/>
  <c r="N14" i="11" s="1"/>
  <c r="B124" i="12"/>
  <c r="B173" i="12"/>
  <c r="B222" i="12"/>
  <c r="B287" i="12"/>
  <c r="B304" i="48" s="1"/>
  <c r="B107" i="12"/>
  <c r="B195" i="12"/>
  <c r="P19" i="3" s="1"/>
  <c r="B313" i="12"/>
  <c r="B310" i="12"/>
  <c r="J104" i="83" s="1"/>
  <c r="B14" i="12"/>
  <c r="B248" i="12"/>
  <c r="H17" i="11" s="1"/>
  <c r="B171" i="12"/>
  <c r="B168" i="12"/>
  <c r="B281" i="12"/>
  <c r="B221" i="12"/>
  <c r="B205" i="12"/>
  <c r="B275" i="12"/>
  <c r="B223" i="12"/>
  <c r="B264" i="12"/>
  <c r="B67" i="12"/>
  <c r="B163" i="12"/>
  <c r="B247" i="12"/>
  <c r="B184" i="12"/>
  <c r="B69" i="12"/>
  <c r="B3" i="12"/>
  <c r="K3" i="11" s="1"/>
  <c r="B47" i="12"/>
  <c r="B186" i="12"/>
  <c r="B74" i="12"/>
  <c r="B112" i="12"/>
  <c r="B133" i="12"/>
  <c r="B25" i="12"/>
  <c r="B100" i="83" s="1"/>
  <c r="B113" i="12"/>
  <c r="B252" i="12"/>
  <c r="D119" i="11" s="1"/>
  <c r="B240" i="12"/>
  <c r="B1" i="48" s="1"/>
  <c r="B211" i="12"/>
  <c r="B117" i="12"/>
  <c r="B258" i="12"/>
  <c r="A656" i="8" s="1"/>
  <c r="L656" i="9" s="1"/>
  <c r="B15" i="12"/>
  <c r="B242" i="12"/>
  <c r="B35" i="12"/>
  <c r="I7" i="95" s="1"/>
  <c r="B216" i="12"/>
  <c r="B105" i="12"/>
  <c r="S10" i="9" s="1"/>
  <c r="H10" i="9" s="1"/>
  <c r="I10" i="48" s="1"/>
  <c r="B104" i="12"/>
  <c r="R10" i="9" s="1"/>
  <c r="G10" i="9" s="1"/>
  <c r="H10" i="48" s="1"/>
  <c r="B198" i="12"/>
  <c r="P25" i="3" s="1"/>
  <c r="B102" i="12"/>
  <c r="B21" i="12"/>
  <c r="C59" i="15" s="1"/>
  <c r="B56" i="12"/>
  <c r="B1" i="10" s="1"/>
  <c r="B120" i="12"/>
  <c r="B17" i="12"/>
  <c r="B86" i="12"/>
  <c r="N22" i="11" s="1"/>
  <c r="B100" i="12"/>
  <c r="B139" i="12"/>
  <c r="B17" i="103" s="1"/>
  <c r="B208" i="12"/>
  <c r="B260" i="12"/>
  <c r="B291" i="12"/>
  <c r="I308" i="48" s="1"/>
  <c r="B81" i="12"/>
  <c r="E93" i="10" s="1"/>
  <c r="B148" i="12"/>
  <c r="B236" i="12"/>
  <c r="B68" i="12"/>
  <c r="B177" i="12"/>
  <c r="B251" i="12"/>
  <c r="B111" i="12"/>
  <c r="B271" i="12"/>
  <c r="B412" i="11" s="1"/>
  <c r="B307" i="12"/>
  <c r="P82" i="105" s="1"/>
  <c r="H38" i="105" s="1"/>
  <c r="B308" i="12"/>
  <c r="P83" i="104" s="1"/>
  <c r="B50" i="12"/>
  <c r="B232" i="12"/>
  <c r="B116" i="12"/>
  <c r="K2" i="117" s="1"/>
  <c r="B46" i="12"/>
  <c r="B23" i="12"/>
  <c r="B129" i="12"/>
  <c r="B119" i="12"/>
  <c r="B121" i="12"/>
  <c r="B63" i="12"/>
  <c r="L2" i="95" s="1"/>
  <c r="B96" i="12"/>
  <c r="B10" i="8" s="1"/>
  <c r="M10" i="9" s="1"/>
  <c r="B10" i="9" s="1"/>
  <c r="C10" i="48" s="1"/>
  <c r="B257" i="12"/>
  <c r="B179" i="12"/>
  <c r="B41" i="12"/>
  <c r="B130" i="12"/>
  <c r="B253" i="12"/>
  <c r="B298" i="11" s="1"/>
  <c r="B178" i="12"/>
  <c r="B273" i="12"/>
  <c r="B414" i="11" s="1"/>
  <c r="B32" i="12"/>
  <c r="Q3" i="11" s="1"/>
  <c r="Q2" i="11" s="1"/>
  <c r="B97" i="12"/>
  <c r="C10" i="8" s="1"/>
  <c r="N10" i="9" s="1"/>
  <c r="C10" i="9" s="1"/>
  <c r="D10" i="48" s="1"/>
  <c r="B289" i="12"/>
  <c r="B7" i="12"/>
  <c r="B30" i="12"/>
  <c r="B190" i="12"/>
  <c r="B202" i="12"/>
  <c r="B140" i="12"/>
  <c r="B45" i="12"/>
  <c r="B167" i="12"/>
  <c r="B262" i="12"/>
  <c r="B49" i="12"/>
  <c r="B214" i="12"/>
  <c r="B92" i="12"/>
  <c r="B31" i="12"/>
  <c r="O6" i="11" s="1"/>
  <c r="B87" i="12"/>
  <c r="N23" i="11" s="1"/>
  <c r="B166" i="12"/>
  <c r="B169" i="12"/>
  <c r="B47" i="109" s="1"/>
  <c r="B238" i="12"/>
  <c r="B276" i="12"/>
  <c r="B185" i="10" s="1"/>
  <c r="B26" i="12"/>
  <c r="B137" i="12"/>
  <c r="B21" i="103" s="1"/>
  <c r="B267" i="12"/>
  <c r="B123" i="12"/>
  <c r="B213" i="12"/>
  <c r="B284" i="12"/>
  <c r="B172" i="12"/>
  <c r="B312" i="12"/>
  <c r="B266" i="12"/>
  <c r="B94" i="12"/>
  <c r="B145" i="12"/>
  <c r="B106" i="12"/>
  <c r="F293" i="48" s="1"/>
  <c r="B193" i="12"/>
  <c r="P15" i="3" s="1"/>
  <c r="B165" i="12"/>
  <c r="B164" i="12"/>
  <c r="B53" i="12"/>
  <c r="B138" i="12"/>
  <c r="B128" i="12"/>
  <c r="B135" i="12"/>
  <c r="B10" i="12"/>
  <c r="B219" i="12"/>
  <c r="B19" i="12"/>
  <c r="P1" i="15" s="1"/>
  <c r="B158" i="12"/>
  <c r="B60" i="80" s="1"/>
  <c r="B270" i="12"/>
  <c r="B409" i="11" s="1"/>
  <c r="B51" i="12"/>
  <c r="B48" i="12"/>
  <c r="B203" i="12"/>
  <c r="B103" i="12"/>
  <c r="F10" i="8" s="1"/>
  <c r="Q10" i="9" s="1"/>
  <c r="F10" i="9" s="1"/>
  <c r="G10" i="48" s="1"/>
  <c r="B118" i="12"/>
  <c r="B149" i="12"/>
  <c r="B237" i="12"/>
  <c r="B259" i="12"/>
  <c r="B201" i="12"/>
  <c r="B9" i="12"/>
  <c r="B194" i="12"/>
  <c r="P17" i="3" s="1"/>
  <c r="B229" i="12"/>
  <c r="B39" i="12"/>
  <c r="H7" i="110" s="1"/>
  <c r="B11" i="12"/>
  <c r="B43" i="12"/>
  <c r="B99" i="12"/>
  <c r="B191" i="12"/>
  <c r="B71" i="12"/>
  <c r="B122" i="12"/>
  <c r="B192" i="12"/>
  <c r="B244" i="12"/>
  <c r="B61" i="12"/>
  <c r="B209" i="12"/>
  <c r="B22" i="12"/>
  <c r="O2" i="117" s="1"/>
  <c r="B146" i="12"/>
  <c r="B235" i="12"/>
  <c r="B57" i="12"/>
  <c r="B227" i="12"/>
  <c r="B64" i="15" s="1"/>
  <c r="N6" i="82"/>
  <c r="B268" i="12"/>
  <c r="B197" i="12"/>
  <c r="P23" i="3" s="1"/>
  <c r="B217" i="12"/>
  <c r="B33" i="12"/>
  <c r="Q4" i="11" s="1"/>
  <c r="B126" i="12"/>
  <c r="B256" i="12"/>
  <c r="B297" i="48" s="1"/>
  <c r="B76" i="12"/>
  <c r="B44" i="12"/>
  <c r="B27" i="12"/>
  <c r="B34" i="12"/>
  <c r="Q5" i="11" s="1"/>
  <c r="B206" i="12"/>
  <c r="M10" i="116"/>
  <c r="N10" i="93"/>
  <c r="I3" i="99"/>
  <c r="I3" i="103"/>
  <c r="I3" i="100"/>
  <c r="P81" i="110"/>
  <c r="P81" i="82"/>
  <c r="N3" i="105"/>
  <c r="B41" i="111"/>
  <c r="I3" i="75"/>
  <c r="R2" i="15"/>
  <c r="L16" i="3"/>
  <c r="E6" i="3"/>
  <c r="I3" i="102"/>
  <c r="I3" i="101"/>
  <c r="I3" i="116"/>
  <c r="E16" i="3"/>
  <c r="E25" i="3"/>
  <c r="K13" i="10"/>
  <c r="K84" i="10"/>
  <c r="J137" i="75"/>
  <c r="B305" i="12"/>
  <c r="B280" i="12"/>
  <c r="B134" i="12"/>
  <c r="B14" i="103" s="1"/>
  <c r="B5" i="12"/>
  <c r="B115" i="12"/>
  <c r="D105" i="83" s="1"/>
  <c r="B215" i="12"/>
  <c r="B265" i="12"/>
  <c r="B185" i="12"/>
  <c r="G18" i="84" s="1"/>
  <c r="B261" i="12"/>
  <c r="B239" i="12"/>
  <c r="C100" i="11" s="1"/>
  <c r="B108" i="12"/>
  <c r="B231" i="12"/>
  <c r="B60" i="12"/>
  <c r="B189" i="12"/>
  <c r="B79" i="12"/>
  <c r="I4" i="95" s="1"/>
  <c r="B196" i="12"/>
  <c r="P21" i="3" s="1"/>
  <c r="B8" i="12"/>
  <c r="B42" i="12"/>
  <c r="B101" i="12"/>
  <c r="D10" i="8" s="1"/>
  <c r="O10" i="9" s="1"/>
  <c r="D10" i="9" s="1"/>
  <c r="E10" i="48" s="1"/>
  <c r="B182" i="12"/>
  <c r="P82" i="107"/>
  <c r="H38" i="107" s="1"/>
  <c r="B309" i="12"/>
  <c r="B162" i="12"/>
  <c r="N32" i="106"/>
  <c r="N32" i="86"/>
  <c r="B311" i="12"/>
  <c r="H110" i="83" s="1"/>
  <c r="AK62" i="48"/>
  <c r="AK214" i="48"/>
  <c r="AQ214" i="48"/>
  <c r="AL64" i="48"/>
  <c r="AP64" i="48"/>
  <c r="F33" i="48"/>
  <c r="AL125" i="48"/>
  <c r="AM64" i="48"/>
  <c r="AP17" i="48"/>
  <c r="S63" i="114"/>
  <c r="S83" i="114"/>
  <c r="AP53" i="48" s="1"/>
  <c r="AP40" i="48"/>
  <c r="AL134" i="48"/>
  <c r="AL61" i="48"/>
  <c r="S60" i="109"/>
  <c r="S61" i="109"/>
  <c r="AO17" i="48"/>
  <c r="S60" i="96"/>
  <c r="AO112" i="48" s="1"/>
  <c r="S63" i="96"/>
  <c r="AQ64" i="48"/>
  <c r="AN65" i="48"/>
  <c r="F65" i="48" s="1"/>
  <c r="L65" i="48" s="1"/>
  <c r="AN126" i="48"/>
  <c r="AR214" i="48"/>
  <c r="S61" i="92"/>
  <c r="S60" i="92"/>
  <c r="AO66" i="48"/>
  <c r="AQ127" i="48"/>
  <c r="AN127" i="48"/>
  <c r="S70" i="113"/>
  <c r="AN39" i="48"/>
  <c r="AN214" i="48" s="1"/>
  <c r="S60" i="113"/>
  <c r="AM32" i="48"/>
  <c r="AM214" i="48" s="1"/>
  <c r="S63" i="115"/>
  <c r="S72" i="115"/>
  <c r="S61" i="113"/>
  <c r="AL51" i="48"/>
  <c r="AK61" i="48"/>
  <c r="AL130" i="48"/>
  <c r="S81" i="109"/>
  <c r="AN61" i="48"/>
  <c r="AN51" i="48"/>
  <c r="AP39" i="48"/>
  <c r="S71" i="115"/>
  <c r="AR52" i="48" s="1"/>
  <c r="S61" i="115"/>
  <c r="AR114" i="48" s="1"/>
  <c r="T3" i="15"/>
  <c r="R15" i="15" s="1"/>
  <c r="F19" i="48"/>
  <c r="S60" i="110"/>
  <c r="AE112" i="48" s="1"/>
  <c r="AE14" i="48"/>
  <c r="AF53" i="48"/>
  <c r="S79" i="111"/>
  <c r="AF55" i="48" s="1"/>
  <c r="S61" i="111"/>
  <c r="AF114" i="48" s="1"/>
  <c r="S78" i="111"/>
  <c r="AF54" i="48" s="1"/>
  <c r="AF40" i="48"/>
  <c r="F67" i="48"/>
  <c r="AF112" i="48"/>
  <c r="AF14" i="48"/>
  <c r="S62" i="111"/>
  <c r="AE214" i="48"/>
  <c r="S63" i="110"/>
  <c r="F63" i="48"/>
  <c r="S62" i="110"/>
  <c r="F69" i="48"/>
  <c r="S61" i="110"/>
  <c r="F68" i="48"/>
  <c r="F18" i="48"/>
  <c r="T2" i="15"/>
  <c r="R14" i="15" s="1"/>
  <c r="F15" i="48"/>
  <c r="BD262" i="48"/>
  <c r="L262" i="48"/>
  <c r="BD109" i="48"/>
  <c r="L109" i="48"/>
  <c r="L260" i="48"/>
  <c r="L254" i="48"/>
  <c r="BD108" i="48"/>
  <c r="L108" i="48"/>
  <c r="BD266" i="48"/>
  <c r="L266" i="48"/>
  <c r="L263" i="48"/>
  <c r="BD263" i="48"/>
  <c r="L269" i="48"/>
  <c r="L258" i="48"/>
  <c r="BD217" i="48"/>
  <c r="L217" i="48"/>
  <c r="BD107" i="48"/>
  <c r="L107" i="48"/>
  <c r="L104" i="48"/>
  <c r="L253" i="48"/>
  <c r="BD216" i="48"/>
  <c r="L216" i="48"/>
  <c r="L106" i="48"/>
  <c r="BD106" i="48"/>
  <c r="BD270" i="48"/>
  <c r="L270" i="48"/>
  <c r="L268" i="48"/>
  <c r="L255" i="48"/>
  <c r="BD255" i="48"/>
  <c r="L267" i="48"/>
  <c r="BD267" i="48"/>
  <c r="BD265" i="48"/>
  <c r="L265" i="48"/>
  <c r="L261" i="48"/>
  <c r="L259" i="48"/>
  <c r="BD264" i="48"/>
  <c r="B260" i="48" l="1"/>
  <c r="B167" i="48"/>
  <c r="P6" i="81"/>
  <c r="Q4" i="117"/>
  <c r="D206" i="48"/>
  <c r="C206" i="48"/>
  <c r="P4" i="117"/>
  <c r="R77" i="113"/>
  <c r="R87" i="109"/>
  <c r="R87" i="114"/>
  <c r="R67" i="92"/>
  <c r="R75" i="95"/>
  <c r="R76" i="115"/>
  <c r="R67" i="97"/>
  <c r="R77" i="96"/>
  <c r="D36" i="80"/>
  <c r="G18" i="11"/>
  <c r="D103" i="82"/>
  <c r="N49" i="15"/>
  <c r="E30" i="3"/>
  <c r="F389" i="9"/>
  <c r="T18" i="99" s="1"/>
  <c r="U18" i="99" s="1"/>
  <c r="R19" i="99"/>
  <c r="F276" i="9"/>
  <c r="G119" i="48" s="1"/>
  <c r="M119" i="48" s="1"/>
  <c r="H119" i="48" s="1"/>
  <c r="F322" i="9"/>
  <c r="T65" i="95" s="1"/>
  <c r="U65" i="95" s="1"/>
  <c r="R64" i="88"/>
  <c r="F43" i="9"/>
  <c r="G19" i="48" s="1"/>
  <c r="R65" i="97"/>
  <c r="F147" i="9"/>
  <c r="T17" i="112" s="1"/>
  <c r="U17" i="112" s="1"/>
  <c r="D260" i="48"/>
  <c r="Q3" i="117"/>
  <c r="D205" i="48"/>
  <c r="B206" i="48"/>
  <c r="O4" i="117"/>
  <c r="C253" i="48"/>
  <c r="D254" i="48"/>
  <c r="B25" i="16"/>
  <c r="C261" i="48"/>
  <c r="C15" i="117"/>
  <c r="C16" i="117"/>
  <c r="D261" i="48"/>
  <c r="D36" i="85"/>
  <c r="H7" i="111"/>
  <c r="B14" i="117"/>
  <c r="J54" i="15"/>
  <c r="E21" i="3"/>
  <c r="E35" i="3"/>
  <c r="L26" i="3"/>
  <c r="O50" i="15"/>
  <c r="O55" i="15"/>
  <c r="P8" i="3"/>
  <c r="T5" i="10"/>
  <c r="N9" i="100"/>
  <c r="R63" i="92"/>
  <c r="F595" i="9"/>
  <c r="F575" i="9"/>
  <c r="G229" i="48" s="1"/>
  <c r="M229" i="48" s="1"/>
  <c r="H229" i="48" s="1"/>
  <c r="D269" i="48"/>
  <c r="F143" i="9"/>
  <c r="T11" i="105" s="1"/>
  <c r="U11" i="105" s="1"/>
  <c r="B164" i="48"/>
  <c r="R19" i="112"/>
  <c r="Q77" i="96"/>
  <c r="Q75" i="95"/>
  <c r="Q76" i="115"/>
  <c r="Q67" i="97"/>
  <c r="Q87" i="114"/>
  <c r="Q77" i="113"/>
  <c r="Q87" i="109"/>
  <c r="Q67" i="92"/>
  <c r="P3" i="117"/>
  <c r="C205" i="48"/>
  <c r="P87" i="114"/>
  <c r="P67" i="92"/>
  <c r="P75" i="95"/>
  <c r="P76" i="115"/>
  <c r="P87" i="109"/>
  <c r="P67" i="97"/>
  <c r="P77" i="96"/>
  <c r="P77" i="113"/>
  <c r="K3" i="117"/>
  <c r="M25" i="3"/>
  <c r="E40" i="10"/>
  <c r="N6" i="107"/>
  <c r="S93" i="109"/>
  <c r="S81" i="96"/>
  <c r="S80" i="95"/>
  <c r="N9" i="99"/>
  <c r="N10" i="113"/>
  <c r="F570" i="9"/>
  <c r="F8" i="75" s="1"/>
  <c r="G8" i="75" s="1"/>
  <c r="F240" i="9"/>
  <c r="F8" i="16" s="1"/>
  <c r="G8" i="16" s="1"/>
  <c r="R9" i="113"/>
  <c r="C254" i="48"/>
  <c r="O3" i="117"/>
  <c r="B205" i="48"/>
  <c r="D24" i="16"/>
  <c r="B21" i="16"/>
  <c r="B24" i="16"/>
  <c r="D259" i="48"/>
  <c r="F170" i="9"/>
  <c r="T49" i="112" s="1"/>
  <c r="U49" i="112" s="1"/>
  <c r="F620" i="9"/>
  <c r="F621" i="9"/>
  <c r="G254" i="48" s="1"/>
  <c r="M254" i="48" s="1"/>
  <c r="H254" i="48" s="1"/>
  <c r="F625" i="9"/>
  <c r="G258" i="48" s="1"/>
  <c r="M258" i="48" s="1"/>
  <c r="H258" i="48" s="1"/>
  <c r="F626" i="9"/>
  <c r="F25" i="16" s="1"/>
  <c r="G25" i="16" s="1"/>
  <c r="F627" i="9"/>
  <c r="F628" i="9"/>
  <c r="F27" i="16" s="1"/>
  <c r="G27" i="16" s="1"/>
  <c r="F472" i="9"/>
  <c r="G185" i="48" s="1"/>
  <c r="M185" i="48" s="1"/>
  <c r="H185" i="48" s="1"/>
  <c r="F131" i="9"/>
  <c r="T8" i="115" s="1"/>
  <c r="U8" i="115" s="1"/>
  <c r="F664" i="9"/>
  <c r="G279" i="48" s="1"/>
  <c r="F567" i="9"/>
  <c r="F3" i="75" s="1"/>
  <c r="G3" i="75" s="1"/>
  <c r="F579" i="9"/>
  <c r="G233" i="48" s="1"/>
  <c r="M233" i="48" s="1"/>
  <c r="H233" i="48" s="1"/>
  <c r="F552" i="9"/>
  <c r="G217" i="48" s="1"/>
  <c r="M217" i="48" s="1"/>
  <c r="H217" i="48" s="1"/>
  <c r="F39" i="9"/>
  <c r="G18" i="48" s="1"/>
  <c r="F11" i="9"/>
  <c r="G11" i="48" s="1"/>
  <c r="M11" i="48" s="1"/>
  <c r="H11" i="48" s="1"/>
  <c r="F417" i="9"/>
  <c r="G165" i="48" s="1"/>
  <c r="M165" i="48" s="1"/>
  <c r="H165" i="48" s="1"/>
  <c r="F19" i="9"/>
  <c r="T3" i="82" s="1"/>
  <c r="U3" i="82" s="1"/>
  <c r="F402" i="9"/>
  <c r="F323" i="9"/>
  <c r="T66" i="95" s="1"/>
  <c r="U66" i="95" s="1"/>
  <c r="F500" i="9"/>
  <c r="G195" i="48" s="1"/>
  <c r="M195" i="48" s="1"/>
  <c r="H195" i="48" s="1"/>
  <c r="F247" i="9"/>
  <c r="T60" i="83" s="1"/>
  <c r="U60" i="83" s="1"/>
  <c r="F456" i="9"/>
  <c r="G179" i="48" s="1"/>
  <c r="M179" i="48" s="1"/>
  <c r="H179" i="48" s="1"/>
  <c r="F180" i="9"/>
  <c r="T15" i="95" s="1"/>
  <c r="U15" i="95" s="1"/>
  <c r="F433" i="9"/>
  <c r="G170" i="48" s="1"/>
  <c r="M170" i="48" s="1"/>
  <c r="H170" i="48" s="1"/>
  <c r="F263" i="9"/>
  <c r="G115" i="48" s="1"/>
  <c r="F219" i="9"/>
  <c r="F466" i="9"/>
  <c r="G183" i="48" s="1"/>
  <c r="M183" i="48" s="1"/>
  <c r="H183" i="48" s="1"/>
  <c r="F551" i="9"/>
  <c r="F12" i="16" s="1"/>
  <c r="G12" i="16" s="1"/>
  <c r="F127" i="9"/>
  <c r="T7" i="107" s="1"/>
  <c r="U7" i="107" s="1"/>
  <c r="F159" i="9"/>
  <c r="BD33" i="48"/>
  <c r="BD29" i="48"/>
  <c r="BD72" i="48"/>
  <c r="F631" i="9"/>
  <c r="F364" i="9"/>
  <c r="G146" i="48" s="1"/>
  <c r="M146" i="48" s="1"/>
  <c r="H146" i="48" s="1"/>
  <c r="F383" i="9"/>
  <c r="T16" i="99" s="1"/>
  <c r="U16" i="99" s="1"/>
  <c r="F494" i="9"/>
  <c r="G193" i="48" s="1"/>
  <c r="M193" i="48" s="1"/>
  <c r="H193" i="48" s="1"/>
  <c r="F210" i="9"/>
  <c r="F485" i="9"/>
  <c r="T15" i="100" s="1"/>
  <c r="U15" i="100" s="1"/>
  <c r="F520" i="9"/>
  <c r="S8" i="102" s="1"/>
  <c r="T8" i="102" s="1"/>
  <c r="F642" i="9"/>
  <c r="F151" i="9"/>
  <c r="G44" i="48" s="1"/>
  <c r="F462" i="9"/>
  <c r="G181" i="48" s="1"/>
  <c r="M181" i="48" s="1"/>
  <c r="H181" i="48" s="1"/>
  <c r="F59" i="9"/>
  <c r="G23" i="48" s="1"/>
  <c r="M23" i="48" s="1"/>
  <c r="H23" i="48" s="1"/>
  <c r="F516" i="9"/>
  <c r="G201" i="48" s="1"/>
  <c r="M201" i="48" s="1"/>
  <c r="H201" i="48" s="1"/>
  <c r="F297" i="9"/>
  <c r="T61" i="92" s="1"/>
  <c r="F361" i="9"/>
  <c r="G145" i="48" s="1"/>
  <c r="M145" i="48" s="1"/>
  <c r="H145" i="48" s="1"/>
  <c r="F399" i="9"/>
  <c r="T21" i="99" s="1"/>
  <c r="U21" i="99" s="1"/>
  <c r="F478" i="9"/>
  <c r="T13" i="100" s="1"/>
  <c r="U13" i="100" s="1"/>
  <c r="F221" i="9"/>
  <c r="T53" i="106" s="1"/>
  <c r="U53" i="106" s="1"/>
  <c r="F367" i="9"/>
  <c r="G147" i="48" s="1"/>
  <c r="M147" i="48" s="1"/>
  <c r="H147" i="48" s="1"/>
  <c r="F75" i="9"/>
  <c r="T3" i="85" s="1"/>
  <c r="U3" i="85" s="1"/>
  <c r="F513" i="9"/>
  <c r="G200" i="48" s="1"/>
  <c r="M200" i="48" s="1"/>
  <c r="H200" i="48" s="1"/>
  <c r="F115" i="9"/>
  <c r="F278" i="9"/>
  <c r="T62" i="86" s="1"/>
  <c r="U62" i="86" s="1"/>
  <c r="F597" i="9"/>
  <c r="F34" i="75" s="1"/>
  <c r="G34" i="75" s="1"/>
  <c r="F622" i="9"/>
  <c r="F22" i="16" s="1"/>
  <c r="G22" i="16" s="1"/>
  <c r="F87" i="9"/>
  <c r="T6" i="95" s="1"/>
  <c r="U6" i="95" s="1"/>
  <c r="F338" i="9"/>
  <c r="T64" i="107" s="1"/>
  <c r="U64" i="107" s="1"/>
  <c r="F405" i="9"/>
  <c r="G161" i="48" s="1"/>
  <c r="M161" i="48" s="1"/>
  <c r="H161" i="48" s="1"/>
  <c r="F181" i="9"/>
  <c r="T16" i="95" s="1"/>
  <c r="U16" i="95" s="1"/>
  <c r="F523" i="9"/>
  <c r="G203" i="48" s="1"/>
  <c r="M203" i="48" s="1"/>
  <c r="H203" i="48" s="1"/>
  <c r="F306" i="9"/>
  <c r="T63" i="95" s="1"/>
  <c r="U63" i="95" s="1"/>
  <c r="F395" i="9"/>
  <c r="G157" i="48" s="1"/>
  <c r="M157" i="48" s="1"/>
  <c r="H157" i="48" s="1"/>
  <c r="F215" i="9"/>
  <c r="T47" i="97" s="1"/>
  <c r="U47" i="97" s="1"/>
  <c r="F259" i="9"/>
  <c r="T60" i="105" s="1"/>
  <c r="U60" i="105" s="1"/>
  <c r="F107" i="9"/>
  <c r="T16" i="90" s="1"/>
  <c r="U16" i="90" s="1"/>
  <c r="F27" i="9"/>
  <c r="T5" i="93" s="1"/>
  <c r="U5" i="93" s="1"/>
  <c r="F427" i="9"/>
  <c r="G168" i="48" s="1"/>
  <c r="M168" i="48" s="1"/>
  <c r="H168" i="48" s="1"/>
  <c r="F95" i="9"/>
  <c r="T8" i="92" s="1"/>
  <c r="U8" i="92" s="1"/>
  <c r="F376" i="9"/>
  <c r="G150" i="48" s="1"/>
  <c r="M150" i="48" s="1"/>
  <c r="H150" i="48" s="1"/>
  <c r="F638" i="9"/>
  <c r="G269" i="48" s="1"/>
  <c r="M269" i="48" s="1"/>
  <c r="H269" i="48" s="1"/>
  <c r="F119" i="9"/>
  <c r="T5" i="105" s="1"/>
  <c r="U5" i="105" s="1"/>
  <c r="F444" i="9"/>
  <c r="G174" i="48" s="1"/>
  <c r="M174" i="48" s="1"/>
  <c r="H174" i="48" s="1"/>
  <c r="F545" i="9"/>
  <c r="S22" i="103" s="1"/>
  <c r="T22" i="103" s="1"/>
  <c r="F231" i="9"/>
  <c r="G105" i="48" s="1"/>
  <c r="M105" i="48" s="1"/>
  <c r="H105" i="48" s="1"/>
  <c r="F224" i="9"/>
  <c r="T56" i="82" s="1"/>
  <c r="U56" i="82" s="1"/>
  <c r="F183" i="9"/>
  <c r="G63" i="48" s="1"/>
  <c r="F599" i="9"/>
  <c r="F532" i="9"/>
  <c r="F529" i="9"/>
  <c r="P9" i="116"/>
  <c r="C173" i="48"/>
  <c r="O9" i="116"/>
  <c r="B173" i="48"/>
  <c r="Q9" i="116"/>
  <c r="D173" i="48"/>
  <c r="N2" i="95"/>
  <c r="M2" i="117"/>
  <c r="H8" i="117"/>
  <c r="R42" i="117"/>
  <c r="P83" i="81"/>
  <c r="D40" i="81" s="1"/>
  <c r="I5" i="95"/>
  <c r="H6" i="117"/>
  <c r="N6" i="104"/>
  <c r="N6" i="88"/>
  <c r="N6" i="92"/>
  <c r="N6" i="80"/>
  <c r="N6" i="85"/>
  <c r="D103" i="83"/>
  <c r="G8" i="8"/>
  <c r="J5" i="48"/>
  <c r="N7" i="95"/>
  <c r="M5" i="117"/>
  <c r="I6" i="16"/>
  <c r="G105" i="82"/>
  <c r="G105" i="83"/>
  <c r="M11" i="103"/>
  <c r="N11" i="104"/>
  <c r="C126" i="11"/>
  <c r="N4" i="89"/>
  <c r="M9" i="116"/>
  <c r="N9" i="95"/>
  <c r="M7" i="117"/>
  <c r="B14" i="101"/>
  <c r="N11" i="86"/>
  <c r="M6" i="90"/>
  <c r="N6" i="86"/>
  <c r="N6" i="105"/>
  <c r="I7" i="75"/>
  <c r="N11" i="109"/>
  <c r="N11" i="82"/>
  <c r="BD34" i="48"/>
  <c r="BD92" i="48"/>
  <c r="BD102" i="48"/>
  <c r="BD85" i="48"/>
  <c r="D24" i="48"/>
  <c r="R9" i="85"/>
  <c r="R9" i="104"/>
  <c r="B16" i="48"/>
  <c r="R22" i="99"/>
  <c r="C28" i="48"/>
  <c r="P3" i="116"/>
  <c r="BD35" i="48"/>
  <c r="F63" i="9"/>
  <c r="T7" i="84" s="1"/>
  <c r="U7" i="84" s="1"/>
  <c r="F83" i="9"/>
  <c r="G29" i="48" s="1"/>
  <c r="F660" i="9"/>
  <c r="G275" i="48" s="1"/>
  <c r="H275" i="48" s="1"/>
  <c r="F200" i="9"/>
  <c r="T34" i="88" s="1"/>
  <c r="U34" i="88" s="1"/>
  <c r="BD27" i="48"/>
  <c r="BD86" i="48"/>
  <c r="BD101" i="48"/>
  <c r="F541" i="9"/>
  <c r="BD87" i="48"/>
  <c r="BD90" i="48"/>
  <c r="C208" i="48"/>
  <c r="BD100" i="48"/>
  <c r="BD91" i="48"/>
  <c r="P60" i="111"/>
  <c r="R9" i="92"/>
  <c r="Q64" i="107"/>
  <c r="R14" i="90"/>
  <c r="BD30" i="48"/>
  <c r="R60" i="84"/>
  <c r="BD21" i="48"/>
  <c r="BD41" i="48"/>
  <c r="BD44" i="48"/>
  <c r="BD93" i="48"/>
  <c r="BD95" i="48"/>
  <c r="BD96" i="48"/>
  <c r="BD89" i="48"/>
  <c r="C30" i="48"/>
  <c r="Q11" i="81"/>
  <c r="R9" i="87"/>
  <c r="P10" i="85"/>
  <c r="Q64" i="92"/>
  <c r="BD31" i="48"/>
  <c r="BD97" i="48"/>
  <c r="BD83" i="48"/>
  <c r="BD99" i="48"/>
  <c r="BD88" i="48"/>
  <c r="BD94" i="48"/>
  <c r="BD25" i="48"/>
  <c r="R10" i="95"/>
  <c r="Q9" i="104"/>
  <c r="R23" i="99"/>
  <c r="T53" i="86"/>
  <c r="U53" i="86" s="1"/>
  <c r="C117" i="48"/>
  <c r="R10" i="97"/>
  <c r="Q3" i="97"/>
  <c r="C149" i="48"/>
  <c r="R7" i="100"/>
  <c r="R7" i="92"/>
  <c r="P17" i="100"/>
  <c r="D165" i="48"/>
  <c r="L50" i="48"/>
  <c r="BD50" i="48"/>
  <c r="L24" i="48"/>
  <c r="BD24" i="48"/>
  <c r="L26" i="48"/>
  <c r="BD26" i="48"/>
  <c r="F36" i="48"/>
  <c r="BD36" i="48" s="1"/>
  <c r="L215" i="48"/>
  <c r="P214" i="48"/>
  <c r="BD80" i="48"/>
  <c r="BD128" i="48"/>
  <c r="F28" i="48"/>
  <c r="L28" i="48" s="1"/>
  <c r="L73" i="48"/>
  <c r="F131" i="48"/>
  <c r="BD131" i="48" s="1"/>
  <c r="BD119" i="48"/>
  <c r="L138" i="48"/>
  <c r="M138" i="48" s="1"/>
  <c r="T53" i="80"/>
  <c r="U53" i="80" s="1"/>
  <c r="T53" i="110"/>
  <c r="U53" i="110" s="1"/>
  <c r="R13" i="100"/>
  <c r="BD12" i="48"/>
  <c r="R4" i="114"/>
  <c r="R10" i="109"/>
  <c r="R10" i="92"/>
  <c r="Q6" i="110"/>
  <c r="Q3" i="96"/>
  <c r="Q7" i="81"/>
  <c r="D34" i="48"/>
  <c r="T53" i="92"/>
  <c r="U53" i="92" s="1"/>
  <c r="T53" i="107"/>
  <c r="U53" i="107" s="1"/>
  <c r="R8" i="85"/>
  <c r="R10" i="96"/>
  <c r="Q3" i="90"/>
  <c r="R10" i="87"/>
  <c r="T53" i="87"/>
  <c r="U53" i="87" s="1"/>
  <c r="Q3" i="112"/>
  <c r="R10" i="115"/>
  <c r="R10" i="89"/>
  <c r="R4" i="85"/>
  <c r="B194" i="48"/>
  <c r="D31" i="48"/>
  <c r="P10" i="92"/>
  <c r="Q14" i="90"/>
  <c r="D127" i="48"/>
  <c r="P3" i="96"/>
  <c r="R7" i="111"/>
  <c r="Q11" i="111"/>
  <c r="R8" i="109"/>
  <c r="Q16" i="112"/>
  <c r="B169" i="48"/>
  <c r="R61" i="95"/>
  <c r="Q3" i="116"/>
  <c r="R7" i="85"/>
  <c r="C190" i="48"/>
  <c r="P22" i="99"/>
  <c r="R19" i="90"/>
  <c r="R64" i="107"/>
  <c r="Q10" i="99"/>
  <c r="Q9" i="89"/>
  <c r="R65" i="115"/>
  <c r="R3" i="95"/>
  <c r="D141" i="48"/>
  <c r="R5" i="89"/>
  <c r="C177" i="48"/>
  <c r="D28" i="48"/>
  <c r="B20" i="48"/>
  <c r="D45" i="48"/>
  <c r="R64" i="92"/>
  <c r="R7" i="115"/>
  <c r="R4" i="95"/>
  <c r="Q13" i="112"/>
  <c r="Q9" i="115"/>
  <c r="R61" i="80"/>
  <c r="C39" i="48"/>
  <c r="R5" i="115"/>
  <c r="R5" i="88"/>
  <c r="R3" i="89"/>
  <c r="P10" i="81"/>
  <c r="O3" i="102"/>
  <c r="D36" i="110"/>
  <c r="D36" i="83"/>
  <c r="D36" i="84"/>
  <c r="D36" i="88"/>
  <c r="P81" i="111"/>
  <c r="P81" i="81"/>
  <c r="P81" i="105"/>
  <c r="N3" i="93"/>
  <c r="N3" i="88"/>
  <c r="M3" i="112"/>
  <c r="N3" i="85"/>
  <c r="N3" i="110"/>
  <c r="I3" i="16"/>
  <c r="N3" i="92"/>
  <c r="P3" i="3"/>
  <c r="C43" i="48"/>
  <c r="Q17" i="90"/>
  <c r="R5" i="82"/>
  <c r="R4" i="111"/>
  <c r="P7" i="104"/>
  <c r="P9" i="111"/>
  <c r="P3" i="102"/>
  <c r="C200" i="48"/>
  <c r="D153" i="48"/>
  <c r="R16" i="99"/>
  <c r="R60" i="86"/>
  <c r="D115" i="48"/>
  <c r="N11" i="80"/>
  <c r="N11" i="107"/>
  <c r="N11" i="93"/>
  <c r="K1" i="48"/>
  <c r="M11" i="112"/>
  <c r="M11" i="116"/>
  <c r="N11" i="92"/>
  <c r="N11" i="113"/>
  <c r="N11" i="100"/>
  <c r="I10" i="16"/>
  <c r="N11" i="97"/>
  <c r="N11" i="115"/>
  <c r="Q8" i="85"/>
  <c r="Q8" i="80"/>
  <c r="Q8" i="89"/>
  <c r="Q8" i="95"/>
  <c r="Q8" i="88"/>
  <c r="Q13" i="90"/>
  <c r="C32" i="48"/>
  <c r="Q10" i="86"/>
  <c r="Q20" i="90"/>
  <c r="P18" i="100"/>
  <c r="B193" i="48"/>
  <c r="C16" i="48"/>
  <c r="Q5" i="111"/>
  <c r="Q6" i="82"/>
  <c r="Q6" i="93"/>
  <c r="Q12" i="90"/>
  <c r="Q7" i="96"/>
  <c r="Q7" i="85"/>
  <c r="Q7" i="95"/>
  <c r="Q7" i="97"/>
  <c r="Q7" i="92"/>
  <c r="C31" i="48"/>
  <c r="B177" i="48"/>
  <c r="P3" i="100"/>
  <c r="Q6" i="113"/>
  <c r="Q6" i="105"/>
  <c r="Q6" i="106"/>
  <c r="Q6" i="109"/>
  <c r="P20" i="112"/>
  <c r="B46" i="48"/>
  <c r="P10" i="86"/>
  <c r="D36" i="107"/>
  <c r="D36" i="111"/>
  <c r="N3" i="106"/>
  <c r="N3" i="115"/>
  <c r="M3" i="101"/>
  <c r="N3" i="97"/>
  <c r="P81" i="106"/>
  <c r="N11" i="106"/>
  <c r="N3" i="80"/>
  <c r="M11" i="90"/>
  <c r="N11" i="87"/>
  <c r="N10" i="111"/>
  <c r="N10" i="106"/>
  <c r="N10" i="82"/>
  <c r="N10" i="99"/>
  <c r="M10" i="102"/>
  <c r="N10" i="81"/>
  <c r="N10" i="97"/>
  <c r="N11" i="85"/>
  <c r="P10" i="3"/>
  <c r="N11" i="111"/>
  <c r="P13" i="99"/>
  <c r="D178" i="48"/>
  <c r="Q8" i="96"/>
  <c r="Q8" i="87"/>
  <c r="Q7" i="89"/>
  <c r="P9" i="90"/>
  <c r="P9" i="112"/>
  <c r="P9" i="88"/>
  <c r="P9" i="97"/>
  <c r="R21" i="100"/>
  <c r="D197" i="48"/>
  <c r="P18" i="112"/>
  <c r="P20" i="90"/>
  <c r="Q7" i="80"/>
  <c r="P6" i="93"/>
  <c r="P5" i="111"/>
  <c r="P6" i="82"/>
  <c r="P9" i="86"/>
  <c r="P19" i="112"/>
  <c r="R18" i="100"/>
  <c r="D193" i="48"/>
  <c r="Q8" i="115"/>
  <c r="Q8" i="106"/>
  <c r="Q8" i="108"/>
  <c r="Q8" i="105"/>
  <c r="Q8" i="113"/>
  <c r="P6" i="87"/>
  <c r="P6" i="95"/>
  <c r="B30" i="48"/>
  <c r="P6" i="85"/>
  <c r="P6" i="88"/>
  <c r="P6" i="89"/>
  <c r="P12" i="110"/>
  <c r="P10" i="80"/>
  <c r="P10" i="96"/>
  <c r="B34" i="48"/>
  <c r="P10" i="88"/>
  <c r="P15" i="90"/>
  <c r="P10" i="87"/>
  <c r="D36" i="104"/>
  <c r="D36" i="81"/>
  <c r="N3" i="113"/>
  <c r="N3" i="108"/>
  <c r="N3" i="86"/>
  <c r="P81" i="83"/>
  <c r="P81" i="80"/>
  <c r="N10" i="96"/>
  <c r="M11" i="101"/>
  <c r="P9" i="3"/>
  <c r="M10" i="103"/>
  <c r="M10" i="112"/>
  <c r="N10" i="105"/>
  <c r="N10" i="107"/>
  <c r="N6" i="95"/>
  <c r="N6" i="83"/>
  <c r="N6" i="89"/>
  <c r="R8" i="15"/>
  <c r="M6" i="112"/>
  <c r="N6" i="106"/>
  <c r="N6" i="81"/>
  <c r="N11" i="99"/>
  <c r="N11" i="114"/>
  <c r="N11" i="89"/>
  <c r="N11" i="83"/>
  <c r="N11" i="110"/>
  <c r="N11" i="81"/>
  <c r="Q6" i="81"/>
  <c r="O4" i="101"/>
  <c r="Q8" i="107"/>
  <c r="P10" i="97"/>
  <c r="P10" i="95"/>
  <c r="Q11" i="99"/>
  <c r="B44" i="48"/>
  <c r="Q6" i="104"/>
  <c r="Q7" i="87"/>
  <c r="Q10" i="111"/>
  <c r="N32" i="107"/>
  <c r="D36" i="87"/>
  <c r="D36" i="105"/>
  <c r="P81" i="85"/>
  <c r="N3" i="82"/>
  <c r="M3" i="102"/>
  <c r="B45" i="104"/>
  <c r="P81" i="87"/>
  <c r="P81" i="86"/>
  <c r="N6" i="84"/>
  <c r="M9" i="102"/>
  <c r="K6" i="11"/>
  <c r="N10" i="92"/>
  <c r="N6" i="115"/>
  <c r="N10" i="86"/>
  <c r="M9" i="101"/>
  <c r="M10" i="101"/>
  <c r="N6" i="111"/>
  <c r="N3" i="111"/>
  <c r="N11" i="88"/>
  <c r="M11" i="102"/>
  <c r="N11" i="96"/>
  <c r="I10" i="75"/>
  <c r="N11" i="108"/>
  <c r="C169" i="48"/>
  <c r="P7" i="107"/>
  <c r="Q8" i="109"/>
  <c r="Q20" i="112"/>
  <c r="P6" i="80"/>
  <c r="Q8" i="104"/>
  <c r="Q8" i="92"/>
  <c r="B33" i="48"/>
  <c r="R8" i="113"/>
  <c r="R8" i="92"/>
  <c r="P60" i="83"/>
  <c r="B111" i="48"/>
  <c r="C164" i="48"/>
  <c r="P3" i="101"/>
  <c r="P8" i="86"/>
  <c r="B13" i="48"/>
  <c r="P3" i="81"/>
  <c r="Q3" i="101"/>
  <c r="D164" i="48"/>
  <c r="Q6" i="107"/>
  <c r="Q7" i="88"/>
  <c r="B117" i="48"/>
  <c r="P61" i="83"/>
  <c r="Q3" i="114"/>
  <c r="Q3" i="115"/>
  <c r="R10" i="80"/>
  <c r="R12" i="110"/>
  <c r="F554" i="9"/>
  <c r="F16" i="16" s="1"/>
  <c r="G16" i="16" s="1"/>
  <c r="F585" i="9"/>
  <c r="F11" i="75" s="1"/>
  <c r="G11" i="75" s="1"/>
  <c r="F79" i="9"/>
  <c r="T4" i="95" s="1"/>
  <c r="U4" i="95" s="1"/>
  <c r="F373" i="9"/>
  <c r="G149" i="48" s="1"/>
  <c r="M149" i="48" s="1"/>
  <c r="H149" i="48" s="1"/>
  <c r="F348" i="9"/>
  <c r="T4" i="99" s="1"/>
  <c r="U4" i="99" s="1"/>
  <c r="F251" i="9"/>
  <c r="G112" i="48" s="1"/>
  <c r="F199" i="9"/>
  <c r="T31" i="95" s="1"/>
  <c r="U31" i="95" s="1"/>
  <c r="F580" i="9"/>
  <c r="G234" i="48" s="1"/>
  <c r="M234" i="48" s="1"/>
  <c r="H234" i="48" s="1"/>
  <c r="F380" i="9"/>
  <c r="T15" i="99" s="1"/>
  <c r="U15" i="99" s="1"/>
  <c r="F543" i="9"/>
  <c r="G210" i="48" s="1"/>
  <c r="M210" i="48" s="1"/>
  <c r="H210" i="48" s="1"/>
  <c r="F194" i="9"/>
  <c r="T26" i="95" s="1"/>
  <c r="U26" i="95" s="1"/>
  <c r="F204" i="9"/>
  <c r="T36" i="95" s="1"/>
  <c r="U36" i="95" s="1"/>
  <c r="R7" i="99"/>
  <c r="R10" i="88"/>
  <c r="Q9" i="88"/>
  <c r="F345" i="9"/>
  <c r="T3" i="99" s="1"/>
  <c r="U3" i="99" s="1"/>
  <c r="F139" i="9"/>
  <c r="T10" i="106" s="1"/>
  <c r="U10" i="106" s="1"/>
  <c r="F71" i="9"/>
  <c r="G26" i="48" s="1"/>
  <c r="Q6" i="111"/>
  <c r="R4" i="96"/>
  <c r="R10" i="114"/>
  <c r="R10" i="113"/>
  <c r="R10" i="90"/>
  <c r="R10" i="85"/>
  <c r="R64" i="115"/>
  <c r="F635" i="9"/>
  <c r="F34" i="16" s="1"/>
  <c r="G34" i="16" s="1"/>
  <c r="F420" i="9"/>
  <c r="G166" i="48" s="1"/>
  <c r="M166" i="48" s="1"/>
  <c r="H166" i="48" s="1"/>
  <c r="F99" i="9"/>
  <c r="T11" i="110" s="1"/>
  <c r="U11" i="110" s="1"/>
  <c r="F135" i="9"/>
  <c r="T9" i="108" s="1"/>
  <c r="U9" i="108" s="1"/>
  <c r="F430" i="9"/>
  <c r="S10" i="101" s="1"/>
  <c r="T10" i="101" s="1"/>
  <c r="F481" i="9"/>
  <c r="G188" i="48" s="1"/>
  <c r="M188" i="48" s="1"/>
  <c r="H188" i="48" s="1"/>
  <c r="F23" i="9"/>
  <c r="T3" i="110" s="1"/>
  <c r="U3" i="110" s="1"/>
  <c r="F459" i="9"/>
  <c r="G180" i="48" s="1"/>
  <c r="M180" i="48" s="1"/>
  <c r="H180" i="48" s="1"/>
  <c r="C17" i="48"/>
  <c r="Q7" i="93"/>
  <c r="F475" i="9"/>
  <c r="G186" i="48" s="1"/>
  <c r="M186" i="48" s="1"/>
  <c r="H186" i="48" s="1"/>
  <c r="F201" i="9"/>
  <c r="T35" i="82" s="1"/>
  <c r="U35" i="82" s="1"/>
  <c r="F578" i="9"/>
  <c r="F182" i="9"/>
  <c r="T17" i="97" s="1"/>
  <c r="U17" i="97" s="1"/>
  <c r="F414" i="9"/>
  <c r="S3" i="101" s="1"/>
  <c r="T3" i="101" s="1"/>
  <c r="C168" i="48"/>
  <c r="P9" i="101"/>
  <c r="P2" i="95"/>
  <c r="P2" i="112"/>
  <c r="C34" i="114"/>
  <c r="C26" i="114"/>
  <c r="I34" i="96"/>
  <c r="I26" i="96"/>
  <c r="C34" i="109"/>
  <c r="C26" i="109"/>
  <c r="I34" i="95"/>
  <c r="I34" i="115"/>
  <c r="I26" i="115"/>
  <c r="C34" i="96"/>
  <c r="C26" i="96"/>
  <c r="I34" i="113"/>
  <c r="I26" i="113"/>
  <c r="C34" i="95"/>
  <c r="I26" i="95"/>
  <c r="C34" i="115"/>
  <c r="C26" i="115"/>
  <c r="I34" i="97"/>
  <c r="I26" i="97"/>
  <c r="C34" i="113"/>
  <c r="C26" i="113"/>
  <c r="I34" i="92"/>
  <c r="I26" i="92"/>
  <c r="C26" i="95"/>
  <c r="C34" i="97"/>
  <c r="C26" i="97"/>
  <c r="I34" i="114"/>
  <c r="I26" i="114"/>
  <c r="C34" i="92"/>
  <c r="C26" i="92"/>
  <c r="I34" i="109"/>
  <c r="I26" i="109"/>
  <c r="C26" i="48"/>
  <c r="Q10" i="90"/>
  <c r="R64" i="96"/>
  <c r="R63" i="95"/>
  <c r="Q11" i="87"/>
  <c r="Q11" i="85"/>
  <c r="Q6" i="97"/>
  <c r="Q6" i="90"/>
  <c r="R12" i="111"/>
  <c r="R15" i="112"/>
  <c r="D105" i="107"/>
  <c r="D105" i="105"/>
  <c r="D105" i="84"/>
  <c r="D105" i="86"/>
  <c r="D105" i="87"/>
  <c r="D105" i="85"/>
  <c r="D105" i="110"/>
  <c r="D105" i="106"/>
  <c r="D105" i="104"/>
  <c r="D105" i="111"/>
  <c r="D105" i="88"/>
  <c r="D105" i="80"/>
  <c r="D105" i="81"/>
  <c r="C33" i="115"/>
  <c r="C25" i="115"/>
  <c r="I33" i="97"/>
  <c r="I25" i="97"/>
  <c r="C33" i="113"/>
  <c r="C25" i="113"/>
  <c r="I33" i="92"/>
  <c r="I25" i="92"/>
  <c r="C33" i="97"/>
  <c r="C25" i="97"/>
  <c r="I33" i="114"/>
  <c r="I25" i="114"/>
  <c r="C33" i="92"/>
  <c r="C25" i="92"/>
  <c r="I33" i="109"/>
  <c r="I25" i="109"/>
  <c r="C33" i="114"/>
  <c r="C25" i="114"/>
  <c r="I33" i="96"/>
  <c r="I25" i="96"/>
  <c r="C33" i="109"/>
  <c r="C25" i="109"/>
  <c r="I33" i="95"/>
  <c r="I25" i="95"/>
  <c r="I33" i="115"/>
  <c r="I25" i="115"/>
  <c r="C33" i="96"/>
  <c r="C25" i="96"/>
  <c r="I33" i="113"/>
  <c r="I25" i="113"/>
  <c r="C33" i="95"/>
  <c r="C25" i="95"/>
  <c r="H7" i="84"/>
  <c r="B19" i="102"/>
  <c r="B23" i="114"/>
  <c r="H23" i="96"/>
  <c r="B23" i="109"/>
  <c r="B23" i="95"/>
  <c r="H23" i="115"/>
  <c r="B23" i="96"/>
  <c r="H23" i="113"/>
  <c r="B23" i="115"/>
  <c r="H23" i="97"/>
  <c r="B23" i="113"/>
  <c r="H23" i="92"/>
  <c r="B23" i="97"/>
  <c r="H23" i="114"/>
  <c r="B23" i="92"/>
  <c r="H23" i="109"/>
  <c r="H23" i="95"/>
  <c r="J104" i="82"/>
  <c r="J104" i="111"/>
  <c r="J104" i="88"/>
  <c r="J104" i="80"/>
  <c r="J104" i="81"/>
  <c r="J104" i="107"/>
  <c r="J104" i="105"/>
  <c r="J104" i="84"/>
  <c r="J104" i="86"/>
  <c r="J104" i="87"/>
  <c r="J104" i="85"/>
  <c r="J104" i="110"/>
  <c r="J104" i="106"/>
  <c r="J104" i="104"/>
  <c r="N4" i="95"/>
  <c r="N4" i="80"/>
  <c r="B43" i="107"/>
  <c r="B54" i="105"/>
  <c r="T3" i="10"/>
  <c r="N10" i="95"/>
  <c r="I9" i="16"/>
  <c r="M10" i="90"/>
  <c r="N10" i="85"/>
  <c r="N10" i="100"/>
  <c r="T9" i="10"/>
  <c r="BG7" i="48"/>
  <c r="N10" i="114"/>
  <c r="N10" i="89"/>
  <c r="N10" i="115"/>
  <c r="B42" i="115"/>
  <c r="B42" i="114"/>
  <c r="B42" i="113"/>
  <c r="B42" i="109"/>
  <c r="B42" i="97"/>
  <c r="B42" i="96"/>
  <c r="B42" i="92"/>
  <c r="B42" i="95"/>
  <c r="Q5" i="81"/>
  <c r="D43" i="48"/>
  <c r="R6" i="109"/>
  <c r="R6" i="97"/>
  <c r="T53" i="96"/>
  <c r="U53" i="96" s="1"/>
  <c r="T53" i="111"/>
  <c r="U53" i="111" s="1"/>
  <c r="T53" i="85"/>
  <c r="U53" i="85" s="1"/>
  <c r="T53" i="88"/>
  <c r="U53" i="88" s="1"/>
  <c r="G97" i="48"/>
  <c r="M97" i="48" s="1"/>
  <c r="H97" i="48" s="1"/>
  <c r="T53" i="97"/>
  <c r="U53" i="97" s="1"/>
  <c r="T53" i="95"/>
  <c r="U53" i="95" s="1"/>
  <c r="T53" i="104"/>
  <c r="U53" i="104" s="1"/>
  <c r="T53" i="105"/>
  <c r="U53" i="105" s="1"/>
  <c r="T53" i="81"/>
  <c r="U53" i="81" s="1"/>
  <c r="T32" i="111"/>
  <c r="U32" i="111" s="1"/>
  <c r="H110" i="82"/>
  <c r="H110" i="110"/>
  <c r="H110" i="106"/>
  <c r="H110" i="104"/>
  <c r="H110" i="111"/>
  <c r="H110" i="88"/>
  <c r="H110" i="80"/>
  <c r="H110" i="81"/>
  <c r="H110" i="107"/>
  <c r="H110" i="105"/>
  <c r="H110" i="84"/>
  <c r="H110" i="86"/>
  <c r="H110" i="87"/>
  <c r="H110" i="85"/>
  <c r="B40" i="97"/>
  <c r="B40" i="96"/>
  <c r="B40" i="92"/>
  <c r="B40" i="115"/>
  <c r="B40" i="114"/>
  <c r="B40" i="113"/>
  <c r="B40" i="109"/>
  <c r="B40" i="95"/>
  <c r="B35" i="115"/>
  <c r="B27" i="115"/>
  <c r="H35" i="97"/>
  <c r="H27" i="97"/>
  <c r="B35" i="113"/>
  <c r="B27" i="113"/>
  <c r="H35" i="92"/>
  <c r="H27" i="92"/>
  <c r="H27" i="95"/>
  <c r="B35" i="97"/>
  <c r="B27" i="97"/>
  <c r="H35" i="114"/>
  <c r="H27" i="114"/>
  <c r="B35" i="92"/>
  <c r="B27" i="92"/>
  <c r="H35" i="109"/>
  <c r="H27" i="109"/>
  <c r="B27" i="95"/>
  <c r="B35" i="114"/>
  <c r="B27" i="114"/>
  <c r="H35" i="96"/>
  <c r="H27" i="96"/>
  <c r="B35" i="109"/>
  <c r="B27" i="109"/>
  <c r="H35" i="95"/>
  <c r="H35" i="115"/>
  <c r="H27" i="115"/>
  <c r="B35" i="96"/>
  <c r="B27" i="96"/>
  <c r="H35" i="113"/>
  <c r="H27" i="113"/>
  <c r="B35" i="95"/>
  <c r="I11" i="95"/>
  <c r="I11" i="115"/>
  <c r="L3" i="95"/>
  <c r="B100" i="86"/>
  <c r="B100" i="87"/>
  <c r="B100" i="85"/>
  <c r="B100" i="110"/>
  <c r="B100" i="106"/>
  <c r="B100" i="104"/>
  <c r="B100" i="111"/>
  <c r="B100" i="88"/>
  <c r="B100" i="80"/>
  <c r="B100" i="81"/>
  <c r="B100" i="107"/>
  <c r="B100" i="105"/>
  <c r="B100" i="84"/>
  <c r="B402" i="11"/>
  <c r="B45" i="114"/>
  <c r="B45" i="113"/>
  <c r="B45" i="109"/>
  <c r="B45" i="97"/>
  <c r="B45" i="96"/>
  <c r="B45" i="92"/>
  <c r="B45" i="95"/>
  <c r="B19" i="96"/>
  <c r="B19" i="115"/>
  <c r="B19" i="113"/>
  <c r="B19" i="97"/>
  <c r="B19" i="92"/>
  <c r="B19" i="95"/>
  <c r="B19" i="114"/>
  <c r="B19" i="109"/>
  <c r="E152" i="11"/>
  <c r="F202" i="10"/>
  <c r="B21" i="97"/>
  <c r="B21" i="92"/>
  <c r="B21" i="95"/>
  <c r="B21" i="114"/>
  <c r="B21" i="109"/>
  <c r="B21" i="96"/>
  <c r="B21" i="115"/>
  <c r="B21" i="113"/>
  <c r="P81" i="104"/>
  <c r="P81" i="88"/>
  <c r="P81" i="84"/>
  <c r="P81" i="107"/>
  <c r="N3" i="95"/>
  <c r="N3" i="99"/>
  <c r="N3" i="109"/>
  <c r="N3" i="100"/>
  <c r="M3" i="116"/>
  <c r="N3" i="89"/>
  <c r="N3" i="81"/>
  <c r="P42" i="112"/>
  <c r="P63" i="110"/>
  <c r="B120" i="48"/>
  <c r="P61" i="84"/>
  <c r="B119" i="48"/>
  <c r="P41" i="112"/>
  <c r="T28" i="112"/>
  <c r="U28" i="112" s="1"/>
  <c r="G51" i="48"/>
  <c r="F274" i="9"/>
  <c r="T62" i="111" s="1"/>
  <c r="U62" i="111" s="1"/>
  <c r="F272" i="9"/>
  <c r="G117" i="48" s="1"/>
  <c r="F331" i="9"/>
  <c r="T66" i="106" s="1"/>
  <c r="U66" i="106" s="1"/>
  <c r="F212" i="9"/>
  <c r="T44" i="86" s="1"/>
  <c r="U44" i="86" s="1"/>
  <c r="F179" i="9"/>
  <c r="T15" i="106" s="1"/>
  <c r="U15" i="106" s="1"/>
  <c r="F584" i="9"/>
  <c r="G238" i="48" s="1"/>
  <c r="M238" i="48" s="1"/>
  <c r="H238" i="48" s="1"/>
  <c r="F324" i="9"/>
  <c r="T68" i="114" s="1"/>
  <c r="U68" i="114" s="1"/>
  <c r="F196" i="9"/>
  <c r="T30" i="81" s="1"/>
  <c r="U30" i="81" s="1"/>
  <c r="F592" i="9"/>
  <c r="F29" i="75" s="1"/>
  <c r="G29" i="75" s="1"/>
  <c r="F214" i="9"/>
  <c r="T46" i="104" s="1"/>
  <c r="U46" i="104" s="1"/>
  <c r="B20" i="115"/>
  <c r="B20" i="113"/>
  <c r="B20" i="97"/>
  <c r="B20" i="92"/>
  <c r="B20" i="95"/>
  <c r="B20" i="114"/>
  <c r="B20" i="109"/>
  <c r="B20" i="96"/>
  <c r="I8" i="95"/>
  <c r="B44" i="97"/>
  <c r="B44" i="96"/>
  <c r="B44" i="92"/>
  <c r="B44" i="114"/>
  <c r="B44" i="113"/>
  <c r="B44" i="109"/>
  <c r="B44" i="95"/>
  <c r="B41" i="115"/>
  <c r="B41" i="114"/>
  <c r="B41" i="113"/>
  <c r="B41" i="109"/>
  <c r="B41" i="97"/>
  <c r="B41" i="96"/>
  <c r="B41" i="92"/>
  <c r="B41" i="95"/>
  <c r="J201" i="16"/>
  <c r="N111" i="111"/>
  <c r="N111" i="88"/>
  <c r="N111" i="80"/>
  <c r="N111" i="81"/>
  <c r="N111" i="107"/>
  <c r="N111" i="105"/>
  <c r="N111" i="84"/>
  <c r="N111" i="86"/>
  <c r="N111" i="87"/>
  <c r="N111" i="85"/>
  <c r="N111" i="110"/>
  <c r="N111" i="106"/>
  <c r="N111" i="104"/>
  <c r="G105" i="86"/>
  <c r="G105" i="87"/>
  <c r="G105" i="85"/>
  <c r="G105" i="110"/>
  <c r="G105" i="106"/>
  <c r="G105" i="104"/>
  <c r="G105" i="111"/>
  <c r="G105" i="88"/>
  <c r="G105" i="80"/>
  <c r="G105" i="81"/>
  <c r="G105" i="107"/>
  <c r="G105" i="105"/>
  <c r="G105" i="84"/>
  <c r="D103" i="110"/>
  <c r="D103" i="106"/>
  <c r="D103" i="104"/>
  <c r="D103" i="111"/>
  <c r="D103" i="88"/>
  <c r="D103" i="80"/>
  <c r="D103" i="81"/>
  <c r="D103" i="107"/>
  <c r="D103" i="105"/>
  <c r="D103" i="84"/>
  <c r="D103" i="86"/>
  <c r="D103" i="87"/>
  <c r="D103" i="85"/>
  <c r="B43" i="97"/>
  <c r="B43" i="96"/>
  <c r="B43" i="92"/>
  <c r="B43" i="114"/>
  <c r="B43" i="113"/>
  <c r="B43" i="109"/>
  <c r="B43" i="95"/>
  <c r="F591" i="9"/>
  <c r="G245" i="48" s="1"/>
  <c r="M245" i="48" s="1"/>
  <c r="H245" i="48" s="1"/>
  <c r="F15" i="9"/>
  <c r="G12" i="48" s="1"/>
  <c r="M12" i="48" s="1"/>
  <c r="F163" i="9"/>
  <c r="G47" i="48" s="1"/>
  <c r="F370" i="9"/>
  <c r="T12" i="99" s="1"/>
  <c r="U12" i="99" s="1"/>
  <c r="F31" i="9"/>
  <c r="T5" i="111" s="1"/>
  <c r="U5" i="111" s="1"/>
  <c r="F438" i="9"/>
  <c r="S6" i="116" s="1"/>
  <c r="T6" i="116" s="1"/>
  <c r="F239" i="9"/>
  <c r="G108" i="48" s="1"/>
  <c r="M108" i="48" s="1"/>
  <c r="H108" i="48" s="1"/>
  <c r="F195" i="9"/>
  <c r="T27" i="95" s="1"/>
  <c r="U27" i="95" s="1"/>
  <c r="F169" i="9"/>
  <c r="T71" i="105" s="1"/>
  <c r="U71" i="105" s="1"/>
  <c r="F596" i="9"/>
  <c r="G250" i="48" s="1"/>
  <c r="M250" i="48" s="1"/>
  <c r="H250" i="48" s="1"/>
  <c r="F568" i="9"/>
  <c r="G222" i="48" s="1"/>
  <c r="M222" i="48" s="1"/>
  <c r="H222" i="48" s="1"/>
  <c r="F285" i="9"/>
  <c r="G122" i="48" s="1"/>
  <c r="F293" i="9"/>
  <c r="T61" i="95" s="1"/>
  <c r="U61" i="95" s="1"/>
  <c r="F507" i="9"/>
  <c r="G198" i="48" s="1"/>
  <c r="M198" i="48" s="1"/>
  <c r="H198" i="48" s="1"/>
  <c r="F666" i="9"/>
  <c r="G281" i="48" s="1"/>
  <c r="F185" i="9"/>
  <c r="T20" i="95" s="1"/>
  <c r="U20" i="95" s="1"/>
  <c r="F598" i="9"/>
  <c r="D149" i="48"/>
  <c r="Q19" i="100"/>
  <c r="Q13" i="100"/>
  <c r="C167" i="48"/>
  <c r="R8" i="89"/>
  <c r="Q9" i="87"/>
  <c r="P5" i="92"/>
  <c r="BD115" i="48"/>
  <c r="F392" i="9"/>
  <c r="G156" i="48" s="1"/>
  <c r="M156" i="48" s="1"/>
  <c r="H156" i="48" s="1"/>
  <c r="F354" i="9"/>
  <c r="G142" i="48" s="1"/>
  <c r="M142" i="48" s="1"/>
  <c r="H142" i="48" s="1"/>
  <c r="F155" i="9"/>
  <c r="G45" i="48" s="1"/>
  <c r="M45" i="48" s="1"/>
  <c r="H45" i="48" s="1"/>
  <c r="F123" i="9"/>
  <c r="G37" i="48" s="1"/>
  <c r="F55" i="9"/>
  <c r="G22" i="48" s="1"/>
  <c r="M22" i="48" s="1"/>
  <c r="H22" i="48" s="1"/>
  <c r="Q61" i="114"/>
  <c r="Q11" i="107"/>
  <c r="P60" i="84"/>
  <c r="C142" i="48"/>
  <c r="R63" i="107"/>
  <c r="P6" i="114"/>
  <c r="B146" i="48"/>
  <c r="B178" i="48"/>
  <c r="F497" i="9"/>
  <c r="T19" i="100" s="1"/>
  <c r="U19" i="100" s="1"/>
  <c r="F491" i="9"/>
  <c r="T17" i="100" s="1"/>
  <c r="U17" i="100" s="1"/>
  <c r="F408" i="9"/>
  <c r="G162" i="48" s="1"/>
  <c r="M162" i="48" s="1"/>
  <c r="H162" i="48" s="1"/>
  <c r="F111" i="9"/>
  <c r="F47" i="9"/>
  <c r="T10" i="81" s="1"/>
  <c r="U10" i="81" s="1"/>
  <c r="F469" i="9"/>
  <c r="G184" i="48" s="1"/>
  <c r="M184" i="48" s="1"/>
  <c r="H184" i="48" s="1"/>
  <c r="F453" i="9"/>
  <c r="T4" i="100" s="1"/>
  <c r="U4" i="100" s="1"/>
  <c r="F91" i="9"/>
  <c r="T7" i="96" s="1"/>
  <c r="U7" i="96" s="1"/>
  <c r="F504" i="9"/>
  <c r="G197" i="48" s="1"/>
  <c r="M197" i="48" s="1"/>
  <c r="H197" i="48" s="1"/>
  <c r="F450" i="9"/>
  <c r="T3" i="100" s="1"/>
  <c r="U3" i="100" s="1"/>
  <c r="F51" i="9"/>
  <c r="T11" i="81" s="1"/>
  <c r="U11" i="81" s="1"/>
  <c r="F310" i="9"/>
  <c r="T63" i="107" s="1"/>
  <c r="U63" i="107" s="1"/>
  <c r="F225" i="9"/>
  <c r="T57" i="87" s="1"/>
  <c r="U57" i="87" s="1"/>
  <c r="F197" i="9"/>
  <c r="T29" i="84" s="1"/>
  <c r="U29" i="84" s="1"/>
  <c r="F569" i="9"/>
  <c r="G223" i="48" s="1"/>
  <c r="M223" i="48" s="1"/>
  <c r="H223" i="48" s="1"/>
  <c r="F211" i="9"/>
  <c r="T43" i="86" s="1"/>
  <c r="U43" i="86" s="1"/>
  <c r="F178" i="9"/>
  <c r="T13" i="114" s="1"/>
  <c r="U13" i="114" s="1"/>
  <c r="F234" i="9"/>
  <c r="N11" i="95"/>
  <c r="N11" i="105"/>
  <c r="N11" i="84"/>
  <c r="BD111" i="48"/>
  <c r="F659" i="9"/>
  <c r="G274" i="48" s="1"/>
  <c r="H274" i="48" s="1"/>
  <c r="F583" i="9"/>
  <c r="T33" i="110"/>
  <c r="U33" i="110" s="1"/>
  <c r="T53" i="82"/>
  <c r="U53" i="82" s="1"/>
  <c r="T53" i="115"/>
  <c r="U53" i="115" s="1"/>
  <c r="T53" i="109"/>
  <c r="U53" i="109" s="1"/>
  <c r="T53" i="114"/>
  <c r="U53" i="114" s="1"/>
  <c r="T53" i="113"/>
  <c r="U53" i="113" s="1"/>
  <c r="T17" i="90"/>
  <c r="U17" i="90" s="1"/>
  <c r="T34" i="107"/>
  <c r="U34" i="107" s="1"/>
  <c r="F325" i="9"/>
  <c r="F217" i="9"/>
  <c r="F187" i="9"/>
  <c r="F641" i="9"/>
  <c r="F590" i="9"/>
  <c r="F550" i="9"/>
  <c r="F220" i="9"/>
  <c r="F186" i="9"/>
  <c r="F571" i="9"/>
  <c r="F441" i="9"/>
  <c r="F223" i="9"/>
  <c r="F230" i="9"/>
  <c r="F582" i="9"/>
  <c r="F184" i="9"/>
  <c r="F198" i="9"/>
  <c r="F218" i="9"/>
  <c r="F630" i="9"/>
  <c r="F318" i="9"/>
  <c r="F172" i="9"/>
  <c r="F424" i="9"/>
  <c r="F576" i="9"/>
  <c r="F623" i="9"/>
  <c r="F661" i="9"/>
  <c r="G276" i="48" s="1"/>
  <c r="F573" i="9"/>
  <c r="F624" i="9"/>
  <c r="F226" i="9"/>
  <c r="F235" i="9"/>
  <c r="F330" i="9"/>
  <c r="F544" i="9"/>
  <c r="F168" i="9"/>
  <c r="F203" i="9"/>
  <c r="F351" i="9"/>
  <c r="F588" i="9"/>
  <c r="F553" i="9"/>
  <c r="F593" i="9"/>
  <c r="F386" i="9"/>
  <c r="F589" i="9"/>
  <c r="F657" i="9"/>
  <c r="G272" i="48" s="1"/>
  <c r="H272" i="48" s="1"/>
  <c r="F665" i="9"/>
  <c r="G280" i="48" s="1"/>
  <c r="F255" i="9"/>
  <c r="F188" i="9"/>
  <c r="F209" i="9"/>
  <c r="F574" i="9"/>
  <c r="F202" i="9"/>
  <c r="F173" i="9"/>
  <c r="F572" i="9"/>
  <c r="F542" i="9"/>
  <c r="F594" i="9"/>
  <c r="F662" i="9"/>
  <c r="G277" i="48" s="1"/>
  <c r="F488" i="9"/>
  <c r="F333" i="9"/>
  <c r="F35" i="9"/>
  <c r="F213" i="9"/>
  <c r="F658" i="9"/>
  <c r="G273" i="48" s="1"/>
  <c r="H273" i="48" s="1"/>
  <c r="F103" i="9"/>
  <c r="F633" i="9"/>
  <c r="F634" i="9"/>
  <c r="F193" i="9"/>
  <c r="F189" i="9"/>
  <c r="F581" i="9"/>
  <c r="F549" i="9"/>
  <c r="F177" i="9"/>
  <c r="F357" i="9"/>
  <c r="F174" i="9"/>
  <c r="F332" i="9"/>
  <c r="F663" i="9"/>
  <c r="G278" i="48" s="1"/>
  <c r="F586" i="9"/>
  <c r="F577" i="9"/>
  <c r="F216" i="9"/>
  <c r="F629" i="9"/>
  <c r="F587" i="9"/>
  <c r="F205" i="9"/>
  <c r="F632" i="9"/>
  <c r="T51" i="95"/>
  <c r="U51" i="95" s="1"/>
  <c r="T51" i="92"/>
  <c r="U51" i="92" s="1"/>
  <c r="T51" i="96"/>
  <c r="U51" i="96" s="1"/>
  <c r="T51" i="115"/>
  <c r="U51" i="115" s="1"/>
  <c r="T51" i="97"/>
  <c r="U51" i="97" s="1"/>
  <c r="T51" i="113"/>
  <c r="U51" i="113" s="1"/>
  <c r="T51" i="114"/>
  <c r="U51" i="114" s="1"/>
  <c r="T51" i="109"/>
  <c r="U51" i="109" s="1"/>
  <c r="T42" i="92"/>
  <c r="U42" i="92" s="1"/>
  <c r="T42" i="114"/>
  <c r="U42" i="114" s="1"/>
  <c r="T42" i="115"/>
  <c r="U42" i="115" s="1"/>
  <c r="T42" i="109"/>
  <c r="U42" i="109" s="1"/>
  <c r="T42" i="95"/>
  <c r="U42" i="95" s="1"/>
  <c r="T42" i="96"/>
  <c r="U42" i="96" s="1"/>
  <c r="T42" i="113"/>
  <c r="U42" i="113" s="1"/>
  <c r="T42" i="97"/>
  <c r="U42" i="97" s="1"/>
  <c r="P42" i="108"/>
  <c r="P41" i="90"/>
  <c r="P61" i="85"/>
  <c r="Q41" i="90"/>
  <c r="C119" i="48"/>
  <c r="Q41" i="112"/>
  <c r="Q61" i="84"/>
  <c r="R62" i="111"/>
  <c r="R40" i="90"/>
  <c r="R61" i="82"/>
  <c r="R42" i="93"/>
  <c r="D118" i="48"/>
  <c r="R40" i="112"/>
  <c r="R61" i="86"/>
  <c r="R62" i="110"/>
  <c r="BD117" i="48"/>
  <c r="P40" i="112"/>
  <c r="P40" i="90"/>
  <c r="P62" i="111"/>
  <c r="B118" i="48"/>
  <c r="P62" i="110"/>
  <c r="P61" i="86"/>
  <c r="P61" i="82"/>
  <c r="P42" i="93"/>
  <c r="Q61" i="82"/>
  <c r="Q62" i="111"/>
  <c r="Q40" i="112"/>
  <c r="Q42" i="93"/>
  <c r="Q61" i="86"/>
  <c r="C118" i="48"/>
  <c r="Q40" i="90"/>
  <c r="Q62" i="110"/>
  <c r="R61" i="85"/>
  <c r="R42" i="112"/>
  <c r="R62" i="86"/>
  <c r="R42" i="108"/>
  <c r="R63" i="110"/>
  <c r="R61" i="104"/>
  <c r="R63" i="111"/>
  <c r="D120" i="48"/>
  <c r="R42" i="89"/>
  <c r="R42" i="90"/>
  <c r="Q42" i="108"/>
  <c r="Q62" i="86"/>
  <c r="Q42" i="89"/>
  <c r="Q61" i="85"/>
  <c r="C120" i="48"/>
  <c r="Q42" i="112"/>
  <c r="Q63" i="111"/>
  <c r="Q61" i="104"/>
  <c r="Q63" i="110"/>
  <c r="Q42" i="90"/>
  <c r="D119" i="48"/>
  <c r="R41" i="90"/>
  <c r="R61" i="84"/>
  <c r="R41" i="112"/>
  <c r="P42" i="89"/>
  <c r="P62" i="86"/>
  <c r="P42" i="90"/>
  <c r="P63" i="111"/>
  <c r="Q18" i="90"/>
  <c r="P60" i="104"/>
  <c r="T11" i="107"/>
  <c r="U11" i="107" s="1"/>
  <c r="R3" i="87"/>
  <c r="R3" i="85"/>
  <c r="R3" i="114"/>
  <c r="R3" i="115"/>
  <c r="R63" i="88"/>
  <c r="R63" i="81"/>
  <c r="R63" i="113"/>
  <c r="R64" i="97"/>
  <c r="R9" i="80"/>
  <c r="R9" i="109"/>
  <c r="R9" i="97"/>
  <c r="D33" i="48"/>
  <c r="Q12" i="112"/>
  <c r="Q7" i="113"/>
  <c r="Q7" i="104"/>
  <c r="Q7" i="105"/>
  <c r="Q7" i="108"/>
  <c r="R7" i="89"/>
  <c r="R7" i="96"/>
  <c r="R7" i="97"/>
  <c r="Q11" i="109"/>
  <c r="C42" i="48"/>
  <c r="R5" i="95"/>
  <c r="R5" i="109"/>
  <c r="R4" i="88"/>
  <c r="R4" i="113"/>
  <c r="R4" i="109"/>
  <c r="C33" i="48"/>
  <c r="Q9" i="92"/>
  <c r="Q9" i="85"/>
  <c r="D27" i="48"/>
  <c r="R9" i="88"/>
  <c r="D29" i="48"/>
  <c r="P13" i="100"/>
  <c r="Q11" i="110"/>
  <c r="Q9" i="97"/>
  <c r="R10" i="82"/>
  <c r="R7" i="113"/>
  <c r="R7" i="109"/>
  <c r="R3" i="113"/>
  <c r="R3" i="109"/>
  <c r="R4" i="115"/>
  <c r="Q61" i="109"/>
  <c r="C38" i="48"/>
  <c r="R11" i="110"/>
  <c r="R9" i="95"/>
  <c r="B25" i="48"/>
  <c r="C9" i="16"/>
  <c r="Q9" i="107"/>
  <c r="R5" i="85"/>
  <c r="Q7" i="106"/>
  <c r="D32" i="48"/>
  <c r="P6" i="109"/>
  <c r="Q11" i="106"/>
  <c r="Q11" i="113"/>
  <c r="Q7" i="109"/>
  <c r="R5" i="114"/>
  <c r="R5" i="97"/>
  <c r="P5" i="100"/>
  <c r="B179" i="48"/>
  <c r="C123" i="48"/>
  <c r="R3" i="80"/>
  <c r="Q63" i="114"/>
  <c r="Q6" i="116"/>
  <c r="R4" i="87"/>
  <c r="B113" i="48"/>
  <c r="R4" i="89"/>
  <c r="R21" i="99"/>
  <c r="P10" i="82"/>
  <c r="P6" i="97"/>
  <c r="R9" i="89"/>
  <c r="C140" i="48"/>
  <c r="R12" i="99"/>
  <c r="Q7" i="114"/>
  <c r="P9" i="96"/>
  <c r="P11" i="80"/>
  <c r="P13" i="110"/>
  <c r="R15" i="99"/>
  <c r="D152" i="48"/>
  <c r="R15" i="100"/>
  <c r="D190" i="48"/>
  <c r="R6" i="81"/>
  <c r="R5" i="111"/>
  <c r="P3" i="114"/>
  <c r="B17" i="48"/>
  <c r="Q4" i="80"/>
  <c r="Q4" i="85"/>
  <c r="Q5" i="97"/>
  <c r="Q5" i="90"/>
  <c r="P60" i="81"/>
  <c r="B112" i="48"/>
  <c r="B26" i="48"/>
  <c r="P10" i="112"/>
  <c r="C143" i="48"/>
  <c r="Q7" i="99"/>
  <c r="R60" i="105"/>
  <c r="D114" i="48"/>
  <c r="T18" i="90"/>
  <c r="U18" i="90" s="1"/>
  <c r="R8" i="87"/>
  <c r="R8" i="115"/>
  <c r="R8" i="95"/>
  <c r="R8" i="80"/>
  <c r="R13" i="90"/>
  <c r="R8" i="88"/>
  <c r="R62" i="96"/>
  <c r="R62" i="114"/>
  <c r="P4" i="93"/>
  <c r="P3" i="111"/>
  <c r="R4" i="80"/>
  <c r="B22" i="48"/>
  <c r="R10" i="110"/>
  <c r="Q9" i="80"/>
  <c r="Q9" i="96"/>
  <c r="R7" i="95"/>
  <c r="R3" i="97"/>
  <c r="R3" i="96"/>
  <c r="R4" i="97"/>
  <c r="Q61" i="95"/>
  <c r="C269" i="48"/>
  <c r="R9" i="115"/>
  <c r="R9" i="114"/>
  <c r="P8" i="84"/>
  <c r="P6" i="107"/>
  <c r="Q9" i="111"/>
  <c r="Q7" i="112"/>
  <c r="T11" i="104"/>
  <c r="U11" i="104" s="1"/>
  <c r="R8" i="114"/>
  <c r="R8" i="97"/>
  <c r="Q11" i="104"/>
  <c r="C145" i="48"/>
  <c r="D123" i="48"/>
  <c r="R5" i="96"/>
  <c r="R5" i="92"/>
  <c r="R65" i="114"/>
  <c r="P37" i="90"/>
  <c r="R3" i="88"/>
  <c r="R65" i="96"/>
  <c r="P3" i="110"/>
  <c r="P6" i="112"/>
  <c r="P9" i="99"/>
  <c r="Q7" i="107"/>
  <c r="P11" i="110"/>
  <c r="R9" i="82"/>
  <c r="P10" i="109"/>
  <c r="P64" i="115"/>
  <c r="R6" i="92"/>
  <c r="R6" i="115"/>
  <c r="R11" i="99"/>
  <c r="B35" i="16"/>
  <c r="P5" i="90"/>
  <c r="Q5" i="82"/>
  <c r="B181" i="48"/>
  <c r="Q64" i="114"/>
  <c r="P11" i="104"/>
  <c r="Q10" i="82"/>
  <c r="P9" i="93"/>
  <c r="Q60" i="111"/>
  <c r="Q60" i="83"/>
  <c r="R5" i="90"/>
  <c r="P3" i="89"/>
  <c r="R63" i="87"/>
  <c r="D185" i="48"/>
  <c r="Q3" i="111"/>
  <c r="P11" i="109"/>
  <c r="Q4" i="110"/>
  <c r="P6" i="99"/>
  <c r="P10" i="115"/>
  <c r="Q17" i="99"/>
  <c r="P63" i="81"/>
  <c r="R6" i="87"/>
  <c r="R6" i="114"/>
  <c r="R17" i="112"/>
  <c r="C15" i="48"/>
  <c r="P63" i="88"/>
  <c r="Q6" i="114"/>
  <c r="Q6" i="115"/>
  <c r="Q8" i="102"/>
  <c r="Q4" i="93"/>
  <c r="Q11" i="80"/>
  <c r="P12" i="111"/>
  <c r="Q11" i="88"/>
  <c r="P21" i="99"/>
  <c r="P3" i="85"/>
  <c r="R63" i="106"/>
  <c r="P11" i="106"/>
  <c r="Q6" i="112"/>
  <c r="T61" i="107"/>
  <c r="U61" i="107" s="1"/>
  <c r="R5" i="112"/>
  <c r="P3" i="87"/>
  <c r="R10" i="106"/>
  <c r="R63" i="105"/>
  <c r="Q5" i="93"/>
  <c r="D168" i="48"/>
  <c r="C35" i="48"/>
  <c r="R6" i="89"/>
  <c r="D146" i="48"/>
  <c r="R17" i="90"/>
  <c r="R60" i="114"/>
  <c r="R60" i="96"/>
  <c r="T20" i="90"/>
  <c r="U20" i="90" s="1"/>
  <c r="T20" i="112"/>
  <c r="U20" i="112" s="1"/>
  <c r="Q4" i="112"/>
  <c r="Q8" i="93"/>
  <c r="Q10" i="85"/>
  <c r="Q10" i="97"/>
  <c r="R60" i="106"/>
  <c r="T10" i="86"/>
  <c r="U10" i="86" s="1"/>
  <c r="T61" i="113"/>
  <c r="U61" i="113" s="1"/>
  <c r="P8" i="96"/>
  <c r="R61" i="97"/>
  <c r="R60" i="111"/>
  <c r="R62" i="97"/>
  <c r="R61" i="113"/>
  <c r="R60" i="85"/>
  <c r="B15" i="48"/>
  <c r="R62" i="115"/>
  <c r="P8" i="109"/>
  <c r="P7" i="111"/>
  <c r="Q7" i="111"/>
  <c r="Q5" i="99"/>
  <c r="P60" i="109"/>
  <c r="P60" i="105"/>
  <c r="Q63" i="109"/>
  <c r="P60" i="88"/>
  <c r="Q61" i="107"/>
  <c r="D174" i="48"/>
  <c r="Q12" i="116"/>
  <c r="P5" i="96"/>
  <c r="P9" i="81"/>
  <c r="P15" i="112"/>
  <c r="P10" i="105"/>
  <c r="C174" i="48"/>
  <c r="P12" i="116"/>
  <c r="R6" i="113"/>
  <c r="R6" i="95"/>
  <c r="R6" i="88"/>
  <c r="P65" i="114"/>
  <c r="P63" i="113"/>
  <c r="P63" i="107"/>
  <c r="Q10" i="81"/>
  <c r="Q6" i="96"/>
  <c r="C20" i="48"/>
  <c r="Q10" i="93"/>
  <c r="T7" i="110"/>
  <c r="U7" i="110" s="1"/>
  <c r="T4" i="97"/>
  <c r="U4" i="97" s="1"/>
  <c r="Q12" i="100"/>
  <c r="C186" i="48"/>
  <c r="R7" i="90"/>
  <c r="R11" i="93"/>
  <c r="C268" i="48"/>
  <c r="C34" i="16"/>
  <c r="R60" i="83"/>
  <c r="D111" i="48"/>
  <c r="P5" i="87"/>
  <c r="B29" i="48"/>
  <c r="Q60" i="92"/>
  <c r="Q38" i="90"/>
  <c r="Q61" i="96"/>
  <c r="Q8" i="86"/>
  <c r="C44" i="48"/>
  <c r="Q7" i="100"/>
  <c r="G124" i="48"/>
  <c r="R60" i="110"/>
  <c r="Q60" i="95"/>
  <c r="Q9" i="100"/>
  <c r="P60" i="85"/>
  <c r="Q8" i="83"/>
  <c r="P8" i="95"/>
  <c r="R60" i="95"/>
  <c r="R11" i="86"/>
  <c r="Q60" i="105"/>
  <c r="P61" i="96"/>
  <c r="P8" i="89"/>
  <c r="B124" i="48"/>
  <c r="P61" i="113"/>
  <c r="R61" i="115"/>
  <c r="T5" i="100"/>
  <c r="U5" i="100" s="1"/>
  <c r="P5" i="97"/>
  <c r="Q4" i="115"/>
  <c r="Q8" i="101"/>
  <c r="D167" i="48"/>
  <c r="R5" i="93"/>
  <c r="D15" i="48"/>
  <c r="P16" i="90"/>
  <c r="P11" i="85"/>
  <c r="P7" i="108"/>
  <c r="P7" i="109"/>
  <c r="C127" i="48"/>
  <c r="Q6" i="88"/>
  <c r="P36" i="112"/>
  <c r="Q5" i="115"/>
  <c r="B11" i="48"/>
  <c r="Q65" i="115"/>
  <c r="D46" i="48"/>
  <c r="R10" i="86"/>
  <c r="R20" i="90"/>
  <c r="R20" i="112"/>
  <c r="Q60" i="84"/>
  <c r="Q37" i="90"/>
  <c r="C113" i="48"/>
  <c r="Q37" i="112"/>
  <c r="Q65" i="114"/>
  <c r="Q63" i="113"/>
  <c r="Q63" i="92"/>
  <c r="Q64" i="97"/>
  <c r="Q65" i="96"/>
  <c r="Q64" i="115"/>
  <c r="Q63" i="88"/>
  <c r="C126" i="48"/>
  <c r="B155" i="48"/>
  <c r="P18" i="99"/>
  <c r="B180" i="48"/>
  <c r="P6" i="100"/>
  <c r="B12" i="48"/>
  <c r="P8" i="83"/>
  <c r="P6" i="104"/>
  <c r="P6" i="113"/>
  <c r="P8" i="104"/>
  <c r="P8" i="113"/>
  <c r="P8" i="107"/>
  <c r="P8" i="108"/>
  <c r="P8" i="114"/>
  <c r="P10" i="111"/>
  <c r="P8" i="105"/>
  <c r="P8" i="106"/>
  <c r="Q18" i="100"/>
  <c r="C193" i="48"/>
  <c r="P38" i="90"/>
  <c r="P60" i="87"/>
  <c r="P41" i="89"/>
  <c r="P60" i="80"/>
  <c r="P61" i="114"/>
  <c r="P61" i="115"/>
  <c r="P61" i="97"/>
  <c r="C160" i="48"/>
  <c r="Q22" i="99"/>
  <c r="C23" i="48"/>
  <c r="Q6" i="84"/>
  <c r="C148" i="48"/>
  <c r="Q12" i="99"/>
  <c r="P8" i="85"/>
  <c r="P13" i="90"/>
  <c r="P8" i="88"/>
  <c r="P8" i="87"/>
  <c r="Q3" i="95"/>
  <c r="Q3" i="80"/>
  <c r="C27" i="48"/>
  <c r="Q3" i="88"/>
  <c r="Q3" i="92"/>
  <c r="Q3" i="85"/>
  <c r="Q3" i="87"/>
  <c r="Q3" i="89"/>
  <c r="P8" i="81"/>
  <c r="P4" i="115"/>
  <c r="P7" i="110"/>
  <c r="P4" i="114"/>
  <c r="P4" i="112"/>
  <c r="P8" i="93"/>
  <c r="P4" i="96"/>
  <c r="T9" i="112"/>
  <c r="U9" i="112" s="1"/>
  <c r="T8" i="84"/>
  <c r="U8" i="84" s="1"/>
  <c r="T9" i="90"/>
  <c r="U9" i="90" s="1"/>
  <c r="G25" i="48"/>
  <c r="M25" i="48" s="1"/>
  <c r="H25" i="48" s="1"/>
  <c r="Q60" i="87"/>
  <c r="Q61" i="111"/>
  <c r="R3" i="111"/>
  <c r="D14" i="48"/>
  <c r="R4" i="93"/>
  <c r="R4" i="82"/>
  <c r="R3" i="110"/>
  <c r="R4" i="81"/>
  <c r="R38" i="90"/>
  <c r="R41" i="108"/>
  <c r="R60" i="92"/>
  <c r="R38" i="112"/>
  <c r="R41" i="89"/>
  <c r="R60" i="113"/>
  <c r="R61" i="114"/>
  <c r="R61" i="96"/>
  <c r="R61" i="110"/>
  <c r="R60" i="87"/>
  <c r="R60" i="88"/>
  <c r="R60" i="80"/>
  <c r="Q4" i="90"/>
  <c r="Q4" i="96"/>
  <c r="Q7" i="110"/>
  <c r="C18" i="48"/>
  <c r="R5" i="104"/>
  <c r="R5" i="107"/>
  <c r="D36" i="48"/>
  <c r="R3" i="93"/>
  <c r="R3" i="81"/>
  <c r="D13" i="48"/>
  <c r="Q63" i="80"/>
  <c r="Q64" i="96"/>
  <c r="Q63" i="106"/>
  <c r="Q62" i="97"/>
  <c r="Q61" i="88"/>
  <c r="Q62" i="115"/>
  <c r="O3" i="116"/>
  <c r="P65" i="97"/>
  <c r="P65" i="115"/>
  <c r="P64" i="107"/>
  <c r="P64" i="113"/>
  <c r="P64" i="92"/>
  <c r="B127" i="48"/>
  <c r="P64" i="88"/>
  <c r="Q39" i="90"/>
  <c r="Q60" i="86"/>
  <c r="Q10" i="92"/>
  <c r="Q12" i="110"/>
  <c r="Q10" i="89"/>
  <c r="Q10" i="87"/>
  <c r="Q10" i="80"/>
  <c r="Q10" i="88"/>
  <c r="Q10" i="96"/>
  <c r="B24" i="48"/>
  <c r="P8" i="112"/>
  <c r="P7" i="95"/>
  <c r="P12" i="90"/>
  <c r="P7" i="96"/>
  <c r="P7" i="88"/>
  <c r="P9" i="110"/>
  <c r="P7" i="87"/>
  <c r="P7" i="85"/>
  <c r="P7" i="80"/>
  <c r="B31" i="48"/>
  <c r="P7" i="89"/>
  <c r="P7" i="97"/>
  <c r="Q63" i="81"/>
  <c r="P60" i="82"/>
  <c r="T4" i="112"/>
  <c r="U4" i="112" s="1"/>
  <c r="R7" i="112"/>
  <c r="R11" i="81"/>
  <c r="R8" i="112"/>
  <c r="P10" i="90"/>
  <c r="P7" i="82"/>
  <c r="T60" i="106"/>
  <c r="U60" i="106" s="1"/>
  <c r="T61" i="88"/>
  <c r="U61" i="88" s="1"/>
  <c r="G46" i="48"/>
  <c r="M46" i="48" s="1"/>
  <c r="H46" i="48" s="1"/>
  <c r="T62" i="97"/>
  <c r="U62" i="97" s="1"/>
  <c r="Q15" i="90"/>
  <c r="Q63" i="95"/>
  <c r="P8" i="80"/>
  <c r="Q60" i="107"/>
  <c r="Q60" i="113"/>
  <c r="P5" i="95"/>
  <c r="P11" i="88"/>
  <c r="P8" i="115"/>
  <c r="Q64" i="88"/>
  <c r="B18" i="48"/>
  <c r="R60" i="107"/>
  <c r="Q8" i="81"/>
  <c r="P7" i="113"/>
  <c r="B114" i="48"/>
  <c r="P38" i="112"/>
  <c r="D112" i="48"/>
  <c r="Q38" i="112"/>
  <c r="Q41" i="108"/>
  <c r="R4" i="110"/>
  <c r="P6" i="105"/>
  <c r="Q4" i="89"/>
  <c r="R60" i="82"/>
  <c r="R41" i="93"/>
  <c r="R5" i="105"/>
  <c r="Q60" i="85"/>
  <c r="Q41" i="89"/>
  <c r="P5" i="88"/>
  <c r="P61" i="111"/>
  <c r="P60" i="107"/>
  <c r="R60" i="115"/>
  <c r="Q11" i="100"/>
  <c r="P60" i="96"/>
  <c r="Q60" i="80"/>
  <c r="P8" i="90"/>
  <c r="C202" i="48"/>
  <c r="R60" i="109"/>
  <c r="Q3" i="102"/>
  <c r="P11" i="89"/>
  <c r="Q8" i="82"/>
  <c r="Q60" i="88"/>
  <c r="R37" i="112"/>
  <c r="C124" i="48"/>
  <c r="Q64" i="113"/>
  <c r="R61" i="106"/>
  <c r="R61" i="87"/>
  <c r="R61" i="109"/>
  <c r="Q61" i="87"/>
  <c r="Q61" i="80"/>
  <c r="Q62" i="96"/>
  <c r="Q61" i="105"/>
  <c r="Q61" i="106"/>
  <c r="C122" i="48"/>
  <c r="Q63" i="97"/>
  <c r="Q63" i="115"/>
  <c r="Q21" i="100"/>
  <c r="C197" i="48"/>
  <c r="Q11" i="86"/>
  <c r="C47" i="48"/>
  <c r="D23" i="48"/>
  <c r="R6" i="84"/>
  <c r="P4" i="81"/>
  <c r="B14" i="48"/>
  <c r="P5" i="106"/>
  <c r="P5" i="113"/>
  <c r="P5" i="104"/>
  <c r="P5" i="107"/>
  <c r="P5" i="105"/>
  <c r="B36" i="48"/>
  <c r="P5" i="109"/>
  <c r="D268" i="48"/>
  <c r="D34" i="16"/>
  <c r="P9" i="80"/>
  <c r="P14" i="90"/>
  <c r="P9" i="85"/>
  <c r="P9" i="87"/>
  <c r="P9" i="92"/>
  <c r="P9" i="89"/>
  <c r="C21" i="48"/>
  <c r="Q7" i="90"/>
  <c r="Q11" i="93"/>
  <c r="Q9" i="105"/>
  <c r="Q9" i="113"/>
  <c r="Q9" i="114"/>
  <c r="Q9" i="109"/>
  <c r="Q14" i="112"/>
  <c r="Q9" i="108"/>
  <c r="C40" i="48"/>
  <c r="P6" i="96"/>
  <c r="P10" i="93"/>
  <c r="P6" i="115"/>
  <c r="R9" i="110"/>
  <c r="R7" i="87"/>
  <c r="R7" i="80"/>
  <c r="R12" i="90"/>
  <c r="R7" i="88"/>
  <c r="Q10" i="100"/>
  <c r="C184" i="48"/>
  <c r="Q13" i="111"/>
  <c r="Q11" i="108"/>
  <c r="R5" i="87"/>
  <c r="R5" i="80"/>
  <c r="R9" i="84"/>
  <c r="D26" i="48"/>
  <c r="D186" i="48"/>
  <c r="R12" i="100"/>
  <c r="Q4" i="100"/>
  <c r="C178" i="48"/>
  <c r="P61" i="95"/>
  <c r="B123" i="48"/>
  <c r="P61" i="106"/>
  <c r="P62" i="96"/>
  <c r="P61" i="80"/>
  <c r="P61" i="87"/>
  <c r="P61" i="109"/>
  <c r="P61" i="105"/>
  <c r="Q7" i="86"/>
  <c r="Q17" i="112"/>
  <c r="Q41" i="93"/>
  <c r="Q60" i="115"/>
  <c r="Q60" i="114"/>
  <c r="Q60" i="82"/>
  <c r="Q60" i="96"/>
  <c r="Q36" i="112"/>
  <c r="Q60" i="81"/>
  <c r="Q60" i="97"/>
  <c r="C112" i="48"/>
  <c r="B141" i="48"/>
  <c r="P5" i="99"/>
  <c r="R17" i="100"/>
  <c r="D192" i="48"/>
  <c r="P7" i="106"/>
  <c r="P7" i="114"/>
  <c r="B38" i="48"/>
  <c r="P39" i="112"/>
  <c r="P60" i="86"/>
  <c r="R6" i="99"/>
  <c r="D142" i="48"/>
  <c r="P9" i="100"/>
  <c r="B183" i="48"/>
  <c r="B197" i="48"/>
  <c r="P21" i="100"/>
  <c r="B268" i="48"/>
  <c r="B34" i="16"/>
  <c r="Q15" i="99"/>
  <c r="C152" i="48"/>
  <c r="R6" i="82"/>
  <c r="R6" i="93"/>
  <c r="D16" i="48"/>
  <c r="P9" i="109"/>
  <c r="P9" i="107"/>
  <c r="P9" i="114"/>
  <c r="B40" i="48"/>
  <c r="P9" i="113"/>
  <c r="P11" i="111"/>
  <c r="P9" i="105"/>
  <c r="P9" i="106"/>
  <c r="P9" i="104"/>
  <c r="P14" i="112"/>
  <c r="P9" i="108"/>
  <c r="P9" i="115"/>
  <c r="P6" i="111"/>
  <c r="P3" i="97"/>
  <c r="P7" i="93"/>
  <c r="P3" i="112"/>
  <c r="P6" i="110"/>
  <c r="P3" i="115"/>
  <c r="Q4" i="87"/>
  <c r="Q4" i="88"/>
  <c r="Q4" i="92"/>
  <c r="B152" i="48"/>
  <c r="P15" i="99"/>
  <c r="D191" i="48"/>
  <c r="R16" i="100"/>
  <c r="R6" i="111"/>
  <c r="R3" i="112"/>
  <c r="R7" i="81"/>
  <c r="R6" i="110"/>
  <c r="R3" i="90"/>
  <c r="R7" i="82"/>
  <c r="R7" i="93"/>
  <c r="P16" i="99"/>
  <c r="B153" i="48"/>
  <c r="P3" i="82"/>
  <c r="P3" i="93"/>
  <c r="C24" i="48"/>
  <c r="Q8" i="112"/>
  <c r="Q7" i="84"/>
  <c r="Q8" i="90"/>
  <c r="D25" i="48"/>
  <c r="R9" i="90"/>
  <c r="B23" i="48"/>
  <c r="P6" i="84"/>
  <c r="Q10" i="114"/>
  <c r="Q10" i="105"/>
  <c r="Q10" i="106"/>
  <c r="Q10" i="107"/>
  <c r="Q10" i="113"/>
  <c r="Q10" i="104"/>
  <c r="Q10" i="109"/>
  <c r="Q15" i="112"/>
  <c r="Q12" i="111"/>
  <c r="Q10" i="108"/>
  <c r="Q10" i="115"/>
  <c r="C41" i="48"/>
  <c r="R6" i="100"/>
  <c r="D180" i="48"/>
  <c r="R3" i="99"/>
  <c r="D139" i="48"/>
  <c r="Q5" i="114"/>
  <c r="Q5" i="96"/>
  <c r="Q9" i="93"/>
  <c r="Q9" i="82"/>
  <c r="Q5" i="112"/>
  <c r="Q9" i="81"/>
  <c r="R9" i="107"/>
  <c r="R9" i="108"/>
  <c r="R11" i="111"/>
  <c r="R9" i="106"/>
  <c r="D40" i="48"/>
  <c r="P60" i="97"/>
  <c r="P60" i="114"/>
  <c r="P41" i="93"/>
  <c r="R9" i="111"/>
  <c r="R7" i="107"/>
  <c r="D38" i="48"/>
  <c r="R7" i="106"/>
  <c r="R12" i="112"/>
  <c r="P63" i="95"/>
  <c r="P63" i="80"/>
  <c r="P63" i="105"/>
  <c r="B125" i="48"/>
  <c r="P63" i="87"/>
  <c r="P64" i="114"/>
  <c r="P63" i="109"/>
  <c r="P63" i="106"/>
  <c r="B47" i="48"/>
  <c r="P11" i="86"/>
  <c r="Q6" i="87"/>
  <c r="Q6" i="80"/>
  <c r="P17" i="90"/>
  <c r="P17" i="112"/>
  <c r="B43" i="48"/>
  <c r="P7" i="86"/>
  <c r="R6" i="112"/>
  <c r="D20" i="48"/>
  <c r="Q61" i="110"/>
  <c r="P7" i="92"/>
  <c r="P64" i="96"/>
  <c r="P8" i="97"/>
  <c r="T8" i="93"/>
  <c r="U8" i="93" s="1"/>
  <c r="T4" i="114"/>
  <c r="U4" i="114" s="1"/>
  <c r="R11" i="82"/>
  <c r="P5" i="85"/>
  <c r="R6" i="90"/>
  <c r="P3" i="90"/>
  <c r="T62" i="115"/>
  <c r="U62" i="115" s="1"/>
  <c r="R5" i="110"/>
  <c r="C34" i="48"/>
  <c r="Q60" i="110"/>
  <c r="R36" i="90"/>
  <c r="Q63" i="105"/>
  <c r="P60" i="115"/>
  <c r="P8" i="92"/>
  <c r="Q61" i="97"/>
  <c r="P11" i="87"/>
  <c r="R7" i="104"/>
  <c r="B39" i="48"/>
  <c r="Q39" i="112"/>
  <c r="P4" i="90"/>
  <c r="P8" i="82"/>
  <c r="B115" i="48"/>
  <c r="R60" i="104"/>
  <c r="R61" i="111"/>
  <c r="R9" i="105"/>
  <c r="Q4" i="97"/>
  <c r="P61" i="110"/>
  <c r="P12" i="112"/>
  <c r="Q6" i="92"/>
  <c r="P36" i="90"/>
  <c r="Q60" i="104"/>
  <c r="Q63" i="87"/>
  <c r="Q61" i="115"/>
  <c r="C114" i="48"/>
  <c r="R5" i="81"/>
  <c r="Q6" i="95"/>
  <c r="P6" i="106"/>
  <c r="P7" i="115"/>
  <c r="P60" i="92"/>
  <c r="R9" i="100"/>
  <c r="P10" i="110"/>
  <c r="Q60" i="109"/>
  <c r="P60" i="106"/>
  <c r="P41" i="108"/>
  <c r="P60" i="95"/>
  <c r="B172" i="48"/>
  <c r="P5" i="89"/>
  <c r="R8" i="84"/>
  <c r="C19" i="48"/>
  <c r="R3" i="82"/>
  <c r="P11" i="99"/>
  <c r="B139" i="48"/>
  <c r="P7" i="105"/>
  <c r="Q4" i="114"/>
  <c r="R37" i="90"/>
  <c r="Q61" i="113"/>
  <c r="R9" i="81"/>
  <c r="D19" i="48"/>
  <c r="C165" i="48"/>
  <c r="P4" i="101"/>
  <c r="D169" i="48"/>
  <c r="Q10" i="101"/>
  <c r="D179" i="48"/>
  <c r="R5" i="100"/>
  <c r="P5" i="115"/>
  <c r="P5" i="114"/>
  <c r="B19" i="48"/>
  <c r="P5" i="112"/>
  <c r="C153" i="48"/>
  <c r="Q16" i="99"/>
  <c r="Q18" i="99"/>
  <c r="C155" i="48"/>
  <c r="P16" i="100"/>
  <c r="B191" i="48"/>
  <c r="P11" i="100"/>
  <c r="B185" i="48"/>
  <c r="B41" i="48"/>
  <c r="P10" i="108"/>
  <c r="P10" i="104"/>
  <c r="P10" i="107"/>
  <c r="P10" i="106"/>
  <c r="P10" i="113"/>
  <c r="R39" i="90"/>
  <c r="R39" i="112"/>
  <c r="B184" i="48"/>
  <c r="P10" i="100"/>
  <c r="P4" i="99"/>
  <c r="B140" i="48"/>
  <c r="B174" i="48"/>
  <c r="O12" i="116"/>
  <c r="D42" i="48"/>
  <c r="R11" i="107"/>
  <c r="R11" i="105"/>
  <c r="R11" i="104"/>
  <c r="R11" i="108"/>
  <c r="R13" i="111"/>
  <c r="R16" i="112"/>
  <c r="C45" i="48"/>
  <c r="Q19" i="112"/>
  <c r="Q19" i="90"/>
  <c r="Q9" i="86"/>
  <c r="R9" i="99"/>
  <c r="D145" i="48"/>
  <c r="D30" i="48"/>
  <c r="R6" i="85"/>
  <c r="R6" i="80"/>
  <c r="Q4" i="82"/>
  <c r="Q4" i="81"/>
  <c r="Q3" i="110"/>
  <c r="P6" i="116"/>
  <c r="C172" i="48"/>
  <c r="Q10" i="112"/>
  <c r="Q9" i="84"/>
  <c r="P64" i="97"/>
  <c r="P65" i="96"/>
  <c r="B126" i="48"/>
  <c r="Q5" i="100"/>
  <c r="C179" i="48"/>
  <c r="R63" i="109"/>
  <c r="R63" i="80"/>
  <c r="R64" i="114"/>
  <c r="D125" i="48"/>
  <c r="Q5" i="84"/>
  <c r="C22" i="48"/>
  <c r="Q11" i="89"/>
  <c r="Q16" i="90"/>
  <c r="Q13" i="110"/>
  <c r="P11" i="113"/>
  <c r="P11" i="108"/>
  <c r="P11" i="105"/>
  <c r="B42" i="48"/>
  <c r="P11" i="107"/>
  <c r="P13" i="111"/>
  <c r="D128" i="48"/>
  <c r="D9" i="16"/>
  <c r="R4" i="99"/>
  <c r="D140" i="48"/>
  <c r="P61" i="81"/>
  <c r="B122" i="48"/>
  <c r="P63" i="114"/>
  <c r="P63" i="115"/>
  <c r="P63" i="96"/>
  <c r="R10" i="105"/>
  <c r="R10" i="107"/>
  <c r="R10" i="104"/>
  <c r="R10" i="108"/>
  <c r="D41" i="48"/>
  <c r="P3" i="80"/>
  <c r="P3" i="92"/>
  <c r="P3" i="88"/>
  <c r="B27" i="48"/>
  <c r="B9" i="16"/>
  <c r="B128" i="48"/>
  <c r="C159" i="48"/>
  <c r="Q21" i="99"/>
  <c r="Q5" i="95"/>
  <c r="Q5" i="89"/>
  <c r="Q5" i="87"/>
  <c r="Q5" i="85"/>
  <c r="Q5" i="80"/>
  <c r="Q5" i="92"/>
  <c r="C29" i="48"/>
  <c r="P19" i="99"/>
  <c r="B190" i="48"/>
  <c r="R5" i="84"/>
  <c r="D22" i="48"/>
  <c r="Q5" i="109"/>
  <c r="Q5" i="113"/>
  <c r="Q5" i="105"/>
  <c r="Q5" i="107"/>
  <c r="Q5" i="106"/>
  <c r="Q5" i="104"/>
  <c r="C36" i="48"/>
  <c r="R36" i="112"/>
  <c r="R60" i="81"/>
  <c r="R60" i="97"/>
  <c r="B154" i="48"/>
  <c r="P17" i="99"/>
  <c r="Q16" i="100"/>
  <c r="C191" i="48"/>
  <c r="R61" i="81"/>
  <c r="R63" i="96"/>
  <c r="R63" i="115"/>
  <c r="R63" i="114"/>
  <c r="D122" i="48"/>
  <c r="R63" i="97"/>
  <c r="R8" i="106"/>
  <c r="D39" i="48"/>
  <c r="R8" i="105"/>
  <c r="R8" i="108"/>
  <c r="R8" i="104"/>
  <c r="R13" i="112"/>
  <c r="R8" i="107"/>
  <c r="R10" i="111"/>
  <c r="R4" i="90"/>
  <c r="R8" i="81"/>
  <c r="D18" i="48"/>
  <c r="R8" i="93"/>
  <c r="R8" i="82"/>
  <c r="R7" i="110"/>
  <c r="P5" i="82"/>
  <c r="P5" i="93"/>
  <c r="P5" i="81"/>
  <c r="P4" i="110"/>
  <c r="P4" i="95"/>
  <c r="P4" i="85"/>
  <c r="P4" i="89"/>
  <c r="P4" i="88"/>
  <c r="B28" i="48"/>
  <c r="P4" i="92"/>
  <c r="P4" i="80"/>
  <c r="R18" i="90"/>
  <c r="R8" i="86"/>
  <c r="D44" i="48"/>
  <c r="R18" i="112"/>
  <c r="R18" i="99"/>
  <c r="D155" i="48"/>
  <c r="D184" i="48"/>
  <c r="R10" i="100"/>
  <c r="D177" i="48"/>
  <c r="R3" i="100"/>
  <c r="R61" i="88"/>
  <c r="R61" i="107"/>
  <c r="D124" i="48"/>
  <c r="R11" i="89"/>
  <c r="D35" i="48"/>
  <c r="R11" i="88"/>
  <c r="R11" i="87"/>
  <c r="R11" i="85"/>
  <c r="R11" i="80"/>
  <c r="R16" i="90"/>
  <c r="R13" i="110"/>
  <c r="C25" i="48"/>
  <c r="Q9" i="112"/>
  <c r="Q9" i="90"/>
  <c r="Q8" i="84"/>
  <c r="Q5" i="88"/>
  <c r="T9" i="81"/>
  <c r="U9" i="81" s="1"/>
  <c r="R61" i="92"/>
  <c r="B148" i="48"/>
  <c r="C180" i="48"/>
  <c r="C192" i="48"/>
  <c r="B21" i="48"/>
  <c r="P7" i="90"/>
  <c r="P11" i="82"/>
  <c r="P11" i="81"/>
  <c r="P11" i="93"/>
  <c r="P7" i="112"/>
  <c r="R6" i="106"/>
  <c r="R6" i="104"/>
  <c r="R6" i="107"/>
  <c r="D37" i="48"/>
  <c r="R6" i="105"/>
  <c r="Q3" i="99"/>
  <c r="C139" i="48"/>
  <c r="O9" i="101"/>
  <c r="B168" i="48"/>
  <c r="R17" i="99"/>
  <c r="D154" i="48"/>
  <c r="P61" i="88"/>
  <c r="P61" i="92"/>
  <c r="P62" i="97"/>
  <c r="P61" i="107"/>
  <c r="M44" i="48"/>
  <c r="H44" i="48" s="1"/>
  <c r="T5" i="114"/>
  <c r="U5" i="114" s="1"/>
  <c r="T18" i="112"/>
  <c r="U18" i="112" s="1"/>
  <c r="T4" i="90"/>
  <c r="U4" i="90" s="1"/>
  <c r="T5" i="97"/>
  <c r="U5" i="97" s="1"/>
  <c r="T8" i="86"/>
  <c r="U8" i="86" s="1"/>
  <c r="T5" i="96"/>
  <c r="U5" i="96" s="1"/>
  <c r="T8" i="82"/>
  <c r="U8" i="82" s="1"/>
  <c r="T5" i="115"/>
  <c r="U5" i="115" s="1"/>
  <c r="T9" i="93"/>
  <c r="U9" i="93" s="1"/>
  <c r="T9" i="82"/>
  <c r="U9" i="82" s="1"/>
  <c r="T4" i="115"/>
  <c r="U4" i="115" s="1"/>
  <c r="T7" i="111"/>
  <c r="U7" i="111" s="1"/>
  <c r="T8" i="81"/>
  <c r="U8" i="81" s="1"/>
  <c r="T5" i="112"/>
  <c r="U5" i="112" s="1"/>
  <c r="T4" i="96"/>
  <c r="U4" i="96" s="1"/>
  <c r="T5" i="90"/>
  <c r="U5" i="90" s="1"/>
  <c r="T3" i="87"/>
  <c r="U3" i="87" s="1"/>
  <c r="L117" i="48"/>
  <c r="S214" i="48"/>
  <c r="F137" i="48"/>
  <c r="L137" i="48" s="1"/>
  <c r="W214" i="48"/>
  <c r="F134" i="48"/>
  <c r="L134" i="48" s="1"/>
  <c r="F37" i="48"/>
  <c r="L37" i="48" s="1"/>
  <c r="W49" i="48"/>
  <c r="L29" i="48"/>
  <c r="Y214" i="48"/>
  <c r="F42" i="48"/>
  <c r="L42" i="48" s="1"/>
  <c r="Z214" i="48"/>
  <c r="BD78" i="48"/>
  <c r="L79" i="48"/>
  <c r="BD75" i="48"/>
  <c r="F16" i="48"/>
  <c r="L16" i="48" s="1"/>
  <c r="Q113" i="48"/>
  <c r="F113" i="48" s="1"/>
  <c r="U49" i="48"/>
  <c r="B43" i="105"/>
  <c r="F130" i="48"/>
  <c r="L130" i="48" s="1"/>
  <c r="L136" i="48"/>
  <c r="BD136" i="48"/>
  <c r="BD19" i="48"/>
  <c r="L19" i="48"/>
  <c r="M19" i="48" s="1"/>
  <c r="H19" i="48" s="1"/>
  <c r="BD18" i="48"/>
  <c r="L18" i="48"/>
  <c r="M18" i="48" s="1"/>
  <c r="H18" i="48" s="1"/>
  <c r="BD60" i="48"/>
  <c r="L60" i="48"/>
  <c r="BD59" i="48"/>
  <c r="BD15" i="48"/>
  <c r="L15" i="48"/>
  <c r="BD68" i="48"/>
  <c r="L68" i="48"/>
  <c r="L35" i="48"/>
  <c r="L67" i="48"/>
  <c r="L34" i="48"/>
  <c r="L21" i="48"/>
  <c r="BD82" i="48"/>
  <c r="L82" i="48"/>
  <c r="BD58" i="48"/>
  <c r="L69" i="48"/>
  <c r="BD57" i="48"/>
  <c r="L57" i="48"/>
  <c r="L20" i="48"/>
  <c r="L81" i="48"/>
  <c r="BD71" i="48"/>
  <c r="L71" i="48"/>
  <c r="AO214" i="48"/>
  <c r="L33" i="48"/>
  <c r="L31" i="48"/>
  <c r="L63" i="48"/>
  <c r="L115" i="48"/>
  <c r="Z118" i="48"/>
  <c r="BD81" i="48"/>
  <c r="BD77" i="48"/>
  <c r="F55" i="48"/>
  <c r="BD55" i="48" s="1"/>
  <c r="F54" i="48"/>
  <c r="BD54" i="48" s="1"/>
  <c r="F17" i="48"/>
  <c r="F32" i="48"/>
  <c r="BD32" i="48" s="1"/>
  <c r="F125" i="48"/>
  <c r="L125" i="48" s="1"/>
  <c r="F51" i="48"/>
  <c r="BD51" i="48" s="1"/>
  <c r="F38" i="48"/>
  <c r="BD38" i="48" s="1"/>
  <c r="F40" i="48"/>
  <c r="BD40" i="48" s="1"/>
  <c r="F39" i="48"/>
  <c r="L39" i="48" s="1"/>
  <c r="O118" i="48"/>
  <c r="BD20" i="48"/>
  <c r="BD74" i="48"/>
  <c r="BD76" i="48"/>
  <c r="F61" i="48"/>
  <c r="L61" i="48" s="1"/>
  <c r="H11" i="105"/>
  <c r="N6" i="114"/>
  <c r="N6" i="113"/>
  <c r="N6" i="110"/>
  <c r="M9" i="103"/>
  <c r="N6" i="108"/>
  <c r="N6" i="93"/>
  <c r="X126" i="48"/>
  <c r="F126" i="48" s="1"/>
  <c r="L126" i="48" s="1"/>
  <c r="T3" i="81"/>
  <c r="U3" i="81" s="1"/>
  <c r="T60" i="96"/>
  <c r="U60" i="96" s="1"/>
  <c r="T42" i="111"/>
  <c r="U42" i="111" s="1"/>
  <c r="T42" i="110"/>
  <c r="U42" i="110" s="1"/>
  <c r="T42" i="104"/>
  <c r="U42" i="104" s="1"/>
  <c r="T42" i="86"/>
  <c r="U42" i="86" s="1"/>
  <c r="T42" i="106"/>
  <c r="U42" i="106" s="1"/>
  <c r="T42" i="85"/>
  <c r="U42" i="85" s="1"/>
  <c r="T42" i="105"/>
  <c r="U42" i="105" s="1"/>
  <c r="T42" i="107"/>
  <c r="U42" i="107" s="1"/>
  <c r="T42" i="87"/>
  <c r="U42" i="87" s="1"/>
  <c r="T42" i="80"/>
  <c r="U42" i="80" s="1"/>
  <c r="T42" i="81"/>
  <c r="U42" i="81" s="1"/>
  <c r="T42" i="88"/>
  <c r="U42" i="88" s="1"/>
  <c r="G86" i="48"/>
  <c r="M86" i="48" s="1"/>
  <c r="H86" i="48" s="1"/>
  <c r="T42" i="82"/>
  <c r="U42" i="82" s="1"/>
  <c r="T66" i="104"/>
  <c r="U66" i="104" s="1"/>
  <c r="T81" i="109"/>
  <c r="U81" i="109" s="1"/>
  <c r="T73" i="107"/>
  <c r="U73" i="107" s="1"/>
  <c r="T71" i="115"/>
  <c r="U71" i="115" s="1"/>
  <c r="T73" i="106"/>
  <c r="U73" i="106" s="1"/>
  <c r="T82" i="114"/>
  <c r="U82" i="114" s="1"/>
  <c r="T70" i="113"/>
  <c r="U70" i="113" s="1"/>
  <c r="T50" i="108"/>
  <c r="U50" i="108" s="1"/>
  <c r="T76" i="111"/>
  <c r="U76" i="111" s="1"/>
  <c r="G52" i="48"/>
  <c r="T73" i="105"/>
  <c r="U73" i="105" s="1"/>
  <c r="T50" i="112"/>
  <c r="U50" i="112" s="1"/>
  <c r="AO64" i="48"/>
  <c r="F64" i="48" s="1"/>
  <c r="F14" i="48"/>
  <c r="P2" i="85"/>
  <c r="B61" i="10"/>
  <c r="N6" i="109"/>
  <c r="H13" i="15"/>
  <c r="T132" i="48"/>
  <c r="F132" i="48" s="1"/>
  <c r="V114" i="48"/>
  <c r="P112" i="48"/>
  <c r="F112" i="48" s="1"/>
  <c r="T8" i="113"/>
  <c r="U8" i="113" s="1"/>
  <c r="G160" i="48"/>
  <c r="M160" i="48" s="1"/>
  <c r="H160" i="48" s="1"/>
  <c r="T22" i="99"/>
  <c r="U22" i="99" s="1"/>
  <c r="T39" i="90"/>
  <c r="U39" i="90" s="1"/>
  <c r="G202" i="48"/>
  <c r="M202" i="48" s="1"/>
  <c r="H202" i="48" s="1"/>
  <c r="F13" i="48"/>
  <c r="L13" i="48" s="1"/>
  <c r="I4" i="16"/>
  <c r="T133" i="48"/>
  <c r="F133" i="48" s="1"/>
  <c r="T6" i="85"/>
  <c r="U6" i="85" s="1"/>
  <c r="R8" i="83"/>
  <c r="D12" i="48"/>
  <c r="R7" i="83"/>
  <c r="D11" i="48"/>
  <c r="G155" i="48"/>
  <c r="M155" i="48" s="1"/>
  <c r="H155" i="48" s="1"/>
  <c r="G249" i="48"/>
  <c r="M249" i="48" s="1"/>
  <c r="H249" i="48" s="1"/>
  <c r="F32" i="75"/>
  <c r="G32" i="75" s="1"/>
  <c r="T66" i="96"/>
  <c r="U66" i="96" s="1"/>
  <c r="BD143" i="48"/>
  <c r="H5" i="84"/>
  <c r="S65" i="81"/>
  <c r="X114" i="48"/>
  <c r="T114" i="48"/>
  <c r="P122" i="48"/>
  <c r="G264" i="48"/>
  <c r="M264" i="48" s="1"/>
  <c r="H264" i="48" s="1"/>
  <c r="F30" i="16"/>
  <c r="G30" i="16" s="1"/>
  <c r="G109" i="48"/>
  <c r="M109" i="48" s="1"/>
  <c r="H109" i="48" s="1"/>
  <c r="Q19" i="99"/>
  <c r="C156" i="48"/>
  <c r="Q7" i="83"/>
  <c r="C11" i="48"/>
  <c r="C13" i="48"/>
  <c r="Q3" i="82"/>
  <c r="Q3" i="81"/>
  <c r="Q3" i="93"/>
  <c r="T51" i="110"/>
  <c r="U51" i="110" s="1"/>
  <c r="T51" i="111"/>
  <c r="U51" i="111" s="1"/>
  <c r="T51" i="104"/>
  <c r="U51" i="104" s="1"/>
  <c r="T51" i="86"/>
  <c r="U51" i="86" s="1"/>
  <c r="T51" i="85"/>
  <c r="U51" i="85" s="1"/>
  <c r="T51" i="105"/>
  <c r="U51" i="105" s="1"/>
  <c r="T51" i="87"/>
  <c r="U51" i="87" s="1"/>
  <c r="T51" i="106"/>
  <c r="U51" i="106" s="1"/>
  <c r="T51" i="88"/>
  <c r="U51" i="88" s="1"/>
  <c r="T51" i="81"/>
  <c r="U51" i="81" s="1"/>
  <c r="G95" i="48"/>
  <c r="M95" i="48" s="1"/>
  <c r="H95" i="48" s="1"/>
  <c r="T51" i="80"/>
  <c r="U51" i="80" s="1"/>
  <c r="T51" i="107"/>
  <c r="U51" i="107" s="1"/>
  <c r="T51" i="82"/>
  <c r="U51" i="82" s="1"/>
  <c r="G216" i="48"/>
  <c r="M216" i="48" s="1"/>
  <c r="H216" i="48" s="1"/>
  <c r="BD156" i="48"/>
  <c r="H7" i="85"/>
  <c r="H7" i="108"/>
  <c r="M4" i="101"/>
  <c r="I11" i="96"/>
  <c r="P83" i="84"/>
  <c r="H433" i="11"/>
  <c r="B45" i="106"/>
  <c r="K2" i="87"/>
  <c r="B54" i="106"/>
  <c r="H7" i="93"/>
  <c r="P83" i="105"/>
  <c r="J298" i="11"/>
  <c r="B61" i="80"/>
  <c r="C1" i="12"/>
  <c r="P82" i="104"/>
  <c r="H38" i="104" s="1"/>
  <c r="N32" i="105"/>
  <c r="N32" i="81"/>
  <c r="P82" i="85"/>
  <c r="H38" i="85" s="1"/>
  <c r="I8" i="115"/>
  <c r="Q27" i="10"/>
  <c r="Q43" i="10"/>
  <c r="L23" i="10"/>
  <c r="I5" i="92"/>
  <c r="B45" i="107"/>
  <c r="B28" i="108"/>
  <c r="I5" i="113"/>
  <c r="B42" i="107"/>
  <c r="B22" i="10"/>
  <c r="B12" i="15"/>
  <c r="B61" i="87"/>
  <c r="N6" i="96"/>
  <c r="N6" i="87"/>
  <c r="N32" i="110"/>
  <c r="P82" i="87"/>
  <c r="H38" i="87" s="1"/>
  <c r="P82" i="83"/>
  <c r="H38" i="83" s="1"/>
  <c r="N32" i="88"/>
  <c r="P82" i="111"/>
  <c r="H38" i="111" s="1"/>
  <c r="K93" i="10"/>
  <c r="K50" i="10"/>
  <c r="B44" i="115"/>
  <c r="H5" i="105"/>
  <c r="F80" i="10"/>
  <c r="L2" i="9"/>
  <c r="N6" i="97"/>
  <c r="N10" i="110"/>
  <c r="N10" i="83"/>
  <c r="I9" i="75"/>
  <c r="N10" i="80"/>
  <c r="N10" i="88"/>
  <c r="N10" i="104"/>
  <c r="BG2" i="48"/>
  <c r="N3" i="87"/>
  <c r="N3" i="104"/>
  <c r="M3" i="103"/>
  <c r="N3" i="83"/>
  <c r="N3" i="114"/>
  <c r="N3" i="107"/>
  <c r="N3" i="96"/>
  <c r="M3" i="90"/>
  <c r="N3" i="84"/>
  <c r="D37" i="15"/>
  <c r="D43" i="15"/>
  <c r="H43" i="15"/>
  <c r="H37" i="15"/>
  <c r="P2" i="109"/>
  <c r="K63" i="10"/>
  <c r="B120" i="15"/>
  <c r="E47" i="10"/>
  <c r="B306" i="48"/>
  <c r="O2" i="101"/>
  <c r="L62" i="10"/>
  <c r="P2" i="111"/>
  <c r="P2" i="107"/>
  <c r="K44" i="15"/>
  <c r="K26" i="15"/>
  <c r="P4" i="3"/>
  <c r="P83" i="86"/>
  <c r="P2" i="92"/>
  <c r="P2" i="100"/>
  <c r="B18" i="11"/>
  <c r="H5" i="87"/>
  <c r="O32" i="15"/>
  <c r="E3" i="10"/>
  <c r="H5" i="89"/>
  <c r="E17" i="10"/>
  <c r="K38" i="15"/>
  <c r="K14" i="15"/>
  <c r="B19" i="99"/>
  <c r="N4" i="99"/>
  <c r="M4" i="103"/>
  <c r="H8" i="84"/>
  <c r="P83" i="85"/>
  <c r="D40" i="85" s="1"/>
  <c r="P83" i="110"/>
  <c r="P2" i="87"/>
  <c r="P2" i="81"/>
  <c r="K8" i="15"/>
  <c r="B104" i="15"/>
  <c r="Q24" i="10"/>
  <c r="O26" i="15"/>
  <c r="C3" i="48"/>
  <c r="M4" i="112"/>
  <c r="R1" i="10"/>
  <c r="S63" i="85"/>
  <c r="D13" i="15"/>
  <c r="P83" i="107"/>
  <c r="P83" i="80"/>
  <c r="D40" i="80" s="1"/>
  <c r="P83" i="106"/>
  <c r="L3" i="114"/>
  <c r="P2" i="113"/>
  <c r="P2" i="86"/>
  <c r="P2" i="97"/>
  <c r="O2" i="116"/>
  <c r="C14" i="15"/>
  <c r="Q40" i="10"/>
  <c r="O38" i="15"/>
  <c r="G26" i="15"/>
  <c r="E32" i="10"/>
  <c r="H5" i="93"/>
  <c r="P83" i="83"/>
  <c r="B88" i="15"/>
  <c r="H5" i="82"/>
  <c r="G8" i="15"/>
  <c r="K24" i="10"/>
  <c r="K20" i="15"/>
  <c r="Q17" i="10"/>
  <c r="E90" i="10"/>
  <c r="B43" i="106"/>
  <c r="N4" i="109"/>
  <c r="N4" i="82"/>
  <c r="S71" i="92"/>
  <c r="L3" i="109"/>
  <c r="P83" i="87"/>
  <c r="D40" i="87" s="1"/>
  <c r="P83" i="111"/>
  <c r="P83" i="82"/>
  <c r="D40" i="82" s="1"/>
  <c r="P83" i="88"/>
  <c r="D40" i="88" s="1"/>
  <c r="P2" i="108"/>
  <c r="P2" i="80"/>
  <c r="P2" i="104"/>
  <c r="O2" i="103"/>
  <c r="H5" i="90"/>
  <c r="C32" i="15"/>
  <c r="H5" i="106"/>
  <c r="H5" i="108"/>
  <c r="H5" i="88"/>
  <c r="Q3" i="10"/>
  <c r="K72" i="10"/>
  <c r="K2" i="106"/>
  <c r="B53" i="105"/>
  <c r="B53" i="106"/>
  <c r="B60" i="87"/>
  <c r="H8" i="10"/>
  <c r="K4" i="99"/>
  <c r="K2" i="81"/>
  <c r="K4" i="100"/>
  <c r="L9" i="10"/>
  <c r="L2" i="15"/>
  <c r="B14" i="102"/>
  <c r="H5" i="83"/>
  <c r="H5" i="110"/>
  <c r="H6" i="101"/>
  <c r="B19" i="101"/>
  <c r="H5" i="85"/>
  <c r="C101" i="11"/>
  <c r="D36" i="106"/>
  <c r="D36" i="82"/>
  <c r="I11" i="113"/>
  <c r="H11" i="87"/>
  <c r="H11" i="80"/>
  <c r="H11" i="107"/>
  <c r="H11" i="88"/>
  <c r="I11" i="97"/>
  <c r="I11" i="109"/>
  <c r="I11" i="114"/>
  <c r="I11" i="92"/>
  <c r="H9" i="81"/>
  <c r="H11" i="106"/>
  <c r="C114" i="11"/>
  <c r="C6" i="48"/>
  <c r="H7" i="104"/>
  <c r="H7" i="90"/>
  <c r="H7" i="89"/>
  <c r="H7" i="83"/>
  <c r="H7" i="86"/>
  <c r="H7" i="112"/>
  <c r="H7" i="82"/>
  <c r="D7" i="15"/>
  <c r="F16" i="10"/>
  <c r="K3" i="101"/>
  <c r="L16" i="10"/>
  <c r="K3" i="116"/>
  <c r="F16" i="3"/>
  <c r="R16" i="10"/>
  <c r="K2" i="85"/>
  <c r="L7" i="15"/>
  <c r="L31" i="15"/>
  <c r="K2" i="90"/>
  <c r="K2" i="86"/>
  <c r="M16" i="3"/>
  <c r="F25" i="3"/>
  <c r="P31" i="15"/>
  <c r="K2" i="104"/>
  <c r="H7" i="15"/>
  <c r="K3" i="102"/>
  <c r="K2" i="112"/>
  <c r="K4" i="103"/>
  <c r="C124" i="11"/>
  <c r="B404" i="11"/>
  <c r="B56" i="105"/>
  <c r="B56" i="106"/>
  <c r="B28" i="112"/>
  <c r="B18" i="103"/>
  <c r="B15" i="103"/>
  <c r="E12" i="3"/>
  <c r="D54" i="15"/>
  <c r="K2" i="99"/>
  <c r="F12" i="3"/>
  <c r="K2" i="101"/>
  <c r="C49" i="15"/>
  <c r="C54" i="15"/>
  <c r="E3" i="3"/>
  <c r="P82" i="84"/>
  <c r="H38" i="84" s="1"/>
  <c r="P82" i="81"/>
  <c r="H38" i="81" s="1"/>
  <c r="P82" i="82"/>
  <c r="H38" i="82" s="1"/>
  <c r="P82" i="80"/>
  <c r="H38" i="80" s="1"/>
  <c r="P82" i="86"/>
  <c r="H38" i="86" s="1"/>
  <c r="P82" i="106"/>
  <c r="H38" i="106" s="1"/>
  <c r="P82" i="110"/>
  <c r="H38" i="110" s="1"/>
  <c r="P82" i="88"/>
  <c r="H38" i="88" s="1"/>
  <c r="K58" i="10"/>
  <c r="E35" i="10"/>
  <c r="E50" i="10"/>
  <c r="K6" i="10"/>
  <c r="K66" i="10"/>
  <c r="K35" i="10"/>
  <c r="Q35" i="10"/>
  <c r="Q6" i="10"/>
  <c r="E58" i="10"/>
  <c r="K20" i="10"/>
  <c r="K75" i="10"/>
  <c r="K43" i="10"/>
  <c r="K27" i="10"/>
  <c r="E75" i="10"/>
  <c r="E6" i="10"/>
  <c r="E43" i="10"/>
  <c r="E20" i="10"/>
  <c r="Q20" i="10"/>
  <c r="E27" i="10"/>
  <c r="B25" i="103"/>
  <c r="B22" i="103"/>
  <c r="H7" i="105"/>
  <c r="H7" i="80"/>
  <c r="H7" i="106"/>
  <c r="I7" i="114"/>
  <c r="B45" i="87"/>
  <c r="B45" i="80"/>
  <c r="I7" i="109"/>
  <c r="B45" i="105"/>
  <c r="H7" i="87"/>
  <c r="I7" i="96"/>
  <c r="K2" i="100"/>
  <c r="H49" i="15"/>
  <c r="G49" i="15"/>
  <c r="D59" i="15"/>
  <c r="H54" i="15"/>
  <c r="F3" i="3"/>
  <c r="H59" i="15"/>
  <c r="G54" i="15"/>
  <c r="L3" i="3"/>
  <c r="L12" i="3"/>
  <c r="K2" i="102"/>
  <c r="M3" i="3"/>
  <c r="D49" i="15"/>
  <c r="M12" i="3"/>
  <c r="B2" i="3"/>
  <c r="B48" i="15"/>
  <c r="C15" i="102"/>
  <c r="C21" i="99"/>
  <c r="C15" i="101"/>
  <c r="C16" i="100"/>
  <c r="C22" i="99"/>
  <c r="C20" i="102"/>
  <c r="C16" i="99"/>
  <c r="C20" i="101"/>
  <c r="C21" i="100"/>
  <c r="C26" i="99"/>
  <c r="C26" i="100"/>
  <c r="C22" i="100"/>
  <c r="L31" i="10"/>
  <c r="H19" i="15"/>
  <c r="B25" i="99"/>
  <c r="B25" i="100"/>
  <c r="N32" i="85"/>
  <c r="N32" i="104"/>
  <c r="N32" i="84"/>
  <c r="N32" i="87"/>
  <c r="N32" i="80"/>
  <c r="N32" i="83"/>
  <c r="N32" i="82"/>
  <c r="N111" i="82"/>
  <c r="J111" i="16"/>
  <c r="J235" i="75"/>
  <c r="J275" i="16"/>
  <c r="K7" i="96"/>
  <c r="N9" i="11"/>
  <c r="O8" i="11" s="1"/>
  <c r="K7" i="95" s="1"/>
  <c r="K7" i="114"/>
  <c r="B62" i="92"/>
  <c r="F6" i="3"/>
  <c r="K3" i="100"/>
  <c r="K3" i="103"/>
  <c r="R2" i="10"/>
  <c r="K3" i="99"/>
  <c r="K2" i="82"/>
  <c r="K2" i="83"/>
  <c r="M6" i="3"/>
  <c r="K2" i="84"/>
  <c r="D2" i="15"/>
  <c r="H2" i="15"/>
  <c r="P2" i="15"/>
  <c r="F2" i="10"/>
  <c r="L2" i="10"/>
  <c r="I8" i="16"/>
  <c r="N9" i="83"/>
  <c r="N7" i="100"/>
  <c r="M7" i="116"/>
  <c r="N9" i="93"/>
  <c r="T8" i="10"/>
  <c r="M7" i="103"/>
  <c r="M9" i="90"/>
  <c r="N9" i="111"/>
  <c r="N9" i="80"/>
  <c r="N9" i="110"/>
  <c r="N9" i="106"/>
  <c r="N9" i="107"/>
  <c r="M9" i="112"/>
  <c r="N7" i="99"/>
  <c r="N9" i="114"/>
  <c r="N9" i="81"/>
  <c r="N9" i="89"/>
  <c r="BG6" i="48"/>
  <c r="N9" i="115"/>
  <c r="N9" i="92"/>
  <c r="N9" i="97"/>
  <c r="N9" i="108"/>
  <c r="K11" i="11"/>
  <c r="N9" i="88"/>
  <c r="N9" i="82"/>
  <c r="N9" i="84"/>
  <c r="R6" i="15"/>
  <c r="M7" i="101"/>
  <c r="N9" i="109"/>
  <c r="I8" i="75"/>
  <c r="N9" i="96"/>
  <c r="N9" i="104"/>
  <c r="N9" i="85"/>
  <c r="N9" i="113"/>
  <c r="N9" i="86"/>
  <c r="N9" i="105"/>
  <c r="M7" i="102"/>
  <c r="N9" i="87"/>
  <c r="K2" i="103"/>
  <c r="H25" i="15"/>
  <c r="L25" i="15"/>
  <c r="L46" i="10"/>
  <c r="F39" i="10"/>
  <c r="K2" i="108"/>
  <c r="K2" i="110"/>
  <c r="D25" i="15"/>
  <c r="K2" i="89"/>
  <c r="P25" i="15"/>
  <c r="K2" i="93"/>
  <c r="F46" i="10"/>
  <c r="K2" i="111"/>
  <c r="L39" i="10"/>
  <c r="T13" i="10"/>
  <c r="B183" i="10"/>
  <c r="K19" i="11"/>
  <c r="B410" i="11"/>
  <c r="K4" i="101"/>
  <c r="K4" i="116"/>
  <c r="K4" i="102"/>
  <c r="K2" i="88"/>
  <c r="K2" i="107"/>
  <c r="K2" i="80"/>
  <c r="K2" i="105"/>
  <c r="I5" i="96"/>
  <c r="H5" i="86"/>
  <c r="H5" i="107"/>
  <c r="H5" i="111"/>
  <c r="I5" i="97"/>
  <c r="C15" i="116"/>
  <c r="C25" i="116"/>
  <c r="P2" i="115"/>
  <c r="P2" i="88"/>
  <c r="P2" i="105"/>
  <c r="O2" i="102"/>
  <c r="P2" i="99"/>
  <c r="P2" i="82"/>
  <c r="P2" i="84"/>
  <c r="P2" i="114"/>
  <c r="P2" i="96"/>
  <c r="P2" i="93"/>
  <c r="P2" i="90"/>
  <c r="P2" i="106"/>
  <c r="P2" i="110"/>
  <c r="P2" i="89"/>
  <c r="P2" i="83"/>
  <c r="C21" i="112"/>
  <c r="C21" i="90"/>
  <c r="D31" i="15"/>
  <c r="R39" i="10"/>
  <c r="B43" i="80"/>
  <c r="B43" i="87"/>
  <c r="O5" i="11"/>
  <c r="T5" i="11"/>
  <c r="T6" i="11"/>
  <c r="K6" i="100"/>
  <c r="K6" i="102"/>
  <c r="F62" i="10"/>
  <c r="F31" i="10"/>
  <c r="L3" i="96"/>
  <c r="F23" i="10"/>
  <c r="L80" i="10"/>
  <c r="D19" i="15"/>
  <c r="D47" i="80"/>
  <c r="D47" i="105"/>
  <c r="D47" i="87"/>
  <c r="D47" i="106"/>
  <c r="F38" i="16"/>
  <c r="F17" i="16"/>
  <c r="F39" i="75"/>
  <c r="C107" i="11"/>
  <c r="B6" i="48"/>
  <c r="I12" i="75"/>
  <c r="I29" i="16"/>
  <c r="B100" i="82"/>
  <c r="I12" i="16"/>
  <c r="H34" i="83"/>
  <c r="H28" i="83"/>
  <c r="M18" i="3"/>
  <c r="H22" i="83"/>
  <c r="B46" i="104"/>
  <c r="B29" i="108"/>
  <c r="B42" i="111"/>
  <c r="B57" i="106"/>
  <c r="B45" i="115"/>
  <c r="B57" i="105"/>
  <c r="B48" i="109"/>
  <c r="B46" i="107"/>
  <c r="B29" i="112"/>
  <c r="G3" i="15"/>
  <c r="O44" i="15"/>
  <c r="K10" i="10"/>
  <c r="O3" i="15"/>
  <c r="C3" i="15"/>
  <c r="C8" i="15"/>
  <c r="E72" i="10"/>
  <c r="G20" i="15"/>
  <c r="C26" i="15"/>
  <c r="K47" i="10"/>
  <c r="K40" i="10"/>
  <c r="K17" i="10"/>
  <c r="K32" i="15"/>
  <c r="C20" i="15"/>
  <c r="K90" i="10"/>
  <c r="E24" i="10"/>
  <c r="K55" i="10"/>
  <c r="K3" i="15"/>
  <c r="K81" i="10"/>
  <c r="G14" i="15"/>
  <c r="E55" i="10"/>
  <c r="K3" i="10"/>
  <c r="Q32" i="10"/>
  <c r="B14" i="100"/>
  <c r="B14" i="99"/>
  <c r="B36" i="15"/>
  <c r="L2" i="92"/>
  <c r="B42" i="15"/>
  <c r="L2" i="114"/>
  <c r="B88" i="10"/>
  <c r="B79" i="10"/>
  <c r="L2" i="96"/>
  <c r="L2" i="109"/>
  <c r="B70" i="10"/>
  <c r="L2" i="113"/>
  <c r="L2" i="97"/>
  <c r="L2" i="115"/>
  <c r="O3" i="11"/>
  <c r="O2" i="11" s="1"/>
  <c r="K5" i="95" s="1"/>
  <c r="T3" i="11"/>
  <c r="T2" i="11" s="1"/>
  <c r="K6" i="117" s="1"/>
  <c r="B15" i="10"/>
  <c r="B53" i="10"/>
  <c r="L30" i="15"/>
  <c r="B43" i="81"/>
  <c r="H5" i="81"/>
  <c r="I5" i="115"/>
  <c r="H5" i="80"/>
  <c r="I5" i="109"/>
  <c r="H6" i="99"/>
  <c r="H5" i="112"/>
  <c r="H6" i="102"/>
  <c r="I5" i="114"/>
  <c r="H6" i="116"/>
  <c r="H5" i="104"/>
  <c r="H6" i="100"/>
  <c r="L89" i="10"/>
  <c r="L13" i="15"/>
  <c r="F71" i="10"/>
  <c r="P43" i="15"/>
  <c r="L43" i="15"/>
  <c r="P37" i="15"/>
  <c r="L3" i="97"/>
  <c r="R23" i="10"/>
  <c r="L71" i="10"/>
  <c r="R31" i="10"/>
  <c r="L3" i="115"/>
  <c r="L3" i="113"/>
  <c r="L19" i="15"/>
  <c r="L37" i="15"/>
  <c r="L3" i="92"/>
  <c r="F89" i="10"/>
  <c r="N2" i="100"/>
  <c r="R1" i="15"/>
  <c r="M2" i="116"/>
  <c r="N2" i="88"/>
  <c r="N2" i="96"/>
  <c r="I2" i="16"/>
  <c r="N2" i="92"/>
  <c r="N2" i="89"/>
  <c r="N2" i="115"/>
  <c r="N2" i="85"/>
  <c r="M2" i="102"/>
  <c r="N2" i="109"/>
  <c r="N2" i="114"/>
  <c r="N2" i="111"/>
  <c r="N2" i="93"/>
  <c r="N2" i="83"/>
  <c r="N2" i="82"/>
  <c r="N2" i="87"/>
  <c r="M2" i="101"/>
  <c r="N2" i="97"/>
  <c r="N2" i="110"/>
  <c r="T2" i="10"/>
  <c r="M2" i="112"/>
  <c r="N2" i="107"/>
  <c r="BG1" i="48"/>
  <c r="N2" i="108"/>
  <c r="N2" i="84"/>
  <c r="N2" i="106"/>
  <c r="N2" i="99"/>
  <c r="N2" i="80"/>
  <c r="N2" i="86"/>
  <c r="N2" i="105"/>
  <c r="P2" i="3"/>
  <c r="N2" i="104"/>
  <c r="M2" i="103"/>
  <c r="N2" i="81"/>
  <c r="M2" i="90"/>
  <c r="I2" i="75"/>
  <c r="N2" i="113"/>
  <c r="B24" i="112"/>
  <c r="B24" i="90"/>
  <c r="H8" i="90"/>
  <c r="S92" i="114"/>
  <c r="H7" i="81"/>
  <c r="I8" i="97"/>
  <c r="S80" i="106"/>
  <c r="H8" i="85"/>
  <c r="H8" i="87"/>
  <c r="S63" i="82"/>
  <c r="S55" i="112"/>
  <c r="H8" i="103"/>
  <c r="H8" i="111"/>
  <c r="S70" i="80"/>
  <c r="H8" i="80"/>
  <c r="H8" i="83"/>
  <c r="S81" i="111"/>
  <c r="H8" i="99"/>
  <c r="H8" i="102"/>
  <c r="R42" i="102"/>
  <c r="H8" i="106"/>
  <c r="S70" i="87"/>
  <c r="H8" i="89"/>
  <c r="S63" i="83"/>
  <c r="S82" i="113"/>
  <c r="H8" i="104"/>
  <c r="H8" i="82"/>
  <c r="S63" i="84"/>
  <c r="S65" i="110"/>
  <c r="S44" i="89"/>
  <c r="S80" i="105"/>
  <c r="I8" i="96"/>
  <c r="H8" i="93"/>
  <c r="H8" i="100"/>
  <c r="I8" i="92"/>
  <c r="R42" i="101"/>
  <c r="I8" i="109"/>
  <c r="S43" i="100"/>
  <c r="H8" i="112"/>
  <c r="S64" i="86"/>
  <c r="H8" i="110"/>
  <c r="I8" i="113"/>
  <c r="S71" i="104"/>
  <c r="S70" i="88"/>
  <c r="H8" i="108"/>
  <c r="S44" i="90"/>
  <c r="H8" i="88"/>
  <c r="H8" i="105"/>
  <c r="R42" i="103"/>
  <c r="I8" i="114"/>
  <c r="R43" i="116"/>
  <c r="S45" i="99"/>
  <c r="S56" i="108"/>
  <c r="H8" i="107"/>
  <c r="S44" i="93"/>
  <c r="H8" i="86"/>
  <c r="H8" i="101"/>
  <c r="H8" i="116"/>
  <c r="S80" i="107"/>
  <c r="B51" i="105"/>
  <c r="B51" i="80"/>
  <c r="B51" i="87"/>
  <c r="B51" i="106"/>
  <c r="B405" i="11"/>
  <c r="C123" i="11"/>
  <c r="B24" i="11"/>
  <c r="A2" i="8"/>
  <c r="C16" i="101"/>
  <c r="C22" i="101"/>
  <c r="C27" i="99"/>
  <c r="C21" i="101"/>
  <c r="D46" i="87"/>
  <c r="D46" i="106"/>
  <c r="L17" i="3"/>
  <c r="E26" i="3"/>
  <c r="E17" i="3"/>
  <c r="D46" i="105"/>
  <c r="D46" i="80"/>
  <c r="E7" i="3"/>
  <c r="L7" i="3"/>
  <c r="B61" i="92"/>
  <c r="B50" i="80"/>
  <c r="B50" i="105"/>
  <c r="B50" i="106"/>
  <c r="B50" i="87"/>
  <c r="C32" i="90"/>
  <c r="C32" i="112"/>
  <c r="N4" i="88"/>
  <c r="N4" i="110"/>
  <c r="N4" i="86"/>
  <c r="M4" i="102"/>
  <c r="M4" i="116"/>
  <c r="N4" i="104"/>
  <c r="N4" i="83"/>
  <c r="N4" i="85"/>
  <c r="N4" i="92"/>
  <c r="N4" i="105"/>
  <c r="N4" i="87"/>
  <c r="N4" i="108"/>
  <c r="R3" i="15"/>
  <c r="N4" i="81"/>
  <c r="K7" i="11"/>
  <c r="N4" i="97"/>
  <c r="N4" i="114"/>
  <c r="N4" i="93"/>
  <c r="N4" i="84"/>
  <c r="N4" i="115"/>
  <c r="N4" i="107"/>
  <c r="I4" i="75"/>
  <c r="N4" i="113"/>
  <c r="N4" i="106"/>
  <c r="N4" i="96"/>
  <c r="BG3" i="48"/>
  <c r="M4" i="90"/>
  <c r="N4" i="100"/>
  <c r="N4" i="111"/>
  <c r="K15" i="15"/>
  <c r="O4" i="15"/>
  <c r="K4" i="15"/>
  <c r="O39" i="15"/>
  <c r="G9" i="15"/>
  <c r="K21" i="15"/>
  <c r="C60" i="15"/>
  <c r="G15" i="15"/>
  <c r="C33" i="15"/>
  <c r="K27" i="15"/>
  <c r="G60" i="15"/>
  <c r="G27" i="15"/>
  <c r="G4" i="15"/>
  <c r="E2" i="75"/>
  <c r="C9" i="15"/>
  <c r="K9" i="15"/>
  <c r="O33" i="15"/>
  <c r="O45" i="15"/>
  <c r="O27" i="15"/>
  <c r="E2" i="16"/>
  <c r="C21" i="15"/>
  <c r="C39" i="15"/>
  <c r="C27" i="15"/>
  <c r="C45" i="15"/>
  <c r="K55" i="15"/>
  <c r="G50" i="15"/>
  <c r="P10" i="9"/>
  <c r="E10" i="9" s="1"/>
  <c r="F10" i="48" s="1"/>
  <c r="C55" i="15"/>
  <c r="C50" i="15"/>
  <c r="C15" i="15"/>
  <c r="E19" i="16"/>
  <c r="G21" i="15"/>
  <c r="K45" i="15"/>
  <c r="C4" i="15"/>
  <c r="G45" i="15"/>
  <c r="G39" i="15"/>
  <c r="G55" i="15"/>
  <c r="K39" i="15"/>
  <c r="K33" i="15"/>
  <c r="E26" i="90"/>
  <c r="B23" i="90"/>
  <c r="E26" i="112"/>
  <c r="B23" i="112"/>
  <c r="D105" i="82"/>
  <c r="C32" i="85"/>
  <c r="C32" i="87"/>
  <c r="C32" i="106"/>
  <c r="C32" i="83"/>
  <c r="C32" i="104"/>
  <c r="C32" i="88"/>
  <c r="C32" i="80"/>
  <c r="C32" i="81"/>
  <c r="C26" i="111"/>
  <c r="C26" i="110"/>
  <c r="C32" i="84"/>
  <c r="C26" i="105"/>
  <c r="C26" i="80"/>
  <c r="C20" i="87"/>
  <c r="C26" i="106"/>
  <c r="C32" i="111"/>
  <c r="C32" i="86"/>
  <c r="C26" i="87"/>
  <c r="C26" i="84"/>
  <c r="C26" i="83"/>
  <c r="C20" i="84"/>
  <c r="C32" i="110"/>
  <c r="C32" i="107"/>
  <c r="C15" i="99"/>
  <c r="C26" i="86"/>
  <c r="C26" i="82"/>
  <c r="C20" i="107"/>
  <c r="C20" i="111"/>
  <c r="C26" i="104"/>
  <c r="C32" i="105"/>
  <c r="C20" i="83"/>
  <c r="C26" i="81"/>
  <c r="C20" i="90"/>
  <c r="C20" i="89"/>
  <c r="C20" i="100"/>
  <c r="C26" i="85"/>
  <c r="C20" i="85"/>
  <c r="C32" i="82"/>
  <c r="C20" i="88"/>
  <c r="C20" i="105"/>
  <c r="C20" i="106"/>
  <c r="C20" i="86"/>
  <c r="C26" i="88"/>
  <c r="C15" i="100"/>
  <c r="C20" i="112"/>
  <c r="C26" i="107"/>
  <c r="C20" i="80"/>
  <c r="C20" i="82"/>
  <c r="C20" i="110"/>
  <c r="C20" i="81"/>
  <c r="C20" i="99"/>
  <c r="C20" i="104"/>
  <c r="C20" i="108"/>
  <c r="C20" i="93"/>
  <c r="E34" i="10"/>
  <c r="H4" i="85"/>
  <c r="K74" i="10"/>
  <c r="I4" i="92"/>
  <c r="H4" i="84"/>
  <c r="H4" i="82"/>
  <c r="K19" i="10"/>
  <c r="H4" i="83"/>
  <c r="I4" i="109"/>
  <c r="Q34" i="10"/>
  <c r="K49" i="10"/>
  <c r="H4" i="93"/>
  <c r="E57" i="10"/>
  <c r="H4" i="86"/>
  <c r="K26" i="10"/>
  <c r="K5" i="10"/>
  <c r="H4" i="108"/>
  <c r="I4" i="114"/>
  <c r="H4" i="90"/>
  <c r="K65" i="10"/>
  <c r="E5" i="10"/>
  <c r="E49" i="10"/>
  <c r="H4" i="104"/>
  <c r="H4" i="89"/>
  <c r="H4" i="111"/>
  <c r="K57" i="10"/>
  <c r="E26" i="10"/>
  <c r="Q5" i="10"/>
  <c r="K42" i="10"/>
  <c r="H4" i="110"/>
  <c r="I4" i="97"/>
  <c r="H4" i="105"/>
  <c r="I4" i="115"/>
  <c r="K92" i="10"/>
  <c r="I4" i="96"/>
  <c r="K12" i="10"/>
  <c r="I4" i="113"/>
  <c r="E19" i="10"/>
  <c r="H4" i="88"/>
  <c r="Q26" i="10"/>
  <c r="H4" i="81"/>
  <c r="H4" i="106"/>
  <c r="K34" i="10"/>
  <c r="Q19" i="10"/>
  <c r="H4" i="112"/>
  <c r="E92" i="10"/>
  <c r="H4" i="107"/>
  <c r="E42" i="10"/>
  <c r="K83" i="10"/>
  <c r="H4" i="87"/>
  <c r="E74" i="10"/>
  <c r="H4" i="80"/>
  <c r="Q42" i="10"/>
  <c r="B403" i="11"/>
  <c r="C122" i="11"/>
  <c r="I36" i="104"/>
  <c r="I36" i="80"/>
  <c r="I36" i="84"/>
  <c r="I36" i="81"/>
  <c r="I36" i="106"/>
  <c r="I36" i="88"/>
  <c r="I36" i="87"/>
  <c r="I36" i="82"/>
  <c r="I36" i="105"/>
  <c r="I36" i="111"/>
  <c r="I36" i="83"/>
  <c r="I36" i="110"/>
  <c r="I36" i="86"/>
  <c r="I36" i="85"/>
  <c r="I36" i="107"/>
  <c r="B38" i="10"/>
  <c r="B24" i="15"/>
  <c r="P80" i="88"/>
  <c r="D39" i="88" s="1"/>
  <c r="P80" i="87"/>
  <c r="D39" i="87" s="1"/>
  <c r="P80" i="80"/>
  <c r="D39" i="80" s="1"/>
  <c r="P80" i="107"/>
  <c r="P80" i="106"/>
  <c r="P80" i="105"/>
  <c r="P80" i="81"/>
  <c r="D39" i="81" s="1"/>
  <c r="P80" i="82"/>
  <c r="D39" i="82" s="1"/>
  <c r="P80" i="83"/>
  <c r="P80" i="86"/>
  <c r="P80" i="85"/>
  <c r="D39" i="85" s="1"/>
  <c r="P80" i="110"/>
  <c r="P80" i="84"/>
  <c r="P80" i="104"/>
  <c r="P80" i="111"/>
  <c r="M7" i="112"/>
  <c r="N7" i="87"/>
  <c r="N7" i="92"/>
  <c r="N7" i="84"/>
  <c r="N7" i="83"/>
  <c r="N7" i="80"/>
  <c r="BG4" i="48"/>
  <c r="N7" i="111"/>
  <c r="N7" i="97"/>
  <c r="G1" i="16"/>
  <c r="N7" i="108"/>
  <c r="N7" i="105"/>
  <c r="N7" i="93"/>
  <c r="N7" i="113"/>
  <c r="N7" i="86"/>
  <c r="N5" i="99"/>
  <c r="N7" i="85"/>
  <c r="N7" i="82"/>
  <c r="N7" i="96"/>
  <c r="M7" i="90"/>
  <c r="P5" i="3"/>
  <c r="M5" i="103"/>
  <c r="N7" i="109"/>
  <c r="K9" i="11"/>
  <c r="M5" i="102"/>
  <c r="N7" i="110"/>
  <c r="M5" i="101"/>
  <c r="N7" i="115"/>
  <c r="N5" i="100"/>
  <c r="N7" i="88"/>
  <c r="N7" i="107"/>
  <c r="N7" i="89"/>
  <c r="R4" i="15"/>
  <c r="N7" i="104"/>
  <c r="N7" i="114"/>
  <c r="N7" i="106"/>
  <c r="T6" i="10"/>
  <c r="M5" i="116"/>
  <c r="N7" i="81"/>
  <c r="AM124" i="48"/>
  <c r="U61" i="92"/>
  <c r="AM66" i="48"/>
  <c r="F66" i="48" s="1"/>
  <c r="AK114" i="48"/>
  <c r="AN62" i="48"/>
  <c r="AO122" i="48"/>
  <c r="AL52" i="48"/>
  <c r="AR122" i="48"/>
  <c r="AL123" i="48"/>
  <c r="AL114" i="48"/>
  <c r="AP214" i="48"/>
  <c r="AN124" i="48"/>
  <c r="L135" i="48"/>
  <c r="AM62" i="48"/>
  <c r="AR53" i="48"/>
  <c r="F53" i="48" s="1"/>
  <c r="BD53" i="48" s="1"/>
  <c r="AN52" i="48"/>
  <c r="AP122" i="48"/>
  <c r="AN114" i="48"/>
  <c r="F127" i="48"/>
  <c r="AM114" i="48"/>
  <c r="AO62" i="48"/>
  <c r="AE120" i="48"/>
  <c r="F120" i="48" s="1"/>
  <c r="L120" i="48" s="1"/>
  <c r="BD67" i="48"/>
  <c r="AF214" i="48"/>
  <c r="AF118" i="48"/>
  <c r="AE114" i="48"/>
  <c r="BD69" i="48"/>
  <c r="BD63" i="48"/>
  <c r="BD65" i="48"/>
  <c r="AE118" i="48"/>
  <c r="S4" i="101" l="1"/>
  <c r="T4" i="101" s="1"/>
  <c r="G43" i="48"/>
  <c r="M43" i="48" s="1"/>
  <c r="H43" i="48" s="1"/>
  <c r="T7" i="86"/>
  <c r="U7" i="86" s="1"/>
  <c r="T65" i="109"/>
  <c r="U65" i="109" s="1"/>
  <c r="T11" i="100"/>
  <c r="U11" i="100" s="1"/>
  <c r="T65" i="80"/>
  <c r="U65" i="80" s="1"/>
  <c r="G130" i="48"/>
  <c r="G159" i="48"/>
  <c r="M159" i="48" s="1"/>
  <c r="H159" i="48" s="1"/>
  <c r="T4" i="111"/>
  <c r="U4" i="111" s="1"/>
  <c r="T66" i="114"/>
  <c r="U66" i="114" s="1"/>
  <c r="T65" i="105"/>
  <c r="U65" i="105" s="1"/>
  <c r="G27" i="48"/>
  <c r="M27" i="48" s="1"/>
  <c r="H27" i="48" s="1"/>
  <c r="F14" i="16"/>
  <c r="G14" i="16" s="1"/>
  <c r="T8" i="109"/>
  <c r="U8" i="109" s="1"/>
  <c r="T11" i="113"/>
  <c r="G42" i="48"/>
  <c r="M42" i="48" s="1"/>
  <c r="H42" i="48" s="1"/>
  <c r="T65" i="104"/>
  <c r="U65" i="104" s="1"/>
  <c r="T69" i="113"/>
  <c r="U69" i="113" s="1"/>
  <c r="T7" i="114"/>
  <c r="U7" i="114" s="1"/>
  <c r="T17" i="88"/>
  <c r="U17" i="88" s="1"/>
  <c r="T12" i="112"/>
  <c r="U12" i="112" s="1"/>
  <c r="T7" i="115"/>
  <c r="U7" i="115" s="1"/>
  <c r="T11" i="108"/>
  <c r="U11" i="108" s="1"/>
  <c r="T80" i="109"/>
  <c r="U80" i="109" s="1"/>
  <c r="T16" i="112"/>
  <c r="U16" i="112" s="1"/>
  <c r="T8" i="104"/>
  <c r="U8" i="104" s="1"/>
  <c r="T7" i="109"/>
  <c r="U7" i="109" s="1"/>
  <c r="T11" i="109"/>
  <c r="T13" i="111"/>
  <c r="U13" i="111" s="1"/>
  <c r="T7" i="108"/>
  <c r="U7" i="108" s="1"/>
  <c r="T11" i="106"/>
  <c r="U11" i="106" s="1"/>
  <c r="T16" i="107"/>
  <c r="U16" i="107" s="1"/>
  <c r="T16" i="105"/>
  <c r="U16" i="105" s="1"/>
  <c r="T41" i="112"/>
  <c r="U41" i="112" s="1"/>
  <c r="G190" i="48"/>
  <c r="M190" i="48" s="1"/>
  <c r="H190" i="48" s="1"/>
  <c r="T16" i="93"/>
  <c r="U16" i="93" s="1"/>
  <c r="T9" i="100"/>
  <c r="U9" i="100" s="1"/>
  <c r="T10" i="99"/>
  <c r="U10" i="99" s="1"/>
  <c r="T15" i="97"/>
  <c r="U15" i="97" s="1"/>
  <c r="T11" i="99"/>
  <c r="U11" i="99" s="1"/>
  <c r="G221" i="48"/>
  <c r="M221" i="48" s="1"/>
  <c r="H221" i="48" s="1"/>
  <c r="T66" i="80"/>
  <c r="U66" i="80" s="1"/>
  <c r="T16" i="87"/>
  <c r="U16" i="87" s="1"/>
  <c r="T64" i="96"/>
  <c r="U64" i="96" s="1"/>
  <c r="G131" i="48"/>
  <c r="T66" i="109"/>
  <c r="U66" i="109" s="1"/>
  <c r="T41" i="90"/>
  <c r="U41" i="90" s="1"/>
  <c r="T65" i="115"/>
  <c r="U65" i="115" s="1"/>
  <c r="T15" i="84"/>
  <c r="U15" i="84" s="1"/>
  <c r="T16" i="85"/>
  <c r="U16" i="85" s="1"/>
  <c r="T15" i="92"/>
  <c r="U15" i="92" s="1"/>
  <c r="T16" i="104"/>
  <c r="U16" i="104" s="1"/>
  <c r="T16" i="86"/>
  <c r="U16" i="86" s="1"/>
  <c r="T7" i="83"/>
  <c r="U7" i="83" s="1"/>
  <c r="G224" i="48"/>
  <c r="M224" i="48" s="1"/>
  <c r="H224" i="48" s="1"/>
  <c r="T63" i="105"/>
  <c r="U63" i="105" s="1"/>
  <c r="T66" i="105"/>
  <c r="U66" i="105" s="1"/>
  <c r="F23" i="75"/>
  <c r="G23" i="75" s="1"/>
  <c r="T61" i="84"/>
  <c r="U61" i="84" s="1"/>
  <c r="T65" i="97"/>
  <c r="U65" i="97" s="1"/>
  <c r="G60" i="48"/>
  <c r="T15" i="109"/>
  <c r="U15" i="109" s="1"/>
  <c r="T16" i="80"/>
  <c r="U16" i="80" s="1"/>
  <c r="T25" i="112"/>
  <c r="U25" i="112" s="1"/>
  <c r="T15" i="114"/>
  <c r="U15" i="114" s="1"/>
  <c r="T11" i="87"/>
  <c r="U11" i="87" s="1"/>
  <c r="T11" i="89"/>
  <c r="U11" i="89" s="1"/>
  <c r="T14" i="114"/>
  <c r="U14" i="114" s="1"/>
  <c r="T63" i="80"/>
  <c r="U63" i="80" s="1"/>
  <c r="T67" i="96"/>
  <c r="U67" i="96" s="1"/>
  <c r="G127" i="48"/>
  <c r="T15" i="113"/>
  <c r="U15" i="113" s="1"/>
  <c r="T16" i="81"/>
  <c r="U16" i="81" s="1"/>
  <c r="T16" i="111"/>
  <c r="U16" i="111" s="1"/>
  <c r="T15" i="96"/>
  <c r="U15" i="96" s="1"/>
  <c r="T25" i="90"/>
  <c r="U25" i="90" s="1"/>
  <c r="T9" i="99"/>
  <c r="U9" i="99" s="1"/>
  <c r="G212" i="48"/>
  <c r="M212" i="48" s="1"/>
  <c r="H212" i="48" s="1"/>
  <c r="T42" i="112"/>
  <c r="U42" i="112" s="1"/>
  <c r="T42" i="90"/>
  <c r="U42" i="90" s="1"/>
  <c r="T61" i="104"/>
  <c r="U61" i="104" s="1"/>
  <c r="T17" i="110"/>
  <c r="U17" i="110" s="1"/>
  <c r="T39" i="112"/>
  <c r="U39" i="112" s="1"/>
  <c r="T10" i="111"/>
  <c r="U10" i="111" s="1"/>
  <c r="T8" i="106"/>
  <c r="U8" i="106" s="1"/>
  <c r="G39" i="48"/>
  <c r="T3" i="93"/>
  <c r="U3" i="93" s="1"/>
  <c r="T7" i="104"/>
  <c r="U7" i="104" s="1"/>
  <c r="G38" i="48"/>
  <c r="T72" i="105"/>
  <c r="U72" i="105" s="1"/>
  <c r="T72" i="106"/>
  <c r="U72" i="106" s="1"/>
  <c r="T49" i="108"/>
  <c r="U49" i="108" s="1"/>
  <c r="G259" i="48"/>
  <c r="M259" i="48" s="1"/>
  <c r="H259" i="48" s="1"/>
  <c r="F20" i="75"/>
  <c r="G20" i="75" s="1"/>
  <c r="T60" i="86"/>
  <c r="U60" i="86" s="1"/>
  <c r="T8" i="114"/>
  <c r="U8" i="114" s="1"/>
  <c r="T8" i="105"/>
  <c r="U8" i="105" s="1"/>
  <c r="T8" i="107"/>
  <c r="U8" i="107" s="1"/>
  <c r="T47" i="80"/>
  <c r="U47" i="80" s="1"/>
  <c r="G153" i="48"/>
  <c r="M153" i="48" s="1"/>
  <c r="H153" i="48" s="1"/>
  <c r="G13" i="48"/>
  <c r="M13" i="48" s="1"/>
  <c r="H13" i="48" s="1"/>
  <c r="T5" i="106"/>
  <c r="U5" i="106" s="1"/>
  <c r="F35" i="16"/>
  <c r="G35" i="16" s="1"/>
  <c r="G111" i="48"/>
  <c r="M111" i="48" s="1"/>
  <c r="H111" i="48" s="1"/>
  <c r="T47" i="113"/>
  <c r="U47" i="113" s="1"/>
  <c r="T75" i="111"/>
  <c r="U75" i="111" s="1"/>
  <c r="G251" i="48"/>
  <c r="M251" i="48" s="1"/>
  <c r="H251" i="48" s="1"/>
  <c r="T9" i="111"/>
  <c r="U9" i="111" s="1"/>
  <c r="T70" i="115"/>
  <c r="U70" i="115" s="1"/>
  <c r="T6" i="84"/>
  <c r="U6" i="84" s="1"/>
  <c r="T77" i="113"/>
  <c r="U77" i="113" s="1"/>
  <c r="T77" i="96"/>
  <c r="U77" i="96" s="1"/>
  <c r="T67" i="92"/>
  <c r="U67" i="92" s="1"/>
  <c r="T67" i="97"/>
  <c r="U67" i="97" s="1"/>
  <c r="T87" i="109"/>
  <c r="U87" i="109" s="1"/>
  <c r="T75" i="95"/>
  <c r="U75" i="95" s="1"/>
  <c r="T76" i="115"/>
  <c r="U76" i="115" s="1"/>
  <c r="T87" i="114"/>
  <c r="U87" i="114" s="1"/>
  <c r="G125" i="48"/>
  <c r="M125" i="48" s="1"/>
  <c r="H125" i="48" s="1"/>
  <c r="T67" i="114"/>
  <c r="U67" i="114" s="1"/>
  <c r="T13" i="112"/>
  <c r="U13" i="112" s="1"/>
  <c r="T8" i="108"/>
  <c r="U8" i="108" s="1"/>
  <c r="S3" i="116"/>
  <c r="T3" i="116" s="1"/>
  <c r="T16" i="106"/>
  <c r="U16" i="106" s="1"/>
  <c r="T15" i="115"/>
  <c r="U15" i="115" s="1"/>
  <c r="T16" i="110"/>
  <c r="U16" i="110" s="1"/>
  <c r="T16" i="88"/>
  <c r="U16" i="88" s="1"/>
  <c r="T16" i="108"/>
  <c r="U16" i="108" s="1"/>
  <c r="T16" i="82"/>
  <c r="U16" i="82" s="1"/>
  <c r="T16" i="89"/>
  <c r="U16" i="89" s="1"/>
  <c r="G35" i="48"/>
  <c r="M35" i="48" s="1"/>
  <c r="H35" i="48" s="1"/>
  <c r="T3" i="88"/>
  <c r="U3" i="88" s="1"/>
  <c r="T11" i="88"/>
  <c r="U11" i="88" s="1"/>
  <c r="T7" i="105"/>
  <c r="U7" i="105" s="1"/>
  <c r="T13" i="110"/>
  <c r="U13" i="110" s="1"/>
  <c r="T7" i="113"/>
  <c r="U7" i="113" s="1"/>
  <c r="T61" i="85"/>
  <c r="U61" i="85" s="1"/>
  <c r="T78" i="96"/>
  <c r="U78" i="96" s="1"/>
  <c r="T78" i="113"/>
  <c r="U78" i="113" s="1"/>
  <c r="T68" i="92"/>
  <c r="U68" i="92" s="1"/>
  <c r="T88" i="109"/>
  <c r="U88" i="109" s="1"/>
  <c r="T68" i="97"/>
  <c r="U68" i="97" s="1"/>
  <c r="T76" i="95"/>
  <c r="U76" i="95" s="1"/>
  <c r="T77" i="115"/>
  <c r="U77" i="115" s="1"/>
  <c r="T88" i="114"/>
  <c r="U88" i="114" s="1"/>
  <c r="T72" i="107"/>
  <c r="U72" i="107" s="1"/>
  <c r="T63" i="110"/>
  <c r="U63" i="110" s="1"/>
  <c r="T7" i="106"/>
  <c r="U7" i="106" s="1"/>
  <c r="G120" i="48"/>
  <c r="M120" i="48" s="1"/>
  <c r="H120" i="48" s="1"/>
  <c r="T81" i="114"/>
  <c r="U81" i="114" s="1"/>
  <c r="T79" i="96"/>
  <c r="U79" i="96" s="1"/>
  <c r="T79" i="113"/>
  <c r="U79" i="113" s="1"/>
  <c r="T69" i="92"/>
  <c r="U69" i="92" s="1"/>
  <c r="T69" i="97"/>
  <c r="U69" i="97" s="1"/>
  <c r="T89" i="109"/>
  <c r="U89" i="109" s="1"/>
  <c r="T77" i="95"/>
  <c r="U77" i="95" s="1"/>
  <c r="T89" i="114"/>
  <c r="U89" i="114" s="1"/>
  <c r="T78" i="115"/>
  <c r="U78" i="115" s="1"/>
  <c r="L36" i="48"/>
  <c r="M26" i="48"/>
  <c r="H26" i="48" s="1"/>
  <c r="T17" i="80"/>
  <c r="U17" i="80" s="1"/>
  <c r="T17" i="89"/>
  <c r="U17" i="89" s="1"/>
  <c r="T47" i="105"/>
  <c r="U47" i="105" s="1"/>
  <c r="T18" i="100"/>
  <c r="U18" i="100" s="1"/>
  <c r="G36" i="48"/>
  <c r="T19" i="90"/>
  <c r="U19" i="90" s="1"/>
  <c r="T47" i="92"/>
  <c r="U47" i="92" s="1"/>
  <c r="T56" i="95"/>
  <c r="U56" i="95" s="1"/>
  <c r="T17" i="93"/>
  <c r="U17" i="93" s="1"/>
  <c r="T16" i="83"/>
  <c r="U16" i="83" s="1"/>
  <c r="T47" i="111"/>
  <c r="U47" i="111" s="1"/>
  <c r="S9" i="101"/>
  <c r="T9" i="101" s="1"/>
  <c r="T56" i="106"/>
  <c r="U56" i="106" s="1"/>
  <c r="T56" i="85"/>
  <c r="U56" i="85" s="1"/>
  <c r="T61" i="83"/>
  <c r="U61" i="83" s="1"/>
  <c r="T17" i="111"/>
  <c r="U17" i="111" s="1"/>
  <c r="T47" i="82"/>
  <c r="U47" i="82" s="1"/>
  <c r="G187" i="48"/>
  <c r="M187" i="48" s="1"/>
  <c r="H187" i="48" s="1"/>
  <c r="S3" i="102"/>
  <c r="T3" i="102" s="1"/>
  <c r="T42" i="102" s="1"/>
  <c r="K8" i="102" s="1"/>
  <c r="T17" i="86"/>
  <c r="U17" i="86" s="1"/>
  <c r="T16" i="96"/>
  <c r="U16" i="96" s="1"/>
  <c r="T17" i="108"/>
  <c r="U17" i="108" s="1"/>
  <c r="T16" i="115"/>
  <c r="U16" i="115" s="1"/>
  <c r="T64" i="114"/>
  <c r="U64" i="114" s="1"/>
  <c r="T63" i="109"/>
  <c r="U63" i="109" s="1"/>
  <c r="T47" i="83"/>
  <c r="U47" i="83" s="1"/>
  <c r="T47" i="104"/>
  <c r="U47" i="104" s="1"/>
  <c r="T64" i="88"/>
  <c r="U64" i="88" s="1"/>
  <c r="T64" i="92"/>
  <c r="U64" i="92" s="1"/>
  <c r="G255" i="48"/>
  <c r="M255" i="48" s="1"/>
  <c r="H255" i="48" s="1"/>
  <c r="T11" i="85"/>
  <c r="U11" i="85" s="1"/>
  <c r="T6" i="100"/>
  <c r="U6" i="100" s="1"/>
  <c r="T42" i="89"/>
  <c r="U42" i="89" s="1"/>
  <c r="T42" i="108"/>
  <c r="U42" i="108" s="1"/>
  <c r="T63" i="111"/>
  <c r="U63" i="111" s="1"/>
  <c r="T47" i="96"/>
  <c r="U47" i="96" s="1"/>
  <c r="T33" i="111"/>
  <c r="U33" i="111" s="1"/>
  <c r="T57" i="88"/>
  <c r="U57" i="88" s="1"/>
  <c r="T57" i="84"/>
  <c r="U57" i="84" s="1"/>
  <c r="T34" i="86"/>
  <c r="U34" i="86" s="1"/>
  <c r="T56" i="110"/>
  <c r="U56" i="110" s="1"/>
  <c r="T79" i="109"/>
  <c r="U79" i="109" s="1"/>
  <c r="T17" i="82"/>
  <c r="U17" i="82" s="1"/>
  <c r="T16" i="114"/>
  <c r="U16" i="114" s="1"/>
  <c r="T16" i="97"/>
  <c r="U16" i="97" s="1"/>
  <c r="F4" i="75"/>
  <c r="G4" i="75" s="1"/>
  <c r="T63" i="87"/>
  <c r="U63" i="87" s="1"/>
  <c r="T63" i="106"/>
  <c r="U63" i="106" s="1"/>
  <c r="T47" i="107"/>
  <c r="U47" i="107" s="1"/>
  <c r="T47" i="87"/>
  <c r="U47" i="87" s="1"/>
  <c r="T64" i="113"/>
  <c r="U64" i="113" s="1"/>
  <c r="T11" i="80"/>
  <c r="U11" i="80" s="1"/>
  <c r="T5" i="104"/>
  <c r="U5" i="104" s="1"/>
  <c r="T7" i="100"/>
  <c r="U7" i="100" s="1"/>
  <c r="T47" i="114"/>
  <c r="U47" i="114" s="1"/>
  <c r="T34" i="106"/>
  <c r="U34" i="106" s="1"/>
  <c r="T56" i="107"/>
  <c r="U56" i="107" s="1"/>
  <c r="T35" i="105"/>
  <c r="U35" i="105" s="1"/>
  <c r="G30" i="48"/>
  <c r="M30" i="48" s="1"/>
  <c r="H30" i="48" s="1"/>
  <c r="T19" i="81"/>
  <c r="U19" i="81" s="1"/>
  <c r="T19" i="89"/>
  <c r="U19" i="89" s="1"/>
  <c r="T16" i="109"/>
  <c r="U16" i="109" s="1"/>
  <c r="T17" i="107"/>
  <c r="U17" i="107" s="1"/>
  <c r="T26" i="90"/>
  <c r="U26" i="90" s="1"/>
  <c r="T17" i="106"/>
  <c r="U17" i="106" s="1"/>
  <c r="T16" i="84"/>
  <c r="U16" i="84" s="1"/>
  <c r="T17" i="105"/>
  <c r="U17" i="105" s="1"/>
  <c r="T17" i="87"/>
  <c r="U17" i="87" s="1"/>
  <c r="T33" i="106"/>
  <c r="U33" i="106" s="1"/>
  <c r="T4" i="89"/>
  <c r="U4" i="89" s="1"/>
  <c r="G91" i="48"/>
  <c r="M91" i="48" s="1"/>
  <c r="H91" i="48" s="1"/>
  <c r="T47" i="88"/>
  <c r="U47" i="88" s="1"/>
  <c r="T47" i="85"/>
  <c r="U47" i="85" s="1"/>
  <c r="T47" i="110"/>
  <c r="U47" i="110" s="1"/>
  <c r="T5" i="113"/>
  <c r="U5" i="113" s="1"/>
  <c r="T8" i="95"/>
  <c r="U8" i="95" s="1"/>
  <c r="G32" i="48"/>
  <c r="T47" i="109"/>
  <c r="U47" i="109" s="1"/>
  <c r="T47" i="95"/>
  <c r="U47" i="95" s="1"/>
  <c r="T8" i="87"/>
  <c r="U8" i="87" s="1"/>
  <c r="T9" i="113"/>
  <c r="U9" i="113" s="1"/>
  <c r="T56" i="96"/>
  <c r="U56" i="96" s="1"/>
  <c r="T56" i="109"/>
  <c r="U56" i="109" s="1"/>
  <c r="T18" i="114"/>
  <c r="U18" i="114" s="1"/>
  <c r="T28" i="90"/>
  <c r="U28" i="90" s="1"/>
  <c r="T56" i="105"/>
  <c r="U56" i="105" s="1"/>
  <c r="T17" i="104"/>
  <c r="U17" i="104" s="1"/>
  <c r="T16" i="92"/>
  <c r="U16" i="92" s="1"/>
  <c r="T17" i="81"/>
  <c r="U17" i="81" s="1"/>
  <c r="T16" i="113"/>
  <c r="U16" i="113" s="1"/>
  <c r="T17" i="85"/>
  <c r="U17" i="85" s="1"/>
  <c r="T26" i="112"/>
  <c r="U26" i="112" s="1"/>
  <c r="G61" i="48"/>
  <c r="M61" i="48" s="1"/>
  <c r="H61" i="48" s="1"/>
  <c r="T8" i="83"/>
  <c r="U8" i="83" s="1"/>
  <c r="T33" i="108"/>
  <c r="U33" i="108" s="1"/>
  <c r="T47" i="84"/>
  <c r="U47" i="84" s="1"/>
  <c r="T47" i="81"/>
  <c r="U47" i="81" s="1"/>
  <c r="T47" i="106"/>
  <c r="U47" i="106" s="1"/>
  <c r="T47" i="86"/>
  <c r="U47" i="86" s="1"/>
  <c r="T3" i="89"/>
  <c r="U3" i="89" s="1"/>
  <c r="T5" i="109"/>
  <c r="U5" i="109" s="1"/>
  <c r="T5" i="87"/>
  <c r="U5" i="87" s="1"/>
  <c r="T60" i="113"/>
  <c r="U60" i="113" s="1"/>
  <c r="T60" i="85"/>
  <c r="U60" i="85" s="1"/>
  <c r="T5" i="107"/>
  <c r="U5" i="107" s="1"/>
  <c r="T47" i="115"/>
  <c r="U47" i="115" s="1"/>
  <c r="T56" i="92"/>
  <c r="U56" i="92" s="1"/>
  <c r="T8" i="85"/>
  <c r="U8" i="85" s="1"/>
  <c r="T19" i="106"/>
  <c r="U19" i="106" s="1"/>
  <c r="T56" i="83"/>
  <c r="U56" i="83" s="1"/>
  <c r="T23" i="99"/>
  <c r="U23" i="99" s="1"/>
  <c r="T6" i="80"/>
  <c r="U6" i="80" s="1"/>
  <c r="T33" i="87"/>
  <c r="U33" i="87" s="1"/>
  <c r="T4" i="88"/>
  <c r="U4" i="88" s="1"/>
  <c r="T61" i="97"/>
  <c r="U61" i="97" s="1"/>
  <c r="T61" i="114"/>
  <c r="U61" i="114" s="1"/>
  <c r="T60" i="80"/>
  <c r="U60" i="80" s="1"/>
  <c r="T3" i="92"/>
  <c r="U3" i="92" s="1"/>
  <c r="T60" i="95"/>
  <c r="U60" i="95" s="1"/>
  <c r="T4" i="110"/>
  <c r="U4" i="110" s="1"/>
  <c r="S12" i="116"/>
  <c r="T12" i="116" s="1"/>
  <c r="T3" i="80"/>
  <c r="U3" i="80" s="1"/>
  <c r="T5" i="80"/>
  <c r="U5" i="80" s="1"/>
  <c r="T5" i="89"/>
  <c r="U5" i="89" s="1"/>
  <c r="T4" i="82"/>
  <c r="U4" i="82" s="1"/>
  <c r="T8" i="96"/>
  <c r="U8" i="96" s="1"/>
  <c r="T8" i="89"/>
  <c r="U8" i="89" s="1"/>
  <c r="T19" i="85"/>
  <c r="U19" i="85" s="1"/>
  <c r="T18" i="97"/>
  <c r="U18" i="97" s="1"/>
  <c r="T18" i="96"/>
  <c r="U18" i="96" s="1"/>
  <c r="T19" i="111"/>
  <c r="U19" i="111" s="1"/>
  <c r="T31" i="83"/>
  <c r="U31" i="83" s="1"/>
  <c r="G114" i="48"/>
  <c r="T61" i="96"/>
  <c r="U61" i="96" s="1"/>
  <c r="T3" i="95"/>
  <c r="U3" i="95" s="1"/>
  <c r="T7" i="97"/>
  <c r="U7" i="97" s="1"/>
  <c r="T41" i="89"/>
  <c r="U41" i="89" s="1"/>
  <c r="T62" i="110"/>
  <c r="U62" i="110" s="1"/>
  <c r="T44" i="95"/>
  <c r="U44" i="95" s="1"/>
  <c r="T19" i="88"/>
  <c r="U19" i="88" s="1"/>
  <c r="T19" i="104"/>
  <c r="U19" i="104" s="1"/>
  <c r="T19" i="82"/>
  <c r="U19" i="82" s="1"/>
  <c r="F4" i="16"/>
  <c r="G4" i="16" s="1"/>
  <c r="G152" i="48"/>
  <c r="M152" i="48" s="1"/>
  <c r="H152" i="48" s="1"/>
  <c r="T61" i="106"/>
  <c r="U61" i="106" s="1"/>
  <c r="T6" i="87"/>
  <c r="U6" i="87" s="1"/>
  <c r="T6" i="92"/>
  <c r="U6" i="92" s="1"/>
  <c r="T36" i="90"/>
  <c r="U36" i="90" s="1"/>
  <c r="T41" i="108"/>
  <c r="U41" i="108" s="1"/>
  <c r="T38" i="112"/>
  <c r="U38" i="112" s="1"/>
  <c r="T60" i="107"/>
  <c r="U60" i="107" s="1"/>
  <c r="T38" i="90"/>
  <c r="U38" i="90" s="1"/>
  <c r="T60" i="109"/>
  <c r="U60" i="109" s="1"/>
  <c r="T5" i="82"/>
  <c r="U5" i="82" s="1"/>
  <c r="T61" i="115"/>
  <c r="U61" i="115" s="1"/>
  <c r="T5" i="92"/>
  <c r="U5" i="92" s="1"/>
  <c r="T5" i="88"/>
  <c r="U5" i="88" s="1"/>
  <c r="T60" i="88"/>
  <c r="U60" i="88" s="1"/>
  <c r="T10" i="107"/>
  <c r="U10" i="107" s="1"/>
  <c r="T60" i="87"/>
  <c r="U60" i="87" s="1"/>
  <c r="T5" i="81"/>
  <c r="U5" i="81" s="1"/>
  <c r="T13" i="90"/>
  <c r="U13" i="90" s="1"/>
  <c r="T57" i="97"/>
  <c r="U57" i="97" s="1"/>
  <c r="T8" i="80"/>
  <c r="U8" i="80" s="1"/>
  <c r="T8" i="97"/>
  <c r="U8" i="97" s="1"/>
  <c r="T35" i="104"/>
  <c r="U35" i="104" s="1"/>
  <c r="T18" i="84"/>
  <c r="U18" i="84" s="1"/>
  <c r="T18" i="95"/>
  <c r="U18" i="95" s="1"/>
  <c r="T19" i="107"/>
  <c r="U19" i="107" s="1"/>
  <c r="T18" i="113"/>
  <c r="U18" i="113" s="1"/>
  <c r="T19" i="108"/>
  <c r="U19" i="108" s="1"/>
  <c r="T19" i="93"/>
  <c r="U19" i="93" s="1"/>
  <c r="T19" i="105"/>
  <c r="U19" i="105" s="1"/>
  <c r="T6" i="89"/>
  <c r="U6" i="89" s="1"/>
  <c r="T6" i="88"/>
  <c r="U6" i="88" s="1"/>
  <c r="T60" i="110"/>
  <c r="U60" i="110" s="1"/>
  <c r="T60" i="92"/>
  <c r="U60" i="92" s="1"/>
  <c r="T61" i="111"/>
  <c r="U61" i="111" s="1"/>
  <c r="G15" i="48"/>
  <c r="M15" i="48" s="1"/>
  <c r="H15" i="48" s="1"/>
  <c r="T9" i="104"/>
  <c r="U9" i="104" s="1"/>
  <c r="T8" i="88"/>
  <c r="U8" i="88" s="1"/>
  <c r="T60" i="104"/>
  <c r="U60" i="104" s="1"/>
  <c r="T10" i="109"/>
  <c r="U10" i="109" s="1"/>
  <c r="T61" i="110"/>
  <c r="U61" i="110" s="1"/>
  <c r="T5" i="85"/>
  <c r="U5" i="85" s="1"/>
  <c r="T5" i="95"/>
  <c r="U5" i="95" s="1"/>
  <c r="T10" i="110"/>
  <c r="U10" i="110" s="1"/>
  <c r="T35" i="93"/>
  <c r="U35" i="93" s="1"/>
  <c r="T18" i="115"/>
  <c r="U18" i="115" s="1"/>
  <c r="T19" i="87"/>
  <c r="U19" i="87" s="1"/>
  <c r="T19" i="86"/>
  <c r="U19" i="86" s="1"/>
  <c r="T18" i="83"/>
  <c r="U18" i="83" s="1"/>
  <c r="T18" i="92"/>
  <c r="U18" i="92" s="1"/>
  <c r="T19" i="110"/>
  <c r="U19" i="110" s="1"/>
  <c r="T60" i="82"/>
  <c r="U60" i="82" s="1"/>
  <c r="T60" i="114"/>
  <c r="U60" i="114" s="1"/>
  <c r="T10" i="108"/>
  <c r="U10" i="108" s="1"/>
  <c r="T10" i="114"/>
  <c r="U10" i="114" s="1"/>
  <c r="T9" i="107"/>
  <c r="U9" i="107" s="1"/>
  <c r="T12" i="111"/>
  <c r="U12" i="111" s="1"/>
  <c r="T6" i="96"/>
  <c r="U6" i="96" s="1"/>
  <c r="T8" i="90"/>
  <c r="U8" i="90" s="1"/>
  <c r="T34" i="93"/>
  <c r="U34" i="93" s="1"/>
  <c r="G100" i="48"/>
  <c r="M100" i="48" s="1"/>
  <c r="H100" i="48" s="1"/>
  <c r="T30" i="93"/>
  <c r="U30" i="93" s="1"/>
  <c r="T56" i="88"/>
  <c r="U56" i="88" s="1"/>
  <c r="T56" i="114"/>
  <c r="U56" i="114" s="1"/>
  <c r="T35" i="88"/>
  <c r="U35" i="88" s="1"/>
  <c r="T44" i="115"/>
  <c r="U44" i="115" s="1"/>
  <c r="T56" i="81"/>
  <c r="U56" i="81" s="1"/>
  <c r="T34" i="80"/>
  <c r="U34" i="80" s="1"/>
  <c r="T56" i="104"/>
  <c r="U56" i="104" s="1"/>
  <c r="T56" i="80"/>
  <c r="U56" i="80" s="1"/>
  <c r="T56" i="87"/>
  <c r="U56" i="87" s="1"/>
  <c r="T63" i="97"/>
  <c r="U63" i="97" s="1"/>
  <c r="T29" i="80"/>
  <c r="U29" i="80" s="1"/>
  <c r="G239" i="48"/>
  <c r="M239" i="48" s="1"/>
  <c r="H239" i="48" s="1"/>
  <c r="T60" i="115"/>
  <c r="U60" i="115" s="1"/>
  <c r="T9" i="106"/>
  <c r="U9" i="106" s="1"/>
  <c r="T10" i="104"/>
  <c r="U10" i="104" s="1"/>
  <c r="T34" i="105"/>
  <c r="U34" i="105" s="1"/>
  <c r="G78" i="48"/>
  <c r="M78" i="48" s="1"/>
  <c r="H78" i="48" s="1"/>
  <c r="T56" i="115"/>
  <c r="U56" i="115" s="1"/>
  <c r="T56" i="86"/>
  <c r="U56" i="86" s="1"/>
  <c r="T57" i="86"/>
  <c r="U57" i="86" s="1"/>
  <c r="T56" i="113"/>
  <c r="U56" i="113" s="1"/>
  <c r="T56" i="111"/>
  <c r="U56" i="111" s="1"/>
  <c r="T56" i="97"/>
  <c r="U56" i="97" s="1"/>
  <c r="T35" i="106"/>
  <c r="U35" i="106" s="1"/>
  <c r="T35" i="86"/>
  <c r="U35" i="86" s="1"/>
  <c r="T56" i="84"/>
  <c r="U56" i="84" s="1"/>
  <c r="G205" i="48"/>
  <c r="M205" i="48" s="1"/>
  <c r="H205" i="48" s="1"/>
  <c r="S3" i="117"/>
  <c r="T3" i="117" s="1"/>
  <c r="T62" i="114"/>
  <c r="U62" i="114" s="1"/>
  <c r="T28" i="85"/>
  <c r="U28" i="85" s="1"/>
  <c r="T41" i="93"/>
  <c r="U41" i="93" s="1"/>
  <c r="T60" i="97"/>
  <c r="U60" i="97" s="1"/>
  <c r="T60" i="81"/>
  <c r="U60" i="81" s="1"/>
  <c r="T10" i="115"/>
  <c r="U10" i="115" s="1"/>
  <c r="T9" i="109"/>
  <c r="U9" i="109" s="1"/>
  <c r="T9" i="114"/>
  <c r="U9" i="114" s="1"/>
  <c r="G41" i="48"/>
  <c r="M41" i="48" s="1"/>
  <c r="H41" i="48" s="1"/>
  <c r="T10" i="113"/>
  <c r="U10" i="113" s="1"/>
  <c r="T8" i="112"/>
  <c r="U8" i="112" s="1"/>
  <c r="T34" i="87"/>
  <c r="U34" i="87" s="1"/>
  <c r="T32" i="95"/>
  <c r="U32" i="95" s="1"/>
  <c r="T32" i="110"/>
  <c r="U32" i="110" s="1"/>
  <c r="T67" i="105"/>
  <c r="U67" i="105" s="1"/>
  <c r="G40" i="48"/>
  <c r="T35" i="108"/>
  <c r="U35" i="108" s="1"/>
  <c r="T35" i="80"/>
  <c r="U35" i="80" s="1"/>
  <c r="T35" i="89"/>
  <c r="U35" i="89" s="1"/>
  <c r="T33" i="95"/>
  <c r="U33" i="95" s="1"/>
  <c r="T34" i="85"/>
  <c r="U34" i="85" s="1"/>
  <c r="G206" i="48"/>
  <c r="M206" i="48" s="1"/>
  <c r="H206" i="48" s="1"/>
  <c r="S4" i="117"/>
  <c r="T4" i="117" s="1"/>
  <c r="S9" i="116"/>
  <c r="T9" i="116" s="1"/>
  <c r="G173" i="48"/>
  <c r="M173" i="48" s="1"/>
  <c r="H173" i="48" s="1"/>
  <c r="T60" i="111"/>
  <c r="U60" i="111" s="1"/>
  <c r="T36" i="112"/>
  <c r="U36" i="112" s="1"/>
  <c r="T15" i="112"/>
  <c r="U15" i="112" s="1"/>
  <c r="T10" i="105"/>
  <c r="U10" i="105" s="1"/>
  <c r="T9" i="115"/>
  <c r="U9" i="115" s="1"/>
  <c r="T63" i="92"/>
  <c r="U63" i="92" s="1"/>
  <c r="T11" i="111"/>
  <c r="U11" i="111" s="1"/>
  <c r="T9" i="105"/>
  <c r="U9" i="105" s="1"/>
  <c r="T14" i="112"/>
  <c r="U14" i="112" s="1"/>
  <c r="G24" i="48"/>
  <c r="M24" i="48" s="1"/>
  <c r="H24" i="48" s="1"/>
  <c r="T34" i="81"/>
  <c r="U34" i="81" s="1"/>
  <c r="T34" i="89"/>
  <c r="U34" i="89" s="1"/>
  <c r="T34" i="108"/>
  <c r="U34" i="108" s="1"/>
  <c r="G59" i="48"/>
  <c r="M59" i="48" s="1"/>
  <c r="H59" i="48" s="1"/>
  <c r="T35" i="107"/>
  <c r="U35" i="107" s="1"/>
  <c r="T35" i="85"/>
  <c r="U35" i="85" s="1"/>
  <c r="T35" i="81"/>
  <c r="U35" i="81" s="1"/>
  <c r="G79" i="48"/>
  <c r="M79" i="48" s="1"/>
  <c r="H79" i="48" s="1"/>
  <c r="T14" i="115"/>
  <c r="U14" i="115" s="1"/>
  <c r="T32" i="84"/>
  <c r="U32" i="84" s="1"/>
  <c r="T19" i="80"/>
  <c r="U19" i="80" s="1"/>
  <c r="T18" i="109"/>
  <c r="U18" i="109" s="1"/>
  <c r="M29" i="48"/>
  <c r="H29" i="48" s="1"/>
  <c r="BD37" i="48"/>
  <c r="BD42" i="48"/>
  <c r="BD39" i="48"/>
  <c r="T38" i="106"/>
  <c r="U38" i="106" s="1"/>
  <c r="F33" i="75"/>
  <c r="G33" i="75" s="1"/>
  <c r="T40" i="112"/>
  <c r="U40" i="112" s="1"/>
  <c r="T30" i="88"/>
  <c r="U30" i="88" s="1"/>
  <c r="F25" i="75"/>
  <c r="G25" i="75" s="1"/>
  <c r="T69" i="115"/>
  <c r="U69" i="115" s="1"/>
  <c r="T6" i="81"/>
  <c r="U6" i="81" s="1"/>
  <c r="T11" i="82"/>
  <c r="U11" i="82" s="1"/>
  <c r="T9" i="97"/>
  <c r="U9" i="97" s="1"/>
  <c r="T6" i="107"/>
  <c r="U6" i="107" s="1"/>
  <c r="T42" i="93"/>
  <c r="U42" i="93" s="1"/>
  <c r="T30" i="104"/>
  <c r="U30" i="104" s="1"/>
  <c r="T14" i="82"/>
  <c r="U14" i="82" s="1"/>
  <c r="T30" i="89"/>
  <c r="U30" i="89" s="1"/>
  <c r="F24" i="16"/>
  <c r="G24" i="16" s="1"/>
  <c r="T34" i="82"/>
  <c r="U34" i="82" s="1"/>
  <c r="T34" i="104"/>
  <c r="U34" i="104" s="1"/>
  <c r="G140" i="48"/>
  <c r="M140" i="48" s="1"/>
  <c r="H140" i="48" s="1"/>
  <c r="T38" i="82"/>
  <c r="U38" i="82" s="1"/>
  <c r="T80" i="114"/>
  <c r="U80" i="114" s="1"/>
  <c r="T6" i="104"/>
  <c r="U6" i="104" s="1"/>
  <c r="T11" i="93"/>
  <c r="U11" i="93" s="1"/>
  <c r="T40" i="90"/>
  <c r="U40" i="90" s="1"/>
  <c r="T72" i="114"/>
  <c r="U72" i="114" s="1"/>
  <c r="T30" i="106"/>
  <c r="U30" i="106" s="1"/>
  <c r="T67" i="80"/>
  <c r="U67" i="80" s="1"/>
  <c r="G88" i="48"/>
  <c r="M88" i="48" s="1"/>
  <c r="H88" i="48" s="1"/>
  <c r="T44" i="80"/>
  <c r="U44" i="80" s="1"/>
  <c r="BD28" i="48"/>
  <c r="T5" i="110"/>
  <c r="U5" i="110" s="1"/>
  <c r="T13" i="99"/>
  <c r="U13" i="99" s="1"/>
  <c r="T28" i="81"/>
  <c r="U28" i="81" s="1"/>
  <c r="G20" i="48"/>
  <c r="M20" i="48" s="1"/>
  <c r="H20" i="48" s="1"/>
  <c r="T10" i="82"/>
  <c r="U10" i="82" s="1"/>
  <c r="T72" i="96"/>
  <c r="U72" i="96" s="1"/>
  <c r="T57" i="83"/>
  <c r="U57" i="83" s="1"/>
  <c r="T57" i="114"/>
  <c r="U57" i="114" s="1"/>
  <c r="G101" i="48"/>
  <c r="M101" i="48" s="1"/>
  <c r="H101" i="48" s="1"/>
  <c r="G132" i="48"/>
  <c r="T68" i="96"/>
  <c r="U68" i="96" s="1"/>
  <c r="T43" i="95"/>
  <c r="U43" i="95" s="1"/>
  <c r="T6" i="115"/>
  <c r="U6" i="115" s="1"/>
  <c r="T6" i="99"/>
  <c r="U6" i="99" s="1"/>
  <c r="G194" i="48"/>
  <c r="M194" i="48" s="1"/>
  <c r="H194" i="48" s="1"/>
  <c r="T21" i="100"/>
  <c r="U21" i="100" s="1"/>
  <c r="T71" i="95"/>
  <c r="U71" i="95" s="1"/>
  <c r="T57" i="82"/>
  <c r="U57" i="82" s="1"/>
  <c r="T67" i="109"/>
  <c r="U67" i="109" s="1"/>
  <c r="T43" i="82"/>
  <c r="U43" i="82" s="1"/>
  <c r="T68" i="113"/>
  <c r="U68" i="113" s="1"/>
  <c r="G50" i="48"/>
  <c r="M50" i="48" s="1"/>
  <c r="H50" i="48" s="1"/>
  <c r="T64" i="104"/>
  <c r="U64" i="104" s="1"/>
  <c r="T61" i="87"/>
  <c r="U61" i="87" s="1"/>
  <c r="T62" i="96"/>
  <c r="U62" i="96" s="1"/>
  <c r="T74" i="111"/>
  <c r="U74" i="111" s="1"/>
  <c r="T71" i="106"/>
  <c r="U71" i="106" s="1"/>
  <c r="T48" i="112"/>
  <c r="U48" i="112" s="1"/>
  <c r="G16" i="48"/>
  <c r="M16" i="48" s="1"/>
  <c r="H16" i="48" s="1"/>
  <c r="T6" i="93"/>
  <c r="U6" i="93" s="1"/>
  <c r="T61" i="80"/>
  <c r="U61" i="80" s="1"/>
  <c r="G123" i="48"/>
  <c r="T28" i="104"/>
  <c r="U28" i="104" s="1"/>
  <c r="T71" i="107"/>
  <c r="U71" i="107" s="1"/>
  <c r="T48" i="108"/>
  <c r="U48" i="108" s="1"/>
  <c r="T6" i="82"/>
  <c r="U6" i="82" s="1"/>
  <c r="T61" i="105"/>
  <c r="U61" i="105" s="1"/>
  <c r="T61" i="109"/>
  <c r="U61" i="109" s="1"/>
  <c r="T28" i="89"/>
  <c r="U28" i="89" s="1"/>
  <c r="T10" i="93"/>
  <c r="U10" i="93" s="1"/>
  <c r="T43" i="97"/>
  <c r="U43" i="97" s="1"/>
  <c r="T57" i="81"/>
  <c r="U57" i="81" s="1"/>
  <c r="T67" i="95"/>
  <c r="U67" i="95" s="1"/>
  <c r="T43" i="85"/>
  <c r="U43" i="85" s="1"/>
  <c r="L131" i="48"/>
  <c r="M131" i="48" s="1"/>
  <c r="H131" i="48" s="1"/>
  <c r="T38" i="105"/>
  <c r="U38" i="105" s="1"/>
  <c r="T38" i="107"/>
  <c r="U38" i="107" s="1"/>
  <c r="T21" i="87"/>
  <c r="U21" i="87" s="1"/>
  <c r="T29" i="87"/>
  <c r="U29" i="87" s="1"/>
  <c r="T9" i="87"/>
  <c r="U9" i="87" s="1"/>
  <c r="G14" i="48"/>
  <c r="T4" i="93"/>
  <c r="U4" i="93" s="1"/>
  <c r="T5" i="84"/>
  <c r="U5" i="84" s="1"/>
  <c r="T43" i="88"/>
  <c r="U43" i="88" s="1"/>
  <c r="G87" i="48"/>
  <c r="M87" i="48" s="1"/>
  <c r="H87" i="48" s="1"/>
  <c r="T12" i="100"/>
  <c r="U12" i="100" s="1"/>
  <c r="G164" i="48"/>
  <c r="M164" i="48" s="1"/>
  <c r="H164" i="48" s="1"/>
  <c r="T38" i="87"/>
  <c r="U38" i="87" s="1"/>
  <c r="T38" i="104"/>
  <c r="U38" i="104" s="1"/>
  <c r="T21" i="105"/>
  <c r="U21" i="105" s="1"/>
  <c r="F12" i="75"/>
  <c r="G12" i="75" s="1"/>
  <c r="G139" i="48"/>
  <c r="M139" i="48" s="1"/>
  <c r="H139" i="48" s="1"/>
  <c r="T12" i="90"/>
  <c r="U12" i="90" s="1"/>
  <c r="T14" i="90"/>
  <c r="U14" i="90" s="1"/>
  <c r="T9" i="85"/>
  <c r="U9" i="85" s="1"/>
  <c r="T4" i="81"/>
  <c r="U4" i="81" s="1"/>
  <c r="T7" i="95"/>
  <c r="U7" i="95" s="1"/>
  <c r="T38" i="80"/>
  <c r="U38" i="80" s="1"/>
  <c r="T36" i="111"/>
  <c r="U36" i="111" s="1"/>
  <c r="G219" i="48"/>
  <c r="M219" i="48" s="1"/>
  <c r="H219" i="48" s="1"/>
  <c r="T21" i="81"/>
  <c r="U21" i="81" s="1"/>
  <c r="G31" i="48"/>
  <c r="M31" i="48" s="1"/>
  <c r="H31" i="48" s="1"/>
  <c r="T65" i="114"/>
  <c r="U65" i="114" s="1"/>
  <c r="T38" i="85"/>
  <c r="U38" i="85" s="1"/>
  <c r="G82" i="48"/>
  <c r="M82" i="48" s="1"/>
  <c r="H82" i="48" s="1"/>
  <c r="T38" i="93"/>
  <c r="U38" i="93" s="1"/>
  <c r="T38" i="86"/>
  <c r="U38" i="86" s="1"/>
  <c r="G172" i="48"/>
  <c r="M172" i="48" s="1"/>
  <c r="H172" i="48" s="1"/>
  <c r="T20" i="96"/>
  <c r="U20" i="96" s="1"/>
  <c r="T21" i="88"/>
  <c r="U21" i="88" s="1"/>
  <c r="T29" i="108"/>
  <c r="U29" i="108" s="1"/>
  <c r="T33" i="93"/>
  <c r="U33" i="93" s="1"/>
  <c r="T33" i="89"/>
  <c r="U33" i="89" s="1"/>
  <c r="S20" i="103"/>
  <c r="T20" i="103" s="1"/>
  <c r="T63" i="113"/>
  <c r="U63" i="113" s="1"/>
  <c r="T9" i="92"/>
  <c r="U9" i="92" s="1"/>
  <c r="T9" i="96"/>
  <c r="U9" i="96" s="1"/>
  <c r="T7" i="89"/>
  <c r="U7" i="89" s="1"/>
  <c r="T7" i="85"/>
  <c r="U7" i="85" s="1"/>
  <c r="T9" i="80"/>
  <c r="U9" i="80" s="1"/>
  <c r="T9" i="95"/>
  <c r="U9" i="95" s="1"/>
  <c r="T63" i="88"/>
  <c r="U63" i="88" s="1"/>
  <c r="T61" i="82"/>
  <c r="U61" i="82" s="1"/>
  <c r="G118" i="48"/>
  <c r="T31" i="82"/>
  <c r="U31" i="82" s="1"/>
  <c r="T31" i="87"/>
  <c r="U31" i="87" s="1"/>
  <c r="T30" i="82"/>
  <c r="U30" i="82" s="1"/>
  <c r="T30" i="86"/>
  <c r="U30" i="86" s="1"/>
  <c r="T14" i="86"/>
  <c r="U14" i="86" s="1"/>
  <c r="T7" i="88"/>
  <c r="U7" i="88" s="1"/>
  <c r="T46" i="110"/>
  <c r="U46" i="110" s="1"/>
  <c r="T44" i="92"/>
  <c r="U44" i="92" s="1"/>
  <c r="T19" i="99"/>
  <c r="U19" i="99" s="1"/>
  <c r="T7" i="92"/>
  <c r="U7" i="92" s="1"/>
  <c r="T7" i="80"/>
  <c r="U7" i="80" s="1"/>
  <c r="T64" i="115"/>
  <c r="U64" i="115" s="1"/>
  <c r="G268" i="48"/>
  <c r="M268" i="48" s="1"/>
  <c r="H268" i="48" s="1"/>
  <c r="T46" i="109"/>
  <c r="U46" i="109" s="1"/>
  <c r="F10" i="75"/>
  <c r="G10" i="75" s="1"/>
  <c r="T38" i="108"/>
  <c r="U38" i="108" s="1"/>
  <c r="T38" i="89"/>
  <c r="U38" i="89" s="1"/>
  <c r="T38" i="81"/>
  <c r="U38" i="81" s="1"/>
  <c r="T38" i="88"/>
  <c r="U38" i="88" s="1"/>
  <c r="T36" i="110"/>
  <c r="U36" i="110" s="1"/>
  <c r="G148" i="48"/>
  <c r="M148" i="48" s="1"/>
  <c r="H148" i="48" s="1"/>
  <c r="T20" i="114"/>
  <c r="U20" i="114" s="1"/>
  <c r="T21" i="85"/>
  <c r="U21" i="85" s="1"/>
  <c r="T61" i="81"/>
  <c r="U61" i="81" s="1"/>
  <c r="T29" i="86"/>
  <c r="U29" i="86" s="1"/>
  <c r="G73" i="48"/>
  <c r="M73" i="48" s="1"/>
  <c r="H73" i="48" s="1"/>
  <c r="T33" i="104"/>
  <c r="U33" i="104" s="1"/>
  <c r="T33" i="81"/>
  <c r="U33" i="81" s="1"/>
  <c r="T33" i="80"/>
  <c r="U33" i="80" s="1"/>
  <c r="T4" i="85"/>
  <c r="U4" i="85" s="1"/>
  <c r="G33" i="48"/>
  <c r="M33" i="48" s="1"/>
  <c r="H33" i="48" s="1"/>
  <c r="T63" i="81"/>
  <c r="U63" i="81" s="1"/>
  <c r="G169" i="48"/>
  <c r="M169" i="48" s="1"/>
  <c r="H169" i="48" s="1"/>
  <c r="G126" i="48"/>
  <c r="M126" i="48" s="1"/>
  <c r="H126" i="48" s="1"/>
  <c r="T9" i="110"/>
  <c r="U9" i="110" s="1"/>
  <c r="T7" i="87"/>
  <c r="U7" i="87" s="1"/>
  <c r="T9" i="89"/>
  <c r="U9" i="89" s="1"/>
  <c r="T3" i="111"/>
  <c r="U3" i="111" s="1"/>
  <c r="T64" i="97"/>
  <c r="U64" i="97" s="1"/>
  <c r="T65" i="96"/>
  <c r="U65" i="96" s="1"/>
  <c r="T9" i="88"/>
  <c r="U9" i="88" s="1"/>
  <c r="T61" i="86"/>
  <c r="U61" i="86" s="1"/>
  <c r="G74" i="48"/>
  <c r="M74" i="48" s="1"/>
  <c r="H74" i="48" s="1"/>
  <c r="T46" i="95"/>
  <c r="U46" i="95" s="1"/>
  <c r="T28" i="110"/>
  <c r="U28" i="110" s="1"/>
  <c r="T28" i="111"/>
  <c r="U28" i="111" s="1"/>
  <c r="T44" i="110"/>
  <c r="U44" i="110" s="1"/>
  <c r="T46" i="88"/>
  <c r="U46" i="88" s="1"/>
  <c r="T18" i="81"/>
  <c r="U18" i="81" s="1"/>
  <c r="T18" i="111"/>
  <c r="U18" i="111" s="1"/>
  <c r="T17" i="96"/>
  <c r="U17" i="96" s="1"/>
  <c r="T18" i="86"/>
  <c r="U18" i="86" s="1"/>
  <c r="T18" i="89"/>
  <c r="U18" i="89" s="1"/>
  <c r="T27" i="90"/>
  <c r="U27" i="90" s="1"/>
  <c r="T18" i="105"/>
  <c r="U18" i="105" s="1"/>
  <c r="T18" i="110"/>
  <c r="U18" i="110" s="1"/>
  <c r="T18" i="107"/>
  <c r="U18" i="107" s="1"/>
  <c r="T18" i="80"/>
  <c r="U18" i="80" s="1"/>
  <c r="T18" i="85"/>
  <c r="U18" i="85" s="1"/>
  <c r="T17" i="115"/>
  <c r="U17" i="115" s="1"/>
  <c r="G62" i="48"/>
  <c r="T17" i="113"/>
  <c r="U17" i="113" s="1"/>
  <c r="T18" i="82"/>
  <c r="U18" i="82" s="1"/>
  <c r="T18" i="93"/>
  <c r="U18" i="93" s="1"/>
  <c r="T17" i="92"/>
  <c r="U17" i="92" s="1"/>
  <c r="T18" i="104"/>
  <c r="U18" i="104" s="1"/>
  <c r="T21" i="110"/>
  <c r="U21" i="110" s="1"/>
  <c r="T30" i="112"/>
  <c r="U30" i="112" s="1"/>
  <c r="T21" i="111"/>
  <c r="U21" i="111" s="1"/>
  <c r="T63" i="115"/>
  <c r="U63" i="115" s="1"/>
  <c r="T29" i="88"/>
  <c r="U29" i="88" s="1"/>
  <c r="T27" i="84"/>
  <c r="U27" i="84" s="1"/>
  <c r="T28" i="106"/>
  <c r="U28" i="106" s="1"/>
  <c r="M63" i="48"/>
  <c r="H63" i="48" s="1"/>
  <c r="T6" i="113"/>
  <c r="U6" i="113" s="1"/>
  <c r="T17" i="109"/>
  <c r="U17" i="109" s="1"/>
  <c r="T18" i="108"/>
  <c r="U18" i="108" s="1"/>
  <c r="T18" i="106"/>
  <c r="U18" i="106" s="1"/>
  <c r="F19" i="75"/>
  <c r="G19" i="75" s="1"/>
  <c r="G232" i="48"/>
  <c r="M232" i="48" s="1"/>
  <c r="H232" i="48" s="1"/>
  <c r="T9" i="84"/>
  <c r="U9" i="84" s="1"/>
  <c r="T10" i="112"/>
  <c r="U10" i="112" s="1"/>
  <c r="T20" i="109"/>
  <c r="U20" i="109" s="1"/>
  <c r="T21" i="104"/>
  <c r="U21" i="104" s="1"/>
  <c r="T30" i="90"/>
  <c r="U30" i="90" s="1"/>
  <c r="T21" i="108"/>
  <c r="U21" i="108" s="1"/>
  <c r="T21" i="82"/>
  <c r="U21" i="82" s="1"/>
  <c r="G65" i="48"/>
  <c r="M65" i="48" s="1"/>
  <c r="H65" i="48" s="1"/>
  <c r="T21" i="80"/>
  <c r="U21" i="80" s="1"/>
  <c r="T63" i="114"/>
  <c r="U63" i="114" s="1"/>
  <c r="T29" i="106"/>
  <c r="U29" i="106" s="1"/>
  <c r="T29" i="105"/>
  <c r="U29" i="105" s="1"/>
  <c r="T29" i="85"/>
  <c r="U29" i="85" s="1"/>
  <c r="T29" i="82"/>
  <c r="U29" i="82" s="1"/>
  <c r="T28" i="108"/>
  <c r="U28" i="108" s="1"/>
  <c r="T28" i="86"/>
  <c r="U28" i="86" s="1"/>
  <c r="T28" i="87"/>
  <c r="U28" i="87" s="1"/>
  <c r="T28" i="93"/>
  <c r="U28" i="93" s="1"/>
  <c r="T33" i="86"/>
  <c r="U33" i="86" s="1"/>
  <c r="G77" i="48"/>
  <c r="M77" i="48" s="1"/>
  <c r="H77" i="48" s="1"/>
  <c r="T33" i="107"/>
  <c r="U33" i="107" s="1"/>
  <c r="T33" i="105"/>
  <c r="U33" i="105" s="1"/>
  <c r="T31" i="110"/>
  <c r="U31" i="110" s="1"/>
  <c r="T4" i="80"/>
  <c r="U4" i="80" s="1"/>
  <c r="T4" i="92"/>
  <c r="U4" i="92" s="1"/>
  <c r="G261" i="48"/>
  <c r="M261" i="48" s="1"/>
  <c r="H261" i="48" s="1"/>
  <c r="T7" i="112"/>
  <c r="U7" i="112" s="1"/>
  <c r="T10" i="90"/>
  <c r="U10" i="90" s="1"/>
  <c r="G192" i="48"/>
  <c r="M192" i="48" s="1"/>
  <c r="H192" i="48" s="1"/>
  <c r="T27" i="112"/>
  <c r="U27" i="112" s="1"/>
  <c r="T24" i="90"/>
  <c r="U24" i="90" s="1"/>
  <c r="T31" i="89"/>
  <c r="U31" i="89" s="1"/>
  <c r="T46" i="82"/>
  <c r="U46" i="82" s="1"/>
  <c r="T13" i="113"/>
  <c r="U13" i="113" s="1"/>
  <c r="G178" i="48"/>
  <c r="M178" i="48" s="1"/>
  <c r="H178" i="48" s="1"/>
  <c r="F16" i="75"/>
  <c r="G16" i="75" s="1"/>
  <c r="T46" i="107"/>
  <c r="U46" i="107" s="1"/>
  <c r="T46" i="96"/>
  <c r="U46" i="96" s="1"/>
  <c r="T18" i="87"/>
  <c r="U18" i="87" s="1"/>
  <c r="T17" i="84"/>
  <c r="U17" i="84" s="1"/>
  <c r="T35" i="87"/>
  <c r="U35" i="87" s="1"/>
  <c r="T33" i="84"/>
  <c r="U33" i="84" s="1"/>
  <c r="T21" i="107"/>
  <c r="U21" i="107" s="1"/>
  <c r="T21" i="93"/>
  <c r="U21" i="93" s="1"/>
  <c r="T20" i="97"/>
  <c r="U20" i="97" s="1"/>
  <c r="T21" i="89"/>
  <c r="U21" i="89" s="1"/>
  <c r="T27" i="111"/>
  <c r="U27" i="111" s="1"/>
  <c r="T29" i="104"/>
  <c r="U29" i="104" s="1"/>
  <c r="T29" i="93"/>
  <c r="U29" i="93" s="1"/>
  <c r="T28" i="80"/>
  <c r="U28" i="80" s="1"/>
  <c r="T28" i="107"/>
  <c r="U28" i="107" s="1"/>
  <c r="T28" i="88"/>
  <c r="U28" i="88" s="1"/>
  <c r="G21" i="48"/>
  <c r="M21" i="48" s="1"/>
  <c r="H21" i="48" s="1"/>
  <c r="T18" i="88"/>
  <c r="U18" i="88" s="1"/>
  <c r="T46" i="92"/>
  <c r="U46" i="92" s="1"/>
  <c r="F21" i="16"/>
  <c r="G21" i="16" s="1"/>
  <c r="T46" i="106"/>
  <c r="U46" i="106" s="1"/>
  <c r="T46" i="80"/>
  <c r="U46" i="80" s="1"/>
  <c r="T21" i="86"/>
  <c r="U21" i="86" s="1"/>
  <c r="T21" i="106"/>
  <c r="U21" i="106" s="1"/>
  <c r="T20" i="113"/>
  <c r="U20" i="113" s="1"/>
  <c r="T20" i="115"/>
  <c r="U20" i="115" s="1"/>
  <c r="T20" i="84"/>
  <c r="U20" i="84" s="1"/>
  <c r="T20" i="92"/>
  <c r="U20" i="92" s="1"/>
  <c r="T63" i="96"/>
  <c r="U63" i="96" s="1"/>
  <c r="T29" i="89"/>
  <c r="U29" i="89" s="1"/>
  <c r="T27" i="110"/>
  <c r="U27" i="110" s="1"/>
  <c r="T29" i="107"/>
  <c r="U29" i="107" s="1"/>
  <c r="T29" i="81"/>
  <c r="U29" i="81" s="1"/>
  <c r="T28" i="82"/>
  <c r="U28" i="82" s="1"/>
  <c r="G72" i="48"/>
  <c r="M72" i="48" s="1"/>
  <c r="H72" i="48" s="1"/>
  <c r="T28" i="105"/>
  <c r="U28" i="105" s="1"/>
  <c r="T33" i="82"/>
  <c r="U33" i="82" s="1"/>
  <c r="T33" i="88"/>
  <c r="U33" i="88" s="1"/>
  <c r="T33" i="85"/>
  <c r="U33" i="85" s="1"/>
  <c r="T31" i="111"/>
  <c r="U31" i="111" s="1"/>
  <c r="T31" i="84"/>
  <c r="U31" i="84" s="1"/>
  <c r="T4" i="87"/>
  <c r="U4" i="87" s="1"/>
  <c r="G28" i="48"/>
  <c r="M28" i="48" s="1"/>
  <c r="H28" i="48" s="1"/>
  <c r="T7" i="90"/>
  <c r="U7" i="90" s="1"/>
  <c r="T6" i="106"/>
  <c r="U6" i="106" s="1"/>
  <c r="G177" i="48"/>
  <c r="M177" i="48" s="1"/>
  <c r="H177" i="48" s="1"/>
  <c r="T17" i="95"/>
  <c r="U17" i="95" s="1"/>
  <c r="T15" i="82"/>
  <c r="U15" i="82" s="1"/>
  <c r="T31" i="106"/>
  <c r="U31" i="106" s="1"/>
  <c r="G75" i="48"/>
  <c r="M75" i="48" s="1"/>
  <c r="H75" i="48" s="1"/>
  <c r="T46" i="115"/>
  <c r="U46" i="115" s="1"/>
  <c r="T14" i="104"/>
  <c r="U14" i="104" s="1"/>
  <c r="T14" i="105"/>
  <c r="U14" i="105" s="1"/>
  <c r="T46" i="81"/>
  <c r="U46" i="81" s="1"/>
  <c r="T17" i="114"/>
  <c r="U17" i="114" s="1"/>
  <c r="T31" i="88"/>
  <c r="U31" i="88" s="1"/>
  <c r="T31" i="104"/>
  <c r="U31" i="104" s="1"/>
  <c r="T31" i="85"/>
  <c r="U31" i="85" s="1"/>
  <c r="T14" i="97"/>
  <c r="U14" i="97" s="1"/>
  <c r="T14" i="95"/>
  <c r="U14" i="95" s="1"/>
  <c r="T14" i="113"/>
  <c r="U14" i="113" s="1"/>
  <c r="T31" i="107"/>
  <c r="U31" i="107" s="1"/>
  <c r="T14" i="108"/>
  <c r="U14" i="108" s="1"/>
  <c r="T14" i="80"/>
  <c r="U14" i="80" s="1"/>
  <c r="T15" i="89"/>
  <c r="U15" i="89" s="1"/>
  <c r="T57" i="115"/>
  <c r="U57" i="115" s="1"/>
  <c r="T57" i="80"/>
  <c r="U57" i="80" s="1"/>
  <c r="T57" i="104"/>
  <c r="U57" i="104" s="1"/>
  <c r="T57" i="96"/>
  <c r="U57" i="96" s="1"/>
  <c r="T11" i="86"/>
  <c r="U11" i="86" s="1"/>
  <c r="F7" i="16"/>
  <c r="G7" i="16" s="1"/>
  <c r="T44" i="97"/>
  <c r="U44" i="97" s="1"/>
  <c r="T24" i="112"/>
  <c r="U24" i="112" s="1"/>
  <c r="T15" i="87"/>
  <c r="U15" i="87" s="1"/>
  <c r="T15" i="111"/>
  <c r="U15" i="111" s="1"/>
  <c r="T15" i="107"/>
  <c r="U15" i="107" s="1"/>
  <c r="T30" i="105"/>
  <c r="U30" i="105" s="1"/>
  <c r="T57" i="110"/>
  <c r="U57" i="110" s="1"/>
  <c r="T29" i="83"/>
  <c r="U29" i="83" s="1"/>
  <c r="T29" i="110"/>
  <c r="U29" i="110" s="1"/>
  <c r="T31" i="108"/>
  <c r="U31" i="108" s="1"/>
  <c r="T57" i="95"/>
  <c r="U57" i="95" s="1"/>
  <c r="T57" i="107"/>
  <c r="U57" i="107" s="1"/>
  <c r="T57" i="109"/>
  <c r="U57" i="109" s="1"/>
  <c r="G246" i="48"/>
  <c r="M246" i="48" s="1"/>
  <c r="H246" i="48" s="1"/>
  <c r="T30" i="87"/>
  <c r="U30" i="87" s="1"/>
  <c r="T30" i="108"/>
  <c r="U30" i="108" s="1"/>
  <c r="T28" i="95"/>
  <c r="U28" i="95" s="1"/>
  <c r="T23" i="90"/>
  <c r="U23" i="90" s="1"/>
  <c r="T13" i="95"/>
  <c r="U13" i="95" s="1"/>
  <c r="T14" i="87"/>
  <c r="U14" i="87" s="1"/>
  <c r="T30" i="85"/>
  <c r="U30" i="85" s="1"/>
  <c r="T57" i="92"/>
  <c r="U57" i="92" s="1"/>
  <c r="T14" i="109"/>
  <c r="U14" i="109" s="1"/>
  <c r="T14" i="84"/>
  <c r="U14" i="84" s="1"/>
  <c r="T43" i="84"/>
  <c r="U43" i="84" s="1"/>
  <c r="T44" i="88"/>
  <c r="U44" i="88" s="1"/>
  <c r="T43" i="113"/>
  <c r="U43" i="113" s="1"/>
  <c r="T71" i="109"/>
  <c r="U71" i="109" s="1"/>
  <c r="T66" i="87"/>
  <c r="U66" i="87" s="1"/>
  <c r="G135" i="48"/>
  <c r="M135" i="48" s="1"/>
  <c r="H135" i="48" s="1"/>
  <c r="T13" i="109"/>
  <c r="U13" i="109" s="1"/>
  <c r="T14" i="89"/>
  <c r="U14" i="89" s="1"/>
  <c r="G58" i="48"/>
  <c r="M58" i="48" s="1"/>
  <c r="H58" i="48" s="1"/>
  <c r="T14" i="93"/>
  <c r="U14" i="93" s="1"/>
  <c r="T23" i="112"/>
  <c r="U23" i="112" s="1"/>
  <c r="T13" i="96"/>
  <c r="U13" i="96" s="1"/>
  <c r="T14" i="92"/>
  <c r="U14" i="92" s="1"/>
  <c r="T14" i="96"/>
  <c r="U14" i="96" s="1"/>
  <c r="T15" i="110"/>
  <c r="U15" i="110" s="1"/>
  <c r="T15" i="93"/>
  <c r="U15" i="93" s="1"/>
  <c r="T15" i="105"/>
  <c r="U15" i="105" s="1"/>
  <c r="T15" i="104"/>
  <c r="U15" i="104" s="1"/>
  <c r="T15" i="88"/>
  <c r="U15" i="88" s="1"/>
  <c r="T31" i="80"/>
  <c r="U31" i="80" s="1"/>
  <c r="T31" i="86"/>
  <c r="U31" i="86" s="1"/>
  <c r="T29" i="111"/>
  <c r="U29" i="111" s="1"/>
  <c r="T29" i="95"/>
  <c r="U29" i="95" s="1"/>
  <c r="T14" i="107"/>
  <c r="U14" i="107" s="1"/>
  <c r="T14" i="106"/>
  <c r="U14" i="106" s="1"/>
  <c r="T13" i="97"/>
  <c r="U13" i="97" s="1"/>
  <c r="T43" i="109"/>
  <c r="U43" i="109" s="1"/>
  <c r="T43" i="96"/>
  <c r="U43" i="96" s="1"/>
  <c r="T43" i="105"/>
  <c r="U43" i="105" s="1"/>
  <c r="T43" i="107"/>
  <c r="U43" i="107" s="1"/>
  <c r="T43" i="92"/>
  <c r="U43" i="92" s="1"/>
  <c r="T43" i="104"/>
  <c r="U43" i="104" s="1"/>
  <c r="T43" i="81"/>
  <c r="U43" i="81" s="1"/>
  <c r="T43" i="110"/>
  <c r="U43" i="110" s="1"/>
  <c r="T43" i="115"/>
  <c r="U43" i="115" s="1"/>
  <c r="T43" i="106"/>
  <c r="U43" i="106" s="1"/>
  <c r="T43" i="80"/>
  <c r="U43" i="80" s="1"/>
  <c r="T6" i="112"/>
  <c r="U6" i="112" s="1"/>
  <c r="T6" i="114"/>
  <c r="U6" i="114" s="1"/>
  <c r="T44" i="96"/>
  <c r="U44" i="96" s="1"/>
  <c r="T44" i="113"/>
  <c r="U44" i="113" s="1"/>
  <c r="T44" i="104"/>
  <c r="U44" i="104" s="1"/>
  <c r="T44" i="87"/>
  <c r="U44" i="87" s="1"/>
  <c r="T44" i="114"/>
  <c r="U44" i="114" s="1"/>
  <c r="T44" i="109"/>
  <c r="U44" i="109" s="1"/>
  <c r="T44" i="105"/>
  <c r="U44" i="105" s="1"/>
  <c r="T44" i="82"/>
  <c r="U44" i="82" s="1"/>
  <c r="T44" i="106"/>
  <c r="U44" i="106" s="1"/>
  <c r="T44" i="84"/>
  <c r="U44" i="84" s="1"/>
  <c r="T44" i="81"/>
  <c r="U44" i="81" s="1"/>
  <c r="T44" i="111"/>
  <c r="U44" i="111" s="1"/>
  <c r="T9" i="86"/>
  <c r="U9" i="86" s="1"/>
  <c r="T19" i="112"/>
  <c r="U19" i="112" s="1"/>
  <c r="T10" i="100"/>
  <c r="U10" i="100" s="1"/>
  <c r="T6" i="97"/>
  <c r="U6" i="97" s="1"/>
  <c r="T6" i="90"/>
  <c r="U6" i="90" s="1"/>
  <c r="T15" i="85"/>
  <c r="U15" i="85" s="1"/>
  <c r="T15" i="80"/>
  <c r="U15" i="80" s="1"/>
  <c r="T15" i="81"/>
  <c r="U15" i="81" s="1"/>
  <c r="T15" i="108"/>
  <c r="U15" i="108" s="1"/>
  <c r="T57" i="106"/>
  <c r="U57" i="106" s="1"/>
  <c r="T31" i="105"/>
  <c r="U31" i="105" s="1"/>
  <c r="T31" i="81"/>
  <c r="U31" i="81" s="1"/>
  <c r="T31" i="93"/>
  <c r="U31" i="93" s="1"/>
  <c r="T57" i="113"/>
  <c r="U57" i="113" s="1"/>
  <c r="T57" i="105"/>
  <c r="U57" i="105" s="1"/>
  <c r="T28" i="84"/>
  <c r="U28" i="84" s="1"/>
  <c r="T30" i="107"/>
  <c r="U30" i="107" s="1"/>
  <c r="T30" i="80"/>
  <c r="U30" i="80" s="1"/>
  <c r="T14" i="85"/>
  <c r="U14" i="85" s="1"/>
  <c r="T14" i="81"/>
  <c r="U14" i="81" s="1"/>
  <c r="T13" i="115"/>
  <c r="U13" i="115" s="1"/>
  <c r="T57" i="111"/>
  <c r="U57" i="111" s="1"/>
  <c r="T13" i="92"/>
  <c r="U13" i="92" s="1"/>
  <c r="T15" i="86"/>
  <c r="U15" i="86" s="1"/>
  <c r="T43" i="111"/>
  <c r="U43" i="111" s="1"/>
  <c r="T57" i="85"/>
  <c r="U57" i="85" s="1"/>
  <c r="T44" i="85"/>
  <c r="U44" i="85" s="1"/>
  <c r="T43" i="114"/>
  <c r="U43" i="114" s="1"/>
  <c r="T14" i="88"/>
  <c r="U14" i="88" s="1"/>
  <c r="T43" i="87"/>
  <c r="U43" i="87" s="1"/>
  <c r="T44" i="107"/>
  <c r="U44" i="107" s="1"/>
  <c r="F5" i="16"/>
  <c r="G5" i="16" s="1"/>
  <c r="G106" i="48"/>
  <c r="M106" i="48" s="1"/>
  <c r="H106" i="48" s="1"/>
  <c r="T6" i="105"/>
  <c r="U6" i="105" s="1"/>
  <c r="T6" i="109"/>
  <c r="U6" i="109" s="1"/>
  <c r="T46" i="97"/>
  <c r="U46" i="97" s="1"/>
  <c r="T46" i="113"/>
  <c r="U46" i="113" s="1"/>
  <c r="T46" i="105"/>
  <c r="U46" i="105" s="1"/>
  <c r="T46" i="114"/>
  <c r="U46" i="114" s="1"/>
  <c r="T46" i="86"/>
  <c r="U46" i="86" s="1"/>
  <c r="T46" i="84"/>
  <c r="U46" i="84" s="1"/>
  <c r="G90" i="48"/>
  <c r="M90" i="48" s="1"/>
  <c r="H90" i="48" s="1"/>
  <c r="T46" i="111"/>
  <c r="U46" i="111" s="1"/>
  <c r="T46" i="85"/>
  <c r="U46" i="85" s="1"/>
  <c r="T46" i="87"/>
  <c r="U46" i="87" s="1"/>
  <c r="G237" i="48"/>
  <c r="M237" i="48" s="1"/>
  <c r="H237" i="48" s="1"/>
  <c r="F15" i="75"/>
  <c r="G15" i="75" s="1"/>
  <c r="M117" i="48"/>
  <c r="H117" i="48" s="1"/>
  <c r="G241" i="48"/>
  <c r="M241" i="48" s="1"/>
  <c r="H241" i="48" s="1"/>
  <c r="F6" i="75"/>
  <c r="G6" i="75" s="1"/>
  <c r="G231" i="48"/>
  <c r="M231" i="48" s="1"/>
  <c r="H231" i="48" s="1"/>
  <c r="F18" i="75"/>
  <c r="G18" i="75" s="1"/>
  <c r="T53" i="112"/>
  <c r="U53" i="112" s="1"/>
  <c r="T76" i="105"/>
  <c r="U76" i="105" s="1"/>
  <c r="T74" i="115"/>
  <c r="U74" i="115" s="1"/>
  <c r="G55" i="48"/>
  <c r="T76" i="107"/>
  <c r="U76" i="107" s="1"/>
  <c r="T69" i="104"/>
  <c r="U69" i="104" s="1"/>
  <c r="T84" i="109"/>
  <c r="U84" i="109" s="1"/>
  <c r="T53" i="108"/>
  <c r="U53" i="108" s="1"/>
  <c r="T79" i="111"/>
  <c r="U79" i="111" s="1"/>
  <c r="T76" i="106"/>
  <c r="U76" i="106" s="1"/>
  <c r="T85" i="114"/>
  <c r="U85" i="114" s="1"/>
  <c r="T73" i="113"/>
  <c r="U73" i="113" s="1"/>
  <c r="F14" i="75"/>
  <c r="G14" i="75" s="1"/>
  <c r="G235" i="48"/>
  <c r="M235" i="48" s="1"/>
  <c r="H235" i="48" s="1"/>
  <c r="G266" i="48"/>
  <c r="M266" i="48" s="1"/>
  <c r="H266" i="48" s="1"/>
  <c r="F32" i="16"/>
  <c r="G32" i="16" s="1"/>
  <c r="T45" i="92"/>
  <c r="U45" i="92" s="1"/>
  <c r="T45" i="114"/>
  <c r="U45" i="114" s="1"/>
  <c r="T45" i="82"/>
  <c r="U45" i="82" s="1"/>
  <c r="T45" i="97"/>
  <c r="U45" i="97" s="1"/>
  <c r="T45" i="109"/>
  <c r="U45" i="109" s="1"/>
  <c r="T45" i="95"/>
  <c r="U45" i="95" s="1"/>
  <c r="T45" i="104"/>
  <c r="U45" i="104" s="1"/>
  <c r="T45" i="105"/>
  <c r="U45" i="105" s="1"/>
  <c r="T45" i="88"/>
  <c r="U45" i="88" s="1"/>
  <c r="T45" i="80"/>
  <c r="U45" i="80" s="1"/>
  <c r="T45" i="86"/>
  <c r="U45" i="86" s="1"/>
  <c r="T45" i="83"/>
  <c r="U45" i="83" s="1"/>
  <c r="T45" i="115"/>
  <c r="U45" i="115" s="1"/>
  <c r="T45" i="110"/>
  <c r="U45" i="110" s="1"/>
  <c r="T45" i="87"/>
  <c r="U45" i="87" s="1"/>
  <c r="T45" i="81"/>
  <c r="U45" i="81" s="1"/>
  <c r="G89" i="48"/>
  <c r="M89" i="48" s="1"/>
  <c r="H89" i="48" s="1"/>
  <c r="T45" i="113"/>
  <c r="U45" i="113" s="1"/>
  <c r="T45" i="106"/>
  <c r="U45" i="106" s="1"/>
  <c r="T45" i="96"/>
  <c r="U45" i="96" s="1"/>
  <c r="T45" i="85"/>
  <c r="U45" i="85" s="1"/>
  <c r="T45" i="84"/>
  <c r="U45" i="84" s="1"/>
  <c r="T45" i="107"/>
  <c r="U45" i="107" s="1"/>
  <c r="T45" i="111"/>
  <c r="U45" i="111" s="1"/>
  <c r="G226" i="48"/>
  <c r="M226" i="48" s="1"/>
  <c r="H226" i="48" s="1"/>
  <c r="F22" i="75"/>
  <c r="G22" i="75" s="1"/>
  <c r="T41" i="82"/>
  <c r="U41" i="82" s="1"/>
  <c r="T41" i="109"/>
  <c r="U41" i="109" s="1"/>
  <c r="T41" i="95"/>
  <c r="U41" i="95" s="1"/>
  <c r="T41" i="114"/>
  <c r="U41" i="114" s="1"/>
  <c r="T41" i="92"/>
  <c r="U41" i="92" s="1"/>
  <c r="T41" i="96"/>
  <c r="U41" i="96" s="1"/>
  <c r="T41" i="111"/>
  <c r="U41" i="111" s="1"/>
  <c r="T41" i="85"/>
  <c r="U41" i="85" s="1"/>
  <c r="T41" i="88"/>
  <c r="U41" i="88" s="1"/>
  <c r="G85" i="48"/>
  <c r="M85" i="48" s="1"/>
  <c r="H85" i="48" s="1"/>
  <c r="T41" i="97"/>
  <c r="U41" i="97" s="1"/>
  <c r="T41" i="86"/>
  <c r="U41" i="86" s="1"/>
  <c r="T41" i="80"/>
  <c r="U41" i="80" s="1"/>
  <c r="T41" i="113"/>
  <c r="U41" i="113" s="1"/>
  <c r="T41" i="104"/>
  <c r="U41" i="104" s="1"/>
  <c r="T41" i="87"/>
  <c r="U41" i="87" s="1"/>
  <c r="T41" i="107"/>
  <c r="U41" i="107" s="1"/>
  <c r="T41" i="106"/>
  <c r="U41" i="106" s="1"/>
  <c r="T41" i="115"/>
  <c r="U41" i="115" s="1"/>
  <c r="T41" i="105"/>
  <c r="U41" i="105" s="1"/>
  <c r="T41" i="81"/>
  <c r="U41" i="81" s="1"/>
  <c r="T41" i="110"/>
  <c r="U41" i="110" s="1"/>
  <c r="F15" i="16"/>
  <c r="G15" i="16" s="1"/>
  <c r="G218" i="48"/>
  <c r="M218" i="48" s="1"/>
  <c r="H218" i="48" s="1"/>
  <c r="T47" i="112"/>
  <c r="U47" i="112" s="1"/>
  <c r="G49" i="48"/>
  <c r="T68" i="115"/>
  <c r="U68" i="115" s="1"/>
  <c r="T63" i="104"/>
  <c r="U63" i="104" s="1"/>
  <c r="T79" i="114"/>
  <c r="U79" i="114" s="1"/>
  <c r="T70" i="105"/>
  <c r="U70" i="105" s="1"/>
  <c r="T70" i="107"/>
  <c r="U70" i="107" s="1"/>
  <c r="T70" i="106"/>
  <c r="U70" i="106" s="1"/>
  <c r="T73" i="111"/>
  <c r="U73" i="111" s="1"/>
  <c r="T78" i="109"/>
  <c r="U78" i="109" s="1"/>
  <c r="T67" i="113"/>
  <c r="U67" i="113" s="1"/>
  <c r="T47" i="108"/>
  <c r="U47" i="108" s="1"/>
  <c r="T58" i="97"/>
  <c r="U58" i="97" s="1"/>
  <c r="T58" i="92"/>
  <c r="U58" i="92" s="1"/>
  <c r="T58" i="110"/>
  <c r="U58" i="110" s="1"/>
  <c r="T58" i="85"/>
  <c r="U58" i="85" s="1"/>
  <c r="T58" i="106"/>
  <c r="U58" i="106" s="1"/>
  <c r="T58" i="80"/>
  <c r="U58" i="80" s="1"/>
  <c r="T58" i="115"/>
  <c r="U58" i="115" s="1"/>
  <c r="T58" i="114"/>
  <c r="U58" i="114" s="1"/>
  <c r="T58" i="111"/>
  <c r="U58" i="111" s="1"/>
  <c r="T58" i="105"/>
  <c r="U58" i="105" s="1"/>
  <c r="T58" i="88"/>
  <c r="U58" i="88" s="1"/>
  <c r="G102" i="48"/>
  <c r="M102" i="48" s="1"/>
  <c r="H102" i="48" s="1"/>
  <c r="T58" i="82"/>
  <c r="U58" i="82" s="1"/>
  <c r="T58" i="95"/>
  <c r="U58" i="95" s="1"/>
  <c r="T58" i="104"/>
  <c r="U58" i="104" s="1"/>
  <c r="T58" i="107"/>
  <c r="U58" i="107" s="1"/>
  <c r="T58" i="87"/>
  <c r="U58" i="87" s="1"/>
  <c r="T58" i="113"/>
  <c r="U58" i="113" s="1"/>
  <c r="T58" i="96"/>
  <c r="U58" i="96" s="1"/>
  <c r="T58" i="86"/>
  <c r="U58" i="86" s="1"/>
  <c r="T58" i="84"/>
  <c r="U58" i="84" s="1"/>
  <c r="T58" i="109"/>
  <c r="U58" i="109" s="1"/>
  <c r="T58" i="81"/>
  <c r="U58" i="81" s="1"/>
  <c r="G256" i="48"/>
  <c r="M256" i="48" s="1"/>
  <c r="H256" i="48" s="1"/>
  <c r="F23" i="16"/>
  <c r="G23" i="16" s="1"/>
  <c r="F9" i="16"/>
  <c r="G9" i="16" s="1"/>
  <c r="G128" i="48"/>
  <c r="M128" i="48" s="1"/>
  <c r="H128" i="48" s="1"/>
  <c r="T19" i="95"/>
  <c r="U19" i="95" s="1"/>
  <c r="T20" i="106"/>
  <c r="U20" i="106" s="1"/>
  <c r="T19" i="113"/>
  <c r="U19" i="113" s="1"/>
  <c r="T29" i="90"/>
  <c r="U29" i="90" s="1"/>
  <c r="T19" i="109"/>
  <c r="U19" i="109" s="1"/>
  <c r="T20" i="105"/>
  <c r="U20" i="105" s="1"/>
  <c r="T20" i="80"/>
  <c r="U20" i="80" s="1"/>
  <c r="T20" i="85"/>
  <c r="U20" i="85" s="1"/>
  <c r="T20" i="108"/>
  <c r="U20" i="108" s="1"/>
  <c r="G64" i="48"/>
  <c r="T20" i="111"/>
  <c r="U20" i="111" s="1"/>
  <c r="T20" i="86"/>
  <c r="U20" i="86" s="1"/>
  <c r="T20" i="107"/>
  <c r="U20" i="107" s="1"/>
  <c r="T20" i="82"/>
  <c r="U20" i="82" s="1"/>
  <c r="T19" i="92"/>
  <c r="U19" i="92" s="1"/>
  <c r="T20" i="81"/>
  <c r="U20" i="81" s="1"/>
  <c r="T20" i="104"/>
  <c r="U20" i="104" s="1"/>
  <c r="T19" i="97"/>
  <c r="U19" i="97" s="1"/>
  <c r="T19" i="114"/>
  <c r="U19" i="114" s="1"/>
  <c r="T19" i="96"/>
  <c r="U19" i="96" s="1"/>
  <c r="T20" i="88"/>
  <c r="U20" i="88" s="1"/>
  <c r="T20" i="93"/>
  <c r="U20" i="93" s="1"/>
  <c r="T29" i="112"/>
  <c r="U29" i="112" s="1"/>
  <c r="T19" i="84"/>
  <c r="U19" i="84" s="1"/>
  <c r="T20" i="110"/>
  <c r="U20" i="110" s="1"/>
  <c r="T20" i="87"/>
  <c r="U20" i="87" s="1"/>
  <c r="T19" i="115"/>
  <c r="U19" i="115" s="1"/>
  <c r="T20" i="89"/>
  <c r="U20" i="89" s="1"/>
  <c r="G225" i="48"/>
  <c r="M225" i="48" s="1"/>
  <c r="H225" i="48" s="1"/>
  <c r="F9" i="75"/>
  <c r="G9" i="75" s="1"/>
  <c r="F26" i="75"/>
  <c r="G26" i="75" s="1"/>
  <c r="G244" i="48"/>
  <c r="M244" i="48" s="1"/>
  <c r="H244" i="48" s="1"/>
  <c r="T68" i="95"/>
  <c r="U68" i="95" s="1"/>
  <c r="T69" i="96"/>
  <c r="U69" i="96" s="1"/>
  <c r="T68" i="105"/>
  <c r="U68" i="105" s="1"/>
  <c r="T68" i="80"/>
  <c r="U68" i="80" s="1"/>
  <c r="G133" i="48"/>
  <c r="T69" i="114"/>
  <c r="U69" i="114" s="1"/>
  <c r="T68" i="109"/>
  <c r="U68" i="109" s="1"/>
  <c r="F28" i="16"/>
  <c r="G28" i="16" s="1"/>
  <c r="G262" i="48"/>
  <c r="M262" i="48" s="1"/>
  <c r="H262" i="48" s="1"/>
  <c r="G240" i="48"/>
  <c r="M240" i="48" s="1"/>
  <c r="H240" i="48" s="1"/>
  <c r="F5" i="75"/>
  <c r="G5" i="75" s="1"/>
  <c r="T7" i="99"/>
  <c r="U7" i="99" s="1"/>
  <c r="G143" i="48"/>
  <c r="M143" i="48" s="1"/>
  <c r="H143" i="48" s="1"/>
  <c r="T25" i="81"/>
  <c r="U25" i="81" s="1"/>
  <c r="T25" i="105"/>
  <c r="U25" i="105" s="1"/>
  <c r="T25" i="93"/>
  <c r="U25" i="93" s="1"/>
  <c r="T25" i="108"/>
  <c r="U25" i="108" s="1"/>
  <c r="T25" i="111"/>
  <c r="U25" i="111" s="1"/>
  <c r="T25" i="82"/>
  <c r="U25" i="82" s="1"/>
  <c r="T25" i="107"/>
  <c r="U25" i="107" s="1"/>
  <c r="T34" i="112"/>
  <c r="U34" i="112" s="1"/>
  <c r="T25" i="80"/>
  <c r="U25" i="80" s="1"/>
  <c r="T25" i="106"/>
  <c r="U25" i="106" s="1"/>
  <c r="T25" i="110"/>
  <c r="U25" i="110" s="1"/>
  <c r="T25" i="89"/>
  <c r="U25" i="89" s="1"/>
  <c r="T34" i="90"/>
  <c r="U34" i="90" s="1"/>
  <c r="T25" i="87"/>
  <c r="U25" i="87" s="1"/>
  <c r="T25" i="104"/>
  <c r="U25" i="104" s="1"/>
  <c r="T25" i="88"/>
  <c r="U25" i="88" s="1"/>
  <c r="T25" i="85"/>
  <c r="U25" i="85" s="1"/>
  <c r="G69" i="48"/>
  <c r="M69" i="48" s="1"/>
  <c r="H69" i="48" s="1"/>
  <c r="T25" i="86"/>
  <c r="U25" i="86" s="1"/>
  <c r="S18" i="103"/>
  <c r="T18" i="103" s="1"/>
  <c r="G208" i="48"/>
  <c r="M208" i="48" s="1"/>
  <c r="H208" i="48" s="1"/>
  <c r="T6" i="111"/>
  <c r="U6" i="111" s="1"/>
  <c r="T7" i="93"/>
  <c r="U7" i="93" s="1"/>
  <c r="T3" i="115"/>
  <c r="U3" i="115" s="1"/>
  <c r="T3" i="96"/>
  <c r="U3" i="96" s="1"/>
  <c r="T3" i="112"/>
  <c r="U3" i="112" s="1"/>
  <c r="T3" i="114"/>
  <c r="U3" i="114" s="1"/>
  <c r="T3" i="90"/>
  <c r="U3" i="90" s="1"/>
  <c r="T6" i="110"/>
  <c r="U6" i="110" s="1"/>
  <c r="T3" i="97"/>
  <c r="U3" i="97" s="1"/>
  <c r="T7" i="81"/>
  <c r="U7" i="81" s="1"/>
  <c r="T7" i="82"/>
  <c r="U7" i="82" s="1"/>
  <c r="G17" i="48"/>
  <c r="F31" i="75"/>
  <c r="G31" i="75" s="1"/>
  <c r="G248" i="48"/>
  <c r="M248" i="48" s="1"/>
  <c r="H248" i="48" s="1"/>
  <c r="T75" i="107"/>
  <c r="U75" i="107" s="1"/>
  <c r="T83" i="109"/>
  <c r="U83" i="109" s="1"/>
  <c r="T52" i="112"/>
  <c r="U52" i="112" s="1"/>
  <c r="T78" i="111"/>
  <c r="U78" i="111" s="1"/>
  <c r="T72" i="113"/>
  <c r="U72" i="113" s="1"/>
  <c r="T73" i="115"/>
  <c r="U73" i="115" s="1"/>
  <c r="T75" i="105"/>
  <c r="U75" i="105" s="1"/>
  <c r="T52" i="108"/>
  <c r="U52" i="108" s="1"/>
  <c r="T75" i="106"/>
  <c r="U75" i="106" s="1"/>
  <c r="T68" i="104"/>
  <c r="U68" i="104" s="1"/>
  <c r="G54" i="48"/>
  <c r="T84" i="114"/>
  <c r="U84" i="114" s="1"/>
  <c r="T23" i="95"/>
  <c r="U23" i="95" s="1"/>
  <c r="T24" i="87"/>
  <c r="U24" i="87" s="1"/>
  <c r="T24" i="86"/>
  <c r="U24" i="86" s="1"/>
  <c r="T33" i="90"/>
  <c r="U33" i="90" s="1"/>
  <c r="T23" i="115"/>
  <c r="U23" i="115" s="1"/>
  <c r="T23" i="114"/>
  <c r="U23" i="114" s="1"/>
  <c r="T24" i="105"/>
  <c r="U24" i="105" s="1"/>
  <c r="T24" i="81"/>
  <c r="U24" i="81" s="1"/>
  <c r="T24" i="107"/>
  <c r="U24" i="107" s="1"/>
  <c r="T24" i="111"/>
  <c r="U24" i="111" s="1"/>
  <c r="T24" i="89"/>
  <c r="U24" i="89" s="1"/>
  <c r="T24" i="108"/>
  <c r="U24" i="108" s="1"/>
  <c r="T24" i="88"/>
  <c r="U24" i="88" s="1"/>
  <c r="T23" i="97"/>
  <c r="U23" i="97" s="1"/>
  <c r="T24" i="82"/>
  <c r="U24" i="82" s="1"/>
  <c r="T24" i="104"/>
  <c r="U24" i="104" s="1"/>
  <c r="T24" i="85"/>
  <c r="U24" i="85" s="1"/>
  <c r="T24" i="106"/>
  <c r="U24" i="106" s="1"/>
  <c r="T23" i="96"/>
  <c r="U23" i="96" s="1"/>
  <c r="T23" i="109"/>
  <c r="U23" i="109" s="1"/>
  <c r="T24" i="110"/>
  <c r="U24" i="110" s="1"/>
  <c r="G68" i="48"/>
  <c r="M68" i="48" s="1"/>
  <c r="H68" i="48" s="1"/>
  <c r="T33" i="112"/>
  <c r="U33" i="112" s="1"/>
  <c r="T24" i="93"/>
  <c r="U24" i="93" s="1"/>
  <c r="T23" i="92"/>
  <c r="U23" i="92" s="1"/>
  <c r="T23" i="113"/>
  <c r="U23" i="113" s="1"/>
  <c r="T24" i="80"/>
  <c r="U24" i="80" s="1"/>
  <c r="F28" i="75"/>
  <c r="G28" i="75" s="1"/>
  <c r="G243" i="48"/>
  <c r="M243" i="48" s="1"/>
  <c r="H243" i="48" s="1"/>
  <c r="F7" i="75"/>
  <c r="G7" i="75" s="1"/>
  <c r="G242" i="48"/>
  <c r="M242" i="48" s="1"/>
  <c r="H242" i="48" s="1"/>
  <c r="G211" i="48"/>
  <c r="M211" i="48" s="1"/>
  <c r="H211" i="48" s="1"/>
  <c r="S21" i="103"/>
  <c r="T21" i="103" s="1"/>
  <c r="F17" i="75"/>
  <c r="G17" i="75" s="1"/>
  <c r="G230" i="48"/>
  <c r="M230" i="48" s="1"/>
  <c r="H230" i="48" s="1"/>
  <c r="F29" i="16"/>
  <c r="G29" i="16" s="1"/>
  <c r="G263" i="48"/>
  <c r="M263" i="48" s="1"/>
  <c r="H263" i="48" s="1"/>
  <c r="G236" i="48"/>
  <c r="M236" i="48" s="1"/>
  <c r="H236" i="48" s="1"/>
  <c r="F13" i="75"/>
  <c r="G13" i="75" s="1"/>
  <c r="T22" i="105"/>
  <c r="U22" i="105" s="1"/>
  <c r="T21" i="115"/>
  <c r="U21" i="115" s="1"/>
  <c r="T22" i="80"/>
  <c r="U22" i="80" s="1"/>
  <c r="T21" i="114"/>
  <c r="U21" i="114" s="1"/>
  <c r="T31" i="112"/>
  <c r="U31" i="112" s="1"/>
  <c r="T22" i="110"/>
  <c r="U22" i="110" s="1"/>
  <c r="T31" i="90"/>
  <c r="U31" i="90" s="1"/>
  <c r="T22" i="88"/>
  <c r="U22" i="88" s="1"/>
  <c r="T21" i="97"/>
  <c r="U21" i="97" s="1"/>
  <c r="T21" i="92"/>
  <c r="U21" i="92" s="1"/>
  <c r="T22" i="87"/>
  <c r="U22" i="87" s="1"/>
  <c r="T22" i="85"/>
  <c r="U22" i="85" s="1"/>
  <c r="T22" i="93"/>
  <c r="U22" i="93" s="1"/>
  <c r="T22" i="86"/>
  <c r="U22" i="86" s="1"/>
  <c r="T22" i="104"/>
  <c r="U22" i="104" s="1"/>
  <c r="T22" i="111"/>
  <c r="U22" i="111" s="1"/>
  <c r="G66" i="48"/>
  <c r="T22" i="107"/>
  <c r="U22" i="107" s="1"/>
  <c r="T22" i="108"/>
  <c r="U22" i="108" s="1"/>
  <c r="T22" i="106"/>
  <c r="U22" i="106" s="1"/>
  <c r="T21" i="109"/>
  <c r="U21" i="109" s="1"/>
  <c r="T21" i="96"/>
  <c r="U21" i="96" s="1"/>
  <c r="T21" i="95"/>
  <c r="U21" i="95" s="1"/>
  <c r="T21" i="84"/>
  <c r="U21" i="84" s="1"/>
  <c r="T22" i="89"/>
  <c r="U22" i="89" s="1"/>
  <c r="T22" i="81"/>
  <c r="U22" i="81" s="1"/>
  <c r="T22" i="82"/>
  <c r="U22" i="82" s="1"/>
  <c r="T21" i="113"/>
  <c r="U21" i="113" s="1"/>
  <c r="G270" i="48"/>
  <c r="M270" i="48" s="1"/>
  <c r="H270" i="48" s="1"/>
  <c r="F36" i="16"/>
  <c r="G36" i="16" s="1"/>
  <c r="F31" i="16"/>
  <c r="G31" i="16" s="1"/>
  <c r="G265" i="48"/>
  <c r="M265" i="48" s="1"/>
  <c r="H265" i="48" s="1"/>
  <c r="T48" i="97"/>
  <c r="U48" i="97" s="1"/>
  <c r="T48" i="115"/>
  <c r="U48" i="115" s="1"/>
  <c r="T48" i="109"/>
  <c r="U48" i="109" s="1"/>
  <c r="T48" i="95"/>
  <c r="U48" i="95" s="1"/>
  <c r="T48" i="113"/>
  <c r="U48" i="113" s="1"/>
  <c r="T48" i="111"/>
  <c r="U48" i="111" s="1"/>
  <c r="T48" i="86"/>
  <c r="U48" i="86" s="1"/>
  <c r="T48" i="107"/>
  <c r="U48" i="107" s="1"/>
  <c r="T48" i="84"/>
  <c r="U48" i="84" s="1"/>
  <c r="T48" i="92"/>
  <c r="U48" i="92" s="1"/>
  <c r="T48" i="85"/>
  <c r="U48" i="85" s="1"/>
  <c r="T48" i="80"/>
  <c r="U48" i="80" s="1"/>
  <c r="T48" i="114"/>
  <c r="U48" i="114" s="1"/>
  <c r="T48" i="110"/>
  <c r="U48" i="110" s="1"/>
  <c r="T48" i="106"/>
  <c r="U48" i="106" s="1"/>
  <c r="T48" i="87"/>
  <c r="U48" i="87" s="1"/>
  <c r="T48" i="81"/>
  <c r="U48" i="81" s="1"/>
  <c r="T48" i="88"/>
  <c r="U48" i="88" s="1"/>
  <c r="T48" i="82"/>
  <c r="U48" i="82" s="1"/>
  <c r="T48" i="96"/>
  <c r="U48" i="96" s="1"/>
  <c r="T48" i="104"/>
  <c r="U48" i="104" s="1"/>
  <c r="T48" i="105"/>
  <c r="U48" i="105" s="1"/>
  <c r="G92" i="48"/>
  <c r="M92" i="48" s="1"/>
  <c r="H92" i="48" s="1"/>
  <c r="T12" i="95"/>
  <c r="U12" i="95" s="1"/>
  <c r="T13" i="104"/>
  <c r="U13" i="104" s="1"/>
  <c r="T12" i="97"/>
  <c r="U12" i="97" s="1"/>
  <c r="T13" i="87"/>
  <c r="U13" i="87" s="1"/>
  <c r="T13" i="86"/>
  <c r="U13" i="86" s="1"/>
  <c r="T12" i="114"/>
  <c r="U12" i="114" s="1"/>
  <c r="T12" i="96"/>
  <c r="U12" i="96" s="1"/>
  <c r="T13" i="85"/>
  <c r="U13" i="85" s="1"/>
  <c r="T12" i="115"/>
  <c r="U12" i="115" s="1"/>
  <c r="T13" i="88"/>
  <c r="U13" i="88" s="1"/>
  <c r="T13" i="80"/>
  <c r="U13" i="80" s="1"/>
  <c r="T13" i="105"/>
  <c r="U13" i="105" s="1"/>
  <c r="T13" i="82"/>
  <c r="U13" i="82" s="1"/>
  <c r="T22" i="90"/>
  <c r="U22" i="90" s="1"/>
  <c r="T12" i="109"/>
  <c r="U12" i="109" s="1"/>
  <c r="T13" i="93"/>
  <c r="U13" i="93" s="1"/>
  <c r="T13" i="108"/>
  <c r="U13" i="108" s="1"/>
  <c r="T12" i="92"/>
  <c r="U12" i="92" s="1"/>
  <c r="T13" i="106"/>
  <c r="U13" i="106" s="1"/>
  <c r="G57" i="48"/>
  <c r="M57" i="48" s="1"/>
  <c r="H57" i="48" s="1"/>
  <c r="T12" i="113"/>
  <c r="U12" i="113" s="1"/>
  <c r="T13" i="107"/>
  <c r="U13" i="107" s="1"/>
  <c r="T13" i="81"/>
  <c r="U13" i="81" s="1"/>
  <c r="T22" i="112"/>
  <c r="U22" i="112" s="1"/>
  <c r="T13" i="89"/>
  <c r="U13" i="89" s="1"/>
  <c r="T25" i="95"/>
  <c r="U25" i="95" s="1"/>
  <c r="T27" i="85"/>
  <c r="U27" i="85" s="1"/>
  <c r="T27" i="93"/>
  <c r="U27" i="93" s="1"/>
  <c r="T27" i="86"/>
  <c r="U27" i="86" s="1"/>
  <c r="G71" i="48"/>
  <c r="M71" i="48" s="1"/>
  <c r="H71" i="48" s="1"/>
  <c r="T27" i="105"/>
  <c r="U27" i="105" s="1"/>
  <c r="T27" i="80"/>
  <c r="U27" i="80" s="1"/>
  <c r="T27" i="87"/>
  <c r="U27" i="87" s="1"/>
  <c r="T27" i="82"/>
  <c r="U27" i="82" s="1"/>
  <c r="T27" i="107"/>
  <c r="U27" i="107" s="1"/>
  <c r="T27" i="88"/>
  <c r="U27" i="88" s="1"/>
  <c r="T27" i="104"/>
  <c r="U27" i="104" s="1"/>
  <c r="T27" i="108"/>
  <c r="U27" i="108" s="1"/>
  <c r="T27" i="89"/>
  <c r="U27" i="89" s="1"/>
  <c r="T27" i="81"/>
  <c r="U27" i="81" s="1"/>
  <c r="T27" i="106"/>
  <c r="U27" i="106" s="1"/>
  <c r="T10" i="95"/>
  <c r="U10" i="95" s="1"/>
  <c r="T10" i="85"/>
  <c r="U10" i="85" s="1"/>
  <c r="T10" i="96"/>
  <c r="U10" i="96" s="1"/>
  <c r="T10" i="92"/>
  <c r="U10" i="92" s="1"/>
  <c r="G34" i="48"/>
  <c r="M34" i="48" s="1"/>
  <c r="H34" i="48" s="1"/>
  <c r="T12" i="110"/>
  <c r="U12" i="110" s="1"/>
  <c r="T10" i="80"/>
  <c r="U10" i="80" s="1"/>
  <c r="T10" i="87"/>
  <c r="U10" i="87" s="1"/>
  <c r="T10" i="97"/>
  <c r="U10" i="97" s="1"/>
  <c r="T10" i="88"/>
  <c r="U10" i="88" s="1"/>
  <c r="T10" i="89"/>
  <c r="U10" i="89" s="1"/>
  <c r="T15" i="90"/>
  <c r="U15" i="90" s="1"/>
  <c r="T68" i="87"/>
  <c r="U68" i="87" s="1"/>
  <c r="T73" i="109"/>
  <c r="U73" i="109" s="1"/>
  <c r="T74" i="114"/>
  <c r="U74" i="114" s="1"/>
  <c r="T68" i="106"/>
  <c r="U68" i="106" s="1"/>
  <c r="T73" i="95"/>
  <c r="U73" i="95" s="1"/>
  <c r="T74" i="96"/>
  <c r="U74" i="96" s="1"/>
  <c r="G137" i="48"/>
  <c r="M137" i="48" s="1"/>
  <c r="H137" i="48" s="1"/>
  <c r="G209" i="48"/>
  <c r="M209" i="48" s="1"/>
  <c r="H209" i="48" s="1"/>
  <c r="S19" i="103"/>
  <c r="T19" i="103" s="1"/>
  <c r="T34" i="95"/>
  <c r="U34" i="95" s="1"/>
  <c r="T36" i="87"/>
  <c r="U36" i="87" s="1"/>
  <c r="T36" i="82"/>
  <c r="U36" i="82" s="1"/>
  <c r="T36" i="104"/>
  <c r="U36" i="104" s="1"/>
  <c r="T36" i="89"/>
  <c r="U36" i="89" s="1"/>
  <c r="T36" i="81"/>
  <c r="U36" i="81" s="1"/>
  <c r="T36" i="105"/>
  <c r="U36" i="105" s="1"/>
  <c r="T36" i="108"/>
  <c r="U36" i="108" s="1"/>
  <c r="G80" i="48"/>
  <c r="M80" i="48" s="1"/>
  <c r="H80" i="48" s="1"/>
  <c r="T36" i="107"/>
  <c r="U36" i="107" s="1"/>
  <c r="T34" i="110"/>
  <c r="U34" i="110" s="1"/>
  <c r="T36" i="86"/>
  <c r="U36" i="86" s="1"/>
  <c r="T36" i="106"/>
  <c r="U36" i="106" s="1"/>
  <c r="T34" i="84"/>
  <c r="U34" i="84" s="1"/>
  <c r="T36" i="88"/>
  <c r="U36" i="88" s="1"/>
  <c r="T36" i="85"/>
  <c r="U36" i="85" s="1"/>
  <c r="T34" i="111"/>
  <c r="U34" i="111" s="1"/>
  <c r="T36" i="93"/>
  <c r="U36" i="93" s="1"/>
  <c r="T36" i="80"/>
  <c r="U36" i="80" s="1"/>
  <c r="T60" i="84"/>
  <c r="U60" i="84" s="1"/>
  <c r="T37" i="90"/>
  <c r="U37" i="90" s="1"/>
  <c r="T37" i="112"/>
  <c r="U37" i="112" s="1"/>
  <c r="G113" i="48"/>
  <c r="T17" i="99"/>
  <c r="U17" i="99" s="1"/>
  <c r="G154" i="48"/>
  <c r="M154" i="48" s="1"/>
  <c r="H154" i="48" s="1"/>
  <c r="G141" i="48"/>
  <c r="M141" i="48" s="1"/>
  <c r="H141" i="48" s="1"/>
  <c r="T5" i="99"/>
  <c r="U5" i="99" s="1"/>
  <c r="T70" i="95"/>
  <c r="U70" i="95" s="1"/>
  <c r="T65" i="87"/>
  <c r="U65" i="87" s="1"/>
  <c r="G134" i="48"/>
  <c r="M134" i="48" s="1"/>
  <c r="H134" i="48" s="1"/>
  <c r="T71" i="114"/>
  <c r="U71" i="114" s="1"/>
  <c r="T70" i="109"/>
  <c r="U70" i="109" s="1"/>
  <c r="T65" i="106"/>
  <c r="U65" i="106" s="1"/>
  <c r="T71" i="96"/>
  <c r="U71" i="96" s="1"/>
  <c r="G227" i="48"/>
  <c r="M227" i="48" s="1"/>
  <c r="H227" i="48" s="1"/>
  <c r="F21" i="75"/>
  <c r="G21" i="75" s="1"/>
  <c r="G167" i="48"/>
  <c r="M167" i="48" s="1"/>
  <c r="H167" i="48" s="1"/>
  <c r="S8" i="101"/>
  <c r="T8" i="101" s="1"/>
  <c r="T50" i="96"/>
  <c r="U50" i="96" s="1"/>
  <c r="T50" i="114"/>
  <c r="U50" i="114" s="1"/>
  <c r="T50" i="82"/>
  <c r="U50" i="82" s="1"/>
  <c r="T50" i="115"/>
  <c r="U50" i="115" s="1"/>
  <c r="T50" i="109"/>
  <c r="U50" i="109" s="1"/>
  <c r="T50" i="95"/>
  <c r="U50" i="95" s="1"/>
  <c r="T50" i="85"/>
  <c r="U50" i="85" s="1"/>
  <c r="T50" i="88"/>
  <c r="U50" i="88" s="1"/>
  <c r="T50" i="80"/>
  <c r="U50" i="80" s="1"/>
  <c r="T50" i="97"/>
  <c r="U50" i="97" s="1"/>
  <c r="T50" i="86"/>
  <c r="U50" i="86" s="1"/>
  <c r="T50" i="107"/>
  <c r="U50" i="107" s="1"/>
  <c r="T50" i="92"/>
  <c r="U50" i="92" s="1"/>
  <c r="T50" i="104"/>
  <c r="U50" i="104" s="1"/>
  <c r="T50" i="105"/>
  <c r="U50" i="105" s="1"/>
  <c r="T50" i="81"/>
  <c r="U50" i="81" s="1"/>
  <c r="T50" i="110"/>
  <c r="U50" i="110" s="1"/>
  <c r="T50" i="84"/>
  <c r="U50" i="84" s="1"/>
  <c r="T50" i="113"/>
  <c r="U50" i="113" s="1"/>
  <c r="T50" i="106"/>
  <c r="U50" i="106" s="1"/>
  <c r="T50" i="87"/>
  <c r="U50" i="87" s="1"/>
  <c r="G94" i="48"/>
  <c r="M94" i="48" s="1"/>
  <c r="H94" i="48" s="1"/>
  <c r="T50" i="111"/>
  <c r="U50" i="111" s="1"/>
  <c r="F3" i="16"/>
  <c r="G3" i="16" s="1"/>
  <c r="G104" i="48"/>
  <c r="M104" i="48" s="1"/>
  <c r="H104" i="48" s="1"/>
  <c r="T52" i="96"/>
  <c r="U52" i="96" s="1"/>
  <c r="T52" i="113"/>
  <c r="U52" i="113" s="1"/>
  <c r="T52" i="85"/>
  <c r="U52" i="85" s="1"/>
  <c r="T52" i="97"/>
  <c r="U52" i="97" s="1"/>
  <c r="T52" i="109"/>
  <c r="U52" i="109" s="1"/>
  <c r="T52" i="115"/>
  <c r="U52" i="115" s="1"/>
  <c r="T52" i="110"/>
  <c r="U52" i="110" s="1"/>
  <c r="T52" i="88"/>
  <c r="U52" i="88" s="1"/>
  <c r="T52" i="80"/>
  <c r="U52" i="80" s="1"/>
  <c r="T52" i="82"/>
  <c r="U52" i="82" s="1"/>
  <c r="T52" i="107"/>
  <c r="U52" i="107" s="1"/>
  <c r="T52" i="92"/>
  <c r="U52" i="92" s="1"/>
  <c r="T52" i="95"/>
  <c r="U52" i="95" s="1"/>
  <c r="T52" i="104"/>
  <c r="U52" i="104" s="1"/>
  <c r="T52" i="105"/>
  <c r="U52" i="105" s="1"/>
  <c r="G96" i="48"/>
  <c r="M96" i="48" s="1"/>
  <c r="H96" i="48" s="1"/>
  <c r="T52" i="114"/>
  <c r="U52" i="114" s="1"/>
  <c r="T52" i="86"/>
  <c r="U52" i="86" s="1"/>
  <c r="T52" i="81"/>
  <c r="U52" i="81" s="1"/>
  <c r="T52" i="111"/>
  <c r="U52" i="111" s="1"/>
  <c r="T52" i="106"/>
  <c r="U52" i="106" s="1"/>
  <c r="T52" i="87"/>
  <c r="U52" i="87" s="1"/>
  <c r="G67" i="48"/>
  <c r="M67" i="48" s="1"/>
  <c r="H67" i="48" s="1"/>
  <c r="T23" i="86"/>
  <c r="U23" i="86" s="1"/>
  <c r="T23" i="87"/>
  <c r="U23" i="87" s="1"/>
  <c r="T32" i="90"/>
  <c r="U32" i="90" s="1"/>
  <c r="T22" i="92"/>
  <c r="U22" i="92" s="1"/>
  <c r="T22" i="96"/>
  <c r="U22" i="96" s="1"/>
  <c r="T23" i="108"/>
  <c r="U23" i="108" s="1"/>
  <c r="T23" i="93"/>
  <c r="U23" i="93" s="1"/>
  <c r="T22" i="95"/>
  <c r="U22" i="95" s="1"/>
  <c r="T23" i="106"/>
  <c r="U23" i="106" s="1"/>
  <c r="T22" i="97"/>
  <c r="U22" i="97" s="1"/>
  <c r="T23" i="110"/>
  <c r="U23" i="110" s="1"/>
  <c r="T22" i="113"/>
  <c r="U22" i="113" s="1"/>
  <c r="T23" i="80"/>
  <c r="U23" i="80" s="1"/>
  <c r="T22" i="115"/>
  <c r="U22" i="115" s="1"/>
  <c r="T23" i="88"/>
  <c r="U23" i="88" s="1"/>
  <c r="T23" i="81"/>
  <c r="U23" i="81" s="1"/>
  <c r="T22" i="114"/>
  <c r="U22" i="114" s="1"/>
  <c r="T22" i="109"/>
  <c r="U22" i="109" s="1"/>
  <c r="T23" i="82"/>
  <c r="U23" i="82" s="1"/>
  <c r="T23" i="104"/>
  <c r="U23" i="104" s="1"/>
  <c r="T32" i="112"/>
  <c r="U32" i="112" s="1"/>
  <c r="T23" i="107"/>
  <c r="U23" i="107" s="1"/>
  <c r="T23" i="111"/>
  <c r="U23" i="111" s="1"/>
  <c r="T23" i="105"/>
  <c r="U23" i="105" s="1"/>
  <c r="T23" i="89"/>
  <c r="U23" i="89" s="1"/>
  <c r="T23" i="85"/>
  <c r="U23" i="85" s="1"/>
  <c r="T37" i="95"/>
  <c r="U37" i="95" s="1"/>
  <c r="G83" i="48"/>
  <c r="M83" i="48" s="1"/>
  <c r="H83" i="48" s="1"/>
  <c r="T39" i="106"/>
  <c r="U39" i="106" s="1"/>
  <c r="T39" i="80"/>
  <c r="U39" i="80" s="1"/>
  <c r="T39" i="86"/>
  <c r="U39" i="86" s="1"/>
  <c r="T39" i="82"/>
  <c r="U39" i="82" s="1"/>
  <c r="T39" i="108"/>
  <c r="U39" i="108" s="1"/>
  <c r="T39" i="88"/>
  <c r="U39" i="88" s="1"/>
  <c r="T39" i="89"/>
  <c r="U39" i="89" s="1"/>
  <c r="T37" i="110"/>
  <c r="U37" i="110" s="1"/>
  <c r="T39" i="105"/>
  <c r="U39" i="105" s="1"/>
  <c r="T39" i="85"/>
  <c r="U39" i="85" s="1"/>
  <c r="T39" i="81"/>
  <c r="U39" i="81" s="1"/>
  <c r="T39" i="87"/>
  <c r="U39" i="87" s="1"/>
  <c r="T39" i="104"/>
  <c r="U39" i="104" s="1"/>
  <c r="T39" i="107"/>
  <c r="U39" i="107" s="1"/>
  <c r="T37" i="111"/>
  <c r="U37" i="111" s="1"/>
  <c r="F20" i="16"/>
  <c r="G20" i="16" s="1"/>
  <c r="G253" i="48"/>
  <c r="M253" i="48" s="1"/>
  <c r="H253" i="48" s="1"/>
  <c r="T67" i="87"/>
  <c r="U67" i="87" s="1"/>
  <c r="T73" i="114"/>
  <c r="U73" i="114" s="1"/>
  <c r="T72" i="95"/>
  <c r="U72" i="95" s="1"/>
  <c r="T67" i="106"/>
  <c r="U67" i="106" s="1"/>
  <c r="G136" i="48"/>
  <c r="M136" i="48" s="1"/>
  <c r="H136" i="48" s="1"/>
  <c r="T72" i="109"/>
  <c r="U72" i="109" s="1"/>
  <c r="T73" i="96"/>
  <c r="U73" i="96" s="1"/>
  <c r="G214" i="48"/>
  <c r="F13" i="16"/>
  <c r="G13" i="16" s="1"/>
  <c r="F33" i="16"/>
  <c r="G33" i="16" s="1"/>
  <c r="G267" i="48"/>
  <c r="M267" i="48" s="1"/>
  <c r="H267" i="48" s="1"/>
  <c r="T16" i="100"/>
  <c r="U16" i="100" s="1"/>
  <c r="G191" i="48"/>
  <c r="M191" i="48" s="1"/>
  <c r="H191" i="48" s="1"/>
  <c r="G260" i="48"/>
  <c r="M260" i="48" s="1"/>
  <c r="H260" i="48" s="1"/>
  <c r="F26" i="16"/>
  <c r="G26" i="16" s="1"/>
  <c r="F27" i="75"/>
  <c r="G27" i="75" s="1"/>
  <c r="G228" i="48"/>
  <c r="M228" i="48" s="1"/>
  <c r="H228" i="48" s="1"/>
  <c r="F30" i="75"/>
  <c r="G30" i="75" s="1"/>
  <c r="G247" i="48"/>
  <c r="M247" i="48" s="1"/>
  <c r="H247" i="48" s="1"/>
  <c r="T37" i="86"/>
  <c r="U37" i="86" s="1"/>
  <c r="G81" i="48"/>
  <c r="M81" i="48" s="1"/>
  <c r="H81" i="48" s="1"/>
  <c r="T37" i="89"/>
  <c r="U37" i="89" s="1"/>
  <c r="T37" i="80"/>
  <c r="U37" i="80" s="1"/>
  <c r="T37" i="87"/>
  <c r="U37" i="87" s="1"/>
  <c r="T37" i="105"/>
  <c r="U37" i="105" s="1"/>
  <c r="T35" i="110"/>
  <c r="U35" i="110" s="1"/>
  <c r="T37" i="108"/>
  <c r="U37" i="108" s="1"/>
  <c r="T37" i="106"/>
  <c r="U37" i="106" s="1"/>
  <c r="T37" i="104"/>
  <c r="U37" i="104" s="1"/>
  <c r="T37" i="82"/>
  <c r="U37" i="82" s="1"/>
  <c r="T37" i="85"/>
  <c r="U37" i="85" s="1"/>
  <c r="T37" i="107"/>
  <c r="U37" i="107" s="1"/>
  <c r="T37" i="93"/>
  <c r="U37" i="93" s="1"/>
  <c r="T35" i="95"/>
  <c r="U35" i="95" s="1"/>
  <c r="T37" i="88"/>
  <c r="U37" i="88" s="1"/>
  <c r="T35" i="111"/>
  <c r="U35" i="111" s="1"/>
  <c r="T37" i="81"/>
  <c r="U37" i="81" s="1"/>
  <c r="F6" i="16"/>
  <c r="G6" i="16" s="1"/>
  <c r="G107" i="48"/>
  <c r="M107" i="48" s="1"/>
  <c r="H107" i="48" s="1"/>
  <c r="T71" i="113"/>
  <c r="U71" i="113" s="1"/>
  <c r="T82" i="109"/>
  <c r="U82" i="109" s="1"/>
  <c r="T72" i="115"/>
  <c r="U72" i="115" s="1"/>
  <c r="T74" i="107"/>
  <c r="U74" i="107" s="1"/>
  <c r="G53" i="48"/>
  <c r="T83" i="114"/>
  <c r="U83" i="114" s="1"/>
  <c r="T51" i="108"/>
  <c r="U51" i="108" s="1"/>
  <c r="T74" i="105"/>
  <c r="U74" i="105" s="1"/>
  <c r="T67" i="104"/>
  <c r="U67" i="104" s="1"/>
  <c r="T51" i="112"/>
  <c r="U51" i="112" s="1"/>
  <c r="T74" i="106"/>
  <c r="U74" i="106" s="1"/>
  <c r="T77" i="111"/>
  <c r="U77" i="111" s="1"/>
  <c r="T32" i="85"/>
  <c r="U32" i="85" s="1"/>
  <c r="T32" i="87"/>
  <c r="U32" i="87" s="1"/>
  <c r="G76" i="48"/>
  <c r="M76" i="48" s="1"/>
  <c r="H76" i="48" s="1"/>
  <c r="T32" i="106"/>
  <c r="U32" i="106" s="1"/>
  <c r="T32" i="88"/>
  <c r="U32" i="88" s="1"/>
  <c r="T32" i="104"/>
  <c r="U32" i="104" s="1"/>
  <c r="T32" i="86"/>
  <c r="U32" i="86" s="1"/>
  <c r="T30" i="110"/>
  <c r="U30" i="110" s="1"/>
  <c r="T30" i="111"/>
  <c r="U30" i="111" s="1"/>
  <c r="T30" i="84"/>
  <c r="U30" i="84" s="1"/>
  <c r="T32" i="107"/>
  <c r="U32" i="107" s="1"/>
  <c r="T32" i="82"/>
  <c r="U32" i="82" s="1"/>
  <c r="T32" i="80"/>
  <c r="U32" i="80" s="1"/>
  <c r="T32" i="105"/>
  <c r="U32" i="105" s="1"/>
  <c r="T32" i="89"/>
  <c r="U32" i="89" s="1"/>
  <c r="T32" i="81"/>
  <c r="U32" i="81" s="1"/>
  <c r="T32" i="108"/>
  <c r="U32" i="108" s="1"/>
  <c r="T30" i="95"/>
  <c r="U30" i="95" s="1"/>
  <c r="T32" i="93"/>
  <c r="U32" i="93" s="1"/>
  <c r="T55" i="92"/>
  <c r="U55" i="92" s="1"/>
  <c r="T55" i="115"/>
  <c r="U55" i="115" s="1"/>
  <c r="T55" i="96"/>
  <c r="U55" i="96" s="1"/>
  <c r="T55" i="113"/>
  <c r="U55" i="113" s="1"/>
  <c r="T55" i="109"/>
  <c r="U55" i="109" s="1"/>
  <c r="T55" i="111"/>
  <c r="U55" i="111" s="1"/>
  <c r="T55" i="106"/>
  <c r="U55" i="106" s="1"/>
  <c r="T55" i="80"/>
  <c r="U55" i="80" s="1"/>
  <c r="T55" i="87"/>
  <c r="U55" i="87" s="1"/>
  <c r="T55" i="95"/>
  <c r="U55" i="95" s="1"/>
  <c r="T55" i="110"/>
  <c r="U55" i="110" s="1"/>
  <c r="T55" i="88"/>
  <c r="U55" i="88" s="1"/>
  <c r="T55" i="81"/>
  <c r="U55" i="81" s="1"/>
  <c r="T55" i="82"/>
  <c r="U55" i="82" s="1"/>
  <c r="T55" i="114"/>
  <c r="U55" i="114" s="1"/>
  <c r="T55" i="86"/>
  <c r="U55" i="86" s="1"/>
  <c r="T55" i="104"/>
  <c r="U55" i="104" s="1"/>
  <c r="G99" i="48"/>
  <c r="M99" i="48" s="1"/>
  <c r="H99" i="48" s="1"/>
  <c r="T55" i="97"/>
  <c r="U55" i="97" s="1"/>
  <c r="T55" i="105"/>
  <c r="U55" i="105" s="1"/>
  <c r="T55" i="107"/>
  <c r="U55" i="107" s="1"/>
  <c r="T55" i="85"/>
  <c r="U55" i="85" s="1"/>
  <c r="G215" i="48"/>
  <c r="M215" i="48" s="1"/>
  <c r="H215" i="48" s="1"/>
  <c r="F11" i="16"/>
  <c r="G11" i="16" s="1"/>
  <c r="F24" i="75"/>
  <c r="G24" i="75" s="1"/>
  <c r="T49" i="113"/>
  <c r="U49" i="113" s="1"/>
  <c r="T49" i="97"/>
  <c r="U49" i="97" s="1"/>
  <c r="T49" i="110"/>
  <c r="U49" i="110" s="1"/>
  <c r="T49" i="87"/>
  <c r="U49" i="87" s="1"/>
  <c r="T49" i="107"/>
  <c r="U49" i="107" s="1"/>
  <c r="T49" i="109"/>
  <c r="U49" i="109" s="1"/>
  <c r="T49" i="95"/>
  <c r="U49" i="95" s="1"/>
  <c r="T49" i="86"/>
  <c r="U49" i="86" s="1"/>
  <c r="T49" i="106"/>
  <c r="U49" i="106" s="1"/>
  <c r="T49" i="80"/>
  <c r="U49" i="80" s="1"/>
  <c r="T49" i="114"/>
  <c r="U49" i="114" s="1"/>
  <c r="T49" i="105"/>
  <c r="U49" i="105" s="1"/>
  <c r="G93" i="48"/>
  <c r="M93" i="48" s="1"/>
  <c r="H93" i="48" s="1"/>
  <c r="T49" i="92"/>
  <c r="U49" i="92" s="1"/>
  <c r="T49" i="104"/>
  <c r="U49" i="104" s="1"/>
  <c r="T49" i="82"/>
  <c r="U49" i="82" s="1"/>
  <c r="T49" i="115"/>
  <c r="U49" i="115" s="1"/>
  <c r="T49" i="111"/>
  <c r="U49" i="111" s="1"/>
  <c r="T49" i="88"/>
  <c r="U49" i="88" s="1"/>
  <c r="T49" i="84"/>
  <c r="U49" i="84" s="1"/>
  <c r="T49" i="96"/>
  <c r="U49" i="96" s="1"/>
  <c r="T49" i="81"/>
  <c r="U49" i="81" s="1"/>
  <c r="T49" i="85"/>
  <c r="U49" i="85" s="1"/>
  <c r="M60" i="48"/>
  <c r="H60" i="48" s="1"/>
  <c r="M37" i="48"/>
  <c r="H37" i="48" s="1"/>
  <c r="H12" i="48"/>
  <c r="M47" i="48"/>
  <c r="H47" i="48" s="1"/>
  <c r="M39" i="48"/>
  <c r="H39" i="48" s="1"/>
  <c r="BD16" i="48"/>
  <c r="BD137" i="48"/>
  <c r="F49" i="48"/>
  <c r="BD134" i="48"/>
  <c r="M115" i="48"/>
  <c r="H115" i="48" s="1"/>
  <c r="BD130" i="48"/>
  <c r="M130" i="48"/>
  <c r="H130" i="48" s="1"/>
  <c r="L113" i="48"/>
  <c r="BD113" i="48"/>
  <c r="L17" i="48"/>
  <c r="L14" i="48"/>
  <c r="L54" i="48"/>
  <c r="L66" i="48"/>
  <c r="L55" i="48"/>
  <c r="L32" i="48"/>
  <c r="L51" i="48"/>
  <c r="M51" i="48" s="1"/>
  <c r="H51" i="48" s="1"/>
  <c r="L38" i="48"/>
  <c r="L64" i="48"/>
  <c r="L53" i="48"/>
  <c r="L40" i="48"/>
  <c r="BD14" i="48"/>
  <c r="BD17" i="48"/>
  <c r="BD126" i="48"/>
  <c r="BD125" i="48"/>
  <c r="BD61" i="48"/>
  <c r="BD133" i="48"/>
  <c r="L133" i="48"/>
  <c r="BD13" i="48"/>
  <c r="L132" i="48"/>
  <c r="BD132" i="48"/>
  <c r="K5" i="96"/>
  <c r="J5" i="104"/>
  <c r="J5" i="89"/>
  <c r="J5" i="80"/>
  <c r="J5" i="82"/>
  <c r="K5" i="97"/>
  <c r="J5" i="106"/>
  <c r="K5" i="109"/>
  <c r="K5" i="115"/>
  <c r="J5" i="105"/>
  <c r="K5" i="113"/>
  <c r="K5" i="92"/>
  <c r="K5" i="114"/>
  <c r="J5" i="81"/>
  <c r="J5" i="84"/>
  <c r="J5" i="93"/>
  <c r="J5" i="107"/>
  <c r="J5" i="90"/>
  <c r="J5" i="112"/>
  <c r="J5" i="88"/>
  <c r="J5" i="108"/>
  <c r="J5" i="111"/>
  <c r="J5" i="83"/>
  <c r="J5" i="110"/>
  <c r="J5" i="85"/>
  <c r="J5" i="86"/>
  <c r="J5" i="87"/>
  <c r="J7" i="80"/>
  <c r="J7" i="105"/>
  <c r="J7" i="106"/>
  <c r="J7" i="87"/>
  <c r="K7" i="109"/>
  <c r="K6" i="99"/>
  <c r="K6" i="116"/>
  <c r="K6" i="101"/>
  <c r="BD64" i="48"/>
  <c r="BD66" i="48"/>
  <c r="F114" i="48"/>
  <c r="L114" i="48" s="1"/>
  <c r="M114" i="48" s="1"/>
  <c r="H114" i="48" s="1"/>
  <c r="F214" i="48"/>
  <c r="F123" i="48"/>
  <c r="BD123" i="48" s="1"/>
  <c r="F124" i="48"/>
  <c r="BD124" i="48" s="1"/>
  <c r="F62" i="48"/>
  <c r="F52" i="48"/>
  <c r="BD52" i="48" s="1"/>
  <c r="L127" i="48"/>
  <c r="BD127" i="48"/>
  <c r="F122" i="48"/>
  <c r="BD120" i="48"/>
  <c r="F118" i="48"/>
  <c r="L118" i="48" s="1"/>
  <c r="BD112" i="48"/>
  <c r="L112" i="48"/>
  <c r="M112" i="48" s="1"/>
  <c r="H112" i="48" s="1"/>
  <c r="M127" i="48" l="1"/>
  <c r="H127" i="48" s="1"/>
  <c r="T43" i="116"/>
  <c r="K8" i="116" s="1"/>
  <c r="M36" i="48"/>
  <c r="H36" i="48" s="1"/>
  <c r="T42" i="101"/>
  <c r="K8" i="101" s="1"/>
  <c r="M38" i="48"/>
  <c r="H38" i="48" s="1"/>
  <c r="U81" i="96"/>
  <c r="L8" i="96" s="1"/>
  <c r="U93" i="109"/>
  <c r="L8" i="109" s="1"/>
  <c r="U80" i="95"/>
  <c r="L8" i="95" s="1"/>
  <c r="M32" i="48"/>
  <c r="H32" i="48" s="1"/>
  <c r="T42" i="117"/>
  <c r="K8" i="117" s="1"/>
  <c r="M40" i="48"/>
  <c r="H40" i="48" s="1"/>
  <c r="U43" i="100"/>
  <c r="K8" i="100" s="1"/>
  <c r="M113" i="48"/>
  <c r="H113" i="48" s="1"/>
  <c r="M132" i="48"/>
  <c r="H132" i="48" s="1"/>
  <c r="U63" i="83"/>
  <c r="K8" i="83" s="1"/>
  <c r="L49" i="48"/>
  <c r="M49" i="48" s="1"/>
  <c r="H49" i="48" s="1"/>
  <c r="BD49" i="48"/>
  <c r="M118" i="48"/>
  <c r="H118" i="48" s="1"/>
  <c r="M53" i="48"/>
  <c r="H53" i="48" s="1"/>
  <c r="M14" i="48"/>
  <c r="H14" i="48" s="1"/>
  <c r="G39" i="75"/>
  <c r="U63" i="82"/>
  <c r="K8" i="82" s="1"/>
  <c r="U56" i="108"/>
  <c r="K8" i="108" s="1"/>
  <c r="M17" i="48"/>
  <c r="H17" i="48" s="1"/>
  <c r="U65" i="81"/>
  <c r="K7" i="81" s="1"/>
  <c r="U80" i="107"/>
  <c r="K8" i="107" s="1"/>
  <c r="U65" i="110"/>
  <c r="K8" i="110" s="1"/>
  <c r="G38" i="16"/>
  <c r="G17" i="16"/>
  <c r="U70" i="80"/>
  <c r="K8" i="80" s="1"/>
  <c r="U63" i="85"/>
  <c r="K8" i="85" s="1"/>
  <c r="T42" i="103"/>
  <c r="K8" i="103" s="1"/>
  <c r="M54" i="48"/>
  <c r="H54" i="48" s="1"/>
  <c r="U55" i="112"/>
  <c r="K8" i="112" s="1"/>
  <c r="U92" i="114"/>
  <c r="L8" i="114" s="1"/>
  <c r="U44" i="93"/>
  <c r="K8" i="93" s="1"/>
  <c r="L8" i="97"/>
  <c r="U80" i="105"/>
  <c r="K8" i="105" s="1"/>
  <c r="U80" i="106"/>
  <c r="K8" i="106" s="1"/>
  <c r="U63" i="84"/>
  <c r="K8" i="84" s="1"/>
  <c r="U71" i="104"/>
  <c r="K8" i="104" s="1"/>
  <c r="M55" i="48"/>
  <c r="H55" i="48" s="1"/>
  <c r="U81" i="111"/>
  <c r="K8" i="111" s="1"/>
  <c r="U45" i="99"/>
  <c r="K8" i="99" s="1"/>
  <c r="U70" i="88"/>
  <c r="K8" i="88" s="1"/>
  <c r="U44" i="90"/>
  <c r="K8" i="90" s="1"/>
  <c r="U70" i="87"/>
  <c r="K8" i="87" s="1"/>
  <c r="U71" i="92"/>
  <c r="L8" i="92" s="1"/>
  <c r="U44" i="89"/>
  <c r="K8" i="89" s="1"/>
  <c r="U82" i="113"/>
  <c r="L8" i="113" s="1"/>
  <c r="L8" i="115"/>
  <c r="U64" i="86"/>
  <c r="K8" i="86" s="1"/>
  <c r="M64" i="48"/>
  <c r="H64" i="48" s="1"/>
  <c r="M133" i="48"/>
  <c r="H133" i="48" s="1"/>
  <c r="M66" i="48"/>
  <c r="H66" i="48" s="1"/>
  <c r="BD214" i="48"/>
  <c r="L62" i="48"/>
  <c r="M62" i="48" s="1"/>
  <c r="H62" i="48" s="1"/>
  <c r="L52" i="48"/>
  <c r="M52" i="48" s="1"/>
  <c r="H52" i="48" s="1"/>
  <c r="L124" i="48"/>
  <c r="M124" i="48" s="1"/>
  <c r="H124" i="48" s="1"/>
  <c r="BD118" i="48"/>
  <c r="L123" i="48"/>
  <c r="M123" i="48" s="1"/>
  <c r="H123" i="48" s="1"/>
  <c r="BD114" i="48"/>
  <c r="BD62" i="48"/>
  <c r="L122" i="48"/>
  <c r="M122" i="48" s="1"/>
  <c r="H122" i="48" s="1"/>
  <c r="BD122" i="48"/>
  <c r="H214" i="48" l="1"/>
  <c r="M6" i="48"/>
  <c r="M292" i="48"/>
  <c r="G293" i="48" s="1"/>
  <c r="B295" i="48"/>
</calcChain>
</file>

<file path=xl/sharedStrings.xml><?xml version="1.0" encoding="utf-8"?>
<sst xmlns="http://schemas.openxmlformats.org/spreadsheetml/2006/main" count="3247" uniqueCount="1280">
  <si>
    <t>6a</t>
  </si>
  <si>
    <t>6b</t>
  </si>
  <si>
    <t>ROH</t>
  </si>
  <si>
    <t>7M 442P</t>
  </si>
  <si>
    <t>OR</t>
  </si>
  <si>
    <t>71T7500D</t>
  </si>
  <si>
    <t>Vlastní zásuvné prvky</t>
  </si>
  <si>
    <t>Máte-li zásuvné prvky vlastní, upravte počty v objednávce</t>
  </si>
  <si>
    <t>Chcete-li jiné složení zásuvných prvků, upravte počty v objednávce</t>
  </si>
  <si>
    <t>Pro délku 600mm jen bočnice M nebo C</t>
  </si>
  <si>
    <t>nahoře</t>
  </si>
  <si>
    <t>dole</t>
  </si>
  <si>
    <t>7N 400P</t>
  </si>
  <si>
    <t>7M 400P</t>
  </si>
  <si>
    <t>7K 400P</t>
  </si>
  <si>
    <t>7M 40VP</t>
  </si>
  <si>
    <t>7C 410P</t>
  </si>
  <si>
    <t>7F 410P</t>
  </si>
  <si>
    <t>7C 41VP</t>
  </si>
  <si>
    <t>7C 41NP</t>
  </si>
  <si>
    <t>7C 31RP</t>
  </si>
  <si>
    <t>7C 442P</t>
  </si>
  <si>
    <t>Dřezové zásuvky a výsuvy</t>
  </si>
  <si>
    <t>7ST CGP</t>
  </si>
  <si>
    <t>7ST CRP</t>
  </si>
  <si>
    <t>AMBIA-LINE</t>
  </si>
  <si>
    <t>Pokud chcete jiné složení, zadejte požadovaný počet 40kg korpusových lišt</t>
  </si>
  <si>
    <t>70kg lišty se dopopočítají</t>
  </si>
  <si>
    <t>Chybí počty zásuvných prvků</t>
  </si>
  <si>
    <t>INGL</t>
  </si>
  <si>
    <t>Ostatní</t>
  </si>
  <si>
    <t>Držák nožů</t>
  </si>
  <si>
    <t>Vyberte způsob montáže čelního kování</t>
  </si>
  <si>
    <t>Vyberte barvu povrchové úpravy</t>
  </si>
  <si>
    <t xml:space="preserve">Zadáte-li slevu s mínusovým znamínkem, zobrazí se ceny o tuto hodnotu vyšší </t>
  </si>
  <si>
    <t>Kliknutím na označení vyberte požadovaný výsuv</t>
  </si>
  <si>
    <t>Z10D01E0.01</t>
  </si>
  <si>
    <t>Z10D01EA.01</t>
  </si>
  <si>
    <t>Z10D0311</t>
  </si>
  <si>
    <t>Z10D7201.01</t>
  </si>
  <si>
    <t>Držák napájecího zdroje - montáž do dna</t>
  </si>
  <si>
    <t>Držák napájecího zdroje - montáž na stěnu</t>
  </si>
  <si>
    <t>Synchronizační kabel 50cm</t>
  </si>
  <si>
    <t>Z10K050S</t>
  </si>
  <si>
    <t>COMBOX</t>
  </si>
  <si>
    <t>Z10ZC00A</t>
  </si>
  <si>
    <t>Informace k objednávání</t>
  </si>
  <si>
    <t>275 - 1200</t>
  </si>
  <si>
    <t>400 - 1200</t>
  </si>
  <si>
    <t>Příčné dělení</t>
  </si>
  <si>
    <t>Držáky talířů</t>
  </si>
  <si>
    <t>Mezistěny</t>
  </si>
  <si>
    <t>Držáky na kořenky</t>
  </si>
  <si>
    <t>pro zásuvky</t>
  </si>
  <si>
    <t>pro čelní výsuvy</t>
  </si>
  <si>
    <t>Zóny DYNAMIC SPACE</t>
  </si>
  <si>
    <t>Vaření / pečení</t>
  </si>
  <si>
    <t>300 mm</t>
  </si>
  <si>
    <t>Vhodné pro</t>
  </si>
  <si>
    <t>2a</t>
  </si>
  <si>
    <t>Příčný reling ke zkrácení</t>
  </si>
  <si>
    <t>Délka relingu</t>
  </si>
  <si>
    <t>Přířezy relingu</t>
  </si>
  <si>
    <t>Podélné dělení pro reling</t>
  </si>
  <si>
    <t>Z10NA20EE01</t>
  </si>
  <si>
    <t>Stabilizace čel</t>
  </si>
  <si>
    <t>Podložka CLIP na vruty</t>
  </si>
  <si>
    <t>Podložka CLIP EXPANDO</t>
  </si>
  <si>
    <t>Podložka CLIP s excentrem</t>
  </si>
  <si>
    <t>Podložka CLIP s excentrem, EXPANDO</t>
  </si>
  <si>
    <t>Podložka CLIP top přímá</t>
  </si>
  <si>
    <t>Podložka CLIP top přímá, EXPANDO</t>
  </si>
  <si>
    <t>BLUMOTION v křížovém adaptéru</t>
  </si>
  <si>
    <t>175H3100</t>
  </si>
  <si>
    <t>71T753EN</t>
  </si>
  <si>
    <t>174E6100.01</t>
  </si>
  <si>
    <t>177H3100E</t>
  </si>
  <si>
    <t>CLIP top 155° s nulovým přesahem</t>
  </si>
  <si>
    <t>CLIP top 155° s nulovým přesahem, EXPANDO</t>
  </si>
  <si>
    <t>CLIP top 155° s nulovým přesahem, bez pružiny</t>
  </si>
  <si>
    <t>Bočnice K 500mm, hedvábně bílé</t>
  </si>
  <si>
    <t>Bočnice K 500mm, černé Terra</t>
  </si>
  <si>
    <t xml:space="preserve">Barva: </t>
  </si>
  <si>
    <t xml:space="preserve">Cena:  </t>
  </si>
  <si>
    <t xml:space="preserve">Sklo:  </t>
  </si>
  <si>
    <t xml:space="preserve">   Korpusové lišty TIP-ON</t>
  </si>
  <si>
    <t xml:space="preserve">   Synchronizace TIP-ON</t>
  </si>
  <si>
    <t xml:space="preserve">   Držáky zadní stěny</t>
  </si>
  <si>
    <t xml:space="preserve">   Čelní kování</t>
  </si>
  <si>
    <t xml:space="preserve">   Vnitřní výsuvy</t>
  </si>
  <si>
    <t xml:space="preserve">   SERVO-DRIVE</t>
  </si>
  <si>
    <t xml:space="preserve">   Ostatní</t>
  </si>
  <si>
    <t xml:space="preserve">   Závěsy</t>
  </si>
  <si>
    <t xml:space="preserve">Čelní kování:  </t>
  </si>
  <si>
    <t>Příčný reling vnitřní zásuvky, hedvábně bílý</t>
  </si>
  <si>
    <t>Příčný reling vnitřní zásuvky, černý Terra</t>
  </si>
  <si>
    <t>596 mm</t>
  </si>
  <si>
    <t>1500 mm</t>
  </si>
  <si>
    <t>1380 mm</t>
  </si>
  <si>
    <t>4a</t>
  </si>
  <si>
    <t>4b</t>
  </si>
  <si>
    <t>5b</t>
  </si>
  <si>
    <t>Misky</t>
  </si>
  <si>
    <t>Příčné dělící prvky</t>
  </si>
  <si>
    <t>Pomůcky do kuchyně</t>
  </si>
  <si>
    <t>Cenová hladina</t>
  </si>
  <si>
    <t>Základní ceny</t>
  </si>
  <si>
    <t>Nákupní ceny</t>
  </si>
  <si>
    <t>Se slevou</t>
  </si>
  <si>
    <t>Zadejte výši slevy</t>
  </si>
  <si>
    <t>Ceny s volitelnou slevou</t>
  </si>
  <si>
    <t>Ceny se slevou od prodejce</t>
  </si>
  <si>
    <t>Nastavit</t>
  </si>
  <si>
    <t>Název</t>
  </si>
  <si>
    <t>Číslo artiklu</t>
  </si>
  <si>
    <t>Ks</t>
  </si>
  <si>
    <t>Jednotková cena</t>
  </si>
  <si>
    <t>Celkem</t>
  </si>
  <si>
    <t>Změna</t>
  </si>
  <si>
    <t>Cena celkem bez DPH</t>
  </si>
  <si>
    <t>Kč</t>
  </si>
  <si>
    <t>Šířka korpusu</t>
  </si>
  <si>
    <t>450 mm</t>
  </si>
  <si>
    <t>600 mm</t>
  </si>
  <si>
    <t>Doporučená hodnota</t>
  </si>
  <si>
    <t>na vruty</t>
  </si>
  <si>
    <t>Nápověda</t>
  </si>
  <si>
    <t>Odkazy</t>
  </si>
  <si>
    <t>Objednávka</t>
  </si>
  <si>
    <t>Doplňky</t>
  </si>
  <si>
    <t>Soupis kování</t>
  </si>
  <si>
    <t>Základní údaje</t>
  </si>
  <si>
    <t>Zpět</t>
  </si>
  <si>
    <t>do</t>
  </si>
  <si>
    <t>pro úzké korpusy</t>
  </si>
  <si>
    <t>sestava</t>
  </si>
  <si>
    <t>kusy</t>
  </si>
  <si>
    <t>celkem</t>
  </si>
  <si>
    <t>Výpočet hmotnosti</t>
  </si>
  <si>
    <t>od</t>
  </si>
  <si>
    <t>Verze</t>
  </si>
  <si>
    <t>Platnost ceníku od</t>
  </si>
  <si>
    <t>Sleva</t>
  </si>
  <si>
    <t>Prodejce</t>
  </si>
  <si>
    <t>Sleva od prodejce</t>
  </si>
  <si>
    <t>Ceník</t>
  </si>
  <si>
    <t>označení:</t>
  </si>
  <si>
    <t>bočnice:</t>
  </si>
  <si>
    <t>potřebný prostor:</t>
  </si>
  <si>
    <t>Vzhledem k šířce korpusu je nutné použití synchronizace pro TIP-ON</t>
  </si>
  <si>
    <t>Věnujte pozornost pokynům - zde</t>
  </si>
  <si>
    <t>Synchronizaci vyberte v sekci Doplňky</t>
  </si>
  <si>
    <t>Minimální rozměry přířezu dna</t>
  </si>
  <si>
    <t>Není-li možné minimální rozměry dodržet, nelze použít výsuvy s TIP-ON</t>
  </si>
  <si>
    <t>Firma Blum ani prodejci neručí za jejich správnost.</t>
  </si>
  <si>
    <t>Formulář pro identifikační údaje</t>
  </si>
  <si>
    <t>Odběratel</t>
  </si>
  <si>
    <t>Adresa</t>
  </si>
  <si>
    <t>Dodací adresa</t>
  </si>
  <si>
    <t>IČO, DIČ</t>
  </si>
  <si>
    <t>Telefon, fax, e-mail</t>
  </si>
  <si>
    <t>Číslo objednávky</t>
  </si>
  <si>
    <t>Zakázka</t>
  </si>
  <si>
    <t>Poznámka</t>
  </si>
  <si>
    <t>Zde můžete vložit vlastní položky (následujících 10 řádků, zobrazí se v objednávce)</t>
  </si>
  <si>
    <t>Vytvořit objednávku</t>
  </si>
  <si>
    <r>
      <t>Chcete-li objednávku uložit nebo odeslat jako přílohu,</t>
    </r>
    <r>
      <rPr>
        <sz val="9"/>
        <color indexed="8"/>
        <rFont val="Arial"/>
        <family val="2"/>
        <charset val="238"/>
      </rPr>
      <t xml:space="preserve"> vytvořte nový soubor kliknutím na odkaz</t>
    </r>
  </si>
  <si>
    <t>Před prvním spuštěním</t>
  </si>
  <si>
    <t xml:space="preserve">Přejděte na </t>
  </si>
  <si>
    <t>Identifikační údaje se budou zobrazovat v objednávkách</t>
  </si>
  <si>
    <t>Na úvodní obrazovce vyberte, jaké ceny se budou zobrazovat:</t>
  </si>
  <si>
    <t>Základní (ceníkové) ceny bez slevy</t>
  </si>
  <si>
    <t>Legenda</t>
  </si>
  <si>
    <t>Upozornění</t>
  </si>
  <si>
    <t>Informace a vysvětlivky</t>
  </si>
  <si>
    <t>Tip</t>
  </si>
  <si>
    <t>Odkazy na brožury, montážní návody a instrukážní videa</t>
  </si>
  <si>
    <t>Soubory PDF</t>
  </si>
  <si>
    <t>Po úpravě objenávky odfiltrujte pomocí filtru ve sloupci "Ks" prázné řádky.</t>
  </si>
  <si>
    <t>Údaje pro objednávku, zadání slevy od prodejce</t>
  </si>
  <si>
    <t>jazyk</t>
  </si>
  <si>
    <t>Tato aplikace slouží k snadnějšímu objednávání kování.</t>
  </si>
  <si>
    <t>M</t>
  </si>
  <si>
    <t>Zásuvka</t>
  </si>
  <si>
    <t>Vnitřní zásuvka</t>
  </si>
  <si>
    <t>Čelní výsuv</t>
  </si>
  <si>
    <t>Vnitřní výsuv</t>
  </si>
  <si>
    <t>Dřezová zásuvka</t>
  </si>
  <si>
    <t>Dřezový výsuv</t>
  </si>
  <si>
    <t>N</t>
  </si>
  <si>
    <t>K</t>
  </si>
  <si>
    <t>Úvod</t>
  </si>
  <si>
    <t>106 mm</t>
  </si>
  <si>
    <t>Zásuvky</t>
  </si>
  <si>
    <t>Vnitřní zásuvky</t>
  </si>
  <si>
    <t>Čelní výsuvy</t>
  </si>
  <si>
    <t>Vnitřní výsuvy</t>
  </si>
  <si>
    <t>Dřezové výsuvy</t>
  </si>
  <si>
    <t>označení</t>
  </si>
  <si>
    <t>bočnice</t>
  </si>
  <si>
    <t>potřebný prostor</t>
  </si>
  <si>
    <t>Přehled</t>
  </si>
  <si>
    <t>Vybrané zásuvky</t>
  </si>
  <si>
    <t>hedvábně bílá</t>
  </si>
  <si>
    <t>čiré</t>
  </si>
  <si>
    <t>saténované</t>
  </si>
  <si>
    <t>barva</t>
  </si>
  <si>
    <t>sklo</t>
  </si>
  <si>
    <t>čelní kování</t>
  </si>
  <si>
    <t>Výběr zásuvek a výsuvů</t>
  </si>
  <si>
    <t>Vítejte v aplikaci BOXPLAN</t>
  </si>
  <si>
    <t>List</t>
  </si>
  <si>
    <t>IDNr.</t>
  </si>
  <si>
    <t>pro mezistěnu</t>
  </si>
  <si>
    <t>Přířezy příčky</t>
  </si>
  <si>
    <t>Délky příček</t>
  </si>
  <si>
    <t>Základní prvek</t>
  </si>
  <si>
    <t>Příčky</t>
  </si>
  <si>
    <t>Zpět na</t>
  </si>
  <si>
    <t>Pokračovat na</t>
  </si>
  <si>
    <t>Zásuvky a výsuvy</t>
  </si>
  <si>
    <t>Souhrn</t>
  </si>
  <si>
    <t>Výběr doplňků</t>
  </si>
  <si>
    <t>Volitelně</t>
  </si>
  <si>
    <t>Přířezy prvků</t>
  </si>
  <si>
    <t>Přední díl</t>
  </si>
  <si>
    <t>Příčný reling</t>
  </si>
  <si>
    <t>Pro každý výsuv je započítán jeden přední díl a jeden příčný reling</t>
  </si>
  <si>
    <t>Potřebný počet předních dílů a relingů upravte v objednávce</t>
  </si>
  <si>
    <t>Pro každý výsuv je započítán jeden přední díl</t>
  </si>
  <si>
    <t>Potřebný počet předních dílů upravte v objednávce</t>
  </si>
  <si>
    <t>Zásoby</t>
  </si>
  <si>
    <t>Vyplňte identifikační údaje a výši slevy od prodejce</t>
  </si>
  <si>
    <t>Po vyplnění se vraťte na úvod a subor uložte nebo zavřete s potvrzením změn</t>
  </si>
  <si>
    <t>Ukládání</t>
  </si>
  <si>
    <t>Mytí</t>
  </si>
  <si>
    <t>Příprava</t>
  </si>
  <si>
    <t>Vaření</t>
  </si>
  <si>
    <t>ZN</t>
  </si>
  <si>
    <t>TIP-ON</t>
  </si>
  <si>
    <t>Podélné dělení</t>
  </si>
  <si>
    <t>Počet</t>
  </si>
  <si>
    <t>Mezistěna</t>
  </si>
  <si>
    <t>3b</t>
  </si>
  <si>
    <t>3a</t>
  </si>
  <si>
    <t>1c</t>
  </si>
  <si>
    <t>1b</t>
  </si>
  <si>
    <t>1a</t>
  </si>
  <si>
    <t>Barva</t>
  </si>
  <si>
    <t>Zpět na úvod</t>
  </si>
  <si>
    <t>platnost ceníku od:</t>
  </si>
  <si>
    <t>BL</t>
  </si>
  <si>
    <t>R737</t>
  </si>
  <si>
    <t>NI</t>
  </si>
  <si>
    <t>S</t>
  </si>
  <si>
    <t>Držák talířů</t>
  </si>
  <si>
    <t>Distanční doraz Blum, 5mm</t>
  </si>
  <si>
    <t>993.0530</t>
  </si>
  <si>
    <t>Distanční doraz Blum, 8mm</t>
  </si>
  <si>
    <t>993.0830.01</t>
  </si>
  <si>
    <t>Pohonná servo jednotka</t>
  </si>
  <si>
    <t>Z10A3000.02</t>
  </si>
  <si>
    <t>Držák nosníku, vlys naležato</t>
  </si>
  <si>
    <t>Držák nosníku, vlys nastojato</t>
  </si>
  <si>
    <t>Držák servo jednotky jednoduchý</t>
  </si>
  <si>
    <t>Držák servo jednotky zdvojený</t>
  </si>
  <si>
    <t>Držák kabelu s Klebesockel</t>
  </si>
  <si>
    <t>Z10K0009</t>
  </si>
  <si>
    <t>NA</t>
  </si>
  <si>
    <t>Synchronizační kabel 8cm</t>
  </si>
  <si>
    <t xml:space="preserve">Z10K008S </t>
  </si>
  <si>
    <t>W</t>
  </si>
  <si>
    <t>Synchronizační kabel 120cm</t>
  </si>
  <si>
    <t>Z10K120S</t>
  </si>
  <si>
    <t>Synchronizační kabel 160cm</t>
  </si>
  <si>
    <t>Z10K160S</t>
  </si>
  <si>
    <t>Elektrokabel, délka 8m + 5 krytek</t>
  </si>
  <si>
    <t>Z10K800AE</t>
  </si>
  <si>
    <t>Napájecí kabel se zástrčkou, 2m</t>
  </si>
  <si>
    <t xml:space="preserve">Z10M200E </t>
  </si>
  <si>
    <t>Napájecí zdroj 72W</t>
  </si>
  <si>
    <t>Z10NE020E</t>
  </si>
  <si>
    <t>Z10NG000</t>
  </si>
  <si>
    <t>Z10NG120</t>
  </si>
  <si>
    <t>WGR</t>
  </si>
  <si>
    <t>Propojovací svorka s hroty + krytka</t>
  </si>
  <si>
    <t>Z10V100E.01</t>
  </si>
  <si>
    <t>Alu</t>
  </si>
  <si>
    <t xml:space="preserve">Z10T670AA </t>
  </si>
  <si>
    <t xml:space="preserve">Z10T750AA </t>
  </si>
  <si>
    <t>Nosník 1170mm, bez kabelu</t>
  </si>
  <si>
    <t>Z10T1170A</t>
  </si>
  <si>
    <t xml:space="preserve">Mechanizmus vyhazovače </t>
  </si>
  <si>
    <t>Z10A3H00</t>
  </si>
  <si>
    <t>Horizontální nosník</t>
  </si>
  <si>
    <t>Z10T1143B</t>
  </si>
  <si>
    <t>Adaptér + držák horizont. nosníku</t>
  </si>
  <si>
    <t>Z10D5210</t>
  </si>
  <si>
    <t>SD uno - sada pro výsuv na odpad</t>
  </si>
  <si>
    <t>Držák servo jednotky horní</t>
  </si>
  <si>
    <t>Z10D6252</t>
  </si>
  <si>
    <t>Z96.10E1</t>
  </si>
  <si>
    <t>Tlumící čočka k zavrtání</t>
  </si>
  <si>
    <t>993.706</t>
  </si>
  <si>
    <t>R906</t>
  </si>
  <si>
    <t>71T7500N</t>
  </si>
  <si>
    <t>70T7500NTL</t>
  </si>
  <si>
    <t>173L6100</t>
  </si>
  <si>
    <t>173H7100</t>
  </si>
  <si>
    <t>174H7100E</t>
  </si>
  <si>
    <t>175H5400</t>
  </si>
  <si>
    <t>177H5400E</t>
  </si>
  <si>
    <t>973A7000</t>
  </si>
  <si>
    <t>971A0500</t>
  </si>
  <si>
    <t>Držáky zadní stěny N, hedvábně bílé</t>
  </si>
  <si>
    <t>Držáky zadní stěny N, černé Terra</t>
  </si>
  <si>
    <t>Držáky zadní stěny M, hedvábně bílé</t>
  </si>
  <si>
    <t>Bočnice N 500mm, hedvábně bílé</t>
  </si>
  <si>
    <t>Bočnice N 500mm, černé Terra</t>
  </si>
  <si>
    <t>Bočnice M 500mm, hedvábně bílé</t>
  </si>
  <si>
    <t>Bočnice M 500mm, černé Terra</t>
  </si>
  <si>
    <t>Bočnice M 400mm, hedvábně bílé</t>
  </si>
  <si>
    <t>Bočnice M 400mm, černé Terra</t>
  </si>
  <si>
    <t>Bočnice M 450mm, hedvábně bílé</t>
  </si>
  <si>
    <t>Bočnice M 450mm, černé Terra</t>
  </si>
  <si>
    <t>Držáky zadní stěny M, černé Terra</t>
  </si>
  <si>
    <t>Držáky zadní stěny K, hedvábně bílé</t>
  </si>
  <si>
    <t>Držáky zadní stěny K, černé Terra</t>
  </si>
  <si>
    <t>SERVO-DRIVE</t>
  </si>
  <si>
    <t xml:space="preserve">Nosník, 670mm, s předmont. kabelem </t>
  </si>
  <si>
    <t xml:space="preserve">Nosník, 750mm, s předmont. kabelem </t>
  </si>
  <si>
    <t>5a</t>
  </si>
  <si>
    <t>3a,3b,4</t>
  </si>
  <si>
    <t>Závěsy pro potravinové skříně</t>
  </si>
  <si>
    <t>Hrnce, poklice</t>
  </si>
  <si>
    <t xml:space="preserve">Ukládání potravin </t>
  </si>
  <si>
    <t>Misky a mísy</t>
  </si>
  <si>
    <t>Hrnce, poklice, náčiní</t>
  </si>
  <si>
    <t>Načatá balení potravin</t>
  </si>
  <si>
    <t>Ukládání talířů</t>
  </si>
  <si>
    <t>Odpadkové koše, mycí prostředky</t>
  </si>
  <si>
    <t>Láhve, načatá balení potravin</t>
  </si>
  <si>
    <t>Koření, načatá balení potravin</t>
  </si>
  <si>
    <t>Koření</t>
  </si>
  <si>
    <t>Láhve, prkýnka na krájení</t>
  </si>
  <si>
    <t>Láhve (oleje, octy)</t>
  </si>
  <si>
    <t>Formy, plechy na pečení</t>
  </si>
  <si>
    <t>Nahoru</t>
  </si>
  <si>
    <t>Držáky zadní stěny C, hedvábně bílé</t>
  </si>
  <si>
    <t>Držáky zadní stěny C, černé Terra</t>
  </si>
  <si>
    <t xml:space="preserve"> Výběr doplňků</t>
  </si>
  <si>
    <t>Výběr SERVO-DRIVE</t>
  </si>
  <si>
    <t>Bočnice N 500mm, nerez</t>
  </si>
  <si>
    <t>OG-M</t>
  </si>
  <si>
    <t>SW-M</t>
  </si>
  <si>
    <t>770N5002S</t>
  </si>
  <si>
    <t>770N5002I</t>
  </si>
  <si>
    <t>Bočnice M 500mm, nerez</t>
  </si>
  <si>
    <t>770M5002S</t>
  </si>
  <si>
    <t>770M5002I</t>
  </si>
  <si>
    <t>Bočnice K 500mm, nerez</t>
  </si>
  <si>
    <t>770K5002I</t>
  </si>
  <si>
    <t>770K5002S</t>
  </si>
  <si>
    <t>770C5002S</t>
  </si>
  <si>
    <t>770C5002I</t>
  </si>
  <si>
    <t>Bočnice F 500mm, hedvábně bílé</t>
  </si>
  <si>
    <t>Bočnice F 500mm, černé Terra</t>
  </si>
  <si>
    <t>Bočnice F 500mm, nerez</t>
  </si>
  <si>
    <t>770F5002S</t>
  </si>
  <si>
    <t>770F5002I</t>
  </si>
  <si>
    <t>Bočnice M 450mm, nerez</t>
  </si>
  <si>
    <t>770M4502S</t>
  </si>
  <si>
    <t>770M4502I</t>
  </si>
  <si>
    <t>Bočnice M 400mm, nerez</t>
  </si>
  <si>
    <t xml:space="preserve">   Korpusové lišty BLUMOTION</t>
  </si>
  <si>
    <t>Korpusové lišty BLUMOTION, 500mm, 40kg</t>
  </si>
  <si>
    <t>Korpusové lišty BLUMOTION, 500mm, 70kg</t>
  </si>
  <si>
    <t>Korpusové lišty BLUMOTION, 400mm, 40kg</t>
  </si>
  <si>
    <t>Korpusové lišty BLUMOTION, 450mm, 40kg</t>
  </si>
  <si>
    <t>Korpusové lišty TIP-ON, 500mm, 40kg</t>
  </si>
  <si>
    <t>Korpusové lišty TIP-ON, 500mm, 70kg</t>
  </si>
  <si>
    <t>Korpusové lišty TIP-ON, 400mm, 40kg</t>
  </si>
  <si>
    <t>Korpusové lišty TIP-ON, 450mm, 40kg</t>
  </si>
  <si>
    <t>TIP-ON synchronizace, sada pastorků</t>
  </si>
  <si>
    <t>TIP-ON synchronizace, tyč ke zkrácení</t>
  </si>
  <si>
    <t>Boční stabilizace, sada NL 250-400mm</t>
  </si>
  <si>
    <t>Boční stabilizace, sada NL 450-600mm</t>
  </si>
  <si>
    <t>ZS7.400LU</t>
  </si>
  <si>
    <t>ZS7.650LU</t>
  </si>
  <si>
    <t>Držáky zadní stěny N, niklované</t>
  </si>
  <si>
    <t>Držáky zadní stěny M, niklované</t>
  </si>
  <si>
    <t>Držáky zadní stěny K, niklované</t>
  </si>
  <si>
    <t>Držáky zadní stěny C, niklované</t>
  </si>
  <si>
    <t>Držáky zadní stěny F, hedvábně bílé</t>
  </si>
  <si>
    <t>Držáky zadní stěny F, černé Terra</t>
  </si>
  <si>
    <t>Držáky zadní stěny F, niklované</t>
  </si>
  <si>
    <t>Čelní kování N, EXPANDO</t>
  </si>
  <si>
    <t>Čelní kování N, na vruty</t>
  </si>
  <si>
    <t>ZF7N70E2</t>
  </si>
  <si>
    <t>ZF7N7002</t>
  </si>
  <si>
    <t>ZB7N000S</t>
  </si>
  <si>
    <t>ZB7M000S</t>
  </si>
  <si>
    <t>ZB7K000S</t>
  </si>
  <si>
    <t>ZB7C000S</t>
  </si>
  <si>
    <t>ZB7F000S</t>
  </si>
  <si>
    <t>Čelní kování M, EXPANDO</t>
  </si>
  <si>
    <t>Čelní kování M, na vruty</t>
  </si>
  <si>
    <t>ZF7M70E2</t>
  </si>
  <si>
    <t>ZF7M7002</t>
  </si>
  <si>
    <t>Čelní kování K, EXPANDO</t>
  </si>
  <si>
    <t>Čelní kování K, na vruty</t>
  </si>
  <si>
    <t>ZF7K70E2</t>
  </si>
  <si>
    <t>ZF7K7002</t>
  </si>
  <si>
    <t>Čelní kování C, EXPANDO</t>
  </si>
  <si>
    <t>Čelní kování C, na vruty</t>
  </si>
  <si>
    <t>ZF7C70E2</t>
  </si>
  <si>
    <t>ZF7C7002</t>
  </si>
  <si>
    <t>Sada kování vnitřní zásuvky M, černá Terra</t>
  </si>
  <si>
    <t>Sada kování vnitřní zásuvky M, hedvábně bílá</t>
  </si>
  <si>
    <t>Sada kování vnitřní zásuvky M, nerez</t>
  </si>
  <si>
    <t>ZI7.0MS0</t>
  </si>
  <si>
    <t>ZI7.0MI0</t>
  </si>
  <si>
    <t>TS-M</t>
  </si>
  <si>
    <t>Sada kování vnitř.výs. C, se zás.prvkem, hedv.bílá</t>
  </si>
  <si>
    <t>Sada kování vnitř.výs. C, se zás.prvkem, černá Terra</t>
  </si>
  <si>
    <t>Sada kování vnitř.výs. C, se zás.prvkem, nerez</t>
  </si>
  <si>
    <t>ZI7.2CS0</t>
  </si>
  <si>
    <t>ZI7.2CI0</t>
  </si>
  <si>
    <t>ZI7.3CS0</t>
  </si>
  <si>
    <t>ZI7.3CI0</t>
  </si>
  <si>
    <t>Přední díl vnitřní zásuvky, s drážkou, hedvábně bílý</t>
  </si>
  <si>
    <t>Přední díl vnitřní zásuvky, s drážkou, černý Terra</t>
  </si>
  <si>
    <t>Přední díl vnitřní zásuvky, s drážkou, matný nikl</t>
  </si>
  <si>
    <t>Přední díl vnitřní zásuvky, bez drážky, hedvábně bílý</t>
  </si>
  <si>
    <t>Přední díl vnitřní zásuvky, bez drážky, černý Terra</t>
  </si>
  <si>
    <t>Přední díl vnitřní zásuvky, bez drážky, matný nikl</t>
  </si>
  <si>
    <t>NI-M</t>
  </si>
  <si>
    <t>ZV7.1043MN1</t>
  </si>
  <si>
    <t>ZV7.1043C01</t>
  </si>
  <si>
    <t>Sada kování vnitř.výs. C, se zás.prvkem, Orion šedá</t>
  </si>
  <si>
    <t>Sada kování vnitřní zásuvky M, Orion šedá</t>
  </si>
  <si>
    <t>Bočnice N 500mm, Orion šedé</t>
  </si>
  <si>
    <t>Bočnice M 500mm, Orion šedé</t>
  </si>
  <si>
    <t>Bočnice K 500mm, Orion šedé</t>
  </si>
  <si>
    <t>Bočnice F 500mm, Orion šedé</t>
  </si>
  <si>
    <t>Bočnice M 400mm, Orion šedé</t>
  </si>
  <si>
    <t>Bočnice M 450mm, Orion šedé</t>
  </si>
  <si>
    <t>Držáky zadní stěny N, Orion šedé</t>
  </si>
  <si>
    <t>Držáky zadní stěny M, Orion šedé</t>
  </si>
  <si>
    <t>Držáky zadní stěny K, Orion šedé</t>
  </si>
  <si>
    <t>Držáky zadní stěny C, Orion šedé</t>
  </si>
  <si>
    <t>Držáky zadní stěny F, Orion šedé</t>
  </si>
  <si>
    <t>Přední díl vnitřní zásuvky, bez drážky, Orion šedý</t>
  </si>
  <si>
    <t>Přední díl vnitřní zásuvky, s drážkou, Orion šedý</t>
  </si>
  <si>
    <t>Unašeč pro vnirřní zásuvku M, Orion šedý</t>
  </si>
  <si>
    <t>Unašeč pro vnirřní zásuvku M, hedvábně bílý</t>
  </si>
  <si>
    <t>Unašeč pro vnirřní zásuvku M, černý Terra</t>
  </si>
  <si>
    <t>ZI7.0M07</t>
  </si>
  <si>
    <t>ZE7W332G</t>
  </si>
  <si>
    <t>ZE7W782G</t>
  </si>
  <si>
    <t>ZE7W1082G</t>
  </si>
  <si>
    <t>ZE7V332G</t>
  </si>
  <si>
    <t>ZE7V782G</t>
  </si>
  <si>
    <t>ZE7V1082G</t>
  </si>
  <si>
    <t>Příčný reling vnitřní zásuvky, Orion šedý</t>
  </si>
  <si>
    <t>Příčný reling vnitřní zásuvky, matný nikl</t>
  </si>
  <si>
    <t>ZC7S500BS3</t>
  </si>
  <si>
    <t>SW-M/OG</t>
  </si>
  <si>
    <t>ZC7S500BH3</t>
  </si>
  <si>
    <t>E02G</t>
  </si>
  <si>
    <t>E01S</t>
  </si>
  <si>
    <t>N01T</t>
  </si>
  <si>
    <t>přední reling</t>
  </si>
  <si>
    <t>C</t>
  </si>
  <si>
    <t>F</t>
  </si>
  <si>
    <t>C/M</t>
  </si>
  <si>
    <t>104 mm</t>
  </si>
  <si>
    <t>193 mm</t>
  </si>
  <si>
    <t>191 mm</t>
  </si>
  <si>
    <t>257 mm</t>
  </si>
  <si>
    <t>80 mm</t>
  </si>
  <si>
    <t>144 mm</t>
  </si>
  <si>
    <t>Výběr AMBIA-LINE</t>
  </si>
  <si>
    <t>Orion šedá</t>
  </si>
  <si>
    <t>nízký</t>
  </si>
  <si>
    <t>vysoký</t>
  </si>
  <si>
    <t>Design ocel</t>
  </si>
  <si>
    <t>Design dřevo</t>
  </si>
  <si>
    <t>750.5001B</t>
  </si>
  <si>
    <t>753.5001B</t>
  </si>
  <si>
    <t>750.4001B</t>
  </si>
  <si>
    <t>750.4501B</t>
  </si>
  <si>
    <t>750.5001T</t>
  </si>
  <si>
    <t>753.5001T</t>
  </si>
  <si>
    <t>750.4001T</t>
  </si>
  <si>
    <t>750.4501T</t>
  </si>
  <si>
    <t>Inox</t>
  </si>
  <si>
    <t xml:space="preserve">Terra černá </t>
  </si>
  <si>
    <t>EXPANDO</t>
  </si>
  <si>
    <t>Sada kování vnitř.výs. C, s relingem, Orion šedá</t>
  </si>
  <si>
    <t>Sada kování vnitř.výs. C, s relingem, hedv.bílá</t>
  </si>
  <si>
    <t>Sada kování vnitř.výs. C, s relingem, černá Terra</t>
  </si>
  <si>
    <t>Sada kování vnitř.výs. C, s relingem, nerez</t>
  </si>
  <si>
    <t>7N 400T</t>
  </si>
  <si>
    <t>7N 400B</t>
  </si>
  <si>
    <t>40 kg</t>
  </si>
  <si>
    <t>70 kg</t>
  </si>
  <si>
    <t>BLUMOTION</t>
  </si>
  <si>
    <t>7M 400B</t>
  </si>
  <si>
    <t>7M 700B</t>
  </si>
  <si>
    <t>7M 400T</t>
  </si>
  <si>
    <t>7K 400B</t>
  </si>
  <si>
    <t>7K 700B</t>
  </si>
  <si>
    <t>7K 400T</t>
  </si>
  <si>
    <t>7M 40VB</t>
  </si>
  <si>
    <t>7M 70VB</t>
  </si>
  <si>
    <t>7M 40VT</t>
  </si>
  <si>
    <t>7M 70VT</t>
  </si>
  <si>
    <t>7K 700T</t>
  </si>
  <si>
    <t>7M 700T</t>
  </si>
  <si>
    <t>KLA</t>
  </si>
  <si>
    <t>7C 410B</t>
  </si>
  <si>
    <t>7C 710B</t>
  </si>
  <si>
    <t>7C 410T</t>
  </si>
  <si>
    <t>7C 710T</t>
  </si>
  <si>
    <t>7C 442B</t>
  </si>
  <si>
    <t>7C 742B</t>
  </si>
  <si>
    <t>ZC7S500RS1</t>
  </si>
  <si>
    <t>ZC7S500RS2</t>
  </si>
  <si>
    <t>ZC7S300RSU</t>
  </si>
  <si>
    <t>ZC7A0U0M</t>
  </si>
  <si>
    <t>Adaptér pro dřevěná záda M, Orion šedý</t>
  </si>
  <si>
    <t>Adaptér pro dřevěná záda M, hedvábně bílý</t>
  </si>
  <si>
    <t>Adaptér pro dřevěná záda M, Terra černý</t>
  </si>
  <si>
    <t>Adaptér pro dřevěná záda K, Orion šedý</t>
  </si>
  <si>
    <t>Adaptér pro dřevěná záda K, hedvábně bílý</t>
  </si>
  <si>
    <t>Adaptér pro dřevěná záda K, Terra černý</t>
  </si>
  <si>
    <t>Zásuvkové rámečky, od 270mm, Orion šedé</t>
  </si>
  <si>
    <t>Zásuvkové rámečky, od 270mm, hedvábně bílé</t>
  </si>
  <si>
    <t>Zásuvkové rámečky, od 270mm, Terra černé</t>
  </si>
  <si>
    <t>Rámečky pro čel. výsuvy, od 270mm, Orion šedé</t>
  </si>
  <si>
    <t>Rámečky pro čel. výsuvy, od 270mm, hedvábně bílé</t>
  </si>
  <si>
    <t>Rámečky pro čel. výsuvy, od 270mm, Terra černé</t>
  </si>
  <si>
    <t>ZC7F300RSU</t>
  </si>
  <si>
    <t>ZC7Q0U0SS</t>
  </si>
  <si>
    <t>ZC7Q0U0FS</t>
  </si>
  <si>
    <t>Rámečky pro čel. výsuvy, od 400mm, Orion šedé</t>
  </si>
  <si>
    <t>Rámečky pro čel. výsuvy, od 400mm, hedvábně bílé</t>
  </si>
  <si>
    <t>Rámečky pro čel. výsuvy, od 400mm, Terra černé</t>
  </si>
  <si>
    <t>Adaptér pro dřevěná záda C, Orion šedý</t>
  </si>
  <si>
    <t>Adaptér pro dřevěná záda C, hedvábně bílý</t>
  </si>
  <si>
    <t>Adaptér pro dřevěná záda C, Terra černý</t>
  </si>
  <si>
    <t>Adaptér pro dřevěná záda, š.242mm, Orion šedý</t>
  </si>
  <si>
    <t>Adaptér pro dřevěná záda, š.242mm, hedvábně bílý</t>
  </si>
  <si>
    <t>Adaptér pro dřevěná záda, š.242mm, Terra černý</t>
  </si>
  <si>
    <t>ZC7A0U0C</t>
  </si>
  <si>
    <t>ZC7A0P0C</t>
  </si>
  <si>
    <t>Adaptér pro dřevěná záda F, Orion šedý</t>
  </si>
  <si>
    <t>Adaptér pro dřevěná záda F, hedvábně bílý</t>
  </si>
  <si>
    <t>Adaptér pro dřevěná záda F, Terra černý</t>
  </si>
  <si>
    <t>ZC7A0P0F</t>
  </si>
  <si>
    <t>ZC7Q0P0FS</t>
  </si>
  <si>
    <t xml:space="preserve">   AMBIA-LINE pro zásuvky, kovový design</t>
  </si>
  <si>
    <t xml:space="preserve">  AMBIA-LINE pro čelní výsuvy, kovový design</t>
  </si>
  <si>
    <t xml:space="preserve">   AMBIA-LINE pro zásuvky, dřevěný design</t>
  </si>
  <si>
    <t>ZC7S500RH1</t>
  </si>
  <si>
    <t>ZC7S500RH2</t>
  </si>
  <si>
    <t>ZC7Q010SS</t>
  </si>
  <si>
    <t>ZC7Q020SS</t>
  </si>
  <si>
    <t>Samostatná příčka, 50/100mm, Orion šedá</t>
  </si>
  <si>
    <t>Samostatná příčka, 50/100mm, hedvábně bílá</t>
  </si>
  <si>
    <t>Samostatná příčka, 50/100mm, Terra černá</t>
  </si>
  <si>
    <t>Samostatná příčka, 50/200mm, Orion šedá</t>
  </si>
  <si>
    <t>Samostatná příčka, 50/200mm, hedvábně bílá</t>
  </si>
  <si>
    <t>Samostatná příčka, 50/200mm, Terra černá</t>
  </si>
  <si>
    <t>Samostatná příčka, 50/242mm, Orion šedá</t>
  </si>
  <si>
    <t>Samostatná příčka, 50/242mm, hedvábně bílá</t>
  </si>
  <si>
    <t>Samostatná příčka, 50/242mm, Terra černá</t>
  </si>
  <si>
    <t>Samostatná příčka, 50/100mm, Nebraska dub</t>
  </si>
  <si>
    <t>Samostatná příčka, 50/100mm, Bardolino dub</t>
  </si>
  <si>
    <t>Samostatná příčka, 50/100mm, Tennessee ořech</t>
  </si>
  <si>
    <t>ZC7Q010SH</t>
  </si>
  <si>
    <t>ZC7Q020SH</t>
  </si>
  <si>
    <t>ZC7S300RHU</t>
  </si>
  <si>
    <t>Zásuvkové rámečky, od 270mm, Nebraska/OG-M</t>
  </si>
  <si>
    <t>Zásuvkové rámečky, od 270mm, Bardolino/SW-M</t>
  </si>
  <si>
    <t>Zásuvkové rámečky, od 270mm, Tennessee/TS-M</t>
  </si>
  <si>
    <t>Samostatná příčka, 50/242mm, Nebraska dub</t>
  </si>
  <si>
    <t>Samostatná příčka, 50/242mm, Bardolino dub</t>
  </si>
  <si>
    <t>Samostatná příčka, 50/242mm, Tennessee ořech</t>
  </si>
  <si>
    <t>ZC7Q0U0SH</t>
  </si>
  <si>
    <t>Rámečky pro výsuvy, od 270mm, Nebraska/OG-M</t>
  </si>
  <si>
    <t>Rámečky pro výsuvy, od 270mm, Bardolino/SW-M</t>
  </si>
  <si>
    <t>Rámečky pro výsuvy, od 270mm, Tennessee/TS-M</t>
  </si>
  <si>
    <t xml:space="preserve">   AMBIA-LINE pro čelní výsuvy, dřevěný design</t>
  </si>
  <si>
    <t>Samostatná příčka, 100/242mm, Nebraska dub</t>
  </si>
  <si>
    <t>Samostatná příčka, 100/242mm, Bardolino dub</t>
  </si>
  <si>
    <t>Samostatná příčka, 100/242mm, Tennessee ořech</t>
  </si>
  <si>
    <t>Rámečky pro výsuvy, od 400mm, Nebraska/OG-M</t>
  </si>
  <si>
    <t>Rámečky pro výsuvy, od 400mm, Bardolino/SW-M</t>
  </si>
  <si>
    <t>Rámečky pro výsuvy, od 400mm, Tennessee/TS-M</t>
  </si>
  <si>
    <t>ZC7F300RHU</t>
  </si>
  <si>
    <t>ZC7Q0U0FH</t>
  </si>
  <si>
    <t>ZC7Q0P0SH</t>
  </si>
  <si>
    <t>Samostatná příčka, 100/218mm, Nebraska dub</t>
  </si>
  <si>
    <t>Samostatná příčka, 100/218mm, Bardolino dub</t>
  </si>
  <si>
    <t>Samostatná příčka, 100/218mm, Tennessee ořech</t>
  </si>
  <si>
    <t>ZC7M0200</t>
  </si>
  <si>
    <t>Stojánek na kořenky</t>
  </si>
  <si>
    <t>ZC7G0P0I</t>
  </si>
  <si>
    <t>Řezačka na potravinové folie, s folií</t>
  </si>
  <si>
    <t>ZC7C000</t>
  </si>
  <si>
    <t>ZC7C001</t>
  </si>
  <si>
    <t>ZC7T0350</t>
  </si>
  <si>
    <t>270 mm</t>
  </si>
  <si>
    <t>350 mm</t>
  </si>
  <si>
    <t>400 mm</t>
  </si>
  <si>
    <t>500 mm</t>
  </si>
  <si>
    <t>550 mm</t>
  </si>
  <si>
    <t>cena kování</t>
  </si>
  <si>
    <t>Korpusové lišty BLUMOTION, 270mm, 40kg</t>
  </si>
  <si>
    <t>Korpusové lišty TIP-ON, 270mm, 40kg</t>
  </si>
  <si>
    <t>Korpusové lišty BLUMOTION, 300mm, 40kg</t>
  </si>
  <si>
    <t>Korpusové lišty TIP-ON, 300mm, 40kg</t>
  </si>
  <si>
    <t>Korpusové lišty BLUMOTION, 350mm, 40kg</t>
  </si>
  <si>
    <t>Korpusové lišty TIP-ON, 350mm, 40kg</t>
  </si>
  <si>
    <t>Korpusové lišty BLUMOTION, 450mm, 70kg</t>
  </si>
  <si>
    <t>Korpusové lišty TIP-ON, 450mm, 70kg</t>
  </si>
  <si>
    <t>Korpusové lišty BLUMOTION, 550mm, 40kg</t>
  </si>
  <si>
    <t>Korpusové lišty BLUMOTION, 550mm, 70kg</t>
  </si>
  <si>
    <t>Korpusové lišty TIP-ON, 550mm, 70kg</t>
  </si>
  <si>
    <t>Korpusové lišty BLUMOTION, 600mm, 40kg</t>
  </si>
  <si>
    <t>Korpusové lišty BLUMOTION, 600mm, 70kg</t>
  </si>
  <si>
    <t>Korpusové lišty TIP-ON, 600mm, 40kg</t>
  </si>
  <si>
    <t>Korpusové lišty TIP-ON, 600mm, 70kg</t>
  </si>
  <si>
    <t>Bočnice N 450mm, Orion šedé</t>
  </si>
  <si>
    <t>Bočnice N 450mm, hedvábně bílé</t>
  </si>
  <si>
    <t>Bočnice N 450mm, černé Terra</t>
  </si>
  <si>
    <t>Bočnice N 450mm, nerez</t>
  </si>
  <si>
    <t>Bočnice M 270mm, Orion šedé</t>
  </si>
  <si>
    <t>Bočnice M 270mm, hedvábně bílé</t>
  </si>
  <si>
    <t>Bočnice M 270mm, černé Terra</t>
  </si>
  <si>
    <t>Bočnice M 270mm, nerez</t>
  </si>
  <si>
    <t>Bočnice M 300mm, Orion šedé</t>
  </si>
  <si>
    <t>Bočnice M 300mm, hedvábně bílé</t>
  </si>
  <si>
    <t>Bočnice M 300mm, černé Terra</t>
  </si>
  <si>
    <t>Bočnice M 300mm, nerez</t>
  </si>
  <si>
    <t>Bočnice M 350mm, Orion šedé</t>
  </si>
  <si>
    <t>Bočnice M 350mm, hedvábně bílé</t>
  </si>
  <si>
    <t>Bočnice M 350mm, černé Terra</t>
  </si>
  <si>
    <t>Bočnice M 350mm, nerez</t>
  </si>
  <si>
    <t>770M2702S</t>
  </si>
  <si>
    <t>770M2702I</t>
  </si>
  <si>
    <t>770M3002S</t>
  </si>
  <si>
    <t>770M3002I</t>
  </si>
  <si>
    <t>770M3502S</t>
  </si>
  <si>
    <t>770M3502I</t>
  </si>
  <si>
    <t>770M4002S</t>
  </si>
  <si>
    <t>770M4002I</t>
  </si>
  <si>
    <t>Bočnice M 550mm, Orion šedé</t>
  </si>
  <si>
    <t>Bočnice M 550mm, hedvábně bílé</t>
  </si>
  <si>
    <t>Bočnice M 550mm, černé Terra</t>
  </si>
  <si>
    <t>Bočnice M 550mm, nerez</t>
  </si>
  <si>
    <t>770M5502S</t>
  </si>
  <si>
    <t>770M5502I</t>
  </si>
  <si>
    <t>Bočnice M 600mm, Orion šedé</t>
  </si>
  <si>
    <t>Bočnice M 600mm, hedvábně bílé</t>
  </si>
  <si>
    <t>Bočnice M 600mm, černé Terra</t>
  </si>
  <si>
    <t>Bočnice M 600mm, nerez</t>
  </si>
  <si>
    <t>770M6002S</t>
  </si>
  <si>
    <t>770M6002I</t>
  </si>
  <si>
    <t>Bočnice K 350mm, Orion šedé</t>
  </si>
  <si>
    <t>Bočnice K 350mm, hedvábně bílé</t>
  </si>
  <si>
    <t>Bočnice K 350mm, černé Terra</t>
  </si>
  <si>
    <t>Bočnice K 350mm, nerez</t>
  </si>
  <si>
    <t>Bočnice K 400mm, Orion šedé</t>
  </si>
  <si>
    <t>Bočnice K 400mm, hedvábně bílé</t>
  </si>
  <si>
    <t>Bočnice K 400mm, černé Terra</t>
  </si>
  <si>
    <t>Bočnice K 400mm, nerez</t>
  </si>
  <si>
    <t>Bočnice K 450mm, Orion šedé</t>
  </si>
  <si>
    <t>Bočnice K 450mm, hedvábně bílé</t>
  </si>
  <si>
    <t>Bočnice K 450mm, černé Terra</t>
  </si>
  <si>
    <t>Bočnice K 450mm, nerez</t>
  </si>
  <si>
    <t>Bočnice K 550mm, Orion šedé</t>
  </si>
  <si>
    <t>Bočnice K 550mm, hedvábně bílé</t>
  </si>
  <si>
    <t>Bočnice K 550mm, černé Terra</t>
  </si>
  <si>
    <t>Bočnice K 550mm, nerez</t>
  </si>
  <si>
    <t>770K5502S</t>
  </si>
  <si>
    <t>770K5502I</t>
  </si>
  <si>
    <t>770C2702S</t>
  </si>
  <si>
    <t>770C2702I</t>
  </si>
  <si>
    <t>770C3002S</t>
  </si>
  <si>
    <t>770C3002I</t>
  </si>
  <si>
    <t>770C3502S</t>
  </si>
  <si>
    <t>770C3502I</t>
  </si>
  <si>
    <t>770C4002S</t>
  </si>
  <si>
    <t>770C4002I</t>
  </si>
  <si>
    <t>770C4502S</t>
  </si>
  <si>
    <t>770C4502I</t>
  </si>
  <si>
    <t>770C5502S</t>
  </si>
  <si>
    <t>Bočnice F 450mm, Orion šedé</t>
  </si>
  <si>
    <t>Bočnice F 450mm, hedvábně bílé</t>
  </si>
  <si>
    <t>Bočnice F 450mm, černé Terra</t>
  </si>
  <si>
    <t>Bočnice F 450mm, nerez</t>
  </si>
  <si>
    <t>Bočnice F 550mm, Orion šedé</t>
  </si>
  <si>
    <t>Bočnice F 550mm, hedvábně bílé</t>
  </si>
  <si>
    <t>Bočnice F 550mm, černé Terra</t>
  </si>
  <si>
    <t>Bočnice F 550mm, nerez</t>
  </si>
  <si>
    <t>Bočnice F 600mm, Orion šedé</t>
  </si>
  <si>
    <t>Bočnice F 600mm, hedvábně bílé</t>
  </si>
  <si>
    <t>Bočnice F 600mm, černé Terra</t>
  </si>
  <si>
    <t>Bočnice F 600mm, nerez</t>
  </si>
  <si>
    <t>770F4502S</t>
  </si>
  <si>
    <t>770F4502I</t>
  </si>
  <si>
    <t>770F5502S</t>
  </si>
  <si>
    <t>753.4501B</t>
  </si>
  <si>
    <t>750.2701B</t>
  </si>
  <si>
    <t>750.3001B</t>
  </si>
  <si>
    <t>750.3501B</t>
  </si>
  <si>
    <t>Korpusové lišty TIP-ON, 550mm, 40kg</t>
  </si>
  <si>
    <t>750.2701T</t>
  </si>
  <si>
    <t>750.3001T</t>
  </si>
  <si>
    <t>750.3501T</t>
  </si>
  <si>
    <t>753.4501T</t>
  </si>
  <si>
    <t>Příborník, 500mm, Orion šedý</t>
  </si>
  <si>
    <t>Příborník, 500mm, hedvábně bílý/Orion šedý</t>
  </si>
  <si>
    <t>Příborník, 500mm, Terra černý</t>
  </si>
  <si>
    <t>Zásuvkové rámečky úzké, 500mm, Orion šedé</t>
  </si>
  <si>
    <t>Zásuvkové rámečky úzké, 500mm, hedvábně bílé</t>
  </si>
  <si>
    <t>Zásuvkové rámečky úzké, 500mm, Terra černé</t>
  </si>
  <si>
    <t>Zásuvkové rámečky široké, 500mm, Orion šedé</t>
  </si>
  <si>
    <t>Zásuvkové rámečky široké, 500mm, hedvábně bílé</t>
  </si>
  <si>
    <t>Zásuvkové rámečky široké, 500mm, Terra černé</t>
  </si>
  <si>
    <t>Příborník, 500mm, Nebraska dub/OG-M</t>
  </si>
  <si>
    <t>Příborník, 500mm, Bardolino dub/SW-M</t>
  </si>
  <si>
    <t>Příborník, 500mm, Tennessee ořech/TS-M</t>
  </si>
  <si>
    <t>Příborník, 450mm, Nebraska dub/OG-M</t>
  </si>
  <si>
    <t>Příborník, 450mm, Bardolino dub/SW-M</t>
  </si>
  <si>
    <t>Příborník, 450mm, Tennessee ořech/TS-M</t>
  </si>
  <si>
    <t>ZC7S450BH3</t>
  </si>
  <si>
    <t>Příborník, 550mm, Nebraska dub/OG-M</t>
  </si>
  <si>
    <t>Příborník, 550mm, Bardolino dub/SW-M</t>
  </si>
  <si>
    <t>Příborník, 550mm, Tennessee ořech/TS-M</t>
  </si>
  <si>
    <t>Příborník, 600mm, Nebraska dub/OG-M</t>
  </si>
  <si>
    <t>Příborník, 600mm, Bardolino dub/SW-M</t>
  </si>
  <si>
    <t>Příborník, 600mm, Tennessee ořech/TS-M</t>
  </si>
  <si>
    <t>ZC7S550BH3</t>
  </si>
  <si>
    <t>ZC7S600BH3</t>
  </si>
  <si>
    <t>ZC7S450RH1</t>
  </si>
  <si>
    <t>ZC7S450RH2</t>
  </si>
  <si>
    <t>ZC7S550RH2</t>
  </si>
  <si>
    <t>ZC7S600RH2</t>
  </si>
  <si>
    <t>Zás.rámečky úzké, 450mm, Nebraska dub/OG-M</t>
  </si>
  <si>
    <t>Zás.rámečky úzké, 500mm, Nebraska dub/OG-M</t>
  </si>
  <si>
    <t>Zás.rámečky úzké, 450mm, Bardolino dub/SW-M</t>
  </si>
  <si>
    <t>Zás.rámečky úzké, 450mm, Tennessee oř./TS-M</t>
  </si>
  <si>
    <t>Zás.rámečky úzké, 500mm, Bardolino dub/SW-M</t>
  </si>
  <si>
    <t>Zás.rámečky úzké, 500mm, Tennessee oř./TS-M</t>
  </si>
  <si>
    <t>Zás.rámečky úzké, 550mm, Nebraska dub/OG-M</t>
  </si>
  <si>
    <t>Zás.rámečky úzké, 550mm, Bardolino dub/SW-M</t>
  </si>
  <si>
    <t>Zás.rámečky úzké, 550mm, Tennessee oř./TS-M</t>
  </si>
  <si>
    <t>Zás.rámečky úzké, 600mm, Nebraska dub/OG-M</t>
  </si>
  <si>
    <t>Zás.rámečky úzké, 600mm, Bardolino dub/SW-M</t>
  </si>
  <si>
    <t>Zás.rámečky úzké, 600mm, Tennessee oř./TS-M</t>
  </si>
  <si>
    <t>Zás.rámečky široké, 450mm, Nebraska dub/OG-M</t>
  </si>
  <si>
    <t>Zás.rámečky široké, 450mm, Bardolino dub/SW-M</t>
  </si>
  <si>
    <t>Zás.rámečky široké, 450mm, Tennessee oř./TS-M</t>
  </si>
  <si>
    <t>Zás.rámečky široké, 500mm, Nebraska dub/OG-M</t>
  </si>
  <si>
    <t>Zás.rámečky široké, 500mm, Bardolino dub/SW-M</t>
  </si>
  <si>
    <t>Zás.rámečky široké, 500mm, Tennessee oř./TS-M</t>
  </si>
  <si>
    <t>Zás.rámečky široké, 550mm, Nebraska dub/OG-M</t>
  </si>
  <si>
    <t>Zás.rámečky široké, 550mm, Bardolino dub/SW-M</t>
  </si>
  <si>
    <t>Zás.rámečky široké, 550mm, Tennessee oř./TS-M</t>
  </si>
  <si>
    <t>Zás.rámečky široké, 600mm, Nebraska dub/OG-M</t>
  </si>
  <si>
    <t>Zás.rámečky široké, 600mm, Bardolino dub/SW-M</t>
  </si>
  <si>
    <t>Zás.rámečky široké, 600mm, Tennessee oř./TS-M</t>
  </si>
  <si>
    <t>Příborník, 450mm, Orion šedý</t>
  </si>
  <si>
    <t>Příborník, 450mm, hedvábně bílý/Orion šedý</t>
  </si>
  <si>
    <t>Příborník, 450mm, Terra černý</t>
  </si>
  <si>
    <t>ZC7S450BS3</t>
  </si>
  <si>
    <t>Příborník, 550mm, Orion šedý</t>
  </si>
  <si>
    <t>Příborník, 550mm, hedvábně bílý/Orion šedý</t>
  </si>
  <si>
    <t>Příborník, 550mm, Terra černý</t>
  </si>
  <si>
    <t>Příborník, 600mm, Orion šedý</t>
  </si>
  <si>
    <t>Příborník, 600mm, hedvábně bílý/Orion šedý</t>
  </si>
  <si>
    <t>Příborník, 600mm, Terra černý</t>
  </si>
  <si>
    <t>ZC7S550BS3</t>
  </si>
  <si>
    <t>ZC7S600BS3</t>
  </si>
  <si>
    <t>Zásuvkové rámečky úzké, 450mm, Orion šedé</t>
  </si>
  <si>
    <t>Zásuvkové rámečky úzké, 450mm, hedvábně bílé</t>
  </si>
  <si>
    <t>Zásuvkové rámečky úzké, 450mm, Terra černé</t>
  </si>
  <si>
    <t>ZC7S450RS1</t>
  </si>
  <si>
    <t>Zásuvkové rámečky úzké, 550mm, Orion šedé</t>
  </si>
  <si>
    <t>Zásuvkové rámečky úzké, 550mm, hedvábně bílé</t>
  </si>
  <si>
    <t>Zásuvkové rámečky úzké, 550mm, Terra černé</t>
  </si>
  <si>
    <t>Zásuvkové rámečky úzké, 600mm, Orion šedé</t>
  </si>
  <si>
    <t>Zásuvkové rámečky úzké, 600mm, hedvábně bílé</t>
  </si>
  <si>
    <t>Zásuvkové rámečky úzké, 600mm, Terra černé</t>
  </si>
  <si>
    <t>ZC7S600RS1</t>
  </si>
  <si>
    <t>ZC7S550RS1</t>
  </si>
  <si>
    <t>Zásuvkové rámečky široké, 450mm, Orion šedé</t>
  </si>
  <si>
    <t>Zásuvkové rámečky široké, 450mm, hedvábně bílé</t>
  </si>
  <si>
    <t>Zásuvkové rámečky široké, 450mm, Terra černé</t>
  </si>
  <si>
    <t>ZC7S450RS2</t>
  </si>
  <si>
    <t>Zásuvkové rámečky široké, 550mm, Orion šedé</t>
  </si>
  <si>
    <t>Zásuvkové rámečky široké, 550mm, hedvábně bílé</t>
  </si>
  <si>
    <t>Zásuvkové rámečky široké, 550mm, Terra černé</t>
  </si>
  <si>
    <t>Zásuvkové rámečky široké, 600mm, Orion šedé</t>
  </si>
  <si>
    <t>Zásuvkové rámečky široké, 600mm, hedvábně bílé</t>
  </si>
  <si>
    <t>Zásuvkové rámečky široké, 600mm, Terra černé</t>
  </si>
  <si>
    <t>ZC7S600RS2</t>
  </si>
  <si>
    <t>ZC7S550RS2</t>
  </si>
  <si>
    <t>Řezačka na potravinové folie, bez folie</t>
  </si>
  <si>
    <t xml:space="preserve">  AMBIA-LINE pomůcky do kuchyně</t>
  </si>
  <si>
    <t>Samostatná příčka, 50/200mm, Nebraska dub</t>
  </si>
  <si>
    <t>Samostatná příčka, 50/200mm, Bardolino dub</t>
  </si>
  <si>
    <t>Samostatná příčka, 50/200mm, Tennessee ořech</t>
  </si>
  <si>
    <t>900 mm</t>
  </si>
  <si>
    <t>1200 mm</t>
  </si>
  <si>
    <t>Celkový počet ks</t>
  </si>
  <si>
    <t>770N4502S</t>
  </si>
  <si>
    <t>770N4502I</t>
  </si>
  <si>
    <t>750.5501B</t>
  </si>
  <si>
    <t>753.5501B</t>
  </si>
  <si>
    <t>750.6001B</t>
  </si>
  <si>
    <t>753.6001B</t>
  </si>
  <si>
    <t>750.5501T</t>
  </si>
  <si>
    <t>753.5501T</t>
  </si>
  <si>
    <t>750.6001T</t>
  </si>
  <si>
    <t>753.6001T</t>
  </si>
  <si>
    <t>7C 41VB</t>
  </si>
  <si>
    <t>7C 71VB</t>
  </si>
  <si>
    <t>7C 41VT</t>
  </si>
  <si>
    <t>7C 71VT</t>
  </si>
  <si>
    <t>7N400P</t>
  </si>
  <si>
    <t>7M400P</t>
  </si>
  <si>
    <t>7K400P</t>
  </si>
  <si>
    <t>7M40VP</t>
  </si>
  <si>
    <t>7F410P</t>
  </si>
  <si>
    <t>7C410P</t>
  </si>
  <si>
    <t>770K3502S</t>
  </si>
  <si>
    <t>770K3502I</t>
  </si>
  <si>
    <t>770K4002S</t>
  </si>
  <si>
    <t>770K4002I</t>
  </si>
  <si>
    <t>770K4502S</t>
  </si>
  <si>
    <t>770K4502I</t>
  </si>
  <si>
    <t>7C 41NB</t>
  </si>
  <si>
    <t>7C 71NB</t>
  </si>
  <si>
    <t>7C 41NT</t>
  </si>
  <si>
    <t>7C 71NT</t>
  </si>
  <si>
    <t>7C 41RB</t>
  </si>
  <si>
    <t>7C 71RB</t>
  </si>
  <si>
    <t>7C 41RT</t>
  </si>
  <si>
    <t>7C 71RT</t>
  </si>
  <si>
    <t>šířka</t>
  </si>
  <si>
    <t>výška</t>
  </si>
  <si>
    <t xml:space="preserve">  Příslušenství</t>
  </si>
  <si>
    <t>Upevňovací šrouby s plochou hlavou 4x15mm</t>
  </si>
  <si>
    <t>61D.1500</t>
  </si>
  <si>
    <t>Podložka CLIP top přímá, ocel.</t>
  </si>
  <si>
    <t>Podložka CLIP top přímá, ocel., EXPANDO</t>
  </si>
  <si>
    <t>770F5502I</t>
  </si>
  <si>
    <t>770F6002S</t>
  </si>
  <si>
    <t>770F6002I</t>
  </si>
  <si>
    <t>ZE7W482G</t>
  </si>
  <si>
    <t>ZE7V482G</t>
  </si>
  <si>
    <t>ZR7.1080U</t>
  </si>
  <si>
    <t>770C5502I</t>
  </si>
  <si>
    <t>770C6002S</t>
  </si>
  <si>
    <t>770C6002I</t>
  </si>
  <si>
    <t>ELN2</t>
  </si>
  <si>
    <t>ZC7A0U0K</t>
  </si>
  <si>
    <t>ZC7F400RSP</t>
  </si>
  <si>
    <t>ZC7F400RHP</t>
  </si>
  <si>
    <t>ZC7S400RHP</t>
  </si>
  <si>
    <t>ZC7S550RH1</t>
  </si>
  <si>
    <t>ZC7S600RH1</t>
  </si>
  <si>
    <t>Samostatná příčka,110/242mm, Orion šedá</t>
  </si>
  <si>
    <t>Samostatná příčka,110/242mm, hedvábně bílá</t>
  </si>
  <si>
    <t>Samostatná příčka,110/242mm, Terra černá</t>
  </si>
  <si>
    <t>Samostatná příčka,110/218mm, Orion šedá</t>
  </si>
  <si>
    <t>Samostatná příčka,110/218mm, hedvábně bílá</t>
  </si>
  <si>
    <t>Samostatná příčka,110/218mm, Terra černá</t>
  </si>
  <si>
    <t>Jmenovitá délka</t>
  </si>
  <si>
    <t>Korpusové lišty</t>
  </si>
  <si>
    <t>Počet skříní</t>
  </si>
  <si>
    <t>Nastavené počty korpusových lišt</t>
  </si>
  <si>
    <t>4 ks*</t>
  </si>
  <si>
    <t>1 ks*</t>
  </si>
  <si>
    <t>Bočnice nahoře</t>
  </si>
  <si>
    <t>Bočnice dole</t>
  </si>
  <si>
    <t>M,K,C</t>
  </si>
  <si>
    <t>M,C</t>
  </si>
  <si>
    <t>Zadejte bočnici pro horní zásuvku - viz možnosti</t>
  </si>
  <si>
    <t>možnosti</t>
  </si>
  <si>
    <t>Výšku bočnic pro horní zásuvku lze změnit</t>
  </si>
  <si>
    <t>7M 442B</t>
  </si>
  <si>
    <t>7M 742B</t>
  </si>
  <si>
    <t>C, M</t>
  </si>
  <si>
    <t>Příborníky</t>
  </si>
  <si>
    <t>Zásuvkové rámečky</t>
  </si>
  <si>
    <t>Rámečky pro čelní výsuv</t>
  </si>
  <si>
    <t>Adaptér pro zadní stěnu</t>
  </si>
  <si>
    <t>Rámečky pro čelní výsuv pro jmenovitu délku od</t>
  </si>
  <si>
    <t xml:space="preserve">Zásuvkové rámečky pro jmenovitou délku od </t>
  </si>
  <si>
    <t>Samostatné příčky - viz Výběr doplňků</t>
  </si>
  <si>
    <t>Řezačka potravinové folie</t>
  </si>
  <si>
    <t>délka</t>
  </si>
  <si>
    <t>Pro zásuvku</t>
  </si>
  <si>
    <t>Pro čení výsuv</t>
  </si>
  <si>
    <t>od jmenovité délky</t>
  </si>
  <si>
    <t>s fólií</t>
  </si>
  <si>
    <t>bez fólie</t>
  </si>
  <si>
    <t>Torxový šroubovák, T20</t>
  </si>
  <si>
    <t>209.093.7</t>
  </si>
  <si>
    <t>7C442P</t>
  </si>
  <si>
    <t>7M442P</t>
  </si>
  <si>
    <t>7STCGP</t>
  </si>
  <si>
    <t>7STCRP</t>
  </si>
  <si>
    <t>7STMGP</t>
  </si>
  <si>
    <t>7STMRP</t>
  </si>
  <si>
    <t>ALds</t>
  </si>
  <si>
    <t>Alpos</t>
  </si>
  <si>
    <t>Aldw</t>
  </si>
  <si>
    <t>Alpow</t>
  </si>
  <si>
    <t>Alkh</t>
  </si>
  <si>
    <t>Acs</t>
  </si>
  <si>
    <t>SD</t>
  </si>
  <si>
    <t>CLIP top 125° s nulovým přesahem</t>
  </si>
  <si>
    <t>7ST MGP</t>
  </si>
  <si>
    <t>7ST MRP</t>
  </si>
  <si>
    <t>Máte-li zásuvné prvky vlastní, počty nezadávejte</t>
  </si>
  <si>
    <t>Pozor!</t>
  </si>
  <si>
    <t>Zadejte zásuvné prvky</t>
  </si>
  <si>
    <t>Nutno ověřit dostupnost</t>
  </si>
  <si>
    <t>Ověřte dostupnost u svého dodavatele</t>
  </si>
  <si>
    <t>!</t>
  </si>
  <si>
    <t>Dostupnost</t>
  </si>
  <si>
    <t>Availability</t>
  </si>
  <si>
    <t>Objednávka obsahuje artikly s omezenou dostupností</t>
  </si>
  <si>
    <t>Nebraska dub/OG-M</t>
  </si>
  <si>
    <t>Bardolino dub/SW-M</t>
  </si>
  <si>
    <t>Tennessee ořech/TS-M</t>
  </si>
  <si>
    <t>M/C</t>
  </si>
  <si>
    <t>Vybráno celkem</t>
  </si>
  <si>
    <t>zásuvek a výsuvů</t>
  </si>
  <si>
    <t>potravinových skříní</t>
  </si>
  <si>
    <t>prvků AMBIA-LINE</t>
  </si>
  <si>
    <t>Adaptér je nutný pro připojení rámečku k dřevěné zadní stěně</t>
  </si>
  <si>
    <t>Jen pro rámeček</t>
  </si>
  <si>
    <t>650 mm</t>
  </si>
  <si>
    <t>pure</t>
  </si>
  <si>
    <t>free</t>
  </si>
  <si>
    <t>7C 410F</t>
  </si>
  <si>
    <t>7C 442F</t>
  </si>
  <si>
    <t>7C 41VF</t>
  </si>
  <si>
    <t>7C 41NF</t>
  </si>
  <si>
    <t>7C 31RF</t>
  </si>
  <si>
    <t>7C M42P</t>
  </si>
  <si>
    <t>7C M42F</t>
  </si>
  <si>
    <t>7ST CRF</t>
  </si>
  <si>
    <t>7ST CGF</t>
  </si>
  <si>
    <t>7ST MGF</t>
  </si>
  <si>
    <t>7ST MRF</t>
  </si>
  <si>
    <t>Bočnice F 650mm, Orion šedé</t>
  </si>
  <si>
    <t>Bočnice F 650mm, hedvábně bílé</t>
  </si>
  <si>
    <t>Bočnice F 650mm, černé Terra</t>
  </si>
  <si>
    <t>Bočnice F 650mm, nerez</t>
  </si>
  <si>
    <t>770F6502S</t>
  </si>
  <si>
    <t>770F6502I</t>
  </si>
  <si>
    <t>770C6502S</t>
  </si>
  <si>
    <t>770C6502I</t>
  </si>
  <si>
    <t>Bočnice M 650mm, Orion šedé</t>
  </si>
  <si>
    <t>Bočnice M 650mm, hedvábně bílé</t>
  </si>
  <si>
    <t>Bočnice M 650mm, černé Terra</t>
  </si>
  <si>
    <t>770M6502S</t>
  </si>
  <si>
    <t>770M6502I</t>
  </si>
  <si>
    <t>Korpusové lišty BLUMOTION, 650mm, 70kg</t>
  </si>
  <si>
    <t>753.6501B</t>
  </si>
  <si>
    <t>Korpusové lišty TIP-ON, 650mm, 70kg</t>
  </si>
  <si>
    <t>753.6501T</t>
  </si>
  <si>
    <t>Bočnice C pure, 270mm, Orion šedé</t>
  </si>
  <si>
    <t>Bočnice C pure, 270mm, hedvábně bílé</t>
  </si>
  <si>
    <t>Bočnice C pure, 270mm, černé Terra</t>
  </si>
  <si>
    <t>Bočnice C pure, 270mm, nerez</t>
  </si>
  <si>
    <t>Bočnice C pure, 300mm, Orion šedé</t>
  </si>
  <si>
    <t>Bočnice C pure, 300mm, hedvábně bílé</t>
  </si>
  <si>
    <t>Bočnice C pure, 300mm, černé Terra</t>
  </si>
  <si>
    <t>Bočnice C pure, 300mm, nerez</t>
  </si>
  <si>
    <t>Bočnice C pure, 350mm, Orion šedé</t>
  </si>
  <si>
    <t>Bočnice C pure, 350mm, hedvábně bílé</t>
  </si>
  <si>
    <t>Bočnice C pure, 350mm, černé Terra</t>
  </si>
  <si>
    <t>Bočnice C pure, 350mm, nerez</t>
  </si>
  <si>
    <t>Bočnice C pure, 400mm, Orion šedé</t>
  </si>
  <si>
    <t>Bočnice C pure, 400mm, hedvábně bílé</t>
  </si>
  <si>
    <t>Bočnice C pure, 400mm, černé Terra</t>
  </si>
  <si>
    <t>Bočnice C pure, 400mm, nerez</t>
  </si>
  <si>
    <t>Bočnice C pure, 450mm, Orion šedé</t>
  </si>
  <si>
    <t>Bočnice C pure, 450mm, hedvábně bílé</t>
  </si>
  <si>
    <t>Bočnice C pure, 450mm, černé Terra</t>
  </si>
  <si>
    <t>Bočnice C pure, 450mm, nerez</t>
  </si>
  <si>
    <t>Bočnice C pure, 500mm, Orion šedé</t>
  </si>
  <si>
    <t>Bočnice C pure, 500mm, hedvábně bílé</t>
  </si>
  <si>
    <t>Bočnice C pure, 500mm, černé Terra</t>
  </si>
  <si>
    <t>Bočnice C pure, 500mm, nerez</t>
  </si>
  <si>
    <t>Bočnice C pure, 550mm, Orion šedé</t>
  </si>
  <si>
    <t>Bočnice C pure, 550mm, hedvábně bílé</t>
  </si>
  <si>
    <t>Bočnice C pure, 550mm, černé Terra</t>
  </si>
  <si>
    <t>Bočnice C pure, 550mm, nerez</t>
  </si>
  <si>
    <t>Bočnice C pure, 600mm, Orion šedé</t>
  </si>
  <si>
    <t>Bočnice C pure, 600mm, hedvábně bílé</t>
  </si>
  <si>
    <t>Bočnice C pure, 600mm, černé Terra</t>
  </si>
  <si>
    <t>Bočnice C pure, 600mm, nerez</t>
  </si>
  <si>
    <t>Bočnice C pure, 650mm, Orion šedé</t>
  </si>
  <si>
    <t>Bočnice C pure, 650mm, hedvábně bílé</t>
  </si>
  <si>
    <t>Bočnice C pure, 650mm, černé Terra</t>
  </si>
  <si>
    <t>Bočnice C pure, 650mm, nerez</t>
  </si>
  <si>
    <t>Bočnice C free, 350mm, Orion šedé</t>
  </si>
  <si>
    <t>Bočnice C free, 350mm, hedvábně bílé</t>
  </si>
  <si>
    <t>Bočnice C free, 350mm, černé Terra</t>
  </si>
  <si>
    <t>Bočnice C free, 350mm, nerez</t>
  </si>
  <si>
    <t>Bočnice C free, 400mm, Orion šedé</t>
  </si>
  <si>
    <t>Bočnice C free, 400mm, hedvábně bílé</t>
  </si>
  <si>
    <t>Bočnice C free, 400mm, černé Terra</t>
  </si>
  <si>
    <t>Bočnice C free, 400mm, nerez</t>
  </si>
  <si>
    <t>Bočnice C free, 450mm, Orion šedé</t>
  </si>
  <si>
    <t>Bočnice C free, 450mm, hedvábně bílé</t>
  </si>
  <si>
    <t>Bočnice C free, 450mm, černé Terra</t>
  </si>
  <si>
    <t>Bočnice C free, 450mm, nerez</t>
  </si>
  <si>
    <t>Bočnice C free, 500mm, Orion šedé</t>
  </si>
  <si>
    <t>Bočnice C free, 500mm, hedvábně bílé</t>
  </si>
  <si>
    <t>Bočnice C free, 500mm, černé Terra</t>
  </si>
  <si>
    <t>Bočnice C free, 500mm, nerez</t>
  </si>
  <si>
    <t>Bočnice C free, 550mm, Orion šedé</t>
  </si>
  <si>
    <t>Bočnice C free, 550mm, hedvábně bílé</t>
  </si>
  <si>
    <t>Bočnice C free, 550mm, černé Terra</t>
  </si>
  <si>
    <t>Bočnice C free, 550mm, nerez</t>
  </si>
  <si>
    <t>Bočnice C free, 600mm, Orion šedé</t>
  </si>
  <si>
    <t>Bočnice C free, 600mm, hedvábně bílé</t>
  </si>
  <si>
    <t>Bočnice C free, 600mm, černé Terra</t>
  </si>
  <si>
    <t>Bočnice C free, 600mm, nerez</t>
  </si>
  <si>
    <t>Bočnice C free, 650mm, Orion šedé</t>
  </si>
  <si>
    <t>Bočnice C free, 650mm, hedvábně bílé</t>
  </si>
  <si>
    <t>Bočnice C free, 650mm, černé Terra</t>
  </si>
  <si>
    <t>Bočnice C free, 650mm, nerez</t>
  </si>
  <si>
    <t>Transportní pojistka</t>
  </si>
  <si>
    <t>780C0009</t>
  </si>
  <si>
    <t>Boční zásuvné prvky, sklo, pro 350 mm</t>
  </si>
  <si>
    <t>Boční zásuvné prvky, sklo, pro 400 mm</t>
  </si>
  <si>
    <t>Boční zásuvné prvky, sklo, pro 450 mm</t>
  </si>
  <si>
    <t>Boční zásuvné prvky, sklo, pro 500 mm</t>
  </si>
  <si>
    <t>Boční zásuvné prvky, sklo, pro 550 mm</t>
  </si>
  <si>
    <t>Boční zásuvné prvky, sklo, pro 600 mm</t>
  </si>
  <si>
    <t>Boční zásuvné prvky, sklo, pro 650 mm</t>
  </si>
  <si>
    <t>ZE7S238G</t>
  </si>
  <si>
    <t>ZE7S288G</t>
  </si>
  <si>
    <t>ZE7S438G</t>
  </si>
  <si>
    <t>ZE7S488G</t>
  </si>
  <si>
    <t>ZE7S538G</t>
  </si>
  <si>
    <t>ZC7U10E0</t>
  </si>
  <si>
    <t>ZC7U11E0</t>
  </si>
  <si>
    <t>ZC7U10F0</t>
  </si>
  <si>
    <t>Korpusové lišty TIP-ON BLUMOTION, 270mm, 40kg</t>
  </si>
  <si>
    <t>Korpusové lišty TIP-ON BLUMOTION, 300mm, 40kg</t>
  </si>
  <si>
    <t>Korpusové lišty TIP-ON BLUMOTION, 350mm, 40kg</t>
  </si>
  <si>
    <t>Korpusové lišty TIP-ON BLUMOTION, 400mm, 40kg</t>
  </si>
  <si>
    <t>Korpusové lišty TIP-ON BLUMOTION, 450mm, 40kg</t>
  </si>
  <si>
    <t>Korpusové lišty TIP-ON BLUMOTION, 450mm, 70kg</t>
  </si>
  <si>
    <t>Korpusové lišty TIP-ON BLUMOTION, 500mm, 40kg</t>
  </si>
  <si>
    <t>Korpusové lišty TIP-ON BLUMOTION, 500mm, 70kg</t>
  </si>
  <si>
    <t>Korpusové lišty TIP-ON BLUMOTION, 550mm, 40kg</t>
  </si>
  <si>
    <t>Korpusové lišty TIP-ON BLUMOTION, 550mm, 70kg</t>
  </si>
  <si>
    <t>Korpusové lišty TIP-ON BLUMOTION, 600mm, 40kg</t>
  </si>
  <si>
    <t>Korpusové lišty TIP-ON BLUMOTION, 600mm, 70kg</t>
  </si>
  <si>
    <t>Korpusové lišty TIP-ON BLUMOTION, 650mm, 70kg</t>
  </si>
  <si>
    <t>Sada jednotek TIP-ON BLUMOTION, S1</t>
  </si>
  <si>
    <t>750.3001M</t>
  </si>
  <si>
    <t>750.3501M</t>
  </si>
  <si>
    <t>750.4001M</t>
  </si>
  <si>
    <t>750.4501M</t>
  </si>
  <si>
    <t>753.4501M</t>
  </si>
  <si>
    <t>750.5001M</t>
  </si>
  <si>
    <t>753.5001M</t>
  </si>
  <si>
    <t>750.5501M</t>
  </si>
  <si>
    <t>753.5501M</t>
  </si>
  <si>
    <t>750.6001M</t>
  </si>
  <si>
    <t>753.6001M</t>
  </si>
  <si>
    <t>753.6501M</t>
  </si>
  <si>
    <t>Sada jednotek TIP-ON BLUMOTION, L3</t>
  </si>
  <si>
    <t>Sada jednotek TIP-ON BLUMOTION, L5</t>
  </si>
  <si>
    <t>Sada jednotek TIP-ON BLUMOTION, L1</t>
  </si>
  <si>
    <t xml:space="preserve">   Korpusové lišty TIP-ON BLUMOTION</t>
  </si>
  <si>
    <t>GELB</t>
  </si>
  <si>
    <t>956A1004</t>
  </si>
  <si>
    <t>WA</t>
  </si>
  <si>
    <t>TS</t>
  </si>
  <si>
    <t>PG</t>
  </si>
  <si>
    <t>TIP-ON, prodloužená délka, šedý</t>
  </si>
  <si>
    <t>TIP-ON, prodloužená délka, hedvábně bílý</t>
  </si>
  <si>
    <t>TIP-ON, prodloužená délka, Terra černý</t>
  </si>
  <si>
    <t>956A1201</t>
  </si>
  <si>
    <t>TIP-ON přímý adaptér, prodl.délka, šedý</t>
  </si>
  <si>
    <t>TIP-ON přímý adaptér, prodl.délka, Terra černý</t>
  </si>
  <si>
    <t>TIP-ON přímý adaptér, prodl.délka, hedv. bílý</t>
  </si>
  <si>
    <t>TIP-ON křížový adaptér, šedý</t>
  </si>
  <si>
    <t>956A1501</t>
  </si>
  <si>
    <t>ZE7S338G</t>
  </si>
  <si>
    <t>ZE7S388G</t>
  </si>
  <si>
    <t>780C3502S</t>
  </si>
  <si>
    <t>780C3502I</t>
  </si>
  <si>
    <t>780C4002S</t>
  </si>
  <si>
    <t>780C4002I</t>
  </si>
  <si>
    <t>780C4502S</t>
  </si>
  <si>
    <t>780C4502I</t>
  </si>
  <si>
    <t>780C5002S</t>
  </si>
  <si>
    <t>780C5002I</t>
  </si>
  <si>
    <t>780C5502S</t>
  </si>
  <si>
    <t>780C6502I</t>
  </si>
  <si>
    <t>780C5502I</t>
  </si>
  <si>
    <t>780C6002S</t>
  </si>
  <si>
    <t>780C6002I</t>
  </si>
  <si>
    <t>780C6502S</t>
  </si>
  <si>
    <t xml:space="preserve">   Synchronizace TIP-ON BLUMOTION</t>
  </si>
  <si>
    <t>T60.000D</t>
  </si>
  <si>
    <t>SERVO-DRIVE flex - jednotka (sada)</t>
  </si>
  <si>
    <t>Z10C500A</t>
  </si>
  <si>
    <t>R736</t>
  </si>
  <si>
    <t>Z10C5007</t>
  </si>
  <si>
    <t>SERVO-DRIVE flex - bezdrátový přijímač</t>
  </si>
  <si>
    <t>21P5020</t>
  </si>
  <si>
    <t>SW</t>
  </si>
  <si>
    <t>HGR</t>
  </si>
  <si>
    <t>provedení</t>
  </si>
  <si>
    <t>Přední zásuvné prvky</t>
  </si>
  <si>
    <t>přední zásuvný prvek</t>
  </si>
  <si>
    <t>Boční zásuvné prvky</t>
  </si>
  <si>
    <t>Zadejte celkový počet předních zásuvných prvků pro příslušnou šířku korpusu</t>
  </si>
  <si>
    <t>Boční zásuvné prvky se načtou automaticky</t>
  </si>
  <si>
    <t>7C410F</t>
  </si>
  <si>
    <t>7C41VP</t>
  </si>
  <si>
    <t>7C41NP</t>
  </si>
  <si>
    <t>7C41RP</t>
  </si>
  <si>
    <t>7C41VF</t>
  </si>
  <si>
    <t>7C41NF</t>
  </si>
  <si>
    <t>7C41RF</t>
  </si>
  <si>
    <t>7C M52P</t>
  </si>
  <si>
    <t>7C M52F</t>
  </si>
  <si>
    <t>7CM52P</t>
  </si>
  <si>
    <t>7C442F</t>
  </si>
  <si>
    <t>7STCGF</t>
  </si>
  <si>
    <t>Složení čelních zásuvných prvků</t>
  </si>
  <si>
    <t>C+M</t>
  </si>
  <si>
    <t>7C M42B</t>
  </si>
  <si>
    <t>7CM42P</t>
  </si>
  <si>
    <t>7CM42F</t>
  </si>
  <si>
    <t>7CM52F</t>
  </si>
  <si>
    <t>BLUMOTION pro nasazení na závěs 155° a 125°</t>
  </si>
  <si>
    <t>7STCRF</t>
  </si>
  <si>
    <t>7STMGF</t>
  </si>
  <si>
    <t>7STMRF</t>
  </si>
  <si>
    <t>Držák příčného relingu</t>
  </si>
  <si>
    <t>Pure</t>
  </si>
  <si>
    <t>Alrel</t>
  </si>
  <si>
    <t>R735</t>
  </si>
  <si>
    <t>Z10K300A</t>
  </si>
  <si>
    <t>Synchronizační kabel 300 cm, světle šedý</t>
  </si>
  <si>
    <t>Držák příčného relingu pro pure, Orion šedá</t>
  </si>
  <si>
    <t>Držák příčného relingu pro pure, hedvábně bílá</t>
  </si>
  <si>
    <t>Držák příčného relingu pro pure, Terra černá</t>
  </si>
  <si>
    <t>Držák příčného relingu pro free, Orion šedá</t>
  </si>
  <si>
    <t>Podélné dělení pro reling, Orion šedá</t>
  </si>
  <si>
    <t>Držák příčného relingu pro free, hedvábně bílá</t>
  </si>
  <si>
    <t>Podélné dělení pro reling, hedvábně bílá</t>
  </si>
  <si>
    <t>Držák příčného relingu pro free, Terra černá</t>
  </si>
  <si>
    <t>Podélné dělení pro reling, Terra černá</t>
  </si>
  <si>
    <t>Spínač SERVO-DRIVE, hedvábně bílý</t>
  </si>
  <si>
    <t>Spínač SERVO-DRIVE, světle šedý</t>
  </si>
  <si>
    <t>Přední zásuvný prvek vysoký, sklo, KB 450mm</t>
  </si>
  <si>
    <t>Přední zásuvný prvek vysoký, sklo, KB 600mm</t>
  </si>
  <si>
    <t>Přední zásuvný prvek vysoký, sklo, KB 900mm</t>
  </si>
  <si>
    <t>Přední zásuvný prvek vysoký, sklo, KB 1200mm</t>
  </si>
  <si>
    <t>Přední zásuvný prvek nízký, sklo, KB 450mm</t>
  </si>
  <si>
    <t>Přední zásuvný prvek nízký, sklo, KB 600mm</t>
  </si>
  <si>
    <t>Přední zásuvný prvek nízký, sklo, KB 900mm</t>
  </si>
  <si>
    <t>Přední zásuvný prvek nízký, sklo, KB 1200mm</t>
  </si>
  <si>
    <t>65.5631</t>
  </si>
  <si>
    <t>TIP-ON BLUMOTION</t>
  </si>
  <si>
    <t>7M 40VM</t>
  </si>
  <si>
    <t>7M 70VM</t>
  </si>
  <si>
    <t>7M 400M</t>
  </si>
  <si>
    <t>7M 700M</t>
  </si>
  <si>
    <t>Sada jednotek TIP-ON BLUMOTION</t>
  </si>
  <si>
    <t>S1</t>
  </si>
  <si>
    <t>L1</t>
  </si>
  <si>
    <t>L3</t>
  </si>
  <si>
    <t>L5</t>
  </si>
  <si>
    <t>Synchronizaci vyberte v sekci "Výběr doplňků"</t>
  </si>
  <si>
    <t>T60L7140</t>
  </si>
  <si>
    <t>T60L7340</t>
  </si>
  <si>
    <t>T60L7540</t>
  </si>
  <si>
    <t>T60L7570</t>
  </si>
  <si>
    <t>TIP-ON BLM synchronizační adaptér</t>
  </si>
  <si>
    <t>TIP-ON BLM hřídel synchronizace, ke zkrácení</t>
  </si>
  <si>
    <t>T60L1125W</t>
  </si>
  <si>
    <t>Příborník, 650mm, Nebraska dub/OG-M</t>
  </si>
  <si>
    <t>Příborník, 650mm, Bardolino dub/SW-M</t>
  </si>
  <si>
    <t>Příborník, 650mm, Tennessee ořech/TS-M</t>
  </si>
  <si>
    <t>ZC7S650BH3</t>
  </si>
  <si>
    <t>Zás.rámečky úzké, 650mm, Nebraska dub/OG-M</t>
  </si>
  <si>
    <t>Zás.rámečky úzké, 650mm, Bardolino dub/SW-M</t>
  </si>
  <si>
    <t>Zás.rámečky úzké, 650mm, Tennessee oř./TS-M</t>
  </si>
  <si>
    <t>ZC7S650RH1</t>
  </si>
  <si>
    <t>Zás.rámečky široké, 650mm, Nebraska dub/OG-M</t>
  </si>
  <si>
    <t>Zás.rámečky široké, 650mm, Bardolino dub/SW-M</t>
  </si>
  <si>
    <t>Zás.rámečky široké, 650mm, Tennessee oř./TS-M</t>
  </si>
  <si>
    <t>ZC7S650RH2</t>
  </si>
  <si>
    <t>Příborník, 650mm, Orion šedý</t>
  </si>
  <si>
    <t>Příborník, 650mm, hedvábně bílý/Orion šedý</t>
  </si>
  <si>
    <t>Příborník, 650mm, Terra černý</t>
  </si>
  <si>
    <t>ZC7S650BS3</t>
  </si>
  <si>
    <t>Zásuvkové rámečky úzké, 650mm, Orion šedé</t>
  </si>
  <si>
    <t>Zásuvkové rámečky úzké, 650mm, hedvábně bílé</t>
  </si>
  <si>
    <t>Zásuvkové rámečky úzké, 650mm, Terra černé</t>
  </si>
  <si>
    <t>ZC7S650RS1</t>
  </si>
  <si>
    <t>Zásuvkové rámečky široké, 650mm, Orion šedé</t>
  </si>
  <si>
    <t>Zásuvkové rámečky široké, 650mm, hedvábně bílé</t>
  </si>
  <si>
    <t>Zásuvkové rámečky široké, 650mm, Terra černé</t>
  </si>
  <si>
    <t>ZC7S650RS2</t>
  </si>
  <si>
    <t xml:space="preserve">   Boční stabilizace</t>
  </si>
  <si>
    <t>Výběr sady jednotek</t>
  </si>
  <si>
    <t>ZST.1160W</t>
  </si>
  <si>
    <t>T57.7400.01</t>
  </si>
  <si>
    <t>Šablona pro nastavení mezery čela</t>
  </si>
  <si>
    <t>S1 pouze pro jmenovitou délku 270 a 300 mm</t>
  </si>
  <si>
    <t>Pro výsuvy délky 270 a 300 mm vyberte jednotky S1</t>
  </si>
  <si>
    <t>Počet jednotek L neodpovídá počtu korpusových lišt</t>
  </si>
  <si>
    <t>Počet jednotek S1 neodpovídá počtu korpusových lišt</t>
  </si>
  <si>
    <t>Využití pro:</t>
  </si>
  <si>
    <t>270 - 300 mm</t>
  </si>
  <si>
    <t>350 - 650 mm</t>
  </si>
  <si>
    <t>Využití pro</t>
  </si>
  <si>
    <t>Doporučené hodnoty hmotnosti</t>
  </si>
  <si>
    <t>Celková hmotnost výsuvu (hmotnost výsuvu včetně náplně)</t>
  </si>
  <si>
    <t>Jednotka</t>
  </si>
  <si>
    <t>≤ 20 kg</t>
  </si>
  <si>
    <t>5 - 40 kg</t>
  </si>
  <si>
    <t>25 - 70 kg</t>
  </si>
  <si>
    <t>a sada unašečů TIP-ON BLUMOTION</t>
  </si>
  <si>
    <t>Doporučené počty korpusových lišt</t>
  </si>
  <si>
    <t>Jednotky TIP-ON BLUMOTION budou přidány automaticky</t>
  </si>
  <si>
    <t>Poté zadejte požadované složení korpusových lišt</t>
  </si>
  <si>
    <t>Zadejte počty 40kg korpusových lišt, 70kg lišty se dopočítají</t>
  </si>
  <si>
    <t>Nelze kombinovat oba typy lišt v jedné skříni!</t>
  </si>
  <si>
    <t xml:space="preserve">       BLUMOTION</t>
  </si>
  <si>
    <t xml:space="preserve">        TIP-ON BLUMOTION</t>
  </si>
  <si>
    <t>Zadejte počty skříní podle šířky korpusu a délky výsuvů</t>
  </si>
  <si>
    <t>Zadejte počet korpusových lišt, pokud chcete jiné, než přednastavené složení</t>
  </si>
  <si>
    <t>BOXPLAN LBX</t>
  </si>
  <si>
    <t xml:space="preserve">   AMBIA-LINE souprava na lahve</t>
  </si>
  <si>
    <t>Souprava na lahve, pro š.rám. 100mm, Orion šedá</t>
  </si>
  <si>
    <t>ZC7B0100S</t>
  </si>
  <si>
    <t>Souprava na lahve, pro š.rám. 100mm, hedv. bílá</t>
  </si>
  <si>
    <t>Souprava na lahve, pro š.rám. 100mm, Terra černá</t>
  </si>
  <si>
    <t>Souprava na lahve, pro š.rám. 200mm, Orion šedá</t>
  </si>
  <si>
    <t>ZC7B0200S</t>
  </si>
  <si>
    <t>Souprava na lahve, pro š.rám. 200mm, hedv. bílá</t>
  </si>
  <si>
    <t>Souprava na lahve, pro š.rám. 200mm, Terra černá</t>
  </si>
  <si>
    <t>Free</t>
  </si>
  <si>
    <t>Souprava na lahve</t>
  </si>
  <si>
    <t>Pro rámeček šířky</t>
  </si>
  <si>
    <t>Není vhodná pro vnitřní výsuv</t>
  </si>
  <si>
    <t>Albot</t>
  </si>
  <si>
    <t>200 - 1200</t>
  </si>
  <si>
    <t>2.0.1</t>
  </si>
  <si>
    <t>-</t>
  </si>
  <si>
    <t xml:space="preserve">  Démos trade s.r.o.</t>
  </si>
  <si>
    <t xml:space="preserve">  Dolné Rudiny 8516/41C</t>
  </si>
  <si>
    <t xml:space="preserve">  010 01 Žilina</t>
  </si>
  <si>
    <t xml:space="preserve">   +421 412 850 040 </t>
  </si>
  <si>
    <t xml:space="preserve">  dispecing.zilina@demos-trade.com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</si>
</sst>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0.0"/>
    <numFmt numFmtId="165" formatCode="#,##0.00\ _K_č"/>
    <numFmt numFmtId="166" formatCode="_-* #,##0.0000\ [$€-1]_-;\-* #,##0.0000\ [$€-1]_-;_-* &quot;-&quot;??\ [$€-1]_-;_-@_-"/>
  </numFmts>
  <fonts count="1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4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9"/>
      <name val="Verdana"/>
      <family val="2"/>
      <charset val="238"/>
    </font>
    <font>
      <b/>
      <sz val="9"/>
      <name val="Arial"/>
      <family val="2"/>
      <charset val="238"/>
    </font>
    <font>
      <sz val="9"/>
      <color indexed="55"/>
      <name val="Arial CE"/>
      <family val="2"/>
      <charset val="238"/>
    </font>
    <font>
      <b/>
      <sz val="9"/>
      <color indexed="22"/>
      <name val="Arial CE"/>
      <charset val="238"/>
    </font>
    <font>
      <sz val="9"/>
      <color indexed="8"/>
      <name val="Arial CE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CE"/>
      <family val="2"/>
      <charset val="238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55"/>
      <name val="Arial CE"/>
      <family val="2"/>
      <charset val="238"/>
    </font>
    <font>
      <b/>
      <sz val="10"/>
      <color indexed="22"/>
      <name val="Arial CE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Verdana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Calibri"/>
      <family val="2"/>
      <charset val="238"/>
    </font>
    <font>
      <u/>
      <sz val="10"/>
      <color indexed="30"/>
      <name val="Arial"/>
      <family val="2"/>
      <charset val="238"/>
    </font>
    <font>
      <sz val="10"/>
      <color indexed="30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"/>
      <name val="Arial"/>
      <family val="2"/>
      <charset val="238"/>
    </font>
    <font>
      <u/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</font>
    <font>
      <sz val="9"/>
      <color indexed="8"/>
      <name val="Arial"/>
      <family val="2"/>
      <charset val="238"/>
    </font>
    <font>
      <sz val="9"/>
      <name val="Arial CE"/>
      <charset val="238"/>
    </font>
    <font>
      <sz val="8"/>
      <color indexed="8"/>
      <name val="Arial"/>
      <family val="2"/>
      <charset val="238"/>
    </font>
    <font>
      <sz val="9"/>
      <color indexed="22"/>
      <name val="Arial CE"/>
      <charset val="238"/>
    </font>
    <font>
      <sz val="8"/>
      <color indexed="9"/>
      <name val="Verdana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22"/>
      <name val="Arial"/>
      <family val="2"/>
      <charset val="238"/>
    </font>
    <font>
      <sz val="10"/>
      <color indexed="10"/>
      <name val="Arial"/>
      <family val="2"/>
      <charset val="238"/>
    </font>
    <font>
      <sz val="16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9"/>
      <color indexed="3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  <font>
      <sz val="10"/>
      <color indexed="46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color indexed="22"/>
      <name val="Arial CE"/>
      <family val="2"/>
      <charset val="238"/>
    </font>
    <font>
      <sz val="10"/>
      <color indexed="22"/>
      <name val="Arial CE"/>
      <family val="2"/>
      <charset val="238"/>
    </font>
    <font>
      <b/>
      <sz val="11"/>
      <color indexed="53"/>
      <name val="Arial"/>
      <family val="2"/>
      <charset val="238"/>
    </font>
    <font>
      <sz val="11"/>
      <color indexed="55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2"/>
      <name val="Arial"/>
      <family val="2"/>
    </font>
    <font>
      <sz val="12"/>
      <color indexed="10"/>
      <name val="Arial"/>
      <family val="2"/>
      <charset val="238"/>
    </font>
    <font>
      <sz val="11"/>
      <color indexed="8"/>
      <name val="Calibri"/>
      <family val="2"/>
    </font>
    <font>
      <b/>
      <sz val="9"/>
      <color indexed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2" tint="-0.249977111117893"/>
      <name val="Arial"/>
      <family val="2"/>
      <charset val="238"/>
    </font>
    <font>
      <b/>
      <sz val="10"/>
      <color theme="2" tint="-0.249977111117893"/>
      <name val="Arial CE"/>
      <charset val="238"/>
    </font>
    <font>
      <b/>
      <sz val="10"/>
      <color theme="2" tint="-0.249977111117893"/>
      <name val="Arial CE"/>
      <family val="2"/>
      <charset val="238"/>
    </font>
    <font>
      <sz val="10"/>
      <color theme="2" tint="-0.249977111117893"/>
      <name val="Arial"/>
      <family val="2"/>
    </font>
    <font>
      <sz val="10"/>
      <color theme="2" tint="-0.249977111117893"/>
      <name val="Arial CE"/>
      <family val="2"/>
      <charset val="238"/>
    </font>
    <font>
      <sz val="10"/>
      <color theme="2" tint="-9.9978637043366805E-2"/>
      <name val="Arial"/>
      <family val="2"/>
      <charset val="238"/>
    </font>
    <font>
      <sz val="10"/>
      <color theme="0" tint="-0.14999847407452621"/>
      <name val="Arial CE"/>
      <family val="2"/>
      <charset val="238"/>
    </font>
    <font>
      <b/>
      <sz val="10"/>
      <color theme="0" tint="-0.14999847407452621"/>
      <name val="Arial CE"/>
      <charset val="238"/>
    </font>
    <font>
      <b/>
      <sz val="10"/>
      <color theme="0" tint="-0.14999847407452621"/>
      <name val="Arial CE"/>
      <family val="2"/>
      <charset val="238"/>
    </font>
    <font>
      <sz val="10"/>
      <color theme="0" tint="-0.1499984740745262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sz val="9"/>
      <color rgb="FFFFFF00"/>
      <name val="Arial"/>
      <family val="2"/>
      <charset val="238"/>
    </font>
    <font>
      <sz val="8"/>
      <color theme="5" tint="0.39997558519241921"/>
      <name val="Verdana"/>
      <family val="2"/>
      <charset val="238"/>
    </font>
    <font>
      <sz val="16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22"/>
      <color rgb="FFFF0000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</font>
  </fonts>
  <fills count="2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9"/>
      </right>
      <top/>
      <bottom style="medium">
        <color indexed="22"/>
      </bottom>
      <diagonal/>
    </border>
    <border>
      <left style="medium">
        <color indexed="9"/>
      </left>
      <right/>
      <top/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 style="medium">
        <color indexed="22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/>
      <top style="medium">
        <color indexed="22"/>
      </top>
      <bottom style="thin">
        <color indexed="64"/>
      </bottom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thin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22"/>
      </left>
      <right/>
      <top/>
      <bottom/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ck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 style="medium">
        <color theme="0"/>
      </bottom>
      <diagonal/>
    </border>
    <border>
      <left style="medium">
        <color indexed="22"/>
      </left>
      <right/>
      <top style="medium">
        <color indexed="22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44" fontId="50" fillId="0" borderId="0" applyFont="0" applyFill="0" applyBorder="0" applyAlignment="0" applyProtection="0"/>
    <xf numFmtId="0" fontId="90" fillId="0" borderId="0"/>
    <xf numFmtId="0" fontId="16" fillId="0" borderId="0"/>
    <xf numFmtId="0" fontId="87" fillId="0" borderId="0"/>
    <xf numFmtId="0" fontId="36" fillId="0" borderId="0"/>
    <xf numFmtId="0" fontId="9" fillId="0" borderId="0"/>
  </cellStyleXfs>
  <cellXfs count="859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7" fillId="0" borderId="0" xfId="0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 applyProtection="1">
      <alignment horizontal="center"/>
      <protection locked="0" hidden="1"/>
    </xf>
    <xf numFmtId="0" fontId="8" fillId="0" borderId="0" xfId="0" applyFont="1" applyAlignment="1">
      <alignment horizontal="right"/>
    </xf>
    <xf numFmtId="0" fontId="11" fillId="0" borderId="3" xfId="0" applyFont="1" applyBorder="1" applyProtection="1">
      <protection hidden="1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2" fillId="0" borderId="0" xfId="0" applyFont="1" applyProtection="1">
      <protection hidden="1"/>
    </xf>
    <xf numFmtId="0" fontId="13" fillId="3" borderId="3" xfId="0" applyFont="1" applyFill="1" applyBorder="1" applyAlignment="1" applyProtection="1">
      <alignment horizontal="left" vertical="center"/>
      <protection hidden="1"/>
    </xf>
    <xf numFmtId="0" fontId="14" fillId="0" borderId="3" xfId="0" applyFont="1" applyFill="1" applyBorder="1" applyAlignment="1" applyProtection="1">
      <protection hidden="1"/>
    </xf>
    <xf numFmtId="2" fontId="15" fillId="0" borderId="1" xfId="0" applyNumberFormat="1" applyFont="1" applyFill="1" applyBorder="1" applyAlignment="1" applyProtection="1">
      <alignment horizontal="center"/>
      <protection hidden="1"/>
    </xf>
    <xf numFmtId="14" fontId="12" fillId="0" borderId="5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12" fillId="0" borderId="0" xfId="0" applyNumberFormat="1" applyFont="1" applyBorder="1" applyAlignment="1" applyProtection="1">
      <alignment horizontal="center"/>
      <protection hidden="1"/>
    </xf>
    <xf numFmtId="0" fontId="16" fillId="0" borderId="0" xfId="0" applyFont="1" applyBorder="1" applyProtection="1">
      <protection hidden="1"/>
    </xf>
    <xf numFmtId="0" fontId="0" fillId="0" borderId="0" xfId="0" applyBorder="1"/>
    <xf numFmtId="0" fontId="16" fillId="0" borderId="0" xfId="0" applyFont="1" applyFill="1" applyBorder="1" applyProtection="1">
      <protection hidden="1"/>
    </xf>
    <xf numFmtId="0" fontId="2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 applyProtection="1">
      <protection hidden="1"/>
    </xf>
    <xf numFmtId="0" fontId="9" fillId="0" borderId="4" xfId="0" applyFont="1" applyFill="1" applyBorder="1" applyAlignment="1" applyProtection="1">
      <alignment horizontal="center" vertical="center"/>
      <protection hidden="1"/>
    </xf>
    <xf numFmtId="14" fontId="9" fillId="0" borderId="5" xfId="0" applyNumberFormat="1" applyFont="1" applyFill="1" applyBorder="1" applyAlignment="1" applyProtection="1">
      <alignment horizontal="center" vertical="center"/>
      <protection hidden="1"/>
    </xf>
    <xf numFmtId="0" fontId="26" fillId="3" borderId="3" xfId="0" applyFont="1" applyFill="1" applyBorder="1" applyAlignment="1" applyProtection="1">
      <alignment horizontal="left" vertical="center"/>
      <protection hidden="1"/>
    </xf>
    <xf numFmtId="0" fontId="27" fillId="0" borderId="3" xfId="0" applyFont="1" applyFill="1" applyBorder="1" applyAlignment="1" applyProtection="1">
      <protection hidden="1"/>
    </xf>
    <xf numFmtId="2" fontId="29" fillId="0" borderId="1" xfId="0" applyNumberFormat="1" applyFont="1" applyFill="1" applyBorder="1" applyAlignment="1" applyProtection="1">
      <alignment horizontal="left"/>
      <protection hidden="1"/>
    </xf>
    <xf numFmtId="0" fontId="30" fillId="3" borderId="3" xfId="0" applyFont="1" applyFill="1" applyBorder="1" applyAlignment="1" applyProtection="1">
      <alignment horizontal="left" vertical="center"/>
      <protection hidden="1"/>
    </xf>
    <xf numFmtId="1" fontId="29" fillId="0" borderId="1" xfId="0" applyNumberFormat="1" applyFont="1" applyFill="1" applyBorder="1" applyAlignment="1" applyProtection="1">
      <alignment horizontal="center"/>
      <protection hidden="1"/>
    </xf>
    <xf numFmtId="0" fontId="31" fillId="0" borderId="4" xfId="0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5" fillId="0" borderId="6" xfId="0" applyFont="1" applyFill="1" applyBorder="1" applyAlignment="1" applyProtection="1">
      <alignment wrapText="1"/>
      <protection hidden="1"/>
    </xf>
    <xf numFmtId="0" fontId="27" fillId="0" borderId="3" xfId="0" applyFont="1" applyFill="1" applyBorder="1" applyAlignment="1" applyProtection="1">
      <alignment vertical="center"/>
      <protection hidden="1"/>
    </xf>
    <xf numFmtId="0" fontId="9" fillId="0" borderId="6" xfId="0" applyFont="1" applyFill="1" applyBorder="1" applyAlignment="1" applyProtection="1">
      <alignment wrapText="1"/>
      <protection hidden="1"/>
    </xf>
    <xf numFmtId="0" fontId="27" fillId="0" borderId="3" xfId="0" applyFont="1" applyFill="1" applyBorder="1" applyProtection="1">
      <protection hidden="1"/>
    </xf>
    <xf numFmtId="0" fontId="9" fillId="0" borderId="6" xfId="0" applyFont="1" applyFill="1" applyBorder="1" applyProtection="1">
      <protection hidden="1"/>
    </xf>
    <xf numFmtId="0" fontId="9" fillId="0" borderId="6" xfId="0" applyFont="1" applyBorder="1" applyAlignment="1" applyProtection="1">
      <alignment horizontal="left"/>
      <protection hidden="1"/>
    </xf>
    <xf numFmtId="0" fontId="35" fillId="0" borderId="0" xfId="0" applyFont="1" applyProtection="1"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6" xfId="0" applyFont="1" applyFill="1" applyBorder="1" applyAlignment="1" applyProtection="1">
      <alignment horizontal="center"/>
      <protection hidden="1"/>
    </xf>
    <xf numFmtId="0" fontId="9" fillId="0" borderId="0" xfId="8" applyFont="1" applyFill="1" applyBorder="1" applyProtection="1">
      <protection hidden="1"/>
    </xf>
    <xf numFmtId="11" fontId="26" fillId="3" borderId="3" xfId="0" applyNumberFormat="1" applyFont="1" applyFill="1" applyBorder="1" applyAlignment="1" applyProtection="1">
      <alignment horizontal="left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/>
    <xf numFmtId="0" fontId="4" fillId="0" borderId="9" xfId="0" applyFont="1" applyBorder="1"/>
    <xf numFmtId="0" fontId="9" fillId="0" borderId="0" xfId="0" applyFont="1" applyFill="1" applyBorder="1" applyAlignment="1" applyProtection="1">
      <alignment horizontal="right" vertical="center"/>
      <protection hidden="1"/>
    </xf>
    <xf numFmtId="0" fontId="10" fillId="0" borderId="6" xfId="0" applyFont="1" applyBorder="1" applyProtection="1">
      <protection hidden="1"/>
    </xf>
    <xf numFmtId="2" fontId="11" fillId="0" borderId="1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2" fillId="0" borderId="0" xfId="0" applyFont="1" applyBorder="1" applyProtection="1"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0" fillId="0" borderId="10" xfId="0" applyFont="1" applyBorder="1" applyProtection="1">
      <protection hidden="1"/>
    </xf>
    <xf numFmtId="0" fontId="12" fillId="0" borderId="10" xfId="0" applyFont="1" applyFill="1" applyBorder="1" applyProtection="1">
      <protection hidden="1"/>
    </xf>
    <xf numFmtId="1" fontId="18" fillId="0" borderId="0" xfId="0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2" fontId="15" fillId="0" borderId="0" xfId="0" applyNumberFormat="1" applyFont="1" applyFill="1" applyBorder="1" applyAlignment="1" applyProtection="1">
      <alignment horizontal="center"/>
      <protection hidden="1"/>
    </xf>
    <xf numFmtId="2" fontId="22" fillId="0" borderId="0" xfId="0" applyNumberFormat="1" applyFont="1" applyFill="1" applyBorder="1" applyAlignment="1" applyProtection="1">
      <alignment horizontal="center"/>
      <protection hidden="1"/>
    </xf>
    <xf numFmtId="2" fontId="18" fillId="0" borderId="0" xfId="0" applyNumberFormat="1" applyFont="1" applyFill="1" applyBorder="1" applyAlignment="1" applyProtection="1">
      <alignment horizontal="center"/>
      <protection hidden="1"/>
    </xf>
    <xf numFmtId="0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 applyProtection="1">
      <alignment horizontal="center"/>
      <protection locked="0"/>
    </xf>
    <xf numFmtId="1" fontId="15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protection hidden="1"/>
    </xf>
    <xf numFmtId="2" fontId="18" fillId="0" borderId="0" xfId="0" applyNumberFormat="1" applyFont="1" applyFill="1" applyBorder="1" applyAlignment="1" applyProtection="1">
      <alignment horizontal="left"/>
      <protection hidden="1"/>
    </xf>
    <xf numFmtId="2" fontId="15" fillId="0" borderId="0" xfId="0" applyNumberFormat="1" applyFont="1" applyFill="1" applyBorder="1" applyAlignment="1" applyProtection="1">
      <alignment horizontal="left"/>
      <protection hidden="1"/>
    </xf>
    <xf numFmtId="0" fontId="17" fillId="0" borderId="0" xfId="0" applyFont="1" applyBorder="1" applyProtection="1"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Protection="1">
      <protection hidden="1"/>
    </xf>
    <xf numFmtId="2" fontId="20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Border="1" applyProtection="1">
      <protection hidden="1"/>
    </xf>
    <xf numFmtId="0" fontId="12" fillId="0" borderId="11" xfId="0" applyFont="1" applyFill="1" applyBorder="1" applyProtection="1">
      <protection hidden="1"/>
    </xf>
    <xf numFmtId="0" fontId="13" fillId="3" borderId="11" xfId="0" applyFont="1" applyFill="1" applyBorder="1" applyAlignment="1" applyProtection="1">
      <alignment horizontal="left" vertical="center"/>
      <protection hidden="1"/>
    </xf>
    <xf numFmtId="0" fontId="14" fillId="0" borderId="11" xfId="0" applyFont="1" applyFill="1" applyBorder="1" applyAlignment="1" applyProtection="1">
      <protection hidden="1"/>
    </xf>
    <xf numFmtId="2" fontId="15" fillId="0" borderId="11" xfId="0" applyNumberFormat="1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0" fontId="13" fillId="3" borderId="1" xfId="0" applyFont="1" applyFill="1" applyBorder="1" applyAlignment="1" applyProtection="1">
      <alignment horizontal="left" vertical="center"/>
      <protection hidden="1"/>
    </xf>
    <xf numFmtId="0" fontId="14" fillId="0" borderId="1" xfId="0" applyFont="1" applyFill="1" applyBorder="1" applyAlignment="1" applyProtection="1">
      <protection hidden="1"/>
    </xf>
    <xf numFmtId="164" fontId="4" fillId="0" borderId="3" xfId="0" applyNumberFormat="1" applyFont="1" applyBorder="1" applyAlignment="1">
      <alignment horizontal="center"/>
    </xf>
    <xf numFmtId="0" fontId="12" fillId="5" borderId="11" xfId="0" applyFont="1" applyFill="1" applyBorder="1" applyProtection="1">
      <protection hidden="1"/>
    </xf>
    <xf numFmtId="0" fontId="14" fillId="5" borderId="11" xfId="0" applyFont="1" applyFill="1" applyBorder="1" applyAlignment="1" applyProtection="1">
      <protection hidden="1"/>
    </xf>
    <xf numFmtId="2" fontId="15" fillId="5" borderId="11" xfId="0" applyNumberFormat="1" applyFont="1" applyFill="1" applyBorder="1" applyAlignment="1" applyProtection="1">
      <alignment horizontal="center"/>
      <protection hidden="1"/>
    </xf>
    <xf numFmtId="0" fontId="13" fillId="6" borderId="11" xfId="0" applyFont="1" applyFill="1" applyBorder="1" applyAlignment="1" applyProtection="1">
      <alignment horizontal="left" vertical="center"/>
      <protection hidden="1"/>
    </xf>
    <xf numFmtId="0" fontId="37" fillId="0" borderId="0" xfId="4" applyFont="1" applyFill="1" applyAlignment="1">
      <alignment horizontal="left"/>
    </xf>
    <xf numFmtId="0" fontId="90" fillId="0" borderId="0" xfId="4"/>
    <xf numFmtId="0" fontId="90" fillId="0" borderId="0" xfId="4" applyFill="1"/>
    <xf numFmtId="0" fontId="90" fillId="7" borderId="0" xfId="4" applyFill="1"/>
    <xf numFmtId="0" fontId="38" fillId="0" borderId="0" xfId="4" applyFont="1" applyFill="1"/>
    <xf numFmtId="0" fontId="12" fillId="0" borderId="0" xfId="5" applyFont="1" applyFill="1" applyProtection="1">
      <protection hidden="1"/>
    </xf>
    <xf numFmtId="0" fontId="90" fillId="0" borderId="0" xfId="4" applyAlignment="1">
      <alignment vertical="center"/>
    </xf>
    <xf numFmtId="0" fontId="90" fillId="0" borderId="0" xfId="4" applyFill="1" applyAlignment="1">
      <alignment vertical="center"/>
    </xf>
    <xf numFmtId="0" fontId="90" fillId="5" borderId="0" xfId="4" applyFill="1"/>
    <xf numFmtId="0" fontId="39" fillId="0" borderId="0" xfId="0" applyFont="1" applyAlignment="1" applyProtection="1">
      <alignment horizontal="center"/>
      <protection locked="0" hidden="1"/>
    </xf>
    <xf numFmtId="0" fontId="40" fillId="0" borderId="0" xfId="5" applyFont="1" applyAlignment="1" applyProtection="1">
      <alignment horizontal="center"/>
      <protection hidden="1"/>
    </xf>
    <xf numFmtId="0" fontId="4" fillId="0" borderId="0" xfId="0" applyFont="1" applyAlignment="1">
      <alignment vertical="top" wrapText="1"/>
    </xf>
    <xf numFmtId="0" fontId="4" fillId="0" borderId="0" xfId="0" applyFont="1" applyAlignment="1" applyProtection="1">
      <alignment horizontal="center"/>
      <protection locked="0"/>
    </xf>
    <xf numFmtId="0" fontId="34" fillId="0" borderId="0" xfId="0" applyFont="1"/>
    <xf numFmtId="0" fontId="47" fillId="0" borderId="0" xfId="5" applyFont="1" applyAlignment="1" applyProtection="1">
      <alignment horizontal="center"/>
      <protection hidden="1"/>
    </xf>
    <xf numFmtId="0" fontId="44" fillId="0" borderId="0" xfId="1" applyFont="1" applyAlignment="1" applyProtection="1">
      <alignment horizontal="center"/>
    </xf>
    <xf numFmtId="0" fontId="4" fillId="0" borderId="2" xfId="0" applyFont="1" applyBorder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4" fontId="4" fillId="0" borderId="1" xfId="0" applyNumberFormat="1" applyFont="1" applyBorder="1" applyAlignment="1" applyProtection="1">
      <alignment horizontal="right"/>
      <protection hidden="1"/>
    </xf>
    <xf numFmtId="4" fontId="4" fillId="0" borderId="1" xfId="0" applyNumberFormat="1" applyFont="1" applyBorder="1" applyProtection="1">
      <protection hidden="1"/>
    </xf>
    <xf numFmtId="0" fontId="4" fillId="0" borderId="0" xfId="0" applyFont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4" fillId="0" borderId="2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vertical="center"/>
      <protection hidden="1"/>
    </xf>
    <xf numFmtId="164" fontId="4" fillId="0" borderId="3" xfId="0" applyNumberFormat="1" applyFont="1" applyBorder="1" applyAlignment="1" applyProtection="1">
      <alignment horizontal="center" vertical="center"/>
      <protection hidden="1"/>
    </xf>
    <xf numFmtId="0" fontId="4" fillId="0" borderId="12" xfId="0" applyFont="1" applyBorder="1" applyProtection="1">
      <protection hidden="1"/>
    </xf>
    <xf numFmtId="0" fontId="4" fillId="0" borderId="13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6" fillId="0" borderId="0" xfId="0" applyFont="1" applyProtection="1">
      <protection hidden="1"/>
    </xf>
    <xf numFmtId="0" fontId="4" fillId="0" borderId="0" xfId="0" applyNumberFormat="1" applyFont="1" applyProtection="1">
      <protection hidden="1"/>
    </xf>
    <xf numFmtId="49" fontId="4" fillId="0" borderId="0" xfId="0" applyNumberFormat="1" applyFont="1" applyProtection="1">
      <protection hidden="1"/>
    </xf>
    <xf numFmtId="0" fontId="44" fillId="0" borderId="0" xfId="2" applyFont="1" applyAlignment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5" fillId="0" borderId="0" xfId="2" applyFont="1" applyFill="1" applyAlignment="1" applyProtection="1">
      <alignment vertical="center"/>
      <protection hidden="1"/>
    </xf>
    <xf numFmtId="0" fontId="34" fillId="0" borderId="0" xfId="0" applyFont="1" applyProtection="1">
      <protection hidden="1"/>
    </xf>
    <xf numFmtId="164" fontId="5" fillId="2" borderId="0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Fill="1" applyBorder="1" applyProtection="1">
      <protection hidden="1"/>
    </xf>
    <xf numFmtId="0" fontId="4" fillId="0" borderId="2" xfId="0" applyFont="1" applyFill="1" applyBorder="1" applyProtection="1">
      <protection hidden="1"/>
    </xf>
    <xf numFmtId="0" fontId="43" fillId="0" borderId="15" xfId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4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4" fillId="0" borderId="15" xfId="0" applyFont="1" applyBorder="1" applyProtection="1">
      <protection hidden="1"/>
    </xf>
    <xf numFmtId="0" fontId="4" fillId="0" borderId="15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41" fillId="0" borderId="16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9" fillId="5" borderId="17" xfId="1" applyFont="1" applyFill="1" applyBorder="1" applyProtection="1">
      <protection hidden="1"/>
    </xf>
    <xf numFmtId="0" fontId="9" fillId="5" borderId="18" xfId="1" applyFont="1" applyFill="1" applyBorder="1" applyProtection="1">
      <protection hidden="1"/>
    </xf>
    <xf numFmtId="0" fontId="4" fillId="0" borderId="0" xfId="0" applyFont="1" applyAlignment="1"/>
    <xf numFmtId="4" fontId="4" fillId="0" borderId="0" xfId="0" applyNumberFormat="1" applyFont="1" applyBorder="1" applyProtection="1">
      <protection hidden="1"/>
    </xf>
    <xf numFmtId="0" fontId="9" fillId="5" borderId="0" xfId="1" applyFont="1" applyFill="1" applyBorder="1" applyProtection="1">
      <protection hidden="1"/>
    </xf>
    <xf numFmtId="0" fontId="9" fillId="5" borderId="0" xfId="1" applyFont="1" applyFill="1" applyBorder="1" applyAlignment="1" applyProtection="1">
      <alignment vertical="center"/>
      <protection hidden="1"/>
    </xf>
    <xf numFmtId="0" fontId="48" fillId="0" borderId="0" xfId="1" applyFont="1" applyAlignment="1" applyProtection="1">
      <alignment horizontal="right"/>
      <protection hidden="1"/>
    </xf>
    <xf numFmtId="0" fontId="37" fillId="0" borderId="0" xfId="0" applyFont="1" applyAlignment="1" applyProtection="1">
      <alignment horizontal="center"/>
      <protection locked="0"/>
    </xf>
    <xf numFmtId="0" fontId="49" fillId="0" borderId="2" xfId="0" applyFont="1" applyBorder="1" applyAlignment="1" applyProtection="1">
      <alignment horizontal="right"/>
      <protection hidden="1"/>
    </xf>
    <xf numFmtId="0" fontId="6" fillId="5" borderId="15" xfId="0" applyFont="1" applyFill="1" applyBorder="1" applyAlignment="1" applyProtection="1">
      <alignment horizontal="center"/>
      <protection hidden="1"/>
    </xf>
    <xf numFmtId="0" fontId="44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19" fillId="0" borderId="0" xfId="0" applyFont="1" applyFill="1" applyBorder="1" applyAlignment="1" applyProtection="1">
      <alignment horizontal="left" vertical="center"/>
      <protection hidden="1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52" fillId="0" borderId="0" xfId="4" applyFont="1" applyFill="1"/>
    <xf numFmtId="0" fontId="10" fillId="0" borderId="10" xfId="0" applyFont="1" applyBorder="1" applyAlignment="1" applyProtection="1">
      <alignment horizontal="center"/>
      <protection hidden="1"/>
    </xf>
    <xf numFmtId="164" fontId="4" fillId="0" borderId="0" xfId="0" applyNumberFormat="1" applyFont="1" applyBorder="1" applyAlignment="1">
      <alignment horizontal="center"/>
    </xf>
    <xf numFmtId="2" fontId="15" fillId="5" borderId="0" xfId="0" applyNumberFormat="1" applyFont="1" applyFill="1" applyBorder="1" applyAlignment="1" applyProtection="1">
      <alignment horizontal="center"/>
      <protection hidden="1"/>
    </xf>
    <xf numFmtId="0" fontId="53" fillId="3" borderId="11" xfId="0" applyFont="1" applyFill="1" applyBorder="1" applyAlignment="1" applyProtection="1">
      <alignment horizontal="center" vertical="center"/>
      <protection hidden="1"/>
    </xf>
    <xf numFmtId="0" fontId="53" fillId="3" borderId="1" xfId="0" applyFont="1" applyFill="1" applyBorder="1" applyAlignment="1" applyProtection="1">
      <alignment horizontal="center" vertical="center"/>
      <protection hidden="1"/>
    </xf>
    <xf numFmtId="0" fontId="53" fillId="6" borderId="11" xfId="0" applyFont="1" applyFill="1" applyBorder="1" applyAlignment="1" applyProtection="1">
      <alignment horizontal="center" vertical="center"/>
      <protection hidden="1"/>
    </xf>
    <xf numFmtId="0" fontId="55" fillId="0" borderId="0" xfId="0" applyFont="1" applyFill="1" applyBorder="1" applyAlignment="1" applyProtection="1">
      <alignment horizontal="center" vertical="center"/>
      <protection hidden="1"/>
    </xf>
    <xf numFmtId="0" fontId="53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4" fillId="0" borderId="1" xfId="0" applyFont="1" applyBorder="1" applyAlignment="1"/>
    <xf numFmtId="0" fontId="4" fillId="0" borderId="19" xfId="0" applyFont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" fillId="0" borderId="16" xfId="0" applyFont="1" applyBorder="1" applyProtection="1">
      <protection hidden="1"/>
    </xf>
    <xf numFmtId="0" fontId="4" fillId="0" borderId="15" xfId="0" applyFont="1" applyFill="1" applyBorder="1" applyProtection="1">
      <protection hidden="1"/>
    </xf>
    <xf numFmtId="0" fontId="58" fillId="0" borderId="0" xfId="4" applyFont="1"/>
    <xf numFmtId="0" fontId="58" fillId="0" borderId="0" xfId="4" applyFont="1" applyFill="1"/>
    <xf numFmtId="0" fontId="6" fillId="0" borderId="0" xfId="0" applyFont="1" applyProtection="1">
      <protection hidden="1"/>
    </xf>
    <xf numFmtId="0" fontId="61" fillId="0" borderId="2" xfId="0" applyFont="1" applyBorder="1" applyAlignment="1">
      <alignment horizontal="right"/>
    </xf>
    <xf numFmtId="0" fontId="60" fillId="0" borderId="1" xfId="1" applyFont="1" applyFill="1" applyBorder="1" applyProtection="1">
      <protection hidden="1"/>
    </xf>
    <xf numFmtId="0" fontId="62" fillId="0" borderId="2" xfId="0" applyFont="1" applyBorder="1" applyProtection="1">
      <protection hidden="1"/>
    </xf>
    <xf numFmtId="0" fontId="4" fillId="0" borderId="19" xfId="0" applyFont="1" applyBorder="1" applyAlignment="1">
      <alignment horizontal="right"/>
    </xf>
    <xf numFmtId="0" fontId="4" fillId="0" borderId="19" xfId="0" applyFont="1" applyBorder="1" applyAlignment="1">
      <alignment horizontal="left"/>
    </xf>
    <xf numFmtId="0" fontId="62" fillId="0" borderId="2" xfId="0" applyFont="1" applyBorder="1" applyAlignment="1">
      <alignment horizontal="center"/>
    </xf>
    <xf numFmtId="0" fontId="6" fillId="0" borderId="0" xfId="0" applyFont="1" applyBorder="1" applyAlignment="1" applyProtection="1">
      <alignment horizontal="right"/>
      <protection hidden="1"/>
    </xf>
    <xf numFmtId="0" fontId="61" fillId="0" borderId="0" xfId="0" applyFont="1" applyAlignment="1" applyProtection="1">
      <alignment horizontal="right"/>
      <protection hidden="1"/>
    </xf>
    <xf numFmtId="0" fontId="49" fillId="0" borderId="2" xfId="0" applyFont="1" applyBorder="1" applyProtection="1">
      <protection hidden="1"/>
    </xf>
    <xf numFmtId="0" fontId="60" fillId="0" borderId="0" xfId="1" applyFont="1" applyFill="1" applyBorder="1" applyProtection="1">
      <protection hidden="1"/>
    </xf>
    <xf numFmtId="0" fontId="49" fillId="0" borderId="2" xfId="0" applyFont="1" applyBorder="1"/>
    <xf numFmtId="0" fontId="17" fillId="0" borderId="20" xfId="0" applyFont="1" applyFill="1" applyBorder="1" applyAlignment="1" applyProtection="1">
      <alignment horizontal="center" vertical="center"/>
      <protection hidden="1"/>
    </xf>
    <xf numFmtId="0" fontId="17" fillId="0" borderId="13" xfId="0" applyFont="1" applyFill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right" vertical="top"/>
      <protection hidden="1"/>
    </xf>
    <xf numFmtId="0" fontId="4" fillId="0" borderId="0" xfId="0" applyFont="1" applyBorder="1" applyAlignment="1" applyProtection="1">
      <alignment vertical="top" wrapText="1"/>
      <protection hidden="1"/>
    </xf>
    <xf numFmtId="0" fontId="62" fillId="0" borderId="12" xfId="0" applyFont="1" applyBorder="1" applyProtection="1">
      <protection hidden="1"/>
    </xf>
    <xf numFmtId="4" fontId="8" fillId="0" borderId="0" xfId="0" applyNumberFormat="1" applyFont="1" applyAlignment="1" applyProtection="1">
      <alignment horizontal="right"/>
      <protection hidden="1"/>
    </xf>
    <xf numFmtId="0" fontId="36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49" fontId="4" fillId="0" borderId="12" xfId="0" applyNumberFormat="1" applyFont="1" applyBorder="1" applyProtection="1">
      <protection hidden="1"/>
    </xf>
    <xf numFmtId="0" fontId="4" fillId="0" borderId="21" xfId="0" applyFont="1" applyBorder="1" applyProtection="1">
      <protection hidden="1"/>
    </xf>
    <xf numFmtId="0" fontId="62" fillId="0" borderId="20" xfId="0" applyFont="1" applyBorder="1" applyProtection="1">
      <protection hidden="1"/>
    </xf>
    <xf numFmtId="49" fontId="4" fillId="0" borderId="20" xfId="0" applyNumberFormat="1" applyFont="1" applyBorder="1" applyProtection="1">
      <protection hidden="1"/>
    </xf>
    <xf numFmtId="0" fontId="4" fillId="0" borderId="20" xfId="0" applyFont="1" applyBorder="1" applyProtection="1">
      <protection hidden="1"/>
    </xf>
    <xf numFmtId="0" fontId="62" fillId="0" borderId="0" xfId="0" applyFont="1" applyProtection="1">
      <protection hidden="1"/>
    </xf>
    <xf numFmtId="0" fontId="36" fillId="0" borderId="2" xfId="0" applyFont="1" applyBorder="1" applyProtection="1">
      <protection hidden="1"/>
    </xf>
    <xf numFmtId="0" fontId="54" fillId="0" borderId="1" xfId="0" applyFont="1" applyBorder="1" applyAlignment="1" applyProtection="1">
      <alignment wrapText="1"/>
      <protection hidden="1"/>
    </xf>
    <xf numFmtId="0" fontId="54" fillId="0" borderId="1" xfId="0" applyFont="1" applyBorder="1" applyAlignment="1" applyProtection="1">
      <alignment horizontal="center" wrapText="1"/>
      <protection hidden="1"/>
    </xf>
    <xf numFmtId="0" fontId="36" fillId="0" borderId="0" xfId="0" applyFont="1" applyAlignment="1" applyProtection="1">
      <alignment horizontal="center"/>
      <protection hidden="1"/>
    </xf>
    <xf numFmtId="0" fontId="36" fillId="0" borderId="20" xfId="0" applyFont="1" applyBorder="1" applyProtection="1">
      <protection hidden="1"/>
    </xf>
    <xf numFmtId="2" fontId="36" fillId="0" borderId="20" xfId="0" applyNumberFormat="1" applyFont="1" applyBorder="1" applyAlignment="1" applyProtection="1">
      <alignment horizontal="center"/>
      <protection hidden="1"/>
    </xf>
    <xf numFmtId="4" fontId="36" fillId="0" borderId="20" xfId="0" applyNumberFormat="1" applyFont="1" applyBorder="1" applyProtection="1">
      <protection hidden="1"/>
    </xf>
    <xf numFmtId="0" fontId="36" fillId="0" borderId="20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36" fillId="0" borderId="13" xfId="0" applyFont="1" applyBorder="1" applyProtection="1">
      <protection hidden="1"/>
    </xf>
    <xf numFmtId="2" fontId="36" fillId="0" borderId="13" xfId="0" applyNumberFormat="1" applyFont="1" applyBorder="1" applyAlignment="1" applyProtection="1">
      <alignment horizontal="center"/>
      <protection hidden="1"/>
    </xf>
    <xf numFmtId="4" fontId="36" fillId="0" borderId="13" xfId="0" applyNumberFormat="1" applyFont="1" applyBorder="1" applyProtection="1">
      <protection hidden="1"/>
    </xf>
    <xf numFmtId="0" fontId="36" fillId="0" borderId="13" xfId="0" applyFont="1" applyBorder="1" applyAlignment="1" applyProtection="1">
      <alignment horizontal="center"/>
      <protection hidden="1"/>
    </xf>
    <xf numFmtId="0" fontId="36" fillId="0" borderId="0" xfId="0" applyFont="1" applyFill="1" applyAlignment="1" applyProtection="1">
      <alignment horizontal="center"/>
      <protection hidden="1"/>
    </xf>
    <xf numFmtId="2" fontId="36" fillId="0" borderId="13" xfId="0" applyNumberFormat="1" applyFont="1" applyBorder="1" applyProtection="1">
      <protection hidden="1"/>
    </xf>
    <xf numFmtId="2" fontId="36" fillId="0" borderId="0" xfId="0" applyNumberFormat="1" applyFont="1" applyBorder="1" applyProtection="1">
      <protection hidden="1"/>
    </xf>
    <xf numFmtId="0" fontId="0" fillId="0" borderId="13" xfId="0" applyBorder="1" applyProtection="1">
      <protection hidden="1"/>
    </xf>
    <xf numFmtId="0" fontId="5" fillId="0" borderId="13" xfId="0" applyFont="1" applyBorder="1" applyAlignment="1" applyProtection="1">
      <protection hidden="1"/>
    </xf>
    <xf numFmtId="0" fontId="5" fillId="0" borderId="13" xfId="0" applyFon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1" fontId="36" fillId="2" borderId="13" xfId="0" applyNumberFormat="1" applyFont="1" applyFill="1" applyBorder="1" applyAlignment="1" applyProtection="1">
      <alignment horizontal="center"/>
      <protection locked="0"/>
    </xf>
    <xf numFmtId="0" fontId="62" fillId="0" borderId="0" xfId="0" applyFont="1"/>
    <xf numFmtId="0" fontId="64" fillId="0" borderId="0" xfId="0" applyFont="1"/>
    <xf numFmtId="0" fontId="9" fillId="5" borderId="18" xfId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164" fontId="5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" fontId="36" fillId="2" borderId="20" xfId="0" applyNumberFormat="1" applyFont="1" applyFill="1" applyBorder="1" applyAlignment="1" applyProtection="1">
      <alignment horizontal="center"/>
      <protection locked="0"/>
    </xf>
    <xf numFmtId="1" fontId="36" fillId="0" borderId="0" xfId="0" applyNumberFormat="1" applyFont="1" applyAlignment="1" applyProtection="1">
      <alignment horizontal="center"/>
      <protection hidden="1"/>
    </xf>
    <xf numFmtId="1" fontId="17" fillId="0" borderId="13" xfId="0" applyNumberFormat="1" applyFont="1" applyFill="1" applyBorder="1" applyAlignment="1" applyProtection="1">
      <alignment horizontal="center" vertical="center"/>
      <protection hidden="1"/>
    </xf>
    <xf numFmtId="44" fontId="4" fillId="0" borderId="0" xfId="3" applyFont="1" applyAlignment="1" applyProtection="1">
      <protection hidden="1"/>
    </xf>
    <xf numFmtId="0" fontId="58" fillId="5" borderId="0" xfId="4" applyFont="1" applyFill="1"/>
    <xf numFmtId="0" fontId="9" fillId="8" borderId="18" xfId="1" applyFont="1" applyFill="1" applyBorder="1" applyProtection="1">
      <protection hidden="1"/>
    </xf>
    <xf numFmtId="0" fontId="4" fillId="0" borderId="2" xfId="0" applyFont="1" applyBorder="1" applyAlignment="1" applyProtection="1">
      <alignment horizontal="right"/>
      <protection hidden="1"/>
    </xf>
    <xf numFmtId="49" fontId="12" fillId="0" borderId="3" xfId="0" applyNumberFormat="1" applyFont="1" applyFill="1" applyBorder="1" applyAlignment="1" applyProtection="1">
      <alignment horizontal="center" vertical="center"/>
      <protection hidden="1"/>
    </xf>
    <xf numFmtId="49" fontId="9" fillId="0" borderId="4" xfId="0" applyNumberFormat="1" applyFont="1" applyFill="1" applyBorder="1" applyAlignment="1" applyProtection="1">
      <alignment horizontal="center" vertical="center"/>
      <protection hidden="1"/>
    </xf>
    <xf numFmtId="49" fontId="29" fillId="0" borderId="3" xfId="0" applyNumberFormat="1" applyFont="1" applyFill="1" applyBorder="1" applyAlignment="1" applyProtection="1">
      <alignment horizontal="center"/>
      <protection hidden="1"/>
    </xf>
    <xf numFmtId="49" fontId="9" fillId="0" borderId="3" xfId="0" applyNumberFormat="1" applyFont="1" applyFill="1" applyBorder="1" applyAlignment="1" applyProtection="1">
      <alignment horizontal="center" vertical="center"/>
      <protection hidden="1"/>
    </xf>
    <xf numFmtId="1" fontId="36" fillId="2" borderId="22" xfId="0" applyNumberFormat="1" applyFont="1" applyFill="1" applyBorder="1" applyAlignment="1" applyProtection="1">
      <alignment horizontal="center"/>
      <protection locked="0"/>
    </xf>
    <xf numFmtId="1" fontId="36" fillId="2" borderId="23" xfId="0" applyNumberFormat="1" applyFont="1" applyFill="1" applyBorder="1" applyAlignment="1" applyProtection="1">
      <alignment horizontal="center"/>
      <protection locked="0"/>
    </xf>
    <xf numFmtId="1" fontId="29" fillId="0" borderId="19" xfId="0" applyNumberFormat="1" applyFont="1" applyFill="1" applyBorder="1" applyAlignment="1" applyProtection="1">
      <alignment horizontal="center"/>
      <protection hidden="1"/>
    </xf>
    <xf numFmtId="0" fontId="9" fillId="0" borderId="0" xfId="1" applyFont="1" applyFill="1" applyBorder="1" applyProtection="1">
      <protection hidden="1"/>
    </xf>
    <xf numFmtId="49" fontId="12" fillId="0" borderId="4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/>
      <protection hidden="1"/>
    </xf>
    <xf numFmtId="4" fontId="4" fillId="0" borderId="20" xfId="0" applyNumberFormat="1" applyFont="1" applyBorder="1" applyProtection="1">
      <protection hidden="1"/>
    </xf>
    <xf numFmtId="0" fontId="4" fillId="0" borderId="13" xfId="0" applyFont="1" applyBorder="1" applyAlignment="1" applyProtection="1">
      <alignment horizontal="center"/>
      <protection hidden="1"/>
    </xf>
    <xf numFmtId="4" fontId="4" fillId="0" borderId="13" xfId="0" applyNumberFormat="1" applyFont="1" applyBorder="1" applyProtection="1">
      <protection hidden="1"/>
    </xf>
    <xf numFmtId="0" fontId="4" fillId="0" borderId="21" xfId="0" applyFont="1" applyBorder="1" applyAlignment="1" applyProtection="1">
      <alignment horizontal="center"/>
      <protection hidden="1"/>
    </xf>
    <xf numFmtId="4" fontId="4" fillId="0" borderId="21" xfId="0" applyNumberFormat="1" applyFont="1" applyBorder="1" applyProtection="1">
      <protection hidden="1"/>
    </xf>
    <xf numFmtId="4" fontId="4" fillId="0" borderId="13" xfId="0" applyNumberFormat="1" applyFont="1" applyBorder="1" applyAlignment="1" applyProtection="1">
      <alignment horizontal="right"/>
      <protection hidden="1"/>
    </xf>
    <xf numFmtId="4" fontId="4" fillId="0" borderId="21" xfId="0" applyNumberFormat="1" applyFont="1" applyBorder="1" applyAlignment="1" applyProtection="1">
      <alignment horizontal="right"/>
      <protection hidden="1"/>
    </xf>
    <xf numFmtId="0" fontId="9" fillId="0" borderId="7" xfId="0" applyFont="1" applyFill="1" applyBorder="1" applyProtection="1">
      <protection hidden="1"/>
    </xf>
    <xf numFmtId="0" fontId="26" fillId="3" borderId="7" xfId="0" applyFont="1" applyFill="1" applyBorder="1" applyAlignment="1" applyProtection="1">
      <alignment horizontal="left" vertical="center"/>
      <protection hidden="1"/>
    </xf>
    <xf numFmtId="0" fontId="27" fillId="0" borderId="7" xfId="0" applyFont="1" applyFill="1" applyBorder="1" applyAlignment="1" applyProtection="1">
      <protection hidden="1"/>
    </xf>
    <xf numFmtId="0" fontId="9" fillId="0" borderId="8" xfId="0" applyFont="1" applyFill="1" applyBorder="1" applyProtection="1">
      <protection hidden="1"/>
    </xf>
    <xf numFmtId="0" fontId="26" fillId="3" borderId="8" xfId="0" applyFont="1" applyFill="1" applyBorder="1" applyAlignment="1" applyProtection="1">
      <alignment horizontal="left" vertical="center"/>
      <protection hidden="1"/>
    </xf>
    <xf numFmtId="0" fontId="27" fillId="0" borderId="8" xfId="0" applyFont="1" applyFill="1" applyBorder="1" applyAlignment="1" applyProtection="1">
      <protection hidden="1"/>
    </xf>
    <xf numFmtId="0" fontId="30" fillId="3" borderId="8" xfId="0" applyFont="1" applyFill="1" applyBorder="1" applyAlignment="1" applyProtection="1">
      <alignment horizontal="left" vertical="center"/>
      <protection hidden="1"/>
    </xf>
    <xf numFmtId="2" fontId="29" fillId="0" borderId="21" xfId="0" applyNumberFormat="1" applyFont="1" applyFill="1" applyBorder="1" applyAlignment="1" applyProtection="1">
      <alignment horizontal="left"/>
      <protection hidden="1"/>
    </xf>
    <xf numFmtId="0" fontId="30" fillId="3" borderId="9" xfId="0" applyFont="1" applyFill="1" applyBorder="1" applyAlignment="1" applyProtection="1">
      <alignment horizontal="left" vertical="center"/>
      <protection hidden="1"/>
    </xf>
    <xf numFmtId="0" fontId="27" fillId="0" borderId="9" xfId="0" applyFont="1" applyFill="1" applyBorder="1" applyAlignment="1" applyProtection="1">
      <protection hidden="1"/>
    </xf>
    <xf numFmtId="1" fontId="29" fillId="0" borderId="21" xfId="0" applyNumberFormat="1" applyFont="1" applyFill="1" applyBorder="1" applyAlignment="1" applyProtection="1">
      <alignment horizontal="center"/>
      <protection hidden="1"/>
    </xf>
    <xf numFmtId="2" fontId="29" fillId="0" borderId="2" xfId="0" applyNumberFormat="1" applyFont="1" applyFill="1" applyBorder="1" applyAlignment="1" applyProtection="1">
      <alignment horizontal="left"/>
      <protection hidden="1"/>
    </xf>
    <xf numFmtId="0" fontId="30" fillId="3" borderId="24" xfId="0" applyFont="1" applyFill="1" applyBorder="1" applyAlignment="1" applyProtection="1">
      <alignment horizontal="left" vertical="center"/>
      <protection hidden="1"/>
    </xf>
    <xf numFmtId="0" fontId="9" fillId="0" borderId="25" xfId="0" applyFont="1" applyBorder="1" applyProtection="1">
      <protection hidden="1"/>
    </xf>
    <xf numFmtId="0" fontId="27" fillId="0" borderId="7" xfId="0" applyFont="1" applyFill="1" applyBorder="1" applyProtection="1">
      <protection hidden="1"/>
    </xf>
    <xf numFmtId="0" fontId="9" fillId="0" borderId="26" xfId="0" applyFont="1" applyBorder="1" applyProtection="1">
      <protection hidden="1"/>
    </xf>
    <xf numFmtId="0" fontId="27" fillId="0" borderId="8" xfId="0" applyFont="1" applyFill="1" applyBorder="1" applyProtection="1">
      <protection hidden="1"/>
    </xf>
    <xf numFmtId="0" fontId="27" fillId="0" borderId="9" xfId="0" applyFont="1" applyFill="1" applyBorder="1" applyProtection="1">
      <protection hidden="1"/>
    </xf>
    <xf numFmtId="0" fontId="27" fillId="0" borderId="24" xfId="0" applyFont="1" applyFill="1" applyBorder="1" applyProtection="1">
      <protection hidden="1"/>
    </xf>
    <xf numFmtId="0" fontId="6" fillId="0" borderId="0" xfId="0" applyFont="1" applyAlignment="1" applyProtection="1"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/>
    <xf numFmtId="0" fontId="4" fillId="0" borderId="0" xfId="0" applyFont="1" applyFill="1" applyBorder="1" applyAlignment="1" applyProtection="1">
      <alignment horizontal="center"/>
      <protection hidden="1"/>
    </xf>
    <xf numFmtId="0" fontId="57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67" fillId="0" borderId="0" xfId="0" applyFont="1" applyFill="1" applyBorder="1" applyAlignment="1" applyProtection="1">
      <alignment horizontal="center"/>
      <protection locked="0"/>
    </xf>
    <xf numFmtId="0" fontId="69" fillId="9" borderId="0" xfId="0" applyFont="1" applyFill="1" applyBorder="1" applyAlignment="1" applyProtection="1">
      <alignment horizontal="center" vertical="center"/>
      <protection hidden="1"/>
    </xf>
    <xf numFmtId="0" fontId="69" fillId="10" borderId="27" xfId="0" applyFont="1" applyFill="1" applyBorder="1" applyAlignment="1" applyProtection="1">
      <alignment horizontal="center" vertical="center"/>
      <protection hidden="1"/>
    </xf>
    <xf numFmtId="0" fontId="68" fillId="0" borderId="27" xfId="0" applyFont="1" applyBorder="1" applyAlignment="1">
      <alignment horizontal="center"/>
    </xf>
    <xf numFmtId="0" fontId="67" fillId="2" borderId="28" xfId="0" applyFont="1" applyFill="1" applyBorder="1" applyAlignment="1" applyProtection="1">
      <alignment horizontal="center"/>
      <protection locked="0"/>
    </xf>
    <xf numFmtId="0" fontId="67" fillId="2" borderId="29" xfId="0" applyFont="1" applyFill="1" applyBorder="1" applyAlignment="1" applyProtection="1">
      <alignment horizontal="center"/>
      <protection locked="0"/>
    </xf>
    <xf numFmtId="0" fontId="69" fillId="9" borderId="30" xfId="0" applyFont="1" applyFill="1" applyBorder="1" applyAlignment="1" applyProtection="1">
      <alignment horizontal="center" vertical="center"/>
      <protection hidden="1"/>
    </xf>
    <xf numFmtId="0" fontId="68" fillId="0" borderId="31" xfId="0" applyFont="1" applyBorder="1"/>
    <xf numFmtId="0" fontId="67" fillId="2" borderId="32" xfId="0" applyFont="1" applyFill="1" applyBorder="1" applyAlignment="1" applyProtection="1">
      <alignment horizontal="center"/>
      <protection locked="0"/>
    </xf>
    <xf numFmtId="0" fontId="67" fillId="2" borderId="33" xfId="0" applyFont="1" applyFill="1" applyBorder="1" applyAlignment="1" applyProtection="1">
      <alignment horizontal="center"/>
      <protection locked="0"/>
    </xf>
    <xf numFmtId="0" fontId="68" fillId="7" borderId="34" xfId="0" applyFont="1" applyFill="1" applyBorder="1" applyAlignment="1">
      <alignment horizontal="center"/>
    </xf>
    <xf numFmtId="0" fontId="67" fillId="7" borderId="34" xfId="0" applyFont="1" applyFill="1" applyBorder="1" applyAlignment="1" applyProtection="1">
      <alignment horizontal="center"/>
      <protection locked="0"/>
    </xf>
    <xf numFmtId="0" fontId="68" fillId="7" borderId="35" xfId="0" applyFont="1" applyFill="1" applyBorder="1" applyAlignment="1">
      <alignment horizontal="center"/>
    </xf>
    <xf numFmtId="0" fontId="68" fillId="7" borderId="36" xfId="0" applyFont="1" applyFill="1" applyBorder="1" applyAlignment="1">
      <alignment horizontal="center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68" fillId="0" borderId="1" xfId="0" applyFont="1" applyBorder="1" applyAlignment="1" applyProtection="1">
      <alignment horizontal="center"/>
      <protection hidden="1"/>
    </xf>
    <xf numFmtId="0" fontId="68" fillId="0" borderId="37" xfId="0" applyFont="1" applyBorder="1" applyAlignment="1" applyProtection="1">
      <alignment horizontal="center"/>
      <protection hidden="1"/>
    </xf>
    <xf numFmtId="0" fontId="70" fillId="0" borderId="2" xfId="0" applyFont="1" applyFill="1" applyBorder="1" applyAlignment="1" applyProtection="1">
      <alignment horizontal="left" vertical="center"/>
      <protection hidden="1"/>
    </xf>
    <xf numFmtId="0" fontId="71" fillId="0" borderId="2" xfId="0" applyFont="1" applyBorder="1" applyAlignment="1" applyProtection="1">
      <alignment horizontal="left"/>
      <protection hidden="1"/>
    </xf>
    <xf numFmtId="0" fontId="72" fillId="7" borderId="34" xfId="0" applyFont="1" applyFill="1" applyBorder="1" applyAlignment="1" applyProtection="1">
      <alignment horizontal="center"/>
      <protection locked="0"/>
    </xf>
    <xf numFmtId="0" fontId="69" fillId="0" borderId="0" xfId="0" applyFont="1" applyFill="1" applyBorder="1" applyAlignment="1" applyProtection="1">
      <alignment horizontal="center" vertical="center"/>
      <protection hidden="1"/>
    </xf>
    <xf numFmtId="0" fontId="68" fillId="0" borderId="0" xfId="0" applyFont="1" applyFill="1" applyBorder="1" applyAlignment="1" applyProtection="1">
      <alignment horizontal="center"/>
      <protection hidden="1"/>
    </xf>
    <xf numFmtId="0" fontId="67" fillId="2" borderId="36" xfId="0" applyFont="1" applyFill="1" applyBorder="1" applyAlignment="1" applyProtection="1">
      <alignment horizontal="center"/>
      <protection locked="0"/>
    </xf>
    <xf numFmtId="0" fontId="67" fillId="2" borderId="35" xfId="0" applyFont="1" applyFill="1" applyBorder="1" applyAlignment="1" applyProtection="1">
      <alignment horizontal="center"/>
      <protection locked="0"/>
    </xf>
    <xf numFmtId="0" fontId="68" fillId="0" borderId="0" xfId="0" applyFont="1" applyBorder="1" applyAlignment="1">
      <alignment horizontal="left"/>
    </xf>
    <xf numFmtId="0" fontId="72" fillId="0" borderId="2" xfId="0" applyFont="1" applyFill="1" applyBorder="1" applyAlignment="1" applyProtection="1">
      <alignment horizontal="right" vertical="center"/>
      <protection hidden="1"/>
    </xf>
    <xf numFmtId="0" fontId="71" fillId="0" borderId="0" xfId="0" applyFont="1" applyBorder="1" applyAlignment="1">
      <alignment horizontal="left"/>
    </xf>
    <xf numFmtId="0" fontId="68" fillId="0" borderId="0" xfId="0" applyFont="1" applyBorder="1" applyAlignment="1">
      <alignment horizontal="right"/>
    </xf>
    <xf numFmtId="2" fontId="15" fillId="0" borderId="19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Protection="1">
      <protection hidden="1"/>
    </xf>
    <xf numFmtId="0" fontId="12" fillId="7" borderId="11" xfId="0" applyFont="1" applyFill="1" applyBorder="1" applyProtection="1">
      <protection hidden="1"/>
    </xf>
    <xf numFmtId="0" fontId="13" fillId="11" borderId="11" xfId="0" applyFont="1" applyFill="1" applyBorder="1" applyAlignment="1" applyProtection="1">
      <alignment horizontal="left" vertical="center"/>
      <protection hidden="1"/>
    </xf>
    <xf numFmtId="0" fontId="14" fillId="7" borderId="11" xfId="0" applyFont="1" applyFill="1" applyBorder="1" applyAlignment="1" applyProtection="1">
      <protection hidden="1"/>
    </xf>
    <xf numFmtId="2" fontId="15" fillId="7" borderId="11" xfId="0" applyNumberFormat="1" applyFont="1" applyFill="1" applyBorder="1" applyAlignment="1" applyProtection="1">
      <alignment horizontal="center"/>
      <protection hidden="1"/>
    </xf>
    <xf numFmtId="2" fontId="15" fillId="7" borderId="0" xfId="0" applyNumberFormat="1" applyFont="1" applyFill="1" applyBorder="1" applyAlignment="1" applyProtection="1">
      <alignment horizontal="center"/>
      <protection hidden="1"/>
    </xf>
    <xf numFmtId="0" fontId="53" fillId="11" borderId="11" xfId="0" applyFont="1" applyFill="1" applyBorder="1" applyAlignment="1" applyProtection="1">
      <alignment horizontal="center" vertical="center"/>
      <protection hidden="1"/>
    </xf>
    <xf numFmtId="0" fontId="13" fillId="7" borderId="11" xfId="0" applyFont="1" applyFill="1" applyBorder="1" applyAlignment="1" applyProtection="1">
      <alignment horizontal="left" vertical="center"/>
      <protection hidden="1"/>
    </xf>
    <xf numFmtId="0" fontId="53" fillId="7" borderId="11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center"/>
      <protection hidden="1"/>
    </xf>
    <xf numFmtId="4" fontId="4" fillId="0" borderId="12" xfId="0" applyNumberFormat="1" applyFont="1" applyBorder="1" applyProtection="1">
      <protection hidden="1"/>
    </xf>
    <xf numFmtId="0" fontId="31" fillId="0" borderId="1" xfId="0" applyFont="1" applyBorder="1" applyAlignment="1" applyProtection="1">
      <alignment horizontal="center"/>
      <protection hidden="1"/>
    </xf>
    <xf numFmtId="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protection hidden="1"/>
    </xf>
    <xf numFmtId="0" fontId="6" fillId="0" borderId="13" xfId="0" applyFont="1" applyBorder="1" applyProtection="1">
      <protection hidden="1"/>
    </xf>
    <xf numFmtId="4" fontId="6" fillId="0" borderId="13" xfId="0" applyNumberFormat="1" applyFont="1" applyBorder="1" applyAlignment="1" applyProtection="1">
      <alignment horizontal="right"/>
      <protection hidden="1"/>
    </xf>
    <xf numFmtId="4" fontId="6" fillId="0" borderId="13" xfId="0" applyNumberFormat="1" applyFont="1" applyBorder="1" applyProtection="1">
      <protection hidden="1"/>
    </xf>
    <xf numFmtId="0" fontId="6" fillId="0" borderId="20" xfId="0" applyFont="1" applyBorder="1" applyProtection="1">
      <protection hidden="1"/>
    </xf>
    <xf numFmtId="0" fontId="6" fillId="0" borderId="20" xfId="0" applyFont="1" applyBorder="1" applyAlignment="1" applyProtection="1">
      <alignment horizontal="center"/>
      <protection hidden="1"/>
    </xf>
    <xf numFmtId="4" fontId="6" fillId="0" borderId="20" xfId="0" applyNumberFormat="1" applyFont="1" applyBorder="1" applyProtection="1">
      <protection hidden="1"/>
    </xf>
    <xf numFmtId="0" fontId="70" fillId="0" borderId="0" xfId="0" applyFont="1" applyFill="1" applyBorder="1" applyAlignment="1" applyProtection="1">
      <alignment horizontal="left" vertical="center"/>
      <protection hidden="1"/>
    </xf>
    <xf numFmtId="0" fontId="72" fillId="0" borderId="0" xfId="0" applyFont="1" applyFill="1" applyBorder="1" applyAlignment="1" applyProtection="1">
      <alignment horizontal="right" vertical="center"/>
      <protection hidden="1"/>
    </xf>
    <xf numFmtId="0" fontId="68" fillId="0" borderId="0" xfId="0" applyFont="1" applyFill="1" applyBorder="1" applyAlignment="1">
      <alignment horizontal="center"/>
    </xf>
    <xf numFmtId="0" fontId="72" fillId="0" borderId="0" xfId="0" applyFont="1" applyFill="1" applyBorder="1" applyAlignment="1" applyProtection="1">
      <alignment horizontal="center"/>
      <protection locked="0"/>
    </xf>
    <xf numFmtId="0" fontId="68" fillId="0" borderId="0" xfId="0" applyFont="1" applyFill="1" applyBorder="1" applyAlignment="1">
      <alignment horizontal="left"/>
    </xf>
    <xf numFmtId="0" fontId="68" fillId="0" borderId="0" xfId="0" applyFont="1" applyFill="1" applyBorder="1" applyAlignment="1">
      <alignment horizontal="right"/>
    </xf>
    <xf numFmtId="0" fontId="67" fillId="0" borderId="28" xfId="0" applyFont="1" applyFill="1" applyBorder="1" applyAlignment="1" applyProtection="1">
      <alignment horizontal="center"/>
    </xf>
    <xf numFmtId="4" fontId="4" fillId="0" borderId="0" xfId="0" applyNumberFormat="1" applyFont="1"/>
    <xf numFmtId="0" fontId="68" fillId="0" borderId="31" xfId="0" applyFont="1" applyFill="1" applyBorder="1" applyProtection="1"/>
    <xf numFmtId="0" fontId="67" fillId="0" borderId="27" xfId="0" applyFont="1" applyFill="1" applyBorder="1" applyAlignment="1" applyProtection="1">
      <alignment horizontal="center"/>
    </xf>
    <xf numFmtId="0" fontId="36" fillId="5" borderId="0" xfId="0" applyFont="1" applyFill="1" applyAlignment="1" applyProtection="1">
      <alignment horizontal="center"/>
      <protection hidden="1"/>
    </xf>
    <xf numFmtId="2" fontId="4" fillId="0" borderId="1" xfId="0" applyNumberFormat="1" applyFont="1" applyBorder="1" applyAlignment="1">
      <alignment horizontal="right"/>
    </xf>
    <xf numFmtId="0" fontId="71" fillId="0" borderId="0" xfId="0" applyFont="1" applyFill="1" applyBorder="1" applyAlignment="1" applyProtection="1">
      <alignment horizontal="left"/>
      <protection hidden="1"/>
    </xf>
    <xf numFmtId="0" fontId="68" fillId="0" borderId="0" xfId="0" applyFont="1" applyFill="1" applyBorder="1"/>
    <xf numFmtId="0" fontId="59" fillId="0" borderId="13" xfId="0" applyFont="1" applyBorder="1" applyProtection="1">
      <protection hidden="1"/>
    </xf>
    <xf numFmtId="0" fontId="59" fillId="0" borderId="13" xfId="0" applyFont="1" applyBorder="1" applyAlignment="1" applyProtection="1">
      <alignment horizontal="center"/>
      <protection hidden="1"/>
    </xf>
    <xf numFmtId="4" fontId="59" fillId="0" borderId="13" xfId="0" applyNumberFormat="1" applyFont="1" applyBorder="1" applyAlignment="1" applyProtection="1">
      <alignment horizontal="right"/>
      <protection hidden="1"/>
    </xf>
    <xf numFmtId="4" fontId="59" fillId="0" borderId="13" xfId="0" applyNumberFormat="1" applyFont="1" applyBorder="1" applyProtection="1">
      <protection hidden="1"/>
    </xf>
    <xf numFmtId="0" fontId="59" fillId="0" borderId="20" xfId="0" applyFont="1" applyBorder="1" applyProtection="1">
      <protection hidden="1"/>
    </xf>
    <xf numFmtId="0" fontId="59" fillId="0" borderId="20" xfId="0" applyFont="1" applyBorder="1" applyAlignment="1" applyProtection="1">
      <alignment horizontal="center"/>
      <protection hidden="1"/>
    </xf>
    <xf numFmtId="4" fontId="59" fillId="0" borderId="20" xfId="0" applyNumberFormat="1" applyFont="1" applyBorder="1" applyProtection="1">
      <protection hidden="1"/>
    </xf>
    <xf numFmtId="0" fontId="59" fillId="0" borderId="1" xfId="0" applyFont="1" applyBorder="1" applyProtection="1">
      <protection hidden="1"/>
    </xf>
    <xf numFmtId="0" fontId="59" fillId="0" borderId="1" xfId="0" applyFont="1" applyBorder="1" applyAlignment="1" applyProtection="1">
      <alignment horizontal="center"/>
      <protection hidden="1"/>
    </xf>
    <xf numFmtId="4" fontId="59" fillId="0" borderId="1" xfId="0" applyNumberFormat="1" applyFont="1" applyBorder="1" applyProtection="1">
      <protection hidden="1"/>
    </xf>
    <xf numFmtId="0" fontId="67" fillId="0" borderId="31" xfId="0" applyFont="1" applyFill="1" applyBorder="1" applyAlignment="1" applyProtection="1">
      <alignment horizontal="center"/>
    </xf>
    <xf numFmtId="0" fontId="67" fillId="2" borderId="0" xfId="0" applyFont="1" applyFill="1" applyBorder="1" applyAlignment="1" applyProtection="1">
      <alignment horizontal="center"/>
      <protection locked="0"/>
    </xf>
    <xf numFmtId="0" fontId="68" fillId="0" borderId="2" xfId="0" applyFont="1" applyBorder="1"/>
    <xf numFmtId="0" fontId="72" fillId="0" borderId="38" xfId="0" applyFont="1" applyFill="1" applyBorder="1" applyAlignment="1" applyProtection="1">
      <alignment horizontal="right" vertical="center"/>
      <protection hidden="1"/>
    </xf>
    <xf numFmtId="0" fontId="68" fillId="0" borderId="1" xfId="0" applyFont="1" applyBorder="1" applyAlignment="1">
      <alignment horizontal="center"/>
    </xf>
    <xf numFmtId="0" fontId="74" fillId="0" borderId="13" xfId="0" applyFont="1" applyBorder="1" applyProtection="1">
      <protection hidden="1"/>
    </xf>
    <xf numFmtId="0" fontId="74" fillId="0" borderId="13" xfId="0" applyFont="1" applyBorder="1" applyAlignment="1" applyProtection="1">
      <alignment horizontal="center"/>
      <protection hidden="1"/>
    </xf>
    <xf numFmtId="4" fontId="74" fillId="0" borderId="13" xfId="0" applyNumberFormat="1" applyFont="1" applyBorder="1" applyAlignment="1" applyProtection="1">
      <alignment horizontal="right"/>
      <protection hidden="1"/>
    </xf>
    <xf numFmtId="4" fontId="74" fillId="0" borderId="13" xfId="0" applyNumberFormat="1" applyFont="1" applyBorder="1" applyProtection="1">
      <protection hidden="1"/>
    </xf>
    <xf numFmtId="0" fontId="74" fillId="0" borderId="20" xfId="0" applyFont="1" applyFill="1" applyBorder="1" applyProtection="1">
      <protection hidden="1"/>
    </xf>
    <xf numFmtId="0" fontId="74" fillId="0" borderId="20" xfId="0" applyFont="1" applyFill="1" applyBorder="1" applyAlignment="1" applyProtection="1">
      <alignment horizontal="center"/>
      <protection hidden="1"/>
    </xf>
    <xf numFmtId="4" fontId="74" fillId="0" borderId="20" xfId="0" applyNumberFormat="1" applyFont="1" applyFill="1" applyBorder="1" applyProtection="1">
      <protection hidden="1"/>
    </xf>
    <xf numFmtId="0" fontId="68" fillId="0" borderId="37" xfId="0" applyFont="1" applyBorder="1" applyAlignment="1">
      <alignment horizontal="center"/>
    </xf>
    <xf numFmtId="0" fontId="68" fillId="0" borderId="0" xfId="0" applyFont="1" applyFill="1" applyBorder="1" applyAlignment="1" applyProtection="1">
      <alignment horizontal="left"/>
      <protection hidden="1"/>
    </xf>
    <xf numFmtId="0" fontId="68" fillId="0" borderId="27" xfId="0" applyNumberFormat="1" applyFont="1" applyBorder="1" applyAlignment="1">
      <alignment horizontal="center"/>
    </xf>
    <xf numFmtId="0" fontId="4" fillId="0" borderId="20" xfId="0" applyNumberFormat="1" applyFont="1" applyBorder="1" applyAlignment="1" applyProtection="1">
      <alignment horizontal="center"/>
      <protection hidden="1"/>
    </xf>
    <xf numFmtId="0" fontId="72" fillId="0" borderId="39" xfId="0" applyFont="1" applyFill="1" applyBorder="1" applyAlignment="1" applyProtection="1">
      <alignment horizontal="center"/>
    </xf>
    <xf numFmtId="0" fontId="72" fillId="2" borderId="36" xfId="0" applyFont="1" applyFill="1" applyBorder="1" applyAlignment="1" applyProtection="1">
      <alignment horizontal="center"/>
      <protection locked="0"/>
    </xf>
    <xf numFmtId="0" fontId="72" fillId="2" borderId="0" xfId="0" applyFont="1" applyFill="1" applyBorder="1" applyAlignment="1" applyProtection="1">
      <alignment horizontal="center"/>
      <protection locked="0"/>
    </xf>
    <xf numFmtId="0" fontId="72" fillId="2" borderId="28" xfId="0" applyFont="1" applyFill="1" applyBorder="1" applyAlignment="1" applyProtection="1">
      <alignment horizontal="center"/>
      <protection locked="0"/>
    </xf>
    <xf numFmtId="0" fontId="72" fillId="2" borderId="29" xfId="0" applyFont="1" applyFill="1" applyBorder="1" applyAlignment="1" applyProtection="1">
      <alignment horizontal="center"/>
      <protection locked="0"/>
    </xf>
    <xf numFmtId="0" fontId="66" fillId="0" borderId="0" xfId="0" applyFont="1" applyFill="1" applyBorder="1" applyAlignment="1" applyProtection="1">
      <alignment horizontal="left"/>
      <protection hidden="1"/>
    </xf>
    <xf numFmtId="0" fontId="67" fillId="0" borderId="0" xfId="0" applyFont="1" applyFill="1" applyBorder="1" applyAlignment="1" applyProtection="1">
      <alignment horizontal="center"/>
    </xf>
    <xf numFmtId="0" fontId="72" fillId="0" borderId="27" xfId="0" applyFont="1" applyFill="1" applyBorder="1" applyAlignment="1" applyProtection="1">
      <alignment horizontal="left" vertical="center"/>
      <protection hidden="1"/>
    </xf>
    <xf numFmtId="0" fontId="72" fillId="0" borderId="31" xfId="0" applyFont="1" applyFill="1" applyBorder="1" applyAlignment="1" applyProtection="1">
      <alignment horizontal="left" vertical="center"/>
      <protection hidden="1"/>
    </xf>
    <xf numFmtId="0" fontId="68" fillId="0" borderId="31" xfId="0" applyFont="1" applyBorder="1" applyAlignment="1">
      <alignment horizontal="center"/>
    </xf>
    <xf numFmtId="0" fontId="6" fillId="0" borderId="0" xfId="0" applyFont="1" applyBorder="1" applyAlignment="1" applyProtection="1">
      <protection hidden="1"/>
    </xf>
    <xf numFmtId="0" fontId="9" fillId="0" borderId="13" xfId="0" applyFont="1" applyBorder="1" applyProtection="1">
      <protection hidden="1"/>
    </xf>
    <xf numFmtId="4" fontId="9" fillId="0" borderId="13" xfId="0" applyNumberFormat="1" applyFont="1" applyBorder="1" applyProtection="1">
      <protection hidden="1"/>
    </xf>
    <xf numFmtId="0" fontId="9" fillId="0" borderId="21" xfId="0" applyFont="1" applyBorder="1" applyProtection="1">
      <protection hidden="1"/>
    </xf>
    <xf numFmtId="4" fontId="9" fillId="0" borderId="21" xfId="0" applyNumberFormat="1" applyFont="1" applyBorder="1" applyProtection="1">
      <protection hidden="1"/>
    </xf>
    <xf numFmtId="4" fontId="4" fillId="0" borderId="12" xfId="0" applyNumberFormat="1" applyFont="1" applyBorder="1" applyAlignment="1" applyProtection="1">
      <alignment horizontal="right"/>
      <protection hidden="1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0" fillId="0" borderId="1" xfId="0" applyBorder="1"/>
    <xf numFmtId="0" fontId="0" fillId="0" borderId="2" xfId="0" applyBorder="1"/>
    <xf numFmtId="0" fontId="0" fillId="0" borderId="2" xfId="0" applyBorder="1"/>
    <xf numFmtId="0" fontId="70" fillId="0" borderId="0" xfId="0" applyFont="1" applyFill="1" applyBorder="1" applyAlignment="1" applyProtection="1">
      <alignment horizontal="left"/>
      <protection hidden="1"/>
    </xf>
    <xf numFmtId="0" fontId="69" fillId="0" borderId="31" xfId="0" applyFont="1" applyFill="1" applyBorder="1" applyAlignment="1" applyProtection="1">
      <alignment horizontal="center" vertical="center"/>
      <protection hidden="1"/>
    </xf>
    <xf numFmtId="0" fontId="68" fillId="0" borderId="31" xfId="0" applyFont="1" applyFill="1" applyBorder="1" applyAlignment="1" applyProtection="1">
      <alignment horizontal="center"/>
      <protection hidden="1"/>
    </xf>
    <xf numFmtId="0" fontId="68" fillId="0" borderId="46" xfId="0" applyFont="1" applyFill="1" applyBorder="1" applyProtection="1"/>
    <xf numFmtId="0" fontId="68" fillId="0" borderId="46" xfId="0" applyFont="1" applyBorder="1"/>
    <xf numFmtId="0" fontId="59" fillId="0" borderId="12" xfId="0" applyFont="1" applyBorder="1" applyProtection="1">
      <protection hidden="1"/>
    </xf>
    <xf numFmtId="4" fontId="59" fillId="0" borderId="12" xfId="0" applyNumberFormat="1" applyFont="1" applyBorder="1" applyProtection="1">
      <protection hidden="1"/>
    </xf>
    <xf numFmtId="0" fontId="59" fillId="0" borderId="21" xfId="0" applyFont="1" applyBorder="1" applyAlignment="1" applyProtection="1">
      <alignment horizontal="center"/>
      <protection hidden="1"/>
    </xf>
    <xf numFmtId="2" fontId="59" fillId="0" borderId="12" xfId="0" applyNumberFormat="1" applyFont="1" applyBorder="1" applyProtection="1">
      <protection hidden="1"/>
    </xf>
    <xf numFmtId="2" fontId="59" fillId="0" borderId="13" xfId="0" applyNumberFormat="1" applyFont="1" applyBorder="1" applyProtection="1">
      <protection hidden="1"/>
    </xf>
    <xf numFmtId="2" fontId="9" fillId="0" borderId="13" xfId="0" applyNumberFormat="1" applyFont="1" applyBorder="1" applyProtection="1">
      <protection hidden="1"/>
    </xf>
    <xf numFmtId="0" fontId="75" fillId="0" borderId="0" xfId="0" applyFont="1" applyFill="1" applyBorder="1" applyAlignment="1">
      <alignment horizontal="left"/>
    </xf>
    <xf numFmtId="0" fontId="75" fillId="0" borderId="0" xfId="0" applyFont="1" applyFill="1" applyBorder="1" applyAlignment="1">
      <alignment horizontal="right"/>
    </xf>
    <xf numFmtId="0" fontId="9" fillId="0" borderId="13" xfId="0" applyFont="1" applyBorder="1" applyAlignment="1" applyProtection="1">
      <alignment horizontal="center"/>
      <protection hidden="1"/>
    </xf>
    <xf numFmtId="4" fontId="9" fillId="0" borderId="13" xfId="0" applyNumberFormat="1" applyFont="1" applyBorder="1" applyAlignment="1" applyProtection="1">
      <alignment horizontal="right"/>
      <protection hidden="1"/>
    </xf>
    <xf numFmtId="0" fontId="9" fillId="0" borderId="20" xfId="0" applyFont="1" applyFill="1" applyBorder="1" applyProtection="1">
      <protection hidden="1"/>
    </xf>
    <xf numFmtId="4" fontId="9" fillId="0" borderId="20" xfId="0" applyNumberFormat="1" applyFont="1" applyFill="1" applyBorder="1" applyProtection="1">
      <protection hidden="1"/>
    </xf>
    <xf numFmtId="0" fontId="59" fillId="0" borderId="20" xfId="0" applyNumberFormat="1" applyFont="1" applyBorder="1" applyAlignment="1" applyProtection="1">
      <alignment horizontal="center"/>
      <protection hidden="1"/>
    </xf>
    <xf numFmtId="0" fontId="42" fillId="7" borderId="34" xfId="0" applyFont="1" applyFill="1" applyBorder="1" applyAlignment="1">
      <alignment horizontal="center"/>
    </xf>
    <xf numFmtId="0" fontId="59" fillId="0" borderId="21" xfId="0" applyFont="1" applyBorder="1" applyProtection="1">
      <protection hidden="1"/>
    </xf>
    <xf numFmtId="4" fontId="59" fillId="0" borderId="21" xfId="0" applyNumberFormat="1" applyFont="1" applyBorder="1" applyProtection="1">
      <protection hidden="1"/>
    </xf>
    <xf numFmtId="0" fontId="67" fillId="0" borderId="46" xfId="0" applyFont="1" applyFill="1" applyBorder="1" applyAlignment="1" applyProtection="1">
      <alignment horizontal="center"/>
    </xf>
    <xf numFmtId="0" fontId="68" fillId="0" borderId="46" xfId="0" applyFont="1" applyBorder="1" applyAlignment="1">
      <alignment horizontal="center"/>
    </xf>
    <xf numFmtId="0" fontId="68" fillId="0" borderId="46" xfId="0" applyFont="1" applyBorder="1" applyAlignment="1">
      <alignment horizontal="left"/>
    </xf>
    <xf numFmtId="0" fontId="68" fillId="0" borderId="27" xfId="0" applyFont="1" applyBorder="1" applyAlignment="1">
      <alignment horizontal="left"/>
    </xf>
    <xf numFmtId="0" fontId="9" fillId="0" borderId="13" xfId="0" applyFont="1" applyFill="1" applyBorder="1" applyProtection="1">
      <protection hidden="1"/>
    </xf>
    <xf numFmtId="0" fontId="9" fillId="0" borderId="13" xfId="0" applyFont="1" applyFill="1" applyBorder="1" applyAlignment="1" applyProtection="1">
      <alignment horizontal="center"/>
      <protection hidden="1"/>
    </xf>
    <xf numFmtId="4" fontId="9" fillId="0" borderId="13" xfId="0" applyNumberFormat="1" applyFont="1" applyFill="1" applyBorder="1" applyProtection="1">
      <protection hidden="1"/>
    </xf>
    <xf numFmtId="0" fontId="9" fillId="0" borderId="21" xfId="0" applyFont="1" applyFill="1" applyBorder="1" applyProtection="1">
      <protection hidden="1"/>
    </xf>
    <xf numFmtId="0" fontId="9" fillId="0" borderId="21" xfId="0" applyFont="1" applyFill="1" applyBorder="1" applyAlignment="1" applyProtection="1">
      <alignment horizontal="center"/>
      <protection hidden="1"/>
    </xf>
    <xf numFmtId="4" fontId="9" fillId="0" borderId="21" xfId="0" applyNumberFormat="1" applyFont="1" applyFill="1" applyBorder="1" applyProtection="1">
      <protection hidden="1"/>
    </xf>
    <xf numFmtId="0" fontId="9" fillId="0" borderId="1" xfId="0" applyFont="1" applyFill="1" applyBorder="1" applyProtection="1">
      <protection hidden="1"/>
    </xf>
    <xf numFmtId="0" fontId="9" fillId="0" borderId="1" xfId="0" applyFont="1" applyFill="1" applyBorder="1" applyAlignment="1" applyProtection="1">
      <alignment horizontal="center"/>
      <protection hidden="1"/>
    </xf>
    <xf numFmtId="4" fontId="9" fillId="0" borderId="1" xfId="0" applyNumberFormat="1" applyFont="1" applyFill="1" applyBorder="1" applyProtection="1">
      <protection hidden="1"/>
    </xf>
    <xf numFmtId="0" fontId="57" fillId="0" borderId="0" xfId="0" applyFont="1" applyAlignment="1" applyProtection="1">
      <protection hidden="1"/>
    </xf>
    <xf numFmtId="2" fontId="4" fillId="0" borderId="13" xfId="0" applyNumberFormat="1" applyFont="1" applyBorder="1" applyProtection="1">
      <protection hidden="1"/>
    </xf>
    <xf numFmtId="2" fontId="4" fillId="0" borderId="1" xfId="0" applyNumberFormat="1" applyFont="1" applyBorder="1" applyAlignment="1" applyProtection="1">
      <alignment horizontal="right"/>
      <protection hidden="1"/>
    </xf>
    <xf numFmtId="2" fontId="4" fillId="0" borderId="1" xfId="0" applyNumberFormat="1" applyFont="1" applyBorder="1" applyProtection="1">
      <protection hidden="1"/>
    </xf>
    <xf numFmtId="0" fontId="68" fillId="0" borderId="2" xfId="0" applyFont="1" applyBorder="1" applyAlignment="1">
      <alignment horizontal="center"/>
    </xf>
    <xf numFmtId="0" fontId="68" fillId="0" borderId="2" xfId="0" applyFont="1" applyBorder="1" applyAlignment="1">
      <alignment horizontal="left"/>
    </xf>
    <xf numFmtId="0" fontId="67" fillId="0" borderId="2" xfId="0" applyFont="1" applyFill="1" applyBorder="1" applyAlignment="1" applyProtection="1">
      <alignment horizontal="center"/>
    </xf>
    <xf numFmtId="0" fontId="68" fillId="0" borderId="1" xfId="0" applyFont="1" applyBorder="1" applyAlignment="1">
      <alignment horizontal="left"/>
    </xf>
    <xf numFmtId="0" fontId="67" fillId="0" borderId="1" xfId="0" applyFont="1" applyFill="1" applyBorder="1" applyAlignment="1" applyProtection="1">
      <alignment horizontal="center"/>
    </xf>
    <xf numFmtId="0" fontId="9" fillId="0" borderId="12" xfId="0" applyFont="1" applyFill="1" applyBorder="1" applyProtection="1">
      <protection hidden="1"/>
    </xf>
    <xf numFmtId="0" fontId="9" fillId="0" borderId="12" xfId="0" applyFont="1" applyFill="1" applyBorder="1" applyAlignment="1" applyProtection="1">
      <alignment horizontal="center"/>
      <protection hidden="1"/>
    </xf>
    <xf numFmtId="4" fontId="9" fillId="0" borderId="12" xfId="0" applyNumberFormat="1" applyFont="1" applyFill="1" applyBorder="1" applyProtection="1">
      <protection hidden="1"/>
    </xf>
    <xf numFmtId="0" fontId="4" fillId="0" borderId="0" xfId="0" applyFont="1" applyBorder="1" applyAlignment="1">
      <alignment horizontal="left"/>
    </xf>
    <xf numFmtId="0" fontId="67" fillId="2" borderId="27" xfId="0" applyFont="1" applyFill="1" applyBorder="1" applyAlignment="1" applyProtection="1">
      <alignment horizontal="center"/>
      <protection locked="0"/>
    </xf>
    <xf numFmtId="0" fontId="67" fillId="0" borderId="32" xfId="0" applyFont="1" applyFill="1" applyBorder="1" applyAlignment="1" applyProtection="1">
      <alignment horizontal="center"/>
    </xf>
    <xf numFmtId="4" fontId="36" fillId="0" borderId="0" xfId="0" applyNumberFormat="1" applyFont="1" applyAlignment="1" applyProtection="1">
      <alignment horizontal="right"/>
      <protection hidden="1"/>
    </xf>
    <xf numFmtId="4" fontId="4" fillId="0" borderId="0" xfId="0" applyNumberFormat="1" applyFont="1" applyBorder="1" applyAlignment="1" applyProtection="1">
      <alignment horizontal="right"/>
      <protection hidden="1"/>
    </xf>
    <xf numFmtId="4" fontId="36" fillId="0" borderId="2" xfId="0" applyNumberFormat="1" applyFont="1" applyBorder="1" applyAlignment="1" applyProtection="1">
      <alignment horizontal="right"/>
      <protection hidden="1"/>
    </xf>
    <xf numFmtId="4" fontId="12" fillId="0" borderId="0" xfId="0" applyNumberFormat="1" applyFont="1" applyAlignment="1" applyProtection="1">
      <alignment horizontal="right" vertical="center"/>
      <protection hidden="1"/>
    </xf>
    <xf numFmtId="0" fontId="59" fillId="0" borderId="21" xfId="0" applyFont="1" applyFill="1" applyBorder="1" applyProtection="1">
      <protection hidden="1"/>
    </xf>
    <xf numFmtId="0" fontId="59" fillId="0" borderId="21" xfId="0" applyFont="1" applyFill="1" applyBorder="1" applyAlignment="1" applyProtection="1">
      <alignment horizontal="center"/>
      <protection hidden="1"/>
    </xf>
    <xf numFmtId="4" fontId="59" fillId="0" borderId="21" xfId="0" applyNumberFormat="1" applyFont="1" applyFill="1" applyBorder="1" applyProtection="1">
      <protection hidden="1"/>
    </xf>
    <xf numFmtId="0" fontId="12" fillId="5" borderId="0" xfId="0" applyFont="1" applyFill="1" applyAlignment="1" applyProtection="1">
      <alignment horizontal="center"/>
      <protection hidden="1"/>
    </xf>
    <xf numFmtId="0" fontId="36" fillId="7" borderId="0" xfId="0" applyFont="1" applyFill="1" applyProtection="1"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56" fillId="5" borderId="0" xfId="0" applyFont="1" applyFill="1" applyAlignment="1" applyProtection="1">
      <alignment horizontal="center" textRotation="90"/>
      <protection hidden="1"/>
    </xf>
    <xf numFmtId="0" fontId="59" fillId="0" borderId="6" xfId="0" applyFont="1" applyBorder="1" applyProtection="1">
      <protection hidden="1"/>
    </xf>
    <xf numFmtId="0" fontId="76" fillId="0" borderId="3" xfId="0" applyFon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43" fillId="0" borderId="0" xfId="1" applyFon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 applyProtection="1">
      <alignment horizontal="right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75" fillId="0" borderId="0" xfId="0" applyFont="1" applyProtection="1">
      <protection hidden="1"/>
    </xf>
    <xf numFmtId="0" fontId="66" fillId="0" borderId="0" xfId="0" applyFont="1" applyFill="1" applyBorder="1" applyAlignment="1" applyProtection="1">
      <alignment horizontal="left" vertical="center"/>
      <protection hidden="1"/>
    </xf>
    <xf numFmtId="0" fontId="79" fillId="7" borderId="34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80" fillId="0" borderId="0" xfId="0" applyFont="1" applyAlignment="1">
      <alignment horizontal="right"/>
    </xf>
    <xf numFmtId="0" fontId="69" fillId="0" borderId="0" xfId="0" applyFont="1" applyFill="1" applyBorder="1" applyAlignment="1" applyProtection="1">
      <alignment horizontal="left"/>
      <protection hidden="1"/>
    </xf>
    <xf numFmtId="0" fontId="67" fillId="2" borderId="31" xfId="0" applyFont="1" applyFill="1" applyBorder="1" applyAlignment="1" applyProtection="1">
      <alignment horizontal="center"/>
      <protection locked="0"/>
    </xf>
    <xf numFmtId="0" fontId="59" fillId="0" borderId="0" xfId="0" applyFont="1" applyBorder="1" applyAlignment="1">
      <alignment horizontal="left"/>
    </xf>
    <xf numFmtId="2" fontId="28" fillId="0" borderId="13" xfId="0" applyNumberFormat="1" applyFont="1" applyFill="1" applyBorder="1" applyAlignment="1" applyProtection="1">
      <alignment horizontal="left"/>
      <protection hidden="1"/>
    </xf>
    <xf numFmtId="0" fontId="27" fillId="3" borderId="8" xfId="0" applyFont="1" applyFill="1" applyBorder="1" applyAlignment="1" applyProtection="1">
      <alignment horizontal="left" vertical="center"/>
      <protection hidden="1"/>
    </xf>
    <xf numFmtId="1" fontId="28" fillId="0" borderId="13" xfId="0" applyNumberFormat="1" applyFont="1" applyFill="1" applyBorder="1" applyAlignment="1" applyProtection="1">
      <alignment horizontal="center"/>
      <protection hidden="1"/>
    </xf>
    <xf numFmtId="0" fontId="30" fillId="3" borderId="7" xfId="0" applyFont="1" applyFill="1" applyBorder="1" applyAlignment="1" applyProtection="1">
      <alignment horizontal="left" vertical="center"/>
      <protection hidden="1"/>
    </xf>
    <xf numFmtId="0" fontId="76" fillId="0" borderId="7" xfId="0" applyFont="1" applyFill="1" applyBorder="1" applyAlignment="1" applyProtection="1">
      <protection hidden="1"/>
    </xf>
    <xf numFmtId="0" fontId="76" fillId="0" borderId="8" xfId="0" applyFont="1" applyFill="1" applyBorder="1" applyAlignment="1" applyProtection="1">
      <protection hidden="1"/>
    </xf>
    <xf numFmtId="2" fontId="28" fillId="0" borderId="21" xfId="0" applyNumberFormat="1" applyFont="1" applyFill="1" applyBorder="1" applyAlignment="1" applyProtection="1">
      <alignment horizontal="left"/>
      <protection hidden="1"/>
    </xf>
    <xf numFmtId="0" fontId="27" fillId="3" borderId="9" xfId="0" applyFont="1" applyFill="1" applyBorder="1" applyAlignment="1" applyProtection="1">
      <alignment horizontal="left" vertical="center"/>
      <protection hidden="1"/>
    </xf>
    <xf numFmtId="0" fontId="26" fillId="3" borderId="9" xfId="0" applyFont="1" applyFill="1" applyBorder="1" applyAlignment="1" applyProtection="1">
      <alignment horizontal="left" vertical="center"/>
      <protection hidden="1"/>
    </xf>
    <xf numFmtId="0" fontId="59" fillId="0" borderId="25" xfId="0" applyFont="1" applyBorder="1" applyProtection="1">
      <protection hidden="1"/>
    </xf>
    <xf numFmtId="0" fontId="76" fillId="0" borderId="7" xfId="0" applyFont="1" applyFill="1" applyBorder="1" applyProtection="1">
      <protection hidden="1"/>
    </xf>
    <xf numFmtId="0" fontId="59" fillId="0" borderId="26" xfId="0" applyFont="1" applyBorder="1" applyProtection="1">
      <protection hidden="1"/>
    </xf>
    <xf numFmtId="0" fontId="76" fillId="0" borderId="8" xfId="0" applyFont="1" applyFill="1" applyBorder="1" applyProtection="1">
      <protection hidden="1"/>
    </xf>
    <xf numFmtId="2" fontId="77" fillId="0" borderId="21" xfId="0" applyNumberFormat="1" applyFont="1" applyFill="1" applyBorder="1" applyAlignment="1" applyProtection="1">
      <alignment horizontal="left"/>
      <protection hidden="1"/>
    </xf>
    <xf numFmtId="0" fontId="76" fillId="0" borderId="9" xfId="0" applyFont="1" applyFill="1" applyBorder="1" applyProtection="1">
      <protection hidden="1"/>
    </xf>
    <xf numFmtId="0" fontId="76" fillId="3" borderId="9" xfId="0" applyFont="1" applyFill="1" applyBorder="1" applyAlignment="1" applyProtection="1">
      <alignment horizontal="left" vertical="center"/>
      <protection hidden="1"/>
    </xf>
    <xf numFmtId="0" fontId="76" fillId="0" borderId="9" xfId="0" applyFont="1" applyFill="1" applyBorder="1" applyAlignment="1" applyProtection="1">
      <protection hidden="1"/>
    </xf>
    <xf numFmtId="1" fontId="77" fillId="0" borderId="21" xfId="0" applyNumberFormat="1" applyFont="1" applyFill="1" applyBorder="1" applyAlignment="1" applyProtection="1">
      <alignment horizontal="center"/>
      <protection hidden="1"/>
    </xf>
    <xf numFmtId="2" fontId="77" fillId="0" borderId="13" xfId="0" applyNumberFormat="1" applyFont="1" applyFill="1" applyBorder="1" applyAlignment="1" applyProtection="1">
      <alignment horizontal="left"/>
      <protection hidden="1"/>
    </xf>
    <xf numFmtId="0" fontId="76" fillId="3" borderId="8" xfId="0" applyFont="1" applyFill="1" applyBorder="1" applyAlignment="1" applyProtection="1">
      <alignment horizontal="left" vertical="center"/>
      <protection hidden="1"/>
    </xf>
    <xf numFmtId="2" fontId="77" fillId="0" borderId="20" xfId="0" applyNumberFormat="1" applyFont="1" applyFill="1" applyBorder="1" applyAlignment="1" applyProtection="1">
      <alignment horizontal="left"/>
      <protection hidden="1"/>
    </xf>
    <xf numFmtId="0" fontId="76" fillId="3" borderId="7" xfId="0" applyFont="1" applyFill="1" applyBorder="1" applyAlignment="1" applyProtection="1">
      <alignment horizontal="left" vertical="center"/>
      <protection hidden="1"/>
    </xf>
    <xf numFmtId="0" fontId="57" fillId="0" borderId="15" xfId="0" applyFont="1" applyFill="1" applyBorder="1" applyAlignment="1" applyProtection="1">
      <alignment horizontal="right" vertical="center"/>
      <protection hidden="1"/>
    </xf>
    <xf numFmtId="0" fontId="75" fillId="0" borderId="31" xfId="0" applyFont="1" applyBorder="1" applyAlignment="1">
      <alignment horizontal="right"/>
    </xf>
    <xf numFmtId="0" fontId="72" fillId="8" borderId="18" xfId="1" applyFont="1" applyFill="1" applyBorder="1" applyProtection="1">
      <protection hidden="1"/>
    </xf>
    <xf numFmtId="0" fontId="82" fillId="0" borderId="0" xfId="0" applyFont="1" applyFill="1" applyBorder="1" applyAlignment="1" applyProtection="1">
      <alignment horizontal="left" vertical="center"/>
      <protection hidden="1"/>
    </xf>
    <xf numFmtId="0" fontId="57" fillId="0" borderId="0" xfId="0" applyFont="1" applyFill="1" applyBorder="1" applyAlignment="1" applyProtection="1">
      <alignment horizontal="right" vertical="center"/>
      <protection hidden="1"/>
    </xf>
    <xf numFmtId="0" fontId="6" fillId="0" borderId="0" xfId="0" applyFont="1" applyBorder="1" applyAlignment="1">
      <alignment horizontal="center"/>
    </xf>
    <xf numFmtId="0" fontId="30" fillId="3" borderId="7" xfId="0" applyFont="1" applyFill="1" applyBorder="1" applyAlignment="1" applyProtection="1">
      <alignment horizontal="center" vertical="center"/>
      <protection hidden="1"/>
    </xf>
    <xf numFmtId="0" fontId="30" fillId="3" borderId="8" xfId="0" applyFont="1" applyFill="1" applyBorder="1" applyAlignment="1" applyProtection="1">
      <alignment horizontal="center" vertical="center"/>
      <protection hidden="1"/>
    </xf>
    <xf numFmtId="0" fontId="76" fillId="3" borderId="8" xfId="0" applyFont="1" applyFill="1" applyBorder="1" applyAlignment="1" applyProtection="1">
      <alignment horizontal="center" vertical="center"/>
      <protection hidden="1"/>
    </xf>
    <xf numFmtId="0" fontId="76" fillId="3" borderId="9" xfId="0" applyFont="1" applyFill="1" applyBorder="1" applyAlignment="1" applyProtection="1">
      <alignment horizontal="center" vertical="center"/>
      <protection hidden="1"/>
    </xf>
    <xf numFmtId="0" fontId="12" fillId="0" borderId="3" xfId="0" applyFont="1" applyFill="1" applyBorder="1" applyAlignment="1" applyProtection="1">
      <alignment horizontal="center" wrapText="1"/>
      <protection hidden="1"/>
    </xf>
    <xf numFmtId="0" fontId="4" fillId="0" borderId="0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 textRotation="90"/>
      <protection hidden="1"/>
    </xf>
    <xf numFmtId="0" fontId="26" fillId="3" borderId="7" xfId="0" applyFont="1" applyFill="1" applyBorder="1" applyAlignment="1" applyProtection="1">
      <alignment horizontal="center" vertical="center"/>
      <protection hidden="1"/>
    </xf>
    <xf numFmtId="0" fontId="26" fillId="3" borderId="8" xfId="0" applyFont="1" applyFill="1" applyBorder="1" applyAlignment="1" applyProtection="1">
      <alignment horizontal="center" vertical="center"/>
      <protection hidden="1"/>
    </xf>
    <xf numFmtId="0" fontId="27" fillId="3" borderId="8" xfId="0" applyFont="1" applyFill="1" applyBorder="1" applyAlignment="1" applyProtection="1">
      <alignment horizontal="center" vertical="center"/>
      <protection hidden="1"/>
    </xf>
    <xf numFmtId="0" fontId="26" fillId="3" borderId="3" xfId="0" applyFont="1" applyFill="1" applyBorder="1" applyAlignment="1" applyProtection="1">
      <alignment horizontal="center" vertical="center"/>
      <protection hidden="1"/>
    </xf>
    <xf numFmtId="0" fontId="30" fillId="3" borderId="3" xfId="0" applyFont="1" applyFill="1" applyBorder="1" applyAlignment="1" applyProtection="1">
      <alignment horizontal="center" vertical="center"/>
      <protection hidden="1"/>
    </xf>
    <xf numFmtId="0" fontId="76" fillId="3" borderId="7" xfId="0" applyFont="1" applyFill="1" applyBorder="1" applyAlignment="1" applyProtection="1">
      <alignment horizontal="center" vertical="center"/>
      <protection hidden="1"/>
    </xf>
    <xf numFmtId="0" fontId="27" fillId="3" borderId="9" xfId="0" applyFont="1" applyFill="1" applyBorder="1" applyAlignment="1" applyProtection="1">
      <alignment horizontal="center" vertical="center"/>
      <protection hidden="1"/>
    </xf>
    <xf numFmtId="0" fontId="26" fillId="3" borderId="9" xfId="0" applyFont="1" applyFill="1" applyBorder="1" applyAlignment="1" applyProtection="1">
      <alignment horizontal="center" vertical="center"/>
      <protection hidden="1"/>
    </xf>
    <xf numFmtId="0" fontId="30" fillId="3" borderId="9" xfId="0" applyFont="1" applyFill="1" applyBorder="1" applyAlignment="1" applyProtection="1">
      <alignment horizontal="center" vertical="center"/>
      <protection hidden="1"/>
    </xf>
    <xf numFmtId="0" fontId="30" fillId="3" borderId="24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50" fillId="0" borderId="0" xfId="0" applyFont="1" applyAlignment="1">
      <alignment horizontal="center"/>
    </xf>
    <xf numFmtId="0" fontId="53" fillId="3" borderId="3" xfId="0" applyFont="1" applyFill="1" applyBorder="1" applyAlignment="1" applyProtection="1">
      <alignment horizontal="center" vertical="center"/>
      <protection hidden="1"/>
    </xf>
    <xf numFmtId="0" fontId="83" fillId="0" borderId="0" xfId="0" applyFont="1" applyAlignment="1">
      <alignment horizontal="center"/>
    </xf>
    <xf numFmtId="0" fontId="13" fillId="3" borderId="11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/>
    </xf>
    <xf numFmtId="0" fontId="76" fillId="0" borderId="3" xfId="0" applyFont="1" applyFill="1" applyBorder="1" applyAlignment="1" applyProtection="1">
      <protection hidden="1"/>
    </xf>
    <xf numFmtId="1" fontId="36" fillId="0" borderId="13" xfId="0" applyNumberFormat="1" applyFont="1" applyFill="1" applyBorder="1" applyAlignment="1" applyProtection="1">
      <alignment horizontal="center"/>
    </xf>
    <xf numFmtId="2" fontId="21" fillId="0" borderId="0" xfId="0" applyNumberFormat="1" applyFont="1" applyBorder="1" applyProtection="1">
      <protection hidden="1"/>
    </xf>
    <xf numFmtId="0" fontId="36" fillId="12" borderId="0" xfId="0" applyFont="1" applyFill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67" fillId="0" borderId="0" xfId="0" applyFont="1" applyProtection="1">
      <protection hidden="1"/>
    </xf>
    <xf numFmtId="0" fontId="61" fillId="0" borderId="0" xfId="0" applyFont="1" applyBorder="1" applyAlignment="1" applyProtection="1">
      <alignment horizontal="right"/>
      <protection hidden="1"/>
    </xf>
    <xf numFmtId="0" fontId="66" fillId="0" borderId="0" xfId="0" applyFont="1" applyFill="1"/>
    <xf numFmtId="49" fontId="9" fillId="0" borderId="3" xfId="0" applyNumberFormat="1" applyFont="1" applyBorder="1" applyAlignment="1" applyProtection="1">
      <alignment horizontal="center" vertical="center"/>
      <protection hidden="1"/>
    </xf>
    <xf numFmtId="0" fontId="54" fillId="0" borderId="1" xfId="0" applyFont="1" applyBorder="1" applyAlignment="1" applyProtection="1">
      <alignment horizontal="center" textRotation="90" wrapText="1"/>
      <protection hidden="1"/>
    </xf>
    <xf numFmtId="49" fontId="62" fillId="0" borderId="12" xfId="0" applyNumberFormat="1" applyFont="1" applyBorder="1" applyProtection="1">
      <protection hidden="1"/>
    </xf>
    <xf numFmtId="49" fontId="4" fillId="0" borderId="13" xfId="0" applyNumberFormat="1" applyFont="1" applyBorder="1" applyAlignment="1" applyProtection="1">
      <alignment horizontal="left"/>
      <protection hidden="1"/>
    </xf>
    <xf numFmtId="49" fontId="62" fillId="0" borderId="20" xfId="0" applyNumberFormat="1" applyFont="1" applyBorder="1" applyProtection="1">
      <protection hidden="1"/>
    </xf>
    <xf numFmtId="49" fontId="4" fillId="0" borderId="21" xfId="0" applyNumberFormat="1" applyFont="1" applyBorder="1" applyAlignment="1" applyProtection="1">
      <alignment horizontal="left"/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4" fillId="0" borderId="0" xfId="0" applyFont="1" applyFill="1"/>
    <xf numFmtId="0" fontId="36" fillId="0" borderId="0" xfId="4" applyFont="1" applyFill="1"/>
    <xf numFmtId="0" fontId="0" fillId="0" borderId="0" xfId="0" applyFill="1"/>
    <xf numFmtId="0" fontId="58" fillId="0" borderId="0" xfId="4" applyFont="1" applyFill="1" applyAlignment="1">
      <alignment horizontal="left" vertical="center" wrapText="1"/>
    </xf>
    <xf numFmtId="0" fontId="12" fillId="0" borderId="0" xfId="5" applyFont="1" applyFill="1" applyAlignment="1" applyProtection="1">
      <alignment vertical="center"/>
      <protection hidden="1"/>
    </xf>
    <xf numFmtId="0" fontId="52" fillId="0" borderId="0" xfId="4" applyFont="1" applyFill="1" applyAlignment="1">
      <alignment vertical="top" wrapText="1"/>
    </xf>
    <xf numFmtId="0" fontId="90" fillId="0" borderId="0" xfId="4" applyFill="1" applyAlignment="1">
      <alignment vertical="top" wrapText="1"/>
    </xf>
    <xf numFmtId="0" fontId="36" fillId="0" borderId="0" xfId="4" applyFont="1" applyFill="1" applyAlignment="1">
      <alignment wrapText="1"/>
    </xf>
    <xf numFmtId="0" fontId="91" fillId="0" borderId="0" xfId="0" applyFont="1" applyFill="1" applyBorder="1" applyAlignment="1" applyProtection="1">
      <alignment horizontal="center"/>
      <protection hidden="1"/>
    </xf>
    <xf numFmtId="0" fontId="59" fillId="0" borderId="0" xfId="0" applyFont="1" applyBorder="1" applyProtection="1">
      <protection hidden="1"/>
    </xf>
    <xf numFmtId="0" fontId="59" fillId="0" borderId="0" xfId="0" applyFont="1" applyBorder="1" applyAlignment="1" applyProtection="1">
      <alignment horizontal="center"/>
      <protection hidden="1"/>
    </xf>
    <xf numFmtId="4" fontId="59" fillId="0" borderId="0" xfId="0" applyNumberFormat="1" applyFont="1" applyBorder="1" applyProtection="1">
      <protection hidden="1"/>
    </xf>
    <xf numFmtId="0" fontId="67" fillId="0" borderId="29" xfId="0" applyFont="1" applyFill="1" applyBorder="1" applyAlignment="1" applyProtection="1">
      <alignment horizontal="center"/>
    </xf>
    <xf numFmtId="2" fontId="9" fillId="0" borderId="21" xfId="0" applyNumberFormat="1" applyFont="1" applyBorder="1" applyProtection="1">
      <protection hidden="1"/>
    </xf>
    <xf numFmtId="2" fontId="28" fillId="0" borderId="1" xfId="0" applyNumberFormat="1" applyFont="1" applyFill="1" applyBorder="1" applyAlignment="1" applyProtection="1">
      <alignment horizontal="left"/>
      <protection hidden="1"/>
    </xf>
    <xf numFmtId="0" fontId="27" fillId="3" borderId="3" xfId="0" applyFont="1" applyFill="1" applyBorder="1" applyAlignment="1" applyProtection="1">
      <alignment horizontal="left" vertical="center"/>
      <protection hidden="1"/>
    </xf>
    <xf numFmtId="0" fontId="27" fillId="3" borderId="3" xfId="0" applyFont="1" applyFill="1" applyBorder="1" applyAlignment="1" applyProtection="1">
      <alignment horizontal="center" vertical="center"/>
      <protection hidden="1"/>
    </xf>
    <xf numFmtId="0" fontId="92" fillId="0" borderId="25" xfId="0" applyFont="1" applyBorder="1" applyProtection="1">
      <protection hidden="1"/>
    </xf>
    <xf numFmtId="0" fontId="93" fillId="3" borderId="7" xfId="0" applyFont="1" applyFill="1" applyBorder="1" applyAlignment="1" applyProtection="1">
      <alignment horizontal="left" vertical="center"/>
      <protection hidden="1"/>
    </xf>
    <xf numFmtId="0" fontId="93" fillId="3" borderId="7" xfId="0" applyFont="1" applyFill="1" applyBorder="1" applyAlignment="1" applyProtection="1">
      <alignment horizontal="center" vertical="center"/>
      <protection hidden="1"/>
    </xf>
    <xf numFmtId="0" fontId="94" fillId="0" borderId="7" xfId="0" applyFont="1" applyFill="1" applyBorder="1" applyProtection="1">
      <protection hidden="1"/>
    </xf>
    <xf numFmtId="0" fontId="92" fillId="0" borderId="26" xfId="0" applyFont="1" applyBorder="1" applyProtection="1">
      <protection hidden="1"/>
    </xf>
    <xf numFmtId="0" fontId="93" fillId="3" borderId="8" xfId="0" applyFont="1" applyFill="1" applyBorder="1" applyAlignment="1" applyProtection="1">
      <alignment horizontal="left" vertical="center"/>
      <protection hidden="1"/>
    </xf>
    <xf numFmtId="0" fontId="93" fillId="3" borderId="8" xfId="0" applyFont="1" applyFill="1" applyBorder="1" applyAlignment="1" applyProtection="1">
      <alignment horizontal="center" vertical="center"/>
      <protection hidden="1"/>
    </xf>
    <xf numFmtId="0" fontId="94" fillId="0" borderId="8" xfId="0" applyFont="1" applyFill="1" applyBorder="1" applyProtection="1">
      <protection hidden="1"/>
    </xf>
    <xf numFmtId="2" fontId="96" fillId="0" borderId="21" xfId="0" applyNumberFormat="1" applyFont="1" applyFill="1" applyBorder="1" applyAlignment="1" applyProtection="1">
      <alignment horizontal="left"/>
      <protection hidden="1"/>
    </xf>
    <xf numFmtId="0" fontId="93" fillId="3" borderId="9" xfId="0" applyFont="1" applyFill="1" applyBorder="1" applyAlignment="1" applyProtection="1">
      <alignment horizontal="left" vertical="center"/>
      <protection hidden="1"/>
    </xf>
    <xf numFmtId="0" fontId="93" fillId="3" borderId="9" xfId="0" applyFont="1" applyFill="1" applyBorder="1" applyAlignment="1" applyProtection="1">
      <alignment horizontal="center" vertical="center"/>
      <protection hidden="1"/>
    </xf>
    <xf numFmtId="0" fontId="94" fillId="0" borderId="9" xfId="0" applyFont="1" applyFill="1" applyBorder="1" applyProtection="1">
      <protection hidden="1"/>
    </xf>
    <xf numFmtId="0" fontId="94" fillId="3" borderId="9" xfId="0" applyFont="1" applyFill="1" applyBorder="1" applyAlignment="1" applyProtection="1">
      <alignment horizontal="left" vertical="center"/>
      <protection hidden="1"/>
    </xf>
    <xf numFmtId="0" fontId="94" fillId="3" borderId="9" xfId="0" applyFont="1" applyFill="1" applyBorder="1" applyAlignment="1" applyProtection="1">
      <alignment horizontal="center" vertical="center"/>
      <protection hidden="1"/>
    </xf>
    <xf numFmtId="0" fontId="94" fillId="0" borderId="9" xfId="0" applyFont="1" applyFill="1" applyBorder="1" applyAlignment="1" applyProtection="1">
      <protection hidden="1"/>
    </xf>
    <xf numFmtId="0" fontId="92" fillId="0" borderId="6" xfId="0" applyFont="1" applyBorder="1" applyProtection="1">
      <protection hidden="1"/>
    </xf>
    <xf numFmtId="0" fontId="93" fillId="3" borderId="3" xfId="0" applyFont="1" applyFill="1" applyBorder="1" applyAlignment="1" applyProtection="1">
      <alignment horizontal="left" vertical="center"/>
      <protection hidden="1"/>
    </xf>
    <xf numFmtId="0" fontId="93" fillId="3" borderId="3" xfId="0" applyFont="1" applyFill="1" applyBorder="1" applyAlignment="1" applyProtection="1">
      <alignment horizontal="center" vertical="center"/>
      <protection hidden="1"/>
    </xf>
    <xf numFmtId="0" fontId="94" fillId="0" borderId="3" xfId="0" applyFont="1" applyFill="1" applyBorder="1" applyProtection="1">
      <protection hidden="1"/>
    </xf>
    <xf numFmtId="0" fontId="92" fillId="0" borderId="7" xfId="0" applyFont="1" applyFill="1" applyBorder="1" applyProtection="1">
      <protection hidden="1"/>
    </xf>
    <xf numFmtId="0" fontId="94" fillId="0" borderId="7" xfId="0" applyFont="1" applyFill="1" applyBorder="1" applyAlignment="1" applyProtection="1">
      <protection hidden="1"/>
    </xf>
    <xf numFmtId="0" fontId="92" fillId="0" borderId="8" xfId="0" applyFont="1" applyFill="1" applyBorder="1" applyProtection="1">
      <protection hidden="1"/>
    </xf>
    <xf numFmtId="0" fontId="94" fillId="0" borderId="8" xfId="0" applyFont="1" applyFill="1" applyBorder="1" applyAlignment="1" applyProtection="1">
      <protection hidden="1"/>
    </xf>
    <xf numFmtId="2" fontId="96" fillId="0" borderId="13" xfId="0" applyNumberFormat="1" applyFont="1" applyFill="1" applyBorder="1" applyAlignment="1" applyProtection="1">
      <alignment horizontal="left"/>
      <protection hidden="1"/>
    </xf>
    <xf numFmtId="0" fontId="94" fillId="3" borderId="8" xfId="0" applyFont="1" applyFill="1" applyBorder="1" applyAlignment="1" applyProtection="1">
      <alignment horizontal="left" vertical="center"/>
      <protection hidden="1"/>
    </xf>
    <xf numFmtId="0" fontId="94" fillId="3" borderId="8" xfId="0" applyFont="1" applyFill="1" applyBorder="1" applyAlignment="1" applyProtection="1">
      <alignment horizontal="center" vertical="center"/>
      <protection hidden="1"/>
    </xf>
    <xf numFmtId="2" fontId="96" fillId="0" borderId="20" xfId="0" applyNumberFormat="1" applyFont="1" applyFill="1" applyBorder="1" applyAlignment="1" applyProtection="1">
      <alignment horizontal="left"/>
      <protection hidden="1"/>
    </xf>
    <xf numFmtId="0" fontId="94" fillId="3" borderId="7" xfId="0" applyFont="1" applyFill="1" applyBorder="1" applyAlignment="1" applyProtection="1">
      <alignment horizontal="left" vertical="center"/>
      <protection hidden="1"/>
    </xf>
    <xf numFmtId="0" fontId="94" fillId="3" borderId="7" xfId="0" applyFont="1" applyFill="1" applyBorder="1" applyAlignment="1" applyProtection="1">
      <alignment horizontal="center" vertical="center"/>
      <protection hidden="1"/>
    </xf>
    <xf numFmtId="0" fontId="84" fillId="0" borderId="13" xfId="0" applyNumberFormat="1" applyFont="1" applyBorder="1" applyAlignment="1" applyProtection="1">
      <alignment horizontal="center"/>
      <protection hidden="1"/>
    </xf>
    <xf numFmtId="4" fontId="4" fillId="0" borderId="20" xfId="0" applyNumberFormat="1" applyFont="1" applyBorder="1" applyAlignment="1" applyProtection="1">
      <alignment horizontal="right"/>
      <protection hidden="1"/>
    </xf>
    <xf numFmtId="0" fontId="4" fillId="0" borderId="53" xfId="0" applyFont="1" applyBorder="1" applyProtection="1">
      <protection hidden="1"/>
    </xf>
    <xf numFmtId="0" fontId="4" fillId="0" borderId="53" xfId="0" applyFont="1" applyBorder="1" applyAlignment="1" applyProtection="1">
      <alignment horizontal="center"/>
      <protection hidden="1"/>
    </xf>
    <xf numFmtId="4" fontId="4" fillId="0" borderId="53" xfId="0" applyNumberFormat="1" applyFont="1" applyBorder="1" applyAlignment="1" applyProtection="1">
      <alignment horizontal="right"/>
      <protection hidden="1"/>
    </xf>
    <xf numFmtId="4" fontId="4" fillId="0" borderId="53" xfId="0" applyNumberFormat="1" applyFont="1" applyBorder="1" applyProtection="1">
      <protection hidden="1"/>
    </xf>
    <xf numFmtId="0" fontId="80" fillId="0" borderId="0" xfId="0" applyFont="1" applyBorder="1" applyAlignment="1">
      <alignment horizontal="center"/>
    </xf>
    <xf numFmtId="0" fontId="91" fillId="19" borderId="15" xfId="0" applyFont="1" applyFill="1" applyBorder="1" applyAlignment="1" applyProtection="1">
      <alignment horizontal="center" vertical="center"/>
      <protection hidden="1"/>
    </xf>
    <xf numFmtId="0" fontId="6" fillId="5" borderId="15" xfId="0" applyFont="1" applyFill="1" applyBorder="1" applyAlignment="1" applyProtection="1">
      <alignment horizontal="center" vertical="center"/>
      <protection hidden="1"/>
    </xf>
    <xf numFmtId="0" fontId="43" fillId="0" borderId="0" xfId="1" applyFont="1" applyBorder="1" applyAlignment="1" applyProtection="1">
      <alignment horizontal="right"/>
      <protection hidden="1"/>
    </xf>
    <xf numFmtId="0" fontId="42" fillId="0" borderId="0" xfId="0" applyFont="1" applyFill="1" applyBorder="1" applyProtection="1">
      <protection hidden="1"/>
    </xf>
    <xf numFmtId="0" fontId="43" fillId="0" borderId="16" xfId="1" applyFont="1" applyBorder="1" applyAlignment="1" applyProtection="1">
      <alignment horizontal="right"/>
      <protection hidden="1"/>
    </xf>
    <xf numFmtId="0" fontId="0" fillId="0" borderId="19" xfId="0" applyBorder="1" applyAlignment="1" applyProtection="1"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97" fillId="0" borderId="20" xfId="0" applyFont="1" applyBorder="1" applyProtection="1">
      <protection hidden="1"/>
    </xf>
    <xf numFmtId="0" fontId="97" fillId="0" borderId="20" xfId="0" applyFont="1" applyBorder="1" applyAlignment="1" applyProtection="1">
      <alignment horizontal="center"/>
      <protection hidden="1"/>
    </xf>
    <xf numFmtId="4" fontId="97" fillId="0" borderId="20" xfId="0" applyNumberFormat="1" applyFont="1" applyBorder="1" applyAlignment="1" applyProtection="1">
      <alignment horizontal="right"/>
      <protection hidden="1"/>
    </xf>
    <xf numFmtId="4" fontId="97" fillId="0" borderId="20" xfId="0" applyNumberFormat="1" applyFont="1" applyBorder="1" applyProtection="1">
      <protection hidden="1"/>
    </xf>
    <xf numFmtId="0" fontId="97" fillId="0" borderId="13" xfId="0" applyFont="1" applyBorder="1" applyProtection="1">
      <protection hidden="1"/>
    </xf>
    <xf numFmtId="0" fontId="97" fillId="0" borderId="13" xfId="0" applyFont="1" applyBorder="1" applyAlignment="1" applyProtection="1">
      <alignment horizontal="center"/>
      <protection hidden="1"/>
    </xf>
    <xf numFmtId="4" fontId="97" fillId="0" borderId="13" xfId="0" applyNumberFormat="1" applyFont="1" applyBorder="1" applyAlignment="1" applyProtection="1">
      <alignment horizontal="right"/>
      <protection hidden="1"/>
    </xf>
    <xf numFmtId="4" fontId="97" fillId="0" borderId="13" xfId="0" applyNumberFormat="1" applyFont="1" applyBorder="1" applyProtection="1">
      <protection hidden="1"/>
    </xf>
    <xf numFmtId="0" fontId="92" fillId="0" borderId="20" xfId="0" applyFont="1" applyBorder="1" applyProtection="1">
      <protection hidden="1"/>
    </xf>
    <xf numFmtId="0" fontId="92" fillId="0" borderId="20" xfId="0" applyFont="1" applyBorder="1" applyAlignment="1" applyProtection="1">
      <alignment horizontal="center"/>
      <protection hidden="1"/>
    </xf>
    <xf numFmtId="4" fontId="92" fillId="0" borderId="20" xfId="0" applyNumberFormat="1" applyFont="1" applyBorder="1" applyAlignment="1" applyProtection="1">
      <alignment horizontal="right"/>
      <protection hidden="1"/>
    </xf>
    <xf numFmtId="4" fontId="92" fillId="0" borderId="20" xfId="0" applyNumberFormat="1" applyFont="1" applyBorder="1" applyProtection="1">
      <protection hidden="1"/>
    </xf>
    <xf numFmtId="0" fontId="92" fillId="0" borderId="13" xfId="0" applyFont="1" applyBorder="1" applyProtection="1">
      <protection hidden="1"/>
    </xf>
    <xf numFmtId="0" fontId="92" fillId="0" borderId="13" xfId="0" applyFont="1" applyBorder="1" applyAlignment="1" applyProtection="1">
      <alignment horizontal="center"/>
      <protection hidden="1"/>
    </xf>
    <xf numFmtId="4" fontId="92" fillId="0" borderId="13" xfId="0" applyNumberFormat="1" applyFont="1" applyBorder="1" applyAlignment="1" applyProtection="1">
      <alignment horizontal="right"/>
      <protection hidden="1"/>
    </xf>
    <xf numFmtId="4" fontId="92" fillId="0" borderId="13" xfId="0" applyNumberFormat="1" applyFont="1" applyBorder="1" applyProtection="1">
      <protection hidden="1"/>
    </xf>
    <xf numFmtId="0" fontId="0" fillId="0" borderId="19" xfId="0" applyFill="1" applyBorder="1" applyAlignment="1" applyProtection="1">
      <protection hidden="1"/>
    </xf>
    <xf numFmtId="0" fontId="43" fillId="0" borderId="16" xfId="1" applyFont="1" applyFill="1" applyBorder="1" applyAlignment="1" applyProtection="1">
      <alignment horizontal="right"/>
      <protection hidden="1"/>
    </xf>
    <xf numFmtId="0" fontId="6" fillId="0" borderId="15" xfId="0" applyFont="1" applyFill="1" applyBorder="1" applyAlignment="1" applyProtection="1">
      <alignment horizontal="center"/>
      <protection hidden="1"/>
    </xf>
    <xf numFmtId="0" fontId="4" fillId="0" borderId="15" xfId="0" applyFont="1" applyFill="1" applyBorder="1" applyAlignment="1" applyProtection="1">
      <alignment horizontal="center"/>
      <protection hidden="1"/>
    </xf>
    <xf numFmtId="0" fontId="4" fillId="20" borderId="2" xfId="0" applyFont="1" applyFill="1" applyBorder="1" applyProtection="1">
      <protection hidden="1"/>
    </xf>
    <xf numFmtId="0" fontId="42" fillId="20" borderId="2" xfId="0" applyFont="1" applyFill="1" applyBorder="1" applyProtection="1">
      <protection hidden="1"/>
    </xf>
    <xf numFmtId="0" fontId="43" fillId="20" borderId="0" xfId="1" applyFont="1" applyFill="1" applyBorder="1" applyAlignment="1" applyProtection="1">
      <alignment horizontal="right"/>
      <protection hidden="1"/>
    </xf>
    <xf numFmtId="0" fontId="4" fillId="20" borderId="0" xfId="0" applyFont="1" applyFill="1" applyBorder="1" applyProtection="1">
      <protection hidden="1"/>
    </xf>
    <xf numFmtId="0" fontId="88" fillId="0" borderId="0" xfId="1" applyFill="1" applyBorder="1" applyAlignment="1" applyProtection="1">
      <alignment horizontal="center"/>
      <protection hidden="1"/>
    </xf>
    <xf numFmtId="0" fontId="78" fillId="20" borderId="0" xfId="0" applyFont="1" applyFill="1" applyProtection="1">
      <protection hidden="1"/>
    </xf>
    <xf numFmtId="0" fontId="78" fillId="20" borderId="0" xfId="0" applyFont="1" applyFill="1" applyAlignment="1" applyProtection="1">
      <alignment horizontal="right"/>
      <protection hidden="1"/>
    </xf>
    <xf numFmtId="0" fontId="36" fillId="0" borderId="0" xfId="0" applyFont="1" applyFill="1" applyProtection="1">
      <protection hidden="1"/>
    </xf>
    <xf numFmtId="0" fontId="35" fillId="0" borderId="3" xfId="0" applyFont="1" applyFill="1" applyBorder="1" applyProtection="1">
      <protection hidden="1"/>
    </xf>
    <xf numFmtId="0" fontId="26" fillId="0" borderId="3" xfId="0" applyFont="1" applyFill="1" applyBorder="1" applyAlignment="1" applyProtection="1">
      <alignment horizontal="left" vertical="center"/>
      <protection hidden="1"/>
    </xf>
    <xf numFmtId="0" fontId="26" fillId="0" borderId="3" xfId="0" applyFont="1" applyFill="1" applyBorder="1" applyAlignment="1" applyProtection="1">
      <alignment horizontal="center" vertical="center"/>
      <protection hidden="1"/>
    </xf>
    <xf numFmtId="2" fontId="98" fillId="0" borderId="1" xfId="0" applyNumberFormat="1" applyFont="1" applyFill="1" applyBorder="1" applyAlignment="1" applyProtection="1">
      <alignment horizontal="left"/>
      <protection hidden="1"/>
    </xf>
    <xf numFmtId="0" fontId="99" fillId="3" borderId="3" xfId="0" applyFont="1" applyFill="1" applyBorder="1" applyAlignment="1" applyProtection="1">
      <alignment horizontal="left" vertical="center"/>
      <protection hidden="1"/>
    </xf>
    <xf numFmtId="0" fontId="99" fillId="3" borderId="3" xfId="0" applyFont="1" applyFill="1" applyBorder="1" applyAlignment="1" applyProtection="1">
      <alignment horizontal="center" vertical="center"/>
      <protection hidden="1"/>
    </xf>
    <xf numFmtId="0" fontId="100" fillId="0" borderId="3" xfId="0" applyFont="1" applyFill="1" applyBorder="1" applyAlignment="1" applyProtection="1">
      <alignment vertical="center"/>
      <protection hidden="1"/>
    </xf>
    <xf numFmtId="4" fontId="28" fillId="0" borderId="1" xfId="0" applyNumberFormat="1" applyFont="1" applyFill="1" applyBorder="1" applyAlignment="1" applyProtection="1">
      <alignment horizontal="right" indent="1"/>
      <protection hidden="1"/>
    </xf>
    <xf numFmtId="4" fontId="9" fillId="0" borderId="4" xfId="0" applyNumberFormat="1" applyFont="1" applyFill="1" applyBorder="1" applyAlignment="1" applyProtection="1">
      <alignment horizontal="right" vertical="center" indent="1"/>
      <protection hidden="1"/>
    </xf>
    <xf numFmtId="0" fontId="72" fillId="0" borderId="0" xfId="0" applyFont="1" applyFill="1"/>
    <xf numFmtId="0" fontId="6" fillId="0" borderId="0" xfId="0" applyFont="1" applyFill="1" applyBorder="1" applyProtection="1">
      <protection hidden="1"/>
    </xf>
    <xf numFmtId="0" fontId="103" fillId="0" borderId="0" xfId="0" applyFont="1" applyFill="1" applyBorder="1" applyAlignment="1">
      <alignment horizontal="center"/>
    </xf>
    <xf numFmtId="0" fontId="103" fillId="0" borderId="0" xfId="0" applyFont="1" applyFill="1" applyBorder="1" applyAlignment="1">
      <alignment wrapText="1"/>
    </xf>
    <xf numFmtId="0" fontId="103" fillId="0" borderId="0" xfId="0" applyFont="1" applyFill="1" applyBorder="1" applyAlignment="1">
      <alignment horizontal="left" indent="1"/>
    </xf>
    <xf numFmtId="0" fontId="104" fillId="0" borderId="0" xfId="0" applyFont="1" applyProtection="1">
      <protection hidden="1"/>
    </xf>
    <xf numFmtId="0" fontId="104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NumberFormat="1" applyFont="1" applyAlignment="1" applyProtection="1">
      <alignment horizontal="center"/>
      <protection hidden="1"/>
    </xf>
    <xf numFmtId="0" fontId="4" fillId="0" borderId="12" xfId="0" applyNumberFormat="1" applyFont="1" applyBorder="1" applyAlignment="1" applyProtection="1">
      <alignment horizontal="center"/>
      <protection hidden="1"/>
    </xf>
    <xf numFmtId="0" fontId="4" fillId="0" borderId="13" xfId="0" applyNumberFormat="1" applyFont="1" applyBorder="1" applyAlignment="1" applyProtection="1">
      <alignment horizontal="center"/>
      <protection hidden="1"/>
    </xf>
    <xf numFmtId="0" fontId="4" fillId="0" borderId="21" xfId="0" applyNumberFormat="1" applyFont="1" applyBorder="1" applyAlignment="1" applyProtection="1">
      <alignment horizontal="center"/>
      <protection hidden="1"/>
    </xf>
    <xf numFmtId="0" fontId="54" fillId="0" borderId="1" xfId="0" applyNumberFormat="1" applyFont="1" applyBorder="1" applyAlignment="1" applyProtection="1">
      <alignment horizontal="left" textRotation="90" wrapText="1"/>
      <protection hidden="1"/>
    </xf>
    <xf numFmtId="0" fontId="84" fillId="0" borderId="20" xfId="0" applyNumberFormat="1" applyFont="1" applyBorder="1" applyAlignment="1" applyProtection="1">
      <alignment horizontal="center"/>
      <protection hidden="1"/>
    </xf>
    <xf numFmtId="0" fontId="85" fillId="0" borderId="13" xfId="0" applyNumberFormat="1" applyFont="1" applyBorder="1" applyAlignment="1" applyProtection="1">
      <alignment horizontal="center"/>
      <protection hidden="1"/>
    </xf>
    <xf numFmtId="0" fontId="0" fillId="0" borderId="0" xfId="0" applyNumberFormat="1"/>
    <xf numFmtId="0" fontId="86" fillId="0" borderId="13" xfId="0" applyNumberFormat="1" applyFont="1" applyBorder="1" applyAlignment="1" applyProtection="1">
      <alignment horizontal="center"/>
      <protection hidden="1"/>
    </xf>
    <xf numFmtId="0" fontId="21" fillId="2" borderId="23" xfId="0" applyNumberFormat="1" applyFont="1" applyFill="1" applyBorder="1" applyAlignment="1" applyProtection="1">
      <alignment horizontal="center"/>
      <protection locked="0"/>
    </xf>
    <xf numFmtId="0" fontId="36" fillId="0" borderId="0" xfId="0" applyNumberFormat="1" applyFont="1" applyAlignment="1" applyProtection="1">
      <alignment horizontal="center"/>
      <protection hidden="1"/>
    </xf>
    <xf numFmtId="0" fontId="5" fillId="0" borderId="13" xfId="0" applyNumberFormat="1" applyFont="1" applyBorder="1" applyAlignment="1" applyProtection="1">
      <alignment horizontal="center"/>
      <protection hidden="1"/>
    </xf>
    <xf numFmtId="0" fontId="105" fillId="0" borderId="0" xfId="4" applyFont="1" applyFill="1"/>
    <xf numFmtId="0" fontId="90" fillId="21" borderId="0" xfId="4" applyFill="1"/>
    <xf numFmtId="1" fontId="28" fillId="0" borderId="1" xfId="0" applyNumberFormat="1" applyFont="1" applyFill="1" applyBorder="1" applyAlignment="1" applyProtection="1">
      <alignment horizontal="center"/>
      <protection hidden="1"/>
    </xf>
    <xf numFmtId="0" fontId="96" fillId="0" borderId="13" xfId="0" applyNumberFormat="1" applyFont="1" applyFill="1" applyBorder="1" applyAlignment="1" applyProtection="1">
      <alignment horizontal="center"/>
      <protection hidden="1"/>
    </xf>
    <xf numFmtId="0" fontId="96" fillId="0" borderId="21" xfId="0" applyNumberFormat="1" applyFont="1" applyFill="1" applyBorder="1" applyAlignment="1" applyProtection="1">
      <alignment horizontal="center"/>
      <protection hidden="1"/>
    </xf>
    <xf numFmtId="0" fontId="28" fillId="0" borderId="13" xfId="0" applyNumberFormat="1" applyFont="1" applyFill="1" applyBorder="1" applyAlignment="1" applyProtection="1">
      <alignment horizontal="center"/>
      <protection hidden="1"/>
    </xf>
    <xf numFmtId="0" fontId="96" fillId="0" borderId="20" xfId="0" applyNumberFormat="1" applyFont="1" applyFill="1" applyBorder="1" applyAlignment="1" applyProtection="1">
      <alignment horizontal="center"/>
      <protection hidden="1"/>
    </xf>
    <xf numFmtId="0" fontId="29" fillId="0" borderId="21" xfId="0" applyNumberFormat="1" applyFont="1" applyFill="1" applyBorder="1" applyAlignment="1" applyProtection="1">
      <alignment horizontal="center"/>
      <protection hidden="1"/>
    </xf>
    <xf numFmtId="0" fontId="28" fillId="0" borderId="1" xfId="0" applyNumberFormat="1" applyFont="1" applyFill="1" applyBorder="1" applyAlignment="1" applyProtection="1">
      <alignment horizontal="center"/>
      <protection hidden="1"/>
    </xf>
    <xf numFmtId="0" fontId="77" fillId="0" borderId="21" xfId="0" applyNumberFormat="1" applyFont="1" applyFill="1" applyBorder="1" applyAlignment="1" applyProtection="1">
      <alignment horizontal="center"/>
      <protection hidden="1"/>
    </xf>
    <xf numFmtId="0" fontId="77" fillId="0" borderId="20" xfId="0" applyNumberFormat="1" applyFont="1" applyFill="1" applyBorder="1" applyAlignment="1" applyProtection="1">
      <alignment horizontal="center"/>
      <protection hidden="1"/>
    </xf>
    <xf numFmtId="0" fontId="77" fillId="0" borderId="13" xfId="0" applyNumberFormat="1" applyFont="1" applyFill="1" applyBorder="1" applyAlignment="1" applyProtection="1">
      <alignment horizontal="center"/>
      <protection hidden="1"/>
    </xf>
    <xf numFmtId="0" fontId="77" fillId="0" borderId="1" xfId="0" applyNumberFormat="1" applyFont="1" applyFill="1" applyBorder="1" applyAlignment="1" applyProtection="1">
      <alignment horizontal="center"/>
      <protection hidden="1"/>
    </xf>
    <xf numFmtId="0" fontId="77" fillId="0" borderId="19" xfId="0" applyNumberFormat="1" applyFont="1" applyFill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center"/>
      <protection hidden="1"/>
    </xf>
    <xf numFmtId="4" fontId="4" fillId="0" borderId="19" xfId="0" applyNumberFormat="1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4" fontId="6" fillId="0" borderId="1" xfId="0" applyNumberFormat="1" applyFont="1" applyBorder="1" applyProtection="1">
      <protection hidden="1"/>
    </xf>
    <xf numFmtId="0" fontId="68" fillId="7" borderId="0" xfId="0" applyFont="1" applyFill="1" applyBorder="1" applyAlignment="1">
      <alignment horizontal="center"/>
    </xf>
    <xf numFmtId="0" fontId="68" fillId="0" borderId="0" xfId="0" applyFont="1" applyBorder="1"/>
    <xf numFmtId="0" fontId="6" fillId="0" borderId="0" xfId="0" applyFont="1" applyFill="1" applyBorder="1" applyAlignment="1" applyProtection="1">
      <alignment horizontal="left" vertical="center"/>
      <protection hidden="1"/>
    </xf>
    <xf numFmtId="0" fontId="68" fillId="0" borderId="0" xfId="0" applyFont="1" applyFill="1" applyBorder="1" applyProtection="1"/>
    <xf numFmtId="0" fontId="4" fillId="24" borderId="0" xfId="0" applyFont="1" applyFill="1"/>
    <xf numFmtId="0" fontId="4" fillId="24" borderId="0" xfId="0" applyFont="1" applyFill="1" applyBorder="1"/>
    <xf numFmtId="0" fontId="4" fillId="24" borderId="57" xfId="0" applyFont="1" applyFill="1" applyBorder="1"/>
    <xf numFmtId="0" fontId="68" fillId="24" borderId="66" xfId="0" applyFont="1" applyFill="1" applyBorder="1" applyAlignment="1">
      <alignment horizontal="left" vertical="center"/>
    </xf>
    <xf numFmtId="0" fontId="68" fillId="24" borderId="66" xfId="0" applyFont="1" applyFill="1" applyBorder="1" applyAlignment="1">
      <alignment horizontal="left" vertical="center" indent="1"/>
    </xf>
    <xf numFmtId="0" fontId="108" fillId="26" borderId="69" xfId="0" applyFont="1" applyFill="1" applyBorder="1" applyAlignment="1">
      <alignment horizontal="center" vertical="center"/>
    </xf>
    <xf numFmtId="0" fontId="4" fillId="24" borderId="64" xfId="0" applyFont="1" applyFill="1" applyBorder="1"/>
    <xf numFmtId="0" fontId="4" fillId="24" borderId="69" xfId="0" applyFont="1" applyFill="1" applyBorder="1"/>
    <xf numFmtId="0" fontId="4" fillId="24" borderId="61" xfId="0" applyFont="1" applyFill="1" applyBorder="1"/>
    <xf numFmtId="0" fontId="9" fillId="5" borderId="18" xfId="1" applyFont="1" applyFill="1" applyBorder="1" applyAlignment="1" applyProtection="1">
      <alignment horizontal="center" vertical="center"/>
      <protection hidden="1"/>
    </xf>
    <xf numFmtId="0" fontId="103" fillId="0" borderId="0" xfId="0" applyFont="1" applyAlignment="1">
      <alignment horizontal="center"/>
    </xf>
    <xf numFmtId="0" fontId="72" fillId="0" borderId="71" xfId="0" applyFont="1" applyFill="1" applyBorder="1" applyAlignment="1" applyProtection="1">
      <alignment horizontal="center"/>
    </xf>
    <xf numFmtId="0" fontId="103" fillId="0" borderId="0" xfId="0" applyFont="1" applyAlignment="1">
      <alignment vertical="top"/>
    </xf>
    <xf numFmtId="0" fontId="0" fillId="24" borderId="0" xfId="0" applyFill="1" applyBorder="1"/>
    <xf numFmtId="0" fontId="0" fillId="24" borderId="0" xfId="0" applyFill="1"/>
    <xf numFmtId="0" fontId="103" fillId="0" borderId="0" xfId="0" applyFont="1" applyAlignment="1">
      <alignment vertical="top" wrapText="1"/>
    </xf>
    <xf numFmtId="0" fontId="70" fillId="0" borderId="2" xfId="0" applyFont="1" applyFill="1" applyBorder="1" applyAlignment="1" applyProtection="1">
      <alignment horizontal="left"/>
      <protection hidden="1"/>
    </xf>
    <xf numFmtId="0" fontId="90" fillId="27" borderId="0" xfId="4" applyFill="1"/>
    <xf numFmtId="0" fontId="36" fillId="5" borderId="0" xfId="0" applyFont="1" applyFill="1" applyAlignment="1" applyProtection="1">
      <alignment horizontal="center"/>
      <protection hidden="1"/>
    </xf>
    <xf numFmtId="0" fontId="68" fillId="24" borderId="66" xfId="0" applyFont="1" applyFill="1" applyBorder="1" applyAlignment="1">
      <alignment horizontal="left" vertical="center" indent="1"/>
    </xf>
    <xf numFmtId="0" fontId="12" fillId="22" borderId="0" xfId="0" applyFont="1" applyFill="1" applyAlignment="1" applyProtection="1">
      <alignment horizontal="center" vertical="center"/>
      <protection hidden="1"/>
    </xf>
    <xf numFmtId="4" fontId="12" fillId="22" borderId="0" xfId="0" applyNumberFormat="1" applyFont="1" applyFill="1" applyAlignment="1" applyProtection="1">
      <alignment horizontal="right" vertical="center"/>
      <protection hidden="1"/>
    </xf>
    <xf numFmtId="0" fontId="68" fillId="24" borderId="66" xfId="0" applyFont="1" applyFill="1" applyBorder="1" applyAlignment="1">
      <alignment horizontal="left" vertical="center" indent="1"/>
    </xf>
    <xf numFmtId="0" fontId="4" fillId="0" borderId="0" xfId="0" applyFont="1" applyBorder="1" applyAlignment="1" applyProtection="1">
      <alignment horizontal="right" vertical="center"/>
      <protection hidden="1"/>
    </xf>
    <xf numFmtId="0" fontId="9" fillId="0" borderId="2" xfId="0" applyFont="1" applyFill="1" applyBorder="1" applyAlignment="1" applyProtection="1">
      <alignment horizontal="right" vertical="center"/>
      <protection hidden="1"/>
    </xf>
    <xf numFmtId="14" fontId="4" fillId="0" borderId="2" xfId="0" applyNumberFormat="1" applyFont="1" applyBorder="1" applyAlignment="1" applyProtection="1">
      <alignment horizontal="right" vertical="center"/>
      <protection hidden="1"/>
    </xf>
    <xf numFmtId="0" fontId="9" fillId="0" borderId="2" xfId="0" applyFont="1" applyFill="1" applyBorder="1" applyAlignment="1" applyProtection="1">
      <alignment vertical="center"/>
      <protection hidden="1"/>
    </xf>
    <xf numFmtId="0" fontId="54" fillId="0" borderId="1" xfId="0" applyFont="1" applyBorder="1" applyAlignment="1" applyProtection="1">
      <alignment horizontal="center" vertical="center" wrapText="1"/>
      <protection hidden="1"/>
    </xf>
    <xf numFmtId="0" fontId="54" fillId="0" borderId="1" xfId="0" applyFont="1" applyBorder="1" applyAlignment="1" applyProtection="1">
      <alignment horizontal="right" wrapText="1" indent="1"/>
      <protection hidden="1"/>
    </xf>
    <xf numFmtId="0" fontId="56" fillId="15" borderId="0" xfId="0" applyFont="1" applyFill="1" applyAlignment="1" applyProtection="1">
      <alignment horizontal="center" textRotation="90"/>
      <protection hidden="1"/>
    </xf>
    <xf numFmtId="0" fontId="36" fillId="25" borderId="0" xfId="0" applyFont="1" applyFill="1" applyAlignment="1" applyProtection="1">
      <alignment horizontal="center"/>
      <protection hidden="1"/>
    </xf>
    <xf numFmtId="0" fontId="109" fillId="0" borderId="0" xfId="0" applyFont="1" applyFill="1"/>
    <xf numFmtId="0" fontId="63" fillId="0" borderId="0" xfId="0" applyFont="1" applyBorder="1" applyAlignment="1" applyProtection="1">
      <protection hidden="1"/>
    </xf>
    <xf numFmtId="0" fontId="36" fillId="5" borderId="0" xfId="0" applyFont="1" applyFill="1" applyAlignment="1" applyProtection="1">
      <alignment horizontal="center"/>
      <protection hidden="1"/>
    </xf>
    <xf numFmtId="1" fontId="28" fillId="0" borderId="1" xfId="0" applyNumberFormat="1" applyFont="1" applyFill="1" applyBorder="1" applyAlignment="1" applyProtection="1">
      <alignment horizontal="right" indent="1"/>
      <protection hidden="1"/>
    </xf>
    <xf numFmtId="0" fontId="33" fillId="4" borderId="72" xfId="0" applyNumberFormat="1" applyFont="1" applyFill="1" applyBorder="1" applyAlignment="1">
      <alignment horizontal="center" vertical="center"/>
    </xf>
    <xf numFmtId="1" fontId="33" fillId="4" borderId="72" xfId="0" applyNumberFormat="1" applyFont="1" applyFill="1" applyBorder="1" applyAlignment="1">
      <alignment horizontal="center" vertical="center"/>
    </xf>
    <xf numFmtId="0" fontId="73" fillId="4" borderId="72" xfId="0" applyNumberFormat="1" applyFont="1" applyFill="1" applyBorder="1" applyAlignment="1">
      <alignment horizontal="center" vertical="center"/>
    </xf>
    <xf numFmtId="1" fontId="73" fillId="0" borderId="72" xfId="0" applyNumberFormat="1" applyFont="1" applyFill="1" applyBorder="1" applyAlignment="1">
      <alignment horizontal="center" vertical="center"/>
    </xf>
    <xf numFmtId="1" fontId="73" fillId="4" borderId="72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 applyProtection="1">
      <alignment horizontal="center" vertical="center"/>
      <protection hidden="1"/>
    </xf>
    <xf numFmtId="0" fontId="110" fillId="0" borderId="3" xfId="0" applyNumberFormat="1" applyFont="1" applyFill="1" applyBorder="1" applyAlignment="1" applyProtection="1">
      <alignment horizontal="center"/>
    </xf>
    <xf numFmtId="0" fontId="92" fillId="0" borderId="20" xfId="0" applyNumberFormat="1" applyFont="1" applyFill="1" applyBorder="1" applyAlignment="1" applyProtection="1">
      <alignment horizontal="center" vertical="center"/>
      <protection hidden="1"/>
    </xf>
    <xf numFmtId="0" fontId="92" fillId="0" borderId="13" xfId="0" applyNumberFormat="1" applyFont="1" applyFill="1" applyBorder="1" applyAlignment="1" applyProtection="1">
      <alignment horizontal="center" vertical="center"/>
      <protection hidden="1"/>
    </xf>
    <xf numFmtId="0" fontId="9" fillId="0" borderId="20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NumberFormat="1" applyFont="1" applyFill="1" applyBorder="1" applyAlignment="1" applyProtection="1">
      <alignment horizontal="center" vertical="center"/>
      <protection hidden="1"/>
    </xf>
    <xf numFmtId="1" fontId="9" fillId="0" borderId="20" xfId="0" applyNumberFormat="1" applyFont="1" applyFill="1" applyBorder="1" applyAlignment="1" applyProtection="1">
      <alignment horizontal="center" vertical="center"/>
      <protection hidden="1"/>
    </xf>
    <xf numFmtId="1" fontId="9" fillId="0" borderId="13" xfId="0" applyNumberFormat="1" applyFont="1" applyFill="1" applyBorder="1" applyAlignment="1" applyProtection="1">
      <alignment horizontal="center" vertical="center"/>
      <protection hidden="1"/>
    </xf>
    <xf numFmtId="1" fontId="31" fillId="0" borderId="19" xfId="0" applyNumberFormat="1" applyFont="1" applyFill="1" applyBorder="1" applyAlignment="1" applyProtection="1">
      <alignment horizontal="center" vertical="center"/>
      <protection hidden="1"/>
    </xf>
    <xf numFmtId="1" fontId="9" fillId="0" borderId="19" xfId="0" applyNumberFormat="1" applyFont="1" applyFill="1" applyBorder="1" applyAlignment="1" applyProtection="1">
      <alignment horizontal="center" vertical="center"/>
      <protection hidden="1"/>
    </xf>
    <xf numFmtId="1" fontId="32" fillId="0" borderId="1" xfId="0" applyNumberFormat="1" applyFont="1" applyFill="1" applyBorder="1" applyAlignment="1" applyProtection="1">
      <alignment horizontal="center"/>
      <protection hidden="1"/>
    </xf>
    <xf numFmtId="1" fontId="59" fillId="0" borderId="19" xfId="0" applyNumberFormat="1" applyFont="1" applyFill="1" applyBorder="1" applyAlignment="1" applyProtection="1">
      <alignment horizontal="center" vertical="center"/>
      <protection hidden="1"/>
    </xf>
    <xf numFmtId="0" fontId="33" fillId="0" borderId="20" xfId="0" applyNumberFormat="1" applyFont="1" applyFill="1" applyBorder="1" applyAlignment="1">
      <alignment horizontal="center" vertical="center"/>
    </xf>
    <xf numFmtId="0" fontId="33" fillId="0" borderId="13" xfId="0" applyNumberFormat="1" applyFont="1" applyFill="1" applyBorder="1" applyAlignment="1">
      <alignment horizontal="center" vertical="center"/>
    </xf>
    <xf numFmtId="0" fontId="59" fillId="0" borderId="19" xfId="0" applyNumberFormat="1" applyFont="1" applyFill="1" applyBorder="1" applyAlignment="1" applyProtection="1">
      <alignment horizontal="center" vertical="center"/>
      <protection hidden="1"/>
    </xf>
    <xf numFmtId="0" fontId="33" fillId="0" borderId="2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0" fontId="81" fillId="0" borderId="20" xfId="0" applyNumberFormat="1" applyFont="1" applyFill="1" applyBorder="1" applyAlignment="1">
      <alignment horizontal="center" vertical="center"/>
    </xf>
    <xf numFmtId="0" fontId="81" fillId="0" borderId="13" xfId="0" applyNumberFormat="1" applyFont="1" applyFill="1" applyBorder="1" applyAlignment="1">
      <alignment horizontal="center" vertical="center"/>
    </xf>
    <xf numFmtId="0" fontId="81" fillId="0" borderId="21" xfId="0" applyNumberFormat="1" applyFont="1" applyFill="1" applyBorder="1" applyAlignment="1">
      <alignment horizontal="center" vertical="center"/>
    </xf>
    <xf numFmtId="0" fontId="95" fillId="0" borderId="20" xfId="0" applyNumberFormat="1" applyFont="1" applyFill="1" applyBorder="1" applyAlignment="1">
      <alignment horizontal="center" vertical="center"/>
    </xf>
    <xf numFmtId="0" fontId="95" fillId="0" borderId="13" xfId="0" applyNumberFormat="1" applyFont="1" applyFill="1" applyBorder="1" applyAlignment="1">
      <alignment horizontal="center" vertical="center"/>
    </xf>
    <xf numFmtId="0" fontId="95" fillId="0" borderId="21" xfId="0" applyNumberFormat="1" applyFont="1" applyFill="1" applyBorder="1" applyAlignment="1">
      <alignment horizontal="center" vertical="center"/>
    </xf>
    <xf numFmtId="0" fontId="73" fillId="0" borderId="20" xfId="0" applyNumberFormat="1" applyFont="1" applyFill="1" applyBorder="1" applyAlignment="1">
      <alignment horizontal="center" vertical="center"/>
    </xf>
    <xf numFmtId="0" fontId="73" fillId="0" borderId="13" xfId="0" applyNumberFormat="1" applyFont="1" applyFill="1" applyBorder="1" applyAlignment="1">
      <alignment horizontal="center" vertical="center"/>
    </xf>
    <xf numFmtId="1" fontId="33" fillId="0" borderId="2" xfId="0" applyNumberFormat="1" applyFont="1" applyFill="1" applyBorder="1" applyAlignment="1">
      <alignment horizontal="center" vertical="center"/>
    </xf>
    <xf numFmtId="1" fontId="92" fillId="0" borderId="19" xfId="0" applyNumberFormat="1" applyFont="1" applyFill="1" applyBorder="1" applyAlignment="1" applyProtection="1">
      <alignment horizontal="center" vertical="center"/>
      <protection hidden="1"/>
    </xf>
    <xf numFmtId="0" fontId="95" fillId="22" borderId="20" xfId="0" applyNumberFormat="1" applyFont="1" applyFill="1" applyBorder="1" applyAlignment="1">
      <alignment horizontal="center" vertical="center"/>
    </xf>
    <xf numFmtId="0" fontId="95" fillId="22" borderId="13" xfId="0" applyNumberFormat="1" applyFont="1" applyFill="1" applyBorder="1" applyAlignment="1">
      <alignment horizontal="center" vertical="center"/>
    </xf>
    <xf numFmtId="0" fontId="95" fillId="22" borderId="21" xfId="0" applyNumberFormat="1" applyFont="1" applyFill="1" applyBorder="1" applyAlignment="1">
      <alignment horizontal="center" vertical="center"/>
    </xf>
    <xf numFmtId="0" fontId="33" fillId="22" borderId="20" xfId="0" applyNumberFormat="1" applyFont="1" applyFill="1" applyBorder="1" applyAlignment="1">
      <alignment horizontal="center" vertical="center"/>
    </xf>
    <xf numFmtId="0" fontId="33" fillId="22" borderId="13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1" fontId="9" fillId="22" borderId="19" xfId="0" applyNumberFormat="1" applyFont="1" applyFill="1" applyBorder="1" applyAlignment="1" applyProtection="1">
      <alignment horizontal="center" vertical="center"/>
      <protection hidden="1"/>
    </xf>
    <xf numFmtId="0" fontId="28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hidden="1"/>
    </xf>
    <xf numFmtId="0" fontId="101" fillId="0" borderId="19" xfId="0" applyNumberFormat="1" applyFont="1" applyFill="1" applyBorder="1" applyAlignment="1" applyProtection="1">
      <alignment horizontal="center" vertical="center"/>
      <protection hidden="1"/>
    </xf>
    <xf numFmtId="49" fontId="9" fillId="0" borderId="16" xfId="0" applyNumberFormat="1" applyFont="1" applyFill="1" applyBorder="1" applyAlignment="1" applyProtection="1">
      <alignment horizontal="center" vertical="center"/>
      <protection hidden="1"/>
    </xf>
    <xf numFmtId="0" fontId="9" fillId="0" borderId="16" xfId="0" applyFont="1" applyFill="1" applyBorder="1" applyAlignment="1" applyProtection="1">
      <alignment horizontal="center" vertical="center"/>
      <protection hidden="1"/>
    </xf>
    <xf numFmtId="166" fontId="110" fillId="0" borderId="3" xfId="0" applyNumberFormat="1" applyFont="1" applyFill="1" applyBorder="1" applyAlignment="1" applyProtection="1"/>
    <xf numFmtId="0" fontId="88" fillId="2" borderId="0" xfId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45" fillId="5" borderId="0" xfId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4" fillId="0" borderId="54" xfId="1" applyFont="1" applyBorder="1" applyAlignment="1" applyProtection="1">
      <alignment horizontal="center" vertical="center"/>
      <protection hidden="1"/>
    </xf>
    <xf numFmtId="0" fontId="44" fillId="0" borderId="10" xfId="1" applyFont="1" applyBorder="1" applyAlignment="1" applyProtection="1">
      <alignment horizontal="center" vertical="center"/>
      <protection hidden="1"/>
    </xf>
    <xf numFmtId="0" fontId="44" fillId="0" borderId="54" xfId="2" applyFont="1" applyBorder="1" applyAlignment="1" applyProtection="1">
      <alignment horizontal="center" vertical="center"/>
      <protection hidden="1"/>
    </xf>
    <xf numFmtId="0" fontId="44" fillId="0" borderId="1" xfId="2" applyFont="1" applyBorder="1" applyAlignment="1" applyProtection="1">
      <alignment horizontal="center" vertical="center"/>
      <protection hidden="1"/>
    </xf>
    <xf numFmtId="0" fontId="44" fillId="0" borderId="10" xfId="2" applyFont="1" applyBorder="1" applyAlignment="1" applyProtection="1">
      <alignment horizontal="center" vertical="center"/>
      <protection hidden="1"/>
    </xf>
    <xf numFmtId="0" fontId="44" fillId="0" borderId="0" xfId="2" applyFont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34" fillId="0" borderId="0" xfId="0" applyFont="1" applyAlignment="1" applyProtection="1">
      <alignment horizontal="center"/>
      <protection hidden="1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12" fillId="0" borderId="0" xfId="5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65" fillId="5" borderId="0" xfId="1" applyFont="1" applyFill="1" applyAlignment="1" applyProtection="1">
      <alignment horizontal="center" vertical="center"/>
      <protection hidden="1"/>
    </xf>
    <xf numFmtId="49" fontId="108" fillId="26" borderId="64" xfId="0" applyNumberFormat="1" applyFont="1" applyFill="1" applyBorder="1" applyAlignment="1">
      <alignment horizontal="center" vertical="center"/>
    </xf>
    <xf numFmtId="0" fontId="68" fillId="24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top" wrapText="1"/>
      <protection hidden="1"/>
    </xf>
    <xf numFmtId="0" fontId="107" fillId="23" borderId="0" xfId="0" applyFont="1" applyFill="1" applyAlignment="1">
      <alignment horizontal="right" vertical="center" indent="1"/>
    </xf>
    <xf numFmtId="0" fontId="4" fillId="25" borderId="55" xfId="0" applyFont="1" applyFill="1" applyBorder="1" applyAlignment="1">
      <alignment horizontal="center"/>
    </xf>
    <xf numFmtId="0" fontId="42" fillId="25" borderId="55" xfId="0" applyFont="1" applyFill="1" applyBorder="1" applyAlignment="1">
      <alignment horizontal="left" vertical="center" indent="1"/>
    </xf>
    <xf numFmtId="0" fontId="4" fillId="24" borderId="59" xfId="0" applyFont="1" applyFill="1" applyBorder="1" applyAlignment="1">
      <alignment horizontal="center"/>
    </xf>
    <xf numFmtId="0" fontId="4" fillId="24" borderId="61" xfId="0" applyFont="1" applyFill="1" applyBorder="1" applyAlignment="1">
      <alignment horizontal="center"/>
    </xf>
    <xf numFmtId="0" fontId="4" fillId="24" borderId="0" xfId="0" applyFont="1" applyFill="1" applyBorder="1" applyAlignment="1">
      <alignment horizontal="center"/>
    </xf>
    <xf numFmtId="0" fontId="4" fillId="24" borderId="57" xfId="0" applyFont="1" applyFill="1" applyBorder="1" applyAlignment="1">
      <alignment horizontal="center"/>
    </xf>
    <xf numFmtId="0" fontId="68" fillId="24" borderId="63" xfId="0" applyFont="1" applyFill="1" applyBorder="1" applyAlignment="1">
      <alignment horizontal="left" vertical="center" indent="1"/>
    </xf>
    <xf numFmtId="0" fontId="68" fillId="24" borderId="64" xfId="0" applyFont="1" applyFill="1" applyBorder="1" applyAlignment="1">
      <alignment horizontal="left" vertical="center" indent="1"/>
    </xf>
    <xf numFmtId="0" fontId="68" fillId="24" borderId="65" xfId="0" applyFont="1" applyFill="1" applyBorder="1" applyAlignment="1">
      <alignment horizontal="left" vertical="center" indent="1"/>
    </xf>
    <xf numFmtId="0" fontId="68" fillId="24" borderId="60" xfId="0" applyFont="1" applyFill="1" applyBorder="1" applyAlignment="1">
      <alignment horizontal="center" vertical="center" wrapText="1"/>
    </xf>
    <xf numFmtId="0" fontId="68" fillId="24" borderId="59" xfId="0" applyFont="1" applyFill="1" applyBorder="1" applyAlignment="1">
      <alignment horizontal="center" vertical="center" wrapText="1"/>
    </xf>
    <xf numFmtId="0" fontId="68" fillId="24" borderId="70" xfId="0" applyFont="1" applyFill="1" applyBorder="1" applyAlignment="1">
      <alignment horizontal="center" vertical="center" wrapText="1"/>
    </xf>
    <xf numFmtId="0" fontId="68" fillId="24" borderId="55" xfId="0" applyFont="1" applyFill="1" applyBorder="1" applyAlignment="1">
      <alignment horizontal="center" vertical="center" wrapText="1"/>
    </xf>
    <xf numFmtId="0" fontId="68" fillId="24" borderId="66" xfId="0" applyFont="1" applyFill="1" applyBorder="1" applyAlignment="1">
      <alignment horizontal="left" vertical="center" indent="1"/>
    </xf>
    <xf numFmtId="0" fontId="68" fillId="24" borderId="66" xfId="0" applyFont="1" applyFill="1" applyBorder="1" applyAlignment="1">
      <alignment horizontal="center" vertical="center"/>
    </xf>
    <xf numFmtId="0" fontId="68" fillId="24" borderId="62" xfId="0" applyFont="1" applyFill="1" applyBorder="1" applyAlignment="1">
      <alignment horizontal="center" vertical="center"/>
    </xf>
    <xf numFmtId="0" fontId="108" fillId="23" borderId="63" xfId="0" applyFont="1" applyFill="1" applyBorder="1" applyAlignment="1">
      <alignment horizontal="right" vertical="center" indent="1"/>
    </xf>
    <xf numFmtId="0" fontId="108" fillId="23" borderId="65" xfId="0" applyFont="1" applyFill="1" applyBorder="1" applyAlignment="1">
      <alignment horizontal="right" vertical="center" indent="1"/>
    </xf>
    <xf numFmtId="0" fontId="68" fillId="24" borderId="58" xfId="0" applyFont="1" applyFill="1" applyBorder="1" applyAlignment="1">
      <alignment horizontal="left" vertical="center" indent="1"/>
    </xf>
    <xf numFmtId="0" fontId="68" fillId="24" borderId="59" xfId="0" applyFont="1" applyFill="1" applyBorder="1" applyAlignment="1">
      <alignment horizontal="left" vertical="center" indent="1"/>
    </xf>
    <xf numFmtId="0" fontId="68" fillId="24" borderId="61" xfId="0" applyFont="1" applyFill="1" applyBorder="1" applyAlignment="1">
      <alignment horizontal="left" vertical="center" indent="1"/>
    </xf>
    <xf numFmtId="0" fontId="68" fillId="24" borderId="56" xfId="0" applyFont="1" applyFill="1" applyBorder="1" applyAlignment="1">
      <alignment horizontal="left" vertical="center" indent="1"/>
    </xf>
    <xf numFmtId="0" fontId="68" fillId="24" borderId="0" xfId="0" applyFont="1" applyFill="1" applyBorder="1" applyAlignment="1">
      <alignment horizontal="left" vertical="center" indent="1"/>
    </xf>
    <xf numFmtId="0" fontId="68" fillId="24" borderId="57" xfId="0" applyFont="1" applyFill="1" applyBorder="1" applyAlignment="1">
      <alignment horizontal="left" vertical="center" indent="1"/>
    </xf>
    <xf numFmtId="0" fontId="68" fillId="24" borderId="67" xfId="0" applyFont="1" applyFill="1" applyBorder="1" applyAlignment="1">
      <alignment horizontal="left" vertical="center" indent="1"/>
    </xf>
    <xf numFmtId="0" fontId="68" fillId="24" borderId="55" xfId="0" applyFont="1" applyFill="1" applyBorder="1" applyAlignment="1">
      <alignment horizontal="left" vertical="center" indent="1"/>
    </xf>
    <xf numFmtId="0" fontId="68" fillId="24" borderId="68" xfId="0" applyFont="1" applyFill="1" applyBorder="1" applyAlignment="1">
      <alignment horizontal="left" vertical="center" indent="1"/>
    </xf>
    <xf numFmtId="49" fontId="108" fillId="26" borderId="6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2" fillId="5" borderId="0" xfId="1" applyFont="1" applyFill="1" applyAlignment="1">
      <alignment horizontal="center"/>
    </xf>
    <xf numFmtId="0" fontId="63" fillId="0" borderId="19" xfId="0" applyFont="1" applyBorder="1" applyAlignment="1" applyProtection="1">
      <alignment horizontal="right"/>
      <protection hidden="1"/>
    </xf>
    <xf numFmtId="0" fontId="63" fillId="0" borderId="16" xfId="0" applyFont="1" applyBorder="1" applyAlignment="1" applyProtection="1">
      <alignment horizontal="right"/>
      <protection hidden="1"/>
    </xf>
    <xf numFmtId="0" fontId="2" fillId="13" borderId="0" xfId="0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" fillId="14" borderId="0" xfId="0" applyFont="1" applyFill="1" applyAlignment="1">
      <alignment horizontal="right"/>
    </xf>
    <xf numFmtId="0" fontId="2" fillId="15" borderId="0" xfId="0" applyFont="1" applyFill="1" applyAlignment="1">
      <alignment horizontal="right"/>
    </xf>
    <xf numFmtId="0" fontId="2" fillId="16" borderId="0" xfId="0" applyFont="1" applyFill="1" applyAlignment="1">
      <alignment horizontal="right"/>
    </xf>
    <xf numFmtId="0" fontId="2" fillId="8" borderId="0" xfId="0" applyFont="1" applyFill="1" applyAlignment="1">
      <alignment horizontal="right"/>
    </xf>
    <xf numFmtId="0" fontId="56" fillId="17" borderId="0" xfId="0" applyFont="1" applyFill="1" applyAlignment="1" applyProtection="1">
      <alignment horizontal="center" textRotation="90"/>
      <protection hidden="1"/>
    </xf>
    <xf numFmtId="0" fontId="56" fillId="18" borderId="0" xfId="0" applyFont="1" applyFill="1" applyAlignment="1" applyProtection="1">
      <alignment horizontal="center" textRotation="90"/>
      <protection hidden="1"/>
    </xf>
    <xf numFmtId="0" fontId="56" fillId="5" borderId="0" xfId="0" applyFont="1" applyFill="1" applyAlignment="1" applyProtection="1">
      <alignment horizontal="center" textRotation="90"/>
      <protection hidden="1"/>
    </xf>
    <xf numFmtId="0" fontId="106" fillId="18" borderId="0" xfId="0" applyFont="1" applyFill="1" applyAlignment="1" applyProtection="1">
      <alignment horizontal="center" textRotation="90"/>
      <protection hidden="1"/>
    </xf>
    <xf numFmtId="0" fontId="56" fillId="15" borderId="0" xfId="0" applyFont="1" applyFill="1" applyAlignment="1" applyProtection="1">
      <alignment horizontal="center" textRotation="90"/>
      <protection hidden="1"/>
    </xf>
    <xf numFmtId="0" fontId="36" fillId="5" borderId="0" xfId="0" applyFont="1" applyFill="1" applyAlignment="1" applyProtection="1">
      <alignment horizontal="center"/>
      <protection hidden="1"/>
    </xf>
    <xf numFmtId="0" fontId="36" fillId="0" borderId="13" xfId="0" applyFont="1" applyBorder="1" applyAlignment="1" applyProtection="1">
      <alignment horizontal="center" vertical="top"/>
      <protection locked="0" hidden="1"/>
    </xf>
    <xf numFmtId="165" fontId="5" fillId="0" borderId="13" xfId="0" applyNumberFormat="1" applyFont="1" applyBorder="1" applyAlignment="1" applyProtection="1">
      <alignment horizontal="right"/>
      <protection hidden="1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Border="1"/>
    <xf numFmtId="4" fontId="102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111" fillId="0" borderId="0" xfId="0" applyNumberFormat="1" applyFont="1" applyFill="1" applyBorder="1" applyAlignment="1" applyProtection="1">
      <alignment horizontal="center"/>
    </xf>
    <xf numFmtId="0" fontId="104" fillId="0" borderId="0" xfId="0" applyFont="1" applyBorder="1"/>
  </cellXfs>
  <cellStyles count="9">
    <cellStyle name="Hypertextový odkaz" xfId="1" builtinId="8"/>
    <cellStyle name="Hypertextový odkaz 2" xfId="2"/>
    <cellStyle name="Měna" xfId="3" builtinId="4"/>
    <cellStyle name="Normální" xfId="0" builtinId="0"/>
    <cellStyle name="Normální 2" xfId="4"/>
    <cellStyle name="normální 2 2" xfId="5"/>
    <cellStyle name="normální 2 3" xfId="6"/>
    <cellStyle name="Normální 2_BOXPLAN_antaro_100" xfId="7"/>
    <cellStyle name="normální_List1_1" xfId="8"/>
  </cellStyles>
  <dxfs count="23"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7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Drop" dropLines="4" dropStyle="combo" dx="22" fmlaLink="$N$2" fmlaRange="$O$3:$O$6" noThreeD="1" sel="1" val="0"/>
</file>

<file path=xl/ctrlProps/ctrlProp2.xml><?xml version="1.0" encoding="utf-8"?>
<formControlPr xmlns="http://schemas.microsoft.com/office/spreadsheetml/2009/9/main" objectType="Drop" dropLines="2" dropStyle="combo" dx="22" fmlaLink="$N$13" fmlaRange="$N$14:$N$15" noThreeD="1" sel="2" val="0"/>
</file>

<file path=xl/ctrlProps/ctrlProp3.xml><?xml version="1.0" encoding="utf-8"?>
<formControlPr xmlns="http://schemas.microsoft.com/office/spreadsheetml/2009/9/main" objectType="Drop" dropStyle="combo" dx="22" fmlaLink="$N$21" fmlaRange="$N$22:$N$24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2.png"/><Relationship Id="rId1" Type="http://schemas.openxmlformats.org/officeDocument/2006/relationships/image" Target="../media/image44.png"/><Relationship Id="rId4" Type="http://schemas.openxmlformats.org/officeDocument/2006/relationships/image" Target="../media/image36.gi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45.png"/><Relationship Id="rId1" Type="http://schemas.openxmlformats.org/officeDocument/2006/relationships/image" Target="../media/image2.png"/><Relationship Id="rId4" Type="http://schemas.openxmlformats.org/officeDocument/2006/relationships/image" Target="../media/image36.gi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2.png"/><Relationship Id="rId1" Type="http://schemas.openxmlformats.org/officeDocument/2006/relationships/image" Target="../media/image46.png"/><Relationship Id="rId4" Type="http://schemas.openxmlformats.org/officeDocument/2006/relationships/image" Target="../media/image36.gi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gif"/><Relationship Id="rId2" Type="http://schemas.openxmlformats.org/officeDocument/2006/relationships/image" Target="../media/image47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gif"/><Relationship Id="rId2" Type="http://schemas.openxmlformats.org/officeDocument/2006/relationships/image" Target="../media/image2.png"/><Relationship Id="rId1" Type="http://schemas.openxmlformats.org/officeDocument/2006/relationships/image" Target="../media/image48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gif"/><Relationship Id="rId1" Type="http://schemas.openxmlformats.org/officeDocument/2006/relationships/image" Target="../media/image4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gif"/><Relationship Id="rId1" Type="http://schemas.openxmlformats.org/officeDocument/2006/relationships/image" Target="../media/image5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26" Type="http://schemas.openxmlformats.org/officeDocument/2006/relationships/image" Target="../media/image31.png"/><Relationship Id="rId3" Type="http://schemas.openxmlformats.org/officeDocument/2006/relationships/image" Target="../media/image9.png"/><Relationship Id="rId21" Type="http://schemas.openxmlformats.org/officeDocument/2006/relationships/image" Target="../media/image26.png"/><Relationship Id="rId7" Type="http://schemas.openxmlformats.org/officeDocument/2006/relationships/image" Target="../media/image13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2" Type="http://schemas.openxmlformats.org/officeDocument/2006/relationships/image" Target="../media/image8.png"/><Relationship Id="rId16" Type="http://schemas.openxmlformats.org/officeDocument/2006/relationships/image" Target="../media/image21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4.png"/><Relationship Id="rId24" Type="http://schemas.openxmlformats.org/officeDocument/2006/relationships/image" Target="../media/image29.png"/><Relationship Id="rId5" Type="http://schemas.openxmlformats.org/officeDocument/2006/relationships/image" Target="../media/image11.png"/><Relationship Id="rId15" Type="http://schemas.openxmlformats.org/officeDocument/2006/relationships/image" Target="../media/image20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10" Type="http://schemas.openxmlformats.org/officeDocument/2006/relationships/image" Target="../media/image16.png"/><Relationship Id="rId19" Type="http://schemas.openxmlformats.org/officeDocument/2006/relationships/image" Target="../media/image24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gif"/><Relationship Id="rId2" Type="http://schemas.openxmlformats.org/officeDocument/2006/relationships/image" Target="../media/image2.png"/><Relationship Id="rId1" Type="http://schemas.openxmlformats.org/officeDocument/2006/relationships/image" Target="../media/image5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6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7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8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9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0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1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gif"/><Relationship Id="rId1" Type="http://schemas.openxmlformats.org/officeDocument/2006/relationships/image" Target="../media/image35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4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gif"/><Relationship Id="rId2" Type="http://schemas.openxmlformats.org/officeDocument/2006/relationships/image" Target="../media/image2.png"/><Relationship Id="rId1" Type="http://schemas.openxmlformats.org/officeDocument/2006/relationships/image" Target="../media/image65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png"/><Relationship Id="rId3" Type="http://schemas.openxmlformats.org/officeDocument/2006/relationships/image" Target="../media/image70.png"/><Relationship Id="rId7" Type="http://schemas.openxmlformats.org/officeDocument/2006/relationships/image" Target="../media/image74.png"/><Relationship Id="rId12" Type="http://schemas.openxmlformats.org/officeDocument/2006/relationships/image" Target="../media/image79.gif"/><Relationship Id="rId2" Type="http://schemas.openxmlformats.org/officeDocument/2006/relationships/image" Target="../media/image69.png"/><Relationship Id="rId1" Type="http://schemas.openxmlformats.org/officeDocument/2006/relationships/image" Target="../media/image68.png"/><Relationship Id="rId6" Type="http://schemas.openxmlformats.org/officeDocument/2006/relationships/image" Target="../media/image73.png"/><Relationship Id="rId11" Type="http://schemas.openxmlformats.org/officeDocument/2006/relationships/image" Target="../media/image78.png"/><Relationship Id="rId5" Type="http://schemas.openxmlformats.org/officeDocument/2006/relationships/image" Target="../media/image72.png"/><Relationship Id="rId10" Type="http://schemas.openxmlformats.org/officeDocument/2006/relationships/image" Target="../media/image77.png"/><Relationship Id="rId4" Type="http://schemas.openxmlformats.org/officeDocument/2006/relationships/image" Target="../media/image71.png"/><Relationship Id="rId9" Type="http://schemas.openxmlformats.org/officeDocument/2006/relationships/image" Target="../media/image7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png"/><Relationship Id="rId2" Type="http://schemas.openxmlformats.org/officeDocument/2006/relationships/image" Target="../media/image68.png"/><Relationship Id="rId1" Type="http://schemas.openxmlformats.org/officeDocument/2006/relationships/image" Target="../media/image69.png"/><Relationship Id="rId6" Type="http://schemas.openxmlformats.org/officeDocument/2006/relationships/image" Target="../media/image2.png"/><Relationship Id="rId5" Type="http://schemas.openxmlformats.org/officeDocument/2006/relationships/image" Target="../media/image80.png"/><Relationship Id="rId4" Type="http://schemas.openxmlformats.org/officeDocument/2006/relationships/image" Target="../media/image72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70.png"/><Relationship Id="rId7" Type="http://schemas.openxmlformats.org/officeDocument/2006/relationships/image" Target="../media/image40.png"/><Relationship Id="rId2" Type="http://schemas.openxmlformats.org/officeDocument/2006/relationships/image" Target="../media/image69.png"/><Relationship Id="rId1" Type="http://schemas.openxmlformats.org/officeDocument/2006/relationships/image" Target="../media/image68.png"/><Relationship Id="rId6" Type="http://schemas.openxmlformats.org/officeDocument/2006/relationships/image" Target="../media/image81.png"/><Relationship Id="rId5" Type="http://schemas.openxmlformats.org/officeDocument/2006/relationships/image" Target="../media/image71.png"/><Relationship Id="rId4" Type="http://schemas.openxmlformats.org/officeDocument/2006/relationships/image" Target="../media/image7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png"/><Relationship Id="rId2" Type="http://schemas.openxmlformats.org/officeDocument/2006/relationships/image" Target="../media/image70.png"/><Relationship Id="rId1" Type="http://schemas.openxmlformats.org/officeDocument/2006/relationships/image" Target="../media/image68.png"/><Relationship Id="rId6" Type="http://schemas.openxmlformats.org/officeDocument/2006/relationships/image" Target="../media/image82.gif"/><Relationship Id="rId5" Type="http://schemas.openxmlformats.org/officeDocument/2006/relationships/image" Target="../media/image2.png"/><Relationship Id="rId4" Type="http://schemas.openxmlformats.org/officeDocument/2006/relationships/image" Target="../media/image40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3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84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5.png"/><Relationship Id="rId1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gif"/><Relationship Id="rId1" Type="http://schemas.openxmlformats.org/officeDocument/2006/relationships/image" Target="../media/image37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png"/><Relationship Id="rId2" Type="http://schemas.openxmlformats.org/officeDocument/2006/relationships/image" Target="../media/image70.png"/><Relationship Id="rId1" Type="http://schemas.openxmlformats.org/officeDocument/2006/relationships/image" Target="../media/image69.png"/><Relationship Id="rId4" Type="http://schemas.openxmlformats.org/officeDocument/2006/relationships/image" Target="../media/image86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png"/><Relationship Id="rId2" Type="http://schemas.openxmlformats.org/officeDocument/2006/relationships/image" Target="../media/image88.png"/><Relationship Id="rId1" Type="http://schemas.openxmlformats.org/officeDocument/2006/relationships/image" Target="../media/image87.png"/><Relationship Id="rId4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jpeg"/><Relationship Id="rId2" Type="http://schemas.openxmlformats.org/officeDocument/2006/relationships/image" Target="../media/image91.jpeg"/><Relationship Id="rId1" Type="http://schemas.openxmlformats.org/officeDocument/2006/relationships/image" Target="../media/image90.jpeg"/><Relationship Id="rId5" Type="http://schemas.openxmlformats.org/officeDocument/2006/relationships/image" Target="../media/image94.jpeg"/><Relationship Id="rId4" Type="http://schemas.openxmlformats.org/officeDocument/2006/relationships/image" Target="../media/image93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gif"/><Relationship Id="rId2" Type="http://schemas.openxmlformats.org/officeDocument/2006/relationships/image" Target="../media/image38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gif"/><Relationship Id="rId2" Type="http://schemas.openxmlformats.org/officeDocument/2006/relationships/image" Target="../media/image40.png"/><Relationship Id="rId1" Type="http://schemas.openxmlformats.org/officeDocument/2006/relationships/image" Target="../media/image3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gif"/><Relationship Id="rId1" Type="http://schemas.openxmlformats.org/officeDocument/2006/relationships/image" Target="../media/image4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gif"/><Relationship Id="rId2" Type="http://schemas.openxmlformats.org/officeDocument/2006/relationships/image" Target="../media/image2.png"/><Relationship Id="rId1" Type="http://schemas.openxmlformats.org/officeDocument/2006/relationships/image" Target="../media/image4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43.png"/><Relationship Id="rId1" Type="http://schemas.openxmlformats.org/officeDocument/2006/relationships/image" Target="../media/image2.png"/><Relationship Id="rId4" Type="http://schemas.openxmlformats.org/officeDocument/2006/relationships/image" Target="../media/image36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9</xdr:col>
      <xdr:colOff>0</xdr:colOff>
      <xdr:row>14</xdr:row>
      <xdr:rowOff>295275</xdr:rowOff>
    </xdr:to>
    <xdr:pic>
      <xdr:nvPicPr>
        <xdr:cNvPr id="168146" name="Picture 175" descr="BOXPLAN_lbx_title">
          <a:extLst>
            <a:ext uri="{FF2B5EF4-FFF2-40B4-BE49-F238E27FC236}">
              <a16:creationId xmlns:a16="http://schemas.microsoft.com/office/drawing/2014/main" id="{00000000-0008-0000-0000-0000D29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1450"/>
          <a:ext cx="4086225" cy="283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190500</xdr:rowOff>
        </xdr:from>
        <xdr:to>
          <xdr:col>3</xdr:col>
          <xdr:colOff>171450</xdr:colOff>
          <xdr:row>19</xdr:row>
          <xdr:rowOff>31750</xdr:rowOff>
        </xdr:to>
        <xdr:sp macro="" textlink="">
          <xdr:nvSpPr>
            <xdr:cNvPr id="32774" name="Drop Down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0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9</xdr:col>
          <xdr:colOff>0</xdr:colOff>
          <xdr:row>19</xdr:row>
          <xdr:rowOff>0</xdr:rowOff>
        </xdr:to>
        <xdr:sp macro="" textlink="">
          <xdr:nvSpPr>
            <xdr:cNvPr id="32776" name="Drop Down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0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542925</xdr:colOff>
      <xdr:row>121</xdr:row>
      <xdr:rowOff>19050</xdr:rowOff>
    </xdr:from>
    <xdr:to>
      <xdr:col>2</xdr:col>
      <xdr:colOff>0</xdr:colOff>
      <xdr:row>121</xdr:row>
      <xdr:rowOff>180975</xdr:rowOff>
    </xdr:to>
    <xdr:pic>
      <xdr:nvPicPr>
        <xdr:cNvPr id="168147" name="Obrázek 2" descr="Info.gif">
          <a:extLst>
            <a:ext uri="{FF2B5EF4-FFF2-40B4-BE49-F238E27FC236}">
              <a16:creationId xmlns:a16="http://schemas.microsoft.com/office/drawing/2014/main" id="{00000000-0008-0000-0000-0000D39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002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184150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32777" name="Drop Dow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0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19050</xdr:colOff>
      <xdr:row>411</xdr:row>
      <xdr:rowOff>0</xdr:rowOff>
    </xdr:from>
    <xdr:to>
      <xdr:col>1</xdr:col>
      <xdr:colOff>180975</xdr:colOff>
      <xdr:row>412</xdr:row>
      <xdr:rowOff>0</xdr:rowOff>
    </xdr:to>
    <xdr:pic>
      <xdr:nvPicPr>
        <xdr:cNvPr id="168148" name="Obrázek 18" descr="Tip.gif">
          <a:extLst>
            <a:ext uri="{FF2B5EF4-FFF2-40B4-BE49-F238E27FC236}">
              <a16:creationId xmlns:a16="http://schemas.microsoft.com/office/drawing/2014/main" id="{00000000-0008-0000-0000-0000D49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0723125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397</xdr:row>
      <xdr:rowOff>38100</xdr:rowOff>
    </xdr:from>
    <xdr:to>
      <xdr:col>1</xdr:col>
      <xdr:colOff>180975</xdr:colOff>
      <xdr:row>397</xdr:row>
      <xdr:rowOff>200025</xdr:rowOff>
    </xdr:to>
    <xdr:pic>
      <xdr:nvPicPr>
        <xdr:cNvPr id="168149" name="Obrázek 20" descr="Help.gif">
          <a:extLst>
            <a:ext uri="{FF2B5EF4-FFF2-40B4-BE49-F238E27FC236}">
              <a16:creationId xmlns:a16="http://schemas.microsoft.com/office/drawing/2014/main" id="{00000000-0008-0000-0000-0000D59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84276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24</xdr:row>
      <xdr:rowOff>152400</xdr:rowOff>
    </xdr:from>
    <xdr:to>
      <xdr:col>11</xdr:col>
      <xdr:colOff>66675</xdr:colOff>
      <xdr:row>29</xdr:row>
      <xdr:rowOff>28575</xdr:rowOff>
    </xdr:to>
    <xdr:pic>
      <xdr:nvPicPr>
        <xdr:cNvPr id="168150" name="Picture 174" descr="Blum_blumlogo_2">
          <a:extLst>
            <a:ext uri="{FF2B5EF4-FFF2-40B4-BE49-F238E27FC236}">
              <a16:creationId xmlns:a16="http://schemas.microsoft.com/office/drawing/2014/main" id="{00000000-0008-0000-0000-0000D69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5086350"/>
          <a:ext cx="2209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695325</xdr:colOff>
      <xdr:row>4</xdr:row>
      <xdr:rowOff>102395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14325"/>
          <a:ext cx="1390650" cy="5214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276225</xdr:rowOff>
    </xdr:from>
    <xdr:to>
      <xdr:col>6</xdr:col>
      <xdr:colOff>19050</xdr:colOff>
      <xdr:row>16</xdr:row>
      <xdr:rowOff>19050</xdr:rowOff>
    </xdr:to>
    <xdr:pic>
      <xdr:nvPicPr>
        <xdr:cNvPr id="141249" name="Obrázek 8">
          <a:extLst>
            <a:ext uri="{FF2B5EF4-FFF2-40B4-BE49-F238E27FC236}">
              <a16:creationId xmlns:a16="http://schemas.microsoft.com/office/drawing/2014/main" id="{00000000-0008-0000-0900-0000C127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3815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49</xdr:row>
      <xdr:rowOff>9525</xdr:rowOff>
    </xdr:from>
    <xdr:to>
      <xdr:col>1</xdr:col>
      <xdr:colOff>247650</xdr:colOff>
      <xdr:row>50</xdr:row>
      <xdr:rowOff>9525</xdr:rowOff>
    </xdr:to>
    <xdr:pic>
      <xdr:nvPicPr>
        <xdr:cNvPr id="141250" name="Obrázek 28" descr="Info.gif">
          <a:extLst>
            <a:ext uri="{FF2B5EF4-FFF2-40B4-BE49-F238E27FC236}">
              <a16:creationId xmlns:a16="http://schemas.microsoft.com/office/drawing/2014/main" id="{00000000-0008-0000-0900-0000C227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8677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9</xdr:row>
      <xdr:rowOff>152400</xdr:rowOff>
    </xdr:from>
    <xdr:to>
      <xdr:col>6</xdr:col>
      <xdr:colOff>628650</xdr:colOff>
      <xdr:row>10</xdr:row>
      <xdr:rowOff>142875</xdr:rowOff>
    </xdr:to>
    <xdr:pic>
      <xdr:nvPicPr>
        <xdr:cNvPr id="141251" name="Obrázek 28" descr="Info.gif">
          <a:extLst>
            <a:ext uri="{FF2B5EF4-FFF2-40B4-BE49-F238E27FC236}">
              <a16:creationId xmlns:a16="http://schemas.microsoft.com/office/drawing/2014/main" id="{00000000-0008-0000-0900-0000C327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7811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57150</xdr:rowOff>
    </xdr:from>
    <xdr:to>
      <xdr:col>1</xdr:col>
      <xdr:colOff>257175</xdr:colOff>
      <xdr:row>42</xdr:row>
      <xdr:rowOff>161925</xdr:rowOff>
    </xdr:to>
    <xdr:pic>
      <xdr:nvPicPr>
        <xdr:cNvPr id="141252" name="Obrázek 16" descr="Notice.gif">
          <a:extLst>
            <a:ext uri="{FF2B5EF4-FFF2-40B4-BE49-F238E27FC236}">
              <a16:creationId xmlns:a16="http://schemas.microsoft.com/office/drawing/2014/main" id="{00000000-0008-0000-0900-0000C427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66675</xdr:rowOff>
    </xdr:from>
    <xdr:to>
      <xdr:col>1</xdr:col>
      <xdr:colOff>257175</xdr:colOff>
      <xdr:row>42</xdr:row>
      <xdr:rowOff>171450</xdr:rowOff>
    </xdr:to>
    <xdr:pic>
      <xdr:nvPicPr>
        <xdr:cNvPr id="141253" name="Obrázek 16" descr="Notice.gif">
          <a:extLst>
            <a:ext uri="{FF2B5EF4-FFF2-40B4-BE49-F238E27FC236}">
              <a16:creationId xmlns:a16="http://schemas.microsoft.com/office/drawing/2014/main" id="{00000000-0008-0000-0900-0000C527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4855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108</xdr:row>
      <xdr:rowOff>95250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9</xdr:row>
      <xdr:rowOff>152400</xdr:rowOff>
    </xdr:from>
    <xdr:to>
      <xdr:col>6</xdr:col>
      <xdr:colOff>628650</xdr:colOff>
      <xdr:row>10</xdr:row>
      <xdr:rowOff>142875</xdr:rowOff>
    </xdr:to>
    <xdr:pic>
      <xdr:nvPicPr>
        <xdr:cNvPr id="180239" name="Obrázek 28" descr="Info.gif">
          <a:extLst>
            <a:ext uri="{FF2B5EF4-FFF2-40B4-BE49-F238E27FC236}">
              <a16:creationId xmlns:a16="http://schemas.microsoft.com/office/drawing/2014/main" id="{00000000-0008-0000-0A00-00000FC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7811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2</xdr:row>
      <xdr:rowOff>0</xdr:rowOff>
    </xdr:from>
    <xdr:to>
      <xdr:col>6</xdr:col>
      <xdr:colOff>0</xdr:colOff>
      <xdr:row>16</xdr:row>
      <xdr:rowOff>38100</xdr:rowOff>
    </xdr:to>
    <xdr:pic>
      <xdr:nvPicPr>
        <xdr:cNvPr id="180240" name="Picture 8" descr="7D CVn">
          <a:extLst>
            <a:ext uri="{FF2B5EF4-FFF2-40B4-BE49-F238E27FC236}">
              <a16:creationId xmlns:a16="http://schemas.microsoft.com/office/drawing/2014/main" id="{00000000-0008-0000-0A00-000010C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5720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66675</xdr:rowOff>
    </xdr:from>
    <xdr:to>
      <xdr:col>1</xdr:col>
      <xdr:colOff>257175</xdr:colOff>
      <xdr:row>42</xdr:row>
      <xdr:rowOff>171450</xdr:rowOff>
    </xdr:to>
    <xdr:pic>
      <xdr:nvPicPr>
        <xdr:cNvPr id="180241" name="Obrázek 16" descr="Notice.gif">
          <a:extLst>
            <a:ext uri="{FF2B5EF4-FFF2-40B4-BE49-F238E27FC236}">
              <a16:creationId xmlns:a16="http://schemas.microsoft.com/office/drawing/2014/main" id="{00000000-0008-0000-0A00-000011C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4855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49</xdr:row>
      <xdr:rowOff>0</xdr:rowOff>
    </xdr:from>
    <xdr:to>
      <xdr:col>1</xdr:col>
      <xdr:colOff>219075</xdr:colOff>
      <xdr:row>50</xdr:row>
      <xdr:rowOff>0</xdr:rowOff>
    </xdr:to>
    <xdr:pic>
      <xdr:nvPicPr>
        <xdr:cNvPr id="180242" name="Obrázek 28" descr="Info.gif">
          <a:extLst>
            <a:ext uri="{FF2B5EF4-FFF2-40B4-BE49-F238E27FC236}">
              <a16:creationId xmlns:a16="http://schemas.microsoft.com/office/drawing/2014/main" id="{00000000-0008-0000-0A00-000012C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8582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108</xdr:row>
      <xdr:rowOff>95250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0</xdr:rowOff>
    </xdr:from>
    <xdr:to>
      <xdr:col>6</xdr:col>
      <xdr:colOff>0</xdr:colOff>
      <xdr:row>16</xdr:row>
      <xdr:rowOff>38100</xdr:rowOff>
    </xdr:to>
    <xdr:pic>
      <xdr:nvPicPr>
        <xdr:cNvPr id="142081" name="Obrázek 6">
          <a:extLst>
            <a:ext uri="{FF2B5EF4-FFF2-40B4-BE49-F238E27FC236}">
              <a16:creationId xmlns:a16="http://schemas.microsoft.com/office/drawing/2014/main" id="{00000000-0008-0000-0B00-0000012B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5720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9</xdr:row>
      <xdr:rowOff>152400</xdr:rowOff>
    </xdr:from>
    <xdr:to>
      <xdr:col>6</xdr:col>
      <xdr:colOff>628650</xdr:colOff>
      <xdr:row>10</xdr:row>
      <xdr:rowOff>142875</xdr:rowOff>
    </xdr:to>
    <xdr:pic>
      <xdr:nvPicPr>
        <xdr:cNvPr id="142082" name="Obrázek 28" descr="Info.gif">
          <a:extLst>
            <a:ext uri="{FF2B5EF4-FFF2-40B4-BE49-F238E27FC236}">
              <a16:creationId xmlns:a16="http://schemas.microsoft.com/office/drawing/2014/main" id="{00000000-0008-0000-0B00-0000022B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7811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66675</xdr:rowOff>
    </xdr:from>
    <xdr:to>
      <xdr:col>1</xdr:col>
      <xdr:colOff>257175</xdr:colOff>
      <xdr:row>42</xdr:row>
      <xdr:rowOff>171450</xdr:rowOff>
    </xdr:to>
    <xdr:pic>
      <xdr:nvPicPr>
        <xdr:cNvPr id="142083" name="Obrázek 16" descr="Notice.gif">
          <a:extLst>
            <a:ext uri="{FF2B5EF4-FFF2-40B4-BE49-F238E27FC236}">
              <a16:creationId xmlns:a16="http://schemas.microsoft.com/office/drawing/2014/main" id="{00000000-0008-0000-0B00-0000032B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4855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49</xdr:row>
      <xdr:rowOff>0</xdr:rowOff>
    </xdr:from>
    <xdr:to>
      <xdr:col>1</xdr:col>
      <xdr:colOff>219075</xdr:colOff>
      <xdr:row>50</xdr:row>
      <xdr:rowOff>0</xdr:rowOff>
    </xdr:to>
    <xdr:pic>
      <xdr:nvPicPr>
        <xdr:cNvPr id="142084" name="Obrázek 28" descr="Info.gif">
          <a:extLst>
            <a:ext uri="{FF2B5EF4-FFF2-40B4-BE49-F238E27FC236}">
              <a16:creationId xmlns:a16="http://schemas.microsoft.com/office/drawing/2014/main" id="{00000000-0008-0000-0B00-0000042B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8582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108</xdr:row>
      <xdr:rowOff>95250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41</xdr:row>
      <xdr:rowOff>9525</xdr:rowOff>
    </xdr:from>
    <xdr:to>
      <xdr:col>1</xdr:col>
      <xdr:colOff>180975</xdr:colOff>
      <xdr:row>41</xdr:row>
      <xdr:rowOff>171450</xdr:rowOff>
    </xdr:to>
    <xdr:pic>
      <xdr:nvPicPr>
        <xdr:cNvPr id="116233" name="Obrázek 28" descr="Info.gif">
          <a:extLst>
            <a:ext uri="{FF2B5EF4-FFF2-40B4-BE49-F238E27FC236}">
              <a16:creationId xmlns:a16="http://schemas.microsoft.com/office/drawing/2014/main" id="{00000000-0008-0000-0C00-000009C6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3914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2</xdr:row>
      <xdr:rowOff>0</xdr:rowOff>
    </xdr:from>
    <xdr:to>
      <xdr:col>6</xdr:col>
      <xdr:colOff>0</xdr:colOff>
      <xdr:row>16</xdr:row>
      <xdr:rowOff>38100</xdr:rowOff>
    </xdr:to>
    <xdr:pic>
      <xdr:nvPicPr>
        <xdr:cNvPr id="116234" name="Picture 6" descr="7D CVr">
          <a:extLst>
            <a:ext uri="{FF2B5EF4-FFF2-40B4-BE49-F238E27FC236}">
              <a16:creationId xmlns:a16="http://schemas.microsoft.com/office/drawing/2014/main" id="{00000000-0008-0000-0C00-00000AC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5720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108</xdr:row>
      <xdr:rowOff>95250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0</xdr:rowOff>
    </xdr:from>
    <xdr:to>
      <xdr:col>6</xdr:col>
      <xdr:colOff>0</xdr:colOff>
      <xdr:row>16</xdr:row>
      <xdr:rowOff>38100</xdr:rowOff>
    </xdr:to>
    <xdr:pic>
      <xdr:nvPicPr>
        <xdr:cNvPr id="142719" name="Obrázek 3">
          <a:extLst>
            <a:ext uri="{FF2B5EF4-FFF2-40B4-BE49-F238E27FC236}">
              <a16:creationId xmlns:a16="http://schemas.microsoft.com/office/drawing/2014/main" id="{00000000-0008-0000-0D00-00007F2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5720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41</xdr:row>
      <xdr:rowOff>9525</xdr:rowOff>
    </xdr:from>
    <xdr:to>
      <xdr:col>1</xdr:col>
      <xdr:colOff>180975</xdr:colOff>
      <xdr:row>41</xdr:row>
      <xdr:rowOff>171450</xdr:rowOff>
    </xdr:to>
    <xdr:pic>
      <xdr:nvPicPr>
        <xdr:cNvPr id="142720" name="Obrázek 28" descr="Info.gif">
          <a:extLst>
            <a:ext uri="{FF2B5EF4-FFF2-40B4-BE49-F238E27FC236}">
              <a16:creationId xmlns:a16="http://schemas.microsoft.com/office/drawing/2014/main" id="{00000000-0008-0000-0D00-0000802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3914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108</xdr:row>
      <xdr:rowOff>95250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66675</xdr:rowOff>
    </xdr:from>
    <xdr:to>
      <xdr:col>6</xdr:col>
      <xdr:colOff>0</xdr:colOff>
      <xdr:row>16</xdr:row>
      <xdr:rowOff>66675</xdr:rowOff>
    </xdr:to>
    <xdr:pic>
      <xdr:nvPicPr>
        <xdr:cNvPr id="113926" name="Picture 4" descr="7D F">
          <a:extLst>
            <a:ext uri="{FF2B5EF4-FFF2-40B4-BE49-F238E27FC236}">
              <a16:creationId xmlns:a16="http://schemas.microsoft.com/office/drawing/2014/main" id="{00000000-0008-0000-0E00-000006B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28600"/>
          <a:ext cx="3105150" cy="260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108</xdr:row>
      <xdr:rowOff>95250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</xdr:row>
      <xdr:rowOff>9525</xdr:rowOff>
    </xdr:from>
    <xdr:to>
      <xdr:col>6</xdr:col>
      <xdr:colOff>0</xdr:colOff>
      <xdr:row>14</xdr:row>
      <xdr:rowOff>133350</xdr:rowOff>
    </xdr:to>
    <xdr:pic>
      <xdr:nvPicPr>
        <xdr:cNvPr id="121094" name="Picture 4" descr="7D M sink">
          <a:extLst>
            <a:ext uri="{FF2B5EF4-FFF2-40B4-BE49-F238E27FC236}">
              <a16:creationId xmlns:a16="http://schemas.microsoft.com/office/drawing/2014/main" id="{00000000-0008-0000-0F00-000006D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66725"/>
          <a:ext cx="317182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6</xdr:col>
      <xdr:colOff>0</xdr:colOff>
      <xdr:row>16</xdr:row>
      <xdr:rowOff>0</xdr:rowOff>
    </xdr:to>
    <xdr:pic>
      <xdr:nvPicPr>
        <xdr:cNvPr id="116998" name="Picture 4" descr="7D C sink">
          <a:extLst>
            <a:ext uri="{FF2B5EF4-FFF2-40B4-BE49-F238E27FC236}">
              <a16:creationId xmlns:a16="http://schemas.microsoft.com/office/drawing/2014/main" id="{00000000-0008-0000-1000-000006C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57200"/>
          <a:ext cx="3171825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276225</xdr:rowOff>
    </xdr:from>
    <xdr:to>
      <xdr:col>5</xdr:col>
      <xdr:colOff>657225</xdr:colOff>
      <xdr:row>15</xdr:row>
      <xdr:rowOff>152400</xdr:rowOff>
    </xdr:to>
    <xdr:pic>
      <xdr:nvPicPr>
        <xdr:cNvPr id="144738" name="Obrázek 2">
          <a:extLst>
            <a:ext uri="{FF2B5EF4-FFF2-40B4-BE49-F238E27FC236}">
              <a16:creationId xmlns:a16="http://schemas.microsoft.com/office/drawing/2014/main" id="{00000000-0008-0000-1100-0000623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38150"/>
          <a:ext cx="3171825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27</xdr:row>
      <xdr:rowOff>28575</xdr:rowOff>
    </xdr:from>
    <xdr:to>
      <xdr:col>1</xdr:col>
      <xdr:colOff>171450</xdr:colOff>
      <xdr:row>28</xdr:row>
      <xdr:rowOff>0</xdr:rowOff>
    </xdr:to>
    <xdr:pic>
      <xdr:nvPicPr>
        <xdr:cNvPr id="144739" name="Obrázek 28" descr="Info.gif">
          <a:extLst>
            <a:ext uri="{FF2B5EF4-FFF2-40B4-BE49-F238E27FC236}">
              <a16:creationId xmlns:a16="http://schemas.microsoft.com/office/drawing/2014/main" id="{00000000-0008-0000-1100-0000633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291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</xdr:row>
      <xdr:rowOff>0</xdr:rowOff>
    </xdr:from>
    <xdr:to>
      <xdr:col>6</xdr:col>
      <xdr:colOff>19050</xdr:colOff>
      <xdr:row>16</xdr:row>
      <xdr:rowOff>0</xdr:rowOff>
    </xdr:to>
    <xdr:pic>
      <xdr:nvPicPr>
        <xdr:cNvPr id="146597" name="Obrázek 2">
          <a:extLst>
            <a:ext uri="{FF2B5EF4-FFF2-40B4-BE49-F238E27FC236}">
              <a16:creationId xmlns:a16="http://schemas.microsoft.com/office/drawing/2014/main" id="{00000000-0008-0000-1200-0000A53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57200"/>
          <a:ext cx="3181350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109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45</xdr:row>
      <xdr:rowOff>95250</xdr:rowOff>
    </xdr:from>
    <xdr:to>
      <xdr:col>8</xdr:col>
      <xdr:colOff>504825</xdr:colOff>
      <xdr:row>49</xdr:row>
      <xdr:rowOff>152400</xdr:rowOff>
    </xdr:to>
    <xdr:pic>
      <xdr:nvPicPr>
        <xdr:cNvPr id="177346" name="Obrázek 2">
          <a:extLst>
            <a:ext uri="{FF2B5EF4-FFF2-40B4-BE49-F238E27FC236}">
              <a16:creationId xmlns:a16="http://schemas.microsoft.com/office/drawing/2014/main" id="{00000000-0008-0000-0100-0000C2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8648700"/>
          <a:ext cx="1019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45</xdr:row>
      <xdr:rowOff>95250</xdr:rowOff>
    </xdr:from>
    <xdr:to>
      <xdr:col>2</xdr:col>
      <xdr:colOff>485775</xdr:colOff>
      <xdr:row>49</xdr:row>
      <xdr:rowOff>152400</xdr:rowOff>
    </xdr:to>
    <xdr:pic>
      <xdr:nvPicPr>
        <xdr:cNvPr id="177347" name="Obrázek 1">
          <a:extLst>
            <a:ext uri="{FF2B5EF4-FFF2-40B4-BE49-F238E27FC236}">
              <a16:creationId xmlns:a16="http://schemas.microsoft.com/office/drawing/2014/main" id="{00000000-0008-0000-0100-0000C3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648700"/>
          <a:ext cx="1019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70</xdr:row>
      <xdr:rowOff>57150</xdr:rowOff>
    </xdr:from>
    <xdr:to>
      <xdr:col>8</xdr:col>
      <xdr:colOff>247650</xdr:colOff>
      <xdr:row>76</xdr:row>
      <xdr:rowOff>333375</xdr:rowOff>
    </xdr:to>
    <xdr:pic>
      <xdr:nvPicPr>
        <xdr:cNvPr id="177348" name="Obrázek 8">
          <a:extLst>
            <a:ext uri="{FF2B5EF4-FFF2-40B4-BE49-F238E27FC236}">
              <a16:creationId xmlns:a16="http://schemas.microsoft.com/office/drawing/2014/main" id="{00000000-0008-0000-0100-0000C4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7526000"/>
          <a:ext cx="838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61</xdr:row>
      <xdr:rowOff>57150</xdr:rowOff>
    </xdr:from>
    <xdr:to>
      <xdr:col>8</xdr:col>
      <xdr:colOff>257175</xdr:colOff>
      <xdr:row>67</xdr:row>
      <xdr:rowOff>333375</xdr:rowOff>
    </xdr:to>
    <xdr:pic>
      <xdr:nvPicPr>
        <xdr:cNvPr id="177349" name="Obrázek 7">
          <a:extLst>
            <a:ext uri="{FF2B5EF4-FFF2-40B4-BE49-F238E27FC236}">
              <a16:creationId xmlns:a16="http://schemas.microsoft.com/office/drawing/2014/main" id="{00000000-0008-0000-0100-0000C5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5601950"/>
          <a:ext cx="838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88</xdr:row>
      <xdr:rowOff>57150</xdr:rowOff>
    </xdr:from>
    <xdr:to>
      <xdr:col>8</xdr:col>
      <xdr:colOff>257175</xdr:colOff>
      <xdr:row>94</xdr:row>
      <xdr:rowOff>333375</xdr:rowOff>
    </xdr:to>
    <xdr:pic>
      <xdr:nvPicPr>
        <xdr:cNvPr id="177350" name="Obrázek 6">
          <a:extLst>
            <a:ext uri="{FF2B5EF4-FFF2-40B4-BE49-F238E27FC236}">
              <a16:creationId xmlns:a16="http://schemas.microsoft.com/office/drawing/2014/main" id="{00000000-0008-0000-0100-0000C6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3677900"/>
          <a:ext cx="838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79</xdr:row>
      <xdr:rowOff>66675</xdr:rowOff>
    </xdr:from>
    <xdr:to>
      <xdr:col>8</xdr:col>
      <xdr:colOff>247650</xdr:colOff>
      <xdr:row>85</xdr:row>
      <xdr:rowOff>342900</xdr:rowOff>
    </xdr:to>
    <xdr:pic>
      <xdr:nvPicPr>
        <xdr:cNvPr id="177351" name="Obrázek 5">
          <a:extLst>
            <a:ext uri="{FF2B5EF4-FFF2-40B4-BE49-F238E27FC236}">
              <a16:creationId xmlns:a16="http://schemas.microsoft.com/office/drawing/2014/main" id="{00000000-0008-0000-0100-0000C7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1763375"/>
          <a:ext cx="838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30</xdr:row>
      <xdr:rowOff>57150</xdr:rowOff>
    </xdr:from>
    <xdr:to>
      <xdr:col>14</xdr:col>
      <xdr:colOff>457200</xdr:colOff>
      <xdr:row>35</xdr:row>
      <xdr:rowOff>28575</xdr:rowOff>
    </xdr:to>
    <xdr:pic>
      <xdr:nvPicPr>
        <xdr:cNvPr id="177352" name="Obrázek 2">
          <a:extLst>
            <a:ext uri="{FF2B5EF4-FFF2-40B4-BE49-F238E27FC236}">
              <a16:creationId xmlns:a16="http://schemas.microsoft.com/office/drawing/2014/main" id="{00000000-0008-0000-0100-0000C8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5829300"/>
          <a:ext cx="10572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30</xdr:row>
      <xdr:rowOff>57150</xdr:rowOff>
    </xdr:from>
    <xdr:to>
      <xdr:col>8</xdr:col>
      <xdr:colOff>466725</xdr:colOff>
      <xdr:row>35</xdr:row>
      <xdr:rowOff>28575</xdr:rowOff>
    </xdr:to>
    <xdr:pic>
      <xdr:nvPicPr>
        <xdr:cNvPr id="177353" name="Obrázek 1">
          <a:extLst>
            <a:ext uri="{FF2B5EF4-FFF2-40B4-BE49-F238E27FC236}">
              <a16:creationId xmlns:a16="http://schemas.microsoft.com/office/drawing/2014/main" id="{00000000-0008-0000-0100-0000C9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829300"/>
          <a:ext cx="10572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30</xdr:row>
      <xdr:rowOff>57150</xdr:rowOff>
    </xdr:from>
    <xdr:to>
      <xdr:col>2</xdr:col>
      <xdr:colOff>457200</xdr:colOff>
      <xdr:row>35</xdr:row>
      <xdr:rowOff>28575</xdr:rowOff>
    </xdr:to>
    <xdr:pic>
      <xdr:nvPicPr>
        <xdr:cNvPr id="177354" name="Obrázek 3">
          <a:extLst>
            <a:ext uri="{FF2B5EF4-FFF2-40B4-BE49-F238E27FC236}">
              <a16:creationId xmlns:a16="http://schemas.microsoft.com/office/drawing/2014/main" id="{00000000-0008-0000-0100-0000CA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829300"/>
          <a:ext cx="10572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15</xdr:row>
      <xdr:rowOff>57150</xdr:rowOff>
    </xdr:from>
    <xdr:to>
      <xdr:col>8</xdr:col>
      <xdr:colOff>485775</xdr:colOff>
      <xdr:row>20</xdr:row>
      <xdr:rowOff>28575</xdr:rowOff>
    </xdr:to>
    <xdr:pic>
      <xdr:nvPicPr>
        <xdr:cNvPr id="177355" name="Obrázek 1">
          <a:extLst>
            <a:ext uri="{FF2B5EF4-FFF2-40B4-BE49-F238E27FC236}">
              <a16:creationId xmlns:a16="http://schemas.microsoft.com/office/drawing/2014/main" id="{00000000-0008-0000-0100-0000CB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990850"/>
          <a:ext cx="10858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19050</xdr:rowOff>
    </xdr:from>
    <xdr:to>
      <xdr:col>1</xdr:col>
      <xdr:colOff>171450</xdr:colOff>
      <xdr:row>183</xdr:row>
      <xdr:rowOff>0</xdr:rowOff>
    </xdr:to>
    <xdr:pic>
      <xdr:nvPicPr>
        <xdr:cNvPr id="177356" name="Obrázek 20" descr="Help.gif">
          <a:extLst>
            <a:ext uri="{FF2B5EF4-FFF2-40B4-BE49-F238E27FC236}">
              <a16:creationId xmlns:a16="http://schemas.microsoft.com/office/drawing/2014/main" id="{00000000-0008-0000-0100-0000CC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3404175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</xdr:row>
      <xdr:rowOff>66675</xdr:rowOff>
    </xdr:from>
    <xdr:to>
      <xdr:col>8</xdr:col>
      <xdr:colOff>495300</xdr:colOff>
      <xdr:row>5</xdr:row>
      <xdr:rowOff>104775</xdr:rowOff>
    </xdr:to>
    <xdr:pic>
      <xdr:nvPicPr>
        <xdr:cNvPr id="177357" name="Picture 1349" descr="7D M_th">
          <a:extLst>
            <a:ext uri="{FF2B5EF4-FFF2-40B4-BE49-F238E27FC236}">
              <a16:creationId xmlns:a16="http://schemas.microsoft.com/office/drawing/2014/main" id="{00000000-0008-0000-0100-0000CD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52425"/>
          <a:ext cx="10858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8</xdr:row>
      <xdr:rowOff>66675</xdr:rowOff>
    </xdr:from>
    <xdr:to>
      <xdr:col>8</xdr:col>
      <xdr:colOff>457200</xdr:colOff>
      <xdr:row>12</xdr:row>
      <xdr:rowOff>95250</xdr:rowOff>
    </xdr:to>
    <xdr:pic>
      <xdr:nvPicPr>
        <xdr:cNvPr id="177358" name="Picture 1350" descr="7D MV_th">
          <a:extLst>
            <a:ext uri="{FF2B5EF4-FFF2-40B4-BE49-F238E27FC236}">
              <a16:creationId xmlns:a16="http://schemas.microsoft.com/office/drawing/2014/main" id="{00000000-0008-0000-0100-0000CE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1581150"/>
          <a:ext cx="1057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15</xdr:row>
      <xdr:rowOff>57150</xdr:rowOff>
    </xdr:from>
    <xdr:to>
      <xdr:col>2</xdr:col>
      <xdr:colOff>495300</xdr:colOff>
      <xdr:row>20</xdr:row>
      <xdr:rowOff>28575</xdr:rowOff>
    </xdr:to>
    <xdr:pic>
      <xdr:nvPicPr>
        <xdr:cNvPr id="177359" name="Picture 1352" descr="7D C_th">
          <a:extLst>
            <a:ext uri="{FF2B5EF4-FFF2-40B4-BE49-F238E27FC236}">
              <a16:creationId xmlns:a16="http://schemas.microsoft.com/office/drawing/2014/main" id="{00000000-0008-0000-0100-0000CF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90850"/>
          <a:ext cx="10953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22</xdr:row>
      <xdr:rowOff>47625</xdr:rowOff>
    </xdr:from>
    <xdr:to>
      <xdr:col>8</xdr:col>
      <xdr:colOff>466725</xdr:colOff>
      <xdr:row>27</xdr:row>
      <xdr:rowOff>19050</xdr:rowOff>
    </xdr:to>
    <xdr:pic>
      <xdr:nvPicPr>
        <xdr:cNvPr id="177360" name="Picture 1355" descr="7D CVn_th">
          <a:extLst>
            <a:ext uri="{FF2B5EF4-FFF2-40B4-BE49-F238E27FC236}">
              <a16:creationId xmlns:a16="http://schemas.microsoft.com/office/drawing/2014/main" id="{00000000-0008-0000-0100-0000D0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333875"/>
          <a:ext cx="1066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22</xdr:row>
      <xdr:rowOff>57150</xdr:rowOff>
    </xdr:from>
    <xdr:to>
      <xdr:col>14</xdr:col>
      <xdr:colOff>466725</xdr:colOff>
      <xdr:row>27</xdr:row>
      <xdr:rowOff>28575</xdr:rowOff>
    </xdr:to>
    <xdr:pic>
      <xdr:nvPicPr>
        <xdr:cNvPr id="177361" name="Picture 1356" descr="7D CVr_th">
          <a:extLst>
            <a:ext uri="{FF2B5EF4-FFF2-40B4-BE49-F238E27FC236}">
              <a16:creationId xmlns:a16="http://schemas.microsoft.com/office/drawing/2014/main" id="{00000000-0008-0000-0100-0000D1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4343400"/>
          <a:ext cx="1066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22</xdr:row>
      <xdr:rowOff>57150</xdr:rowOff>
    </xdr:from>
    <xdr:to>
      <xdr:col>2</xdr:col>
      <xdr:colOff>466725</xdr:colOff>
      <xdr:row>27</xdr:row>
      <xdr:rowOff>28575</xdr:rowOff>
    </xdr:to>
    <xdr:pic>
      <xdr:nvPicPr>
        <xdr:cNvPr id="177362" name="Picture 1357" descr="7D CVv_th">
          <a:extLst>
            <a:ext uri="{FF2B5EF4-FFF2-40B4-BE49-F238E27FC236}">
              <a16:creationId xmlns:a16="http://schemas.microsoft.com/office/drawing/2014/main" id="{00000000-0008-0000-0100-0000D2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343400"/>
          <a:ext cx="1066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1</xdr:row>
      <xdr:rowOff>57150</xdr:rowOff>
    </xdr:from>
    <xdr:to>
      <xdr:col>14</xdr:col>
      <xdr:colOff>495300</xdr:colOff>
      <xdr:row>5</xdr:row>
      <xdr:rowOff>133350</xdr:rowOff>
    </xdr:to>
    <xdr:pic>
      <xdr:nvPicPr>
        <xdr:cNvPr id="177363" name="Picture 1359" descr="7D K_th">
          <a:extLst>
            <a:ext uri="{FF2B5EF4-FFF2-40B4-BE49-F238E27FC236}">
              <a16:creationId xmlns:a16="http://schemas.microsoft.com/office/drawing/2014/main" id="{00000000-0008-0000-0100-0000D3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342900"/>
          <a:ext cx="1095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79</xdr:row>
      <xdr:rowOff>47625</xdr:rowOff>
    </xdr:from>
    <xdr:to>
      <xdr:col>2</xdr:col>
      <xdr:colOff>247650</xdr:colOff>
      <xdr:row>85</xdr:row>
      <xdr:rowOff>333375</xdr:rowOff>
    </xdr:to>
    <xdr:pic>
      <xdr:nvPicPr>
        <xdr:cNvPr id="177364" name="Picture 1361" descr="7ST DD_glhigh_th">
          <a:extLst>
            <a:ext uri="{FF2B5EF4-FFF2-40B4-BE49-F238E27FC236}">
              <a16:creationId xmlns:a16="http://schemas.microsoft.com/office/drawing/2014/main" id="{00000000-0008-0000-0100-0000D4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74432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61</xdr:row>
      <xdr:rowOff>66675</xdr:rowOff>
    </xdr:from>
    <xdr:to>
      <xdr:col>2</xdr:col>
      <xdr:colOff>247650</xdr:colOff>
      <xdr:row>67</xdr:row>
      <xdr:rowOff>352425</xdr:rowOff>
    </xdr:to>
    <xdr:pic>
      <xdr:nvPicPr>
        <xdr:cNvPr id="177365" name="Picture 1364" descr="7ST DM_glhigh_th">
          <a:extLst>
            <a:ext uri="{FF2B5EF4-FFF2-40B4-BE49-F238E27FC236}">
              <a16:creationId xmlns:a16="http://schemas.microsoft.com/office/drawing/2014/main" id="{00000000-0008-0000-0100-0000D5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61147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</xdr:row>
      <xdr:rowOff>85725</xdr:rowOff>
    </xdr:from>
    <xdr:to>
      <xdr:col>2</xdr:col>
      <xdr:colOff>504825</xdr:colOff>
      <xdr:row>5</xdr:row>
      <xdr:rowOff>104775</xdr:rowOff>
    </xdr:to>
    <xdr:pic>
      <xdr:nvPicPr>
        <xdr:cNvPr id="177366" name="Picture 1367" descr="7D N_th">
          <a:extLst>
            <a:ext uri="{FF2B5EF4-FFF2-40B4-BE49-F238E27FC236}">
              <a16:creationId xmlns:a16="http://schemas.microsoft.com/office/drawing/2014/main" id="{00000000-0008-0000-0100-0000D6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71475"/>
          <a:ext cx="10858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15</xdr:row>
      <xdr:rowOff>47625</xdr:rowOff>
    </xdr:from>
    <xdr:to>
      <xdr:col>14</xdr:col>
      <xdr:colOff>485775</xdr:colOff>
      <xdr:row>20</xdr:row>
      <xdr:rowOff>95250</xdr:rowOff>
    </xdr:to>
    <xdr:pic>
      <xdr:nvPicPr>
        <xdr:cNvPr id="177367" name="Picture 1358" descr="7D F_th">
          <a:extLst>
            <a:ext uri="{FF2B5EF4-FFF2-40B4-BE49-F238E27FC236}">
              <a16:creationId xmlns:a16="http://schemas.microsoft.com/office/drawing/2014/main" id="{00000000-0008-0000-0100-0000D7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2981325"/>
          <a:ext cx="1085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53</xdr:row>
      <xdr:rowOff>85725</xdr:rowOff>
    </xdr:from>
    <xdr:to>
      <xdr:col>2</xdr:col>
      <xdr:colOff>19050</xdr:colOff>
      <xdr:row>58</xdr:row>
      <xdr:rowOff>66675</xdr:rowOff>
    </xdr:to>
    <xdr:pic>
      <xdr:nvPicPr>
        <xdr:cNvPr id="177368" name="Picture 1368" descr="7D CM_th">
          <a:extLst>
            <a:ext uri="{FF2B5EF4-FFF2-40B4-BE49-F238E27FC236}">
              <a16:creationId xmlns:a16="http://schemas.microsoft.com/office/drawing/2014/main" id="{00000000-0008-0000-0100-0000D8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220325"/>
          <a:ext cx="533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53</xdr:row>
      <xdr:rowOff>57150</xdr:rowOff>
    </xdr:from>
    <xdr:to>
      <xdr:col>8</xdr:col>
      <xdr:colOff>38100</xdr:colOff>
      <xdr:row>58</xdr:row>
      <xdr:rowOff>76200</xdr:rowOff>
    </xdr:to>
    <xdr:pic>
      <xdr:nvPicPr>
        <xdr:cNvPr id="177369" name="Obrázek 4">
          <a:extLst>
            <a:ext uri="{FF2B5EF4-FFF2-40B4-BE49-F238E27FC236}">
              <a16:creationId xmlns:a16="http://schemas.microsoft.com/office/drawing/2014/main" id="{00000000-0008-0000-0100-0000D9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0191750"/>
          <a:ext cx="5429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88</xdr:row>
      <xdr:rowOff>57150</xdr:rowOff>
    </xdr:from>
    <xdr:to>
      <xdr:col>2</xdr:col>
      <xdr:colOff>247650</xdr:colOff>
      <xdr:row>94</xdr:row>
      <xdr:rowOff>342900</xdr:rowOff>
    </xdr:to>
    <xdr:pic>
      <xdr:nvPicPr>
        <xdr:cNvPr id="177370" name="Picture 1375" descr="7ST DD_rel_th">
          <a:extLst>
            <a:ext uri="{FF2B5EF4-FFF2-40B4-BE49-F238E27FC236}">
              <a16:creationId xmlns:a16="http://schemas.microsoft.com/office/drawing/2014/main" id="{00000000-0008-0000-0100-0000DA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67790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70</xdr:row>
      <xdr:rowOff>57150</xdr:rowOff>
    </xdr:from>
    <xdr:to>
      <xdr:col>2</xdr:col>
      <xdr:colOff>247650</xdr:colOff>
      <xdr:row>76</xdr:row>
      <xdr:rowOff>342900</xdr:rowOff>
    </xdr:to>
    <xdr:pic>
      <xdr:nvPicPr>
        <xdr:cNvPr id="177371" name="Picture 1376" descr="7ST DM_rel_th">
          <a:extLst>
            <a:ext uri="{FF2B5EF4-FFF2-40B4-BE49-F238E27FC236}">
              <a16:creationId xmlns:a16="http://schemas.microsoft.com/office/drawing/2014/main" id="{00000000-0008-0000-0100-0000DB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52600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152400</xdr:colOff>
      <xdr:row>38</xdr:row>
      <xdr:rowOff>104775</xdr:rowOff>
    </xdr:from>
    <xdr:to>
      <xdr:col>14</xdr:col>
      <xdr:colOff>352425</xdr:colOff>
      <xdr:row>42</xdr:row>
      <xdr:rowOff>85725</xdr:rowOff>
    </xdr:to>
    <xdr:pic>
      <xdr:nvPicPr>
        <xdr:cNvPr id="177372" name="Picture 1374" descr="7D M sink_th">
          <a:extLst>
            <a:ext uri="{FF2B5EF4-FFF2-40B4-BE49-F238E27FC236}">
              <a16:creationId xmlns:a16="http://schemas.microsoft.com/office/drawing/2014/main" id="{00000000-0008-0000-0100-0000DC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7458075"/>
          <a:ext cx="10001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38</xdr:row>
      <xdr:rowOff>95250</xdr:rowOff>
    </xdr:from>
    <xdr:to>
      <xdr:col>2</xdr:col>
      <xdr:colOff>485775</xdr:colOff>
      <xdr:row>42</xdr:row>
      <xdr:rowOff>152400</xdr:rowOff>
    </xdr:to>
    <xdr:pic>
      <xdr:nvPicPr>
        <xdr:cNvPr id="177373" name="Picture 1372" descr="7D C sink_th">
          <a:extLst>
            <a:ext uri="{FF2B5EF4-FFF2-40B4-BE49-F238E27FC236}">
              <a16:creationId xmlns:a16="http://schemas.microsoft.com/office/drawing/2014/main" id="{00000000-0008-0000-0100-0000DD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48550"/>
          <a:ext cx="1019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38</xdr:row>
      <xdr:rowOff>95250</xdr:rowOff>
    </xdr:from>
    <xdr:to>
      <xdr:col>8</xdr:col>
      <xdr:colOff>495300</xdr:colOff>
      <xdr:row>42</xdr:row>
      <xdr:rowOff>161925</xdr:rowOff>
    </xdr:to>
    <xdr:pic>
      <xdr:nvPicPr>
        <xdr:cNvPr id="177374" name="Obrázek 62">
          <a:extLst>
            <a:ext uri="{FF2B5EF4-FFF2-40B4-BE49-F238E27FC236}">
              <a16:creationId xmlns:a16="http://schemas.microsoft.com/office/drawing/2014/main" id="{00000000-0008-0000-0100-0000DE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744855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</xdr:row>
      <xdr:rowOff>0</xdr:rowOff>
    </xdr:from>
    <xdr:to>
      <xdr:col>6</xdr:col>
      <xdr:colOff>9525</xdr:colOff>
      <xdr:row>16</xdr:row>
      <xdr:rowOff>0</xdr:rowOff>
    </xdr:to>
    <xdr:pic>
      <xdr:nvPicPr>
        <xdr:cNvPr id="147776" name="Obrázek 2">
          <a:extLst>
            <a:ext uri="{FF2B5EF4-FFF2-40B4-BE49-F238E27FC236}">
              <a16:creationId xmlns:a16="http://schemas.microsoft.com/office/drawing/2014/main" id="{00000000-0008-0000-1300-0000404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57200"/>
          <a:ext cx="3171825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40</xdr:row>
      <xdr:rowOff>9525</xdr:rowOff>
    </xdr:from>
    <xdr:to>
      <xdr:col>1</xdr:col>
      <xdr:colOff>171450</xdr:colOff>
      <xdr:row>41</xdr:row>
      <xdr:rowOff>9525</xdr:rowOff>
    </xdr:to>
    <xdr:pic>
      <xdr:nvPicPr>
        <xdr:cNvPr id="147777" name="Obrázek 28" descr="Info.gif">
          <a:extLst>
            <a:ext uri="{FF2B5EF4-FFF2-40B4-BE49-F238E27FC236}">
              <a16:creationId xmlns:a16="http://schemas.microsoft.com/office/drawing/2014/main" id="{00000000-0008-0000-1300-0000414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203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109</xdr:row>
      <xdr:rowOff>76200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1</xdr:row>
      <xdr:rowOff>190500</xdr:rowOff>
    </xdr:from>
    <xdr:to>
      <xdr:col>4</xdr:col>
      <xdr:colOff>161925</xdr:colOff>
      <xdr:row>16</xdr:row>
      <xdr:rowOff>66675</xdr:rowOff>
    </xdr:to>
    <xdr:pic>
      <xdr:nvPicPr>
        <xdr:cNvPr id="118023" name="Picture 5" descr="7D CM">
          <a:extLst>
            <a:ext uri="{FF2B5EF4-FFF2-40B4-BE49-F238E27FC236}">
              <a16:creationId xmlns:a16="http://schemas.microsoft.com/office/drawing/2014/main" id="{00000000-0008-0000-1400-000007C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52425"/>
          <a:ext cx="1543050" cy="248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1</xdr:row>
      <xdr:rowOff>190500</xdr:rowOff>
    </xdr:from>
    <xdr:to>
      <xdr:col>4</xdr:col>
      <xdr:colOff>161925</xdr:colOff>
      <xdr:row>16</xdr:row>
      <xdr:rowOff>66675</xdr:rowOff>
    </xdr:to>
    <xdr:pic>
      <xdr:nvPicPr>
        <xdr:cNvPr id="148797" name="Obrázek 2">
          <a:extLst>
            <a:ext uri="{FF2B5EF4-FFF2-40B4-BE49-F238E27FC236}">
              <a16:creationId xmlns:a16="http://schemas.microsoft.com/office/drawing/2014/main" id="{00000000-0008-0000-1500-00003D4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52425"/>
          <a:ext cx="1543050" cy="248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27</xdr:row>
      <xdr:rowOff>28575</xdr:rowOff>
    </xdr:from>
    <xdr:to>
      <xdr:col>1</xdr:col>
      <xdr:colOff>171450</xdr:colOff>
      <xdr:row>28</xdr:row>
      <xdr:rowOff>0</xdr:rowOff>
    </xdr:to>
    <xdr:pic>
      <xdr:nvPicPr>
        <xdr:cNvPr id="148798" name="Obrázek 28" descr="Info.gif">
          <a:extLst>
            <a:ext uri="{FF2B5EF4-FFF2-40B4-BE49-F238E27FC236}">
              <a16:creationId xmlns:a16="http://schemas.microsoft.com/office/drawing/2014/main" id="{00000000-0008-0000-1500-00003E4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529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9</xdr:row>
      <xdr:rowOff>152400</xdr:rowOff>
    </xdr:from>
    <xdr:to>
      <xdr:col>7</xdr:col>
      <xdr:colOff>609600</xdr:colOff>
      <xdr:row>10</xdr:row>
      <xdr:rowOff>152400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47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10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</xdr:row>
      <xdr:rowOff>57150</xdr:rowOff>
    </xdr:from>
    <xdr:to>
      <xdr:col>5</xdr:col>
      <xdr:colOff>0</xdr:colOff>
      <xdr:row>17</xdr:row>
      <xdr:rowOff>38100</xdr:rowOff>
    </xdr:to>
    <xdr:pic>
      <xdr:nvPicPr>
        <xdr:cNvPr id="7" name="Picture 6" descr="7ST CC_glass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19075"/>
          <a:ext cx="1752600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8" name="Obrázek 18" descr="Tip.gif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814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57150</xdr:rowOff>
    </xdr:from>
    <xdr:to>
      <xdr:col>5</xdr:col>
      <xdr:colOff>9525</xdr:colOff>
      <xdr:row>16</xdr:row>
      <xdr:rowOff>152400</xdr:rowOff>
    </xdr:to>
    <xdr:pic>
      <xdr:nvPicPr>
        <xdr:cNvPr id="145931" name="Obrázek 4">
          <a:extLst>
            <a:ext uri="{FF2B5EF4-FFF2-40B4-BE49-F238E27FC236}">
              <a16:creationId xmlns:a16="http://schemas.microsoft.com/office/drawing/2014/main" id="{00000000-0008-0000-1700-00000B3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219075"/>
          <a:ext cx="1752600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457200</xdr:colOff>
      <xdr:row>9</xdr:row>
      <xdr:rowOff>152400</xdr:rowOff>
    </xdr:from>
    <xdr:to>
      <xdr:col>7</xdr:col>
      <xdr:colOff>609600</xdr:colOff>
      <xdr:row>10</xdr:row>
      <xdr:rowOff>142875</xdr:rowOff>
    </xdr:to>
    <xdr:pic>
      <xdr:nvPicPr>
        <xdr:cNvPr id="145932" name="Obrázek 28" descr="Info.gif">
          <a:extLst>
            <a:ext uri="{FF2B5EF4-FFF2-40B4-BE49-F238E27FC236}">
              <a16:creationId xmlns:a16="http://schemas.microsoft.com/office/drawing/2014/main" id="{00000000-0008-0000-1700-00000C3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47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39</xdr:row>
      <xdr:rowOff>9525</xdr:rowOff>
    </xdr:from>
    <xdr:to>
      <xdr:col>1</xdr:col>
      <xdr:colOff>209550</xdr:colOff>
      <xdr:row>40</xdr:row>
      <xdr:rowOff>0</xdr:rowOff>
    </xdr:to>
    <xdr:pic>
      <xdr:nvPicPr>
        <xdr:cNvPr id="145933" name="Obrázek 28" descr="Info.gif">
          <a:extLst>
            <a:ext uri="{FF2B5EF4-FFF2-40B4-BE49-F238E27FC236}">
              <a16:creationId xmlns:a16="http://schemas.microsoft.com/office/drawing/2014/main" id="{00000000-0008-0000-1700-00000D3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229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5" name="Obrázek 18" descr="Tip.gif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814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9</xdr:row>
      <xdr:rowOff>152400</xdr:rowOff>
    </xdr:from>
    <xdr:to>
      <xdr:col>7</xdr:col>
      <xdr:colOff>609600</xdr:colOff>
      <xdr:row>10</xdr:row>
      <xdr:rowOff>142875</xdr:rowOff>
    </xdr:to>
    <xdr:pic>
      <xdr:nvPicPr>
        <xdr:cNvPr id="120586" name="Obrázek 28" descr="Info.gif">
          <a:extLst>
            <a:ext uri="{FF2B5EF4-FFF2-40B4-BE49-F238E27FC236}">
              <a16:creationId xmlns:a16="http://schemas.microsoft.com/office/drawing/2014/main" id="{00000000-0008-0000-1800-00000AD7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47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60</xdr:row>
      <xdr:rowOff>57150</xdr:rowOff>
    </xdr:from>
    <xdr:to>
      <xdr:col>1</xdr:col>
      <xdr:colOff>266700</xdr:colOff>
      <xdr:row>61</xdr:row>
      <xdr:rowOff>57150</xdr:rowOff>
    </xdr:to>
    <xdr:pic>
      <xdr:nvPicPr>
        <xdr:cNvPr id="120587" name="Obrázek 28" descr="Info.gif">
          <a:extLst>
            <a:ext uri="{FF2B5EF4-FFF2-40B4-BE49-F238E27FC236}">
              <a16:creationId xmlns:a16="http://schemas.microsoft.com/office/drawing/2014/main" id="{00000000-0008-0000-1800-00000BD7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9720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</xdr:row>
      <xdr:rowOff>66675</xdr:rowOff>
    </xdr:from>
    <xdr:to>
      <xdr:col>5</xdr:col>
      <xdr:colOff>0</xdr:colOff>
      <xdr:row>16</xdr:row>
      <xdr:rowOff>152400</xdr:rowOff>
    </xdr:to>
    <xdr:pic>
      <xdr:nvPicPr>
        <xdr:cNvPr id="120588" name="Picture 6" descr="7ST CC_rel">
          <a:extLst>
            <a:ext uri="{FF2B5EF4-FFF2-40B4-BE49-F238E27FC236}">
              <a16:creationId xmlns:a16="http://schemas.microsoft.com/office/drawing/2014/main" id="{00000000-0008-0000-1800-00000CD7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28600"/>
          <a:ext cx="175260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5" name="Obrázek 18" descr="Tip.gif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66675</xdr:rowOff>
    </xdr:from>
    <xdr:to>
      <xdr:col>5</xdr:col>
      <xdr:colOff>0</xdr:colOff>
      <xdr:row>16</xdr:row>
      <xdr:rowOff>152400</xdr:rowOff>
    </xdr:to>
    <xdr:pic>
      <xdr:nvPicPr>
        <xdr:cNvPr id="150991" name="Obrázek 4">
          <a:extLst>
            <a:ext uri="{FF2B5EF4-FFF2-40B4-BE49-F238E27FC236}">
              <a16:creationId xmlns:a16="http://schemas.microsoft.com/office/drawing/2014/main" id="{00000000-0008-0000-1900-0000CF4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28600"/>
          <a:ext cx="175260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457200</xdr:colOff>
      <xdr:row>9</xdr:row>
      <xdr:rowOff>152400</xdr:rowOff>
    </xdr:from>
    <xdr:to>
      <xdr:col>7</xdr:col>
      <xdr:colOff>609600</xdr:colOff>
      <xdr:row>10</xdr:row>
      <xdr:rowOff>142875</xdr:rowOff>
    </xdr:to>
    <xdr:pic>
      <xdr:nvPicPr>
        <xdr:cNvPr id="150992" name="Obrázek 28" descr="Info.gif">
          <a:extLst>
            <a:ext uri="{FF2B5EF4-FFF2-40B4-BE49-F238E27FC236}">
              <a16:creationId xmlns:a16="http://schemas.microsoft.com/office/drawing/2014/main" id="{00000000-0008-0000-1900-0000D04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47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5" name="Obrázek 18" descr="Tip.gif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9</xdr:row>
      <xdr:rowOff>152400</xdr:rowOff>
    </xdr:from>
    <xdr:to>
      <xdr:col>7</xdr:col>
      <xdr:colOff>609600</xdr:colOff>
      <xdr:row>10</xdr:row>
      <xdr:rowOff>142875</xdr:rowOff>
    </xdr:to>
    <xdr:pic>
      <xdr:nvPicPr>
        <xdr:cNvPr id="124682" name="Obrázek 28" descr="Info.gif">
          <a:extLst>
            <a:ext uri="{FF2B5EF4-FFF2-40B4-BE49-F238E27FC236}">
              <a16:creationId xmlns:a16="http://schemas.microsoft.com/office/drawing/2014/main" id="{00000000-0008-0000-1A00-00000AE7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47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</xdr:row>
      <xdr:rowOff>57150</xdr:rowOff>
    </xdr:from>
    <xdr:to>
      <xdr:col>5</xdr:col>
      <xdr:colOff>0</xdr:colOff>
      <xdr:row>16</xdr:row>
      <xdr:rowOff>152400</xdr:rowOff>
    </xdr:to>
    <xdr:pic>
      <xdr:nvPicPr>
        <xdr:cNvPr id="124684" name="Picture 6" descr="7ST CM_glass">
          <a:extLst>
            <a:ext uri="{FF2B5EF4-FFF2-40B4-BE49-F238E27FC236}">
              <a16:creationId xmlns:a16="http://schemas.microsoft.com/office/drawing/2014/main" id="{00000000-0008-0000-1A00-00000CE7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19075"/>
          <a:ext cx="1752600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5" name="Obrázek 18" descr="Tip.gif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7" name="Obrázek 28" descr="Info.gif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47625</xdr:rowOff>
    </xdr:from>
    <xdr:to>
      <xdr:col>5</xdr:col>
      <xdr:colOff>0</xdr:colOff>
      <xdr:row>16</xdr:row>
      <xdr:rowOff>142875</xdr:rowOff>
    </xdr:to>
    <xdr:pic>
      <xdr:nvPicPr>
        <xdr:cNvPr id="152012" name="Obrázek 5">
          <a:extLst>
            <a:ext uri="{FF2B5EF4-FFF2-40B4-BE49-F238E27FC236}">
              <a16:creationId xmlns:a16="http://schemas.microsoft.com/office/drawing/2014/main" id="{00000000-0008-0000-1B00-0000CC5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09550"/>
          <a:ext cx="1752600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457200</xdr:colOff>
      <xdr:row>9</xdr:row>
      <xdr:rowOff>152400</xdr:rowOff>
    </xdr:from>
    <xdr:to>
      <xdr:col>7</xdr:col>
      <xdr:colOff>609600</xdr:colOff>
      <xdr:row>10</xdr:row>
      <xdr:rowOff>142875</xdr:rowOff>
    </xdr:to>
    <xdr:pic>
      <xdr:nvPicPr>
        <xdr:cNvPr id="152013" name="Obrázek 28" descr="Info.gif">
          <a:extLst>
            <a:ext uri="{FF2B5EF4-FFF2-40B4-BE49-F238E27FC236}">
              <a16:creationId xmlns:a16="http://schemas.microsoft.com/office/drawing/2014/main" id="{00000000-0008-0000-1B00-0000CD5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47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6" name="Obrázek 18" descr="Tip.gif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8" name="Obrázek 28" descr="Info.gif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9</xdr:row>
      <xdr:rowOff>152400</xdr:rowOff>
    </xdr:from>
    <xdr:to>
      <xdr:col>7</xdr:col>
      <xdr:colOff>609600</xdr:colOff>
      <xdr:row>10</xdr:row>
      <xdr:rowOff>142875</xdr:rowOff>
    </xdr:to>
    <xdr:pic>
      <xdr:nvPicPr>
        <xdr:cNvPr id="125705" name="Obrázek 28" descr="Info.gif">
          <a:extLst>
            <a:ext uri="{FF2B5EF4-FFF2-40B4-BE49-F238E27FC236}">
              <a16:creationId xmlns:a16="http://schemas.microsoft.com/office/drawing/2014/main" id="{00000000-0008-0000-1C00-000009E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47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</xdr:row>
      <xdr:rowOff>66675</xdr:rowOff>
    </xdr:from>
    <xdr:to>
      <xdr:col>5</xdr:col>
      <xdr:colOff>0</xdr:colOff>
      <xdr:row>16</xdr:row>
      <xdr:rowOff>152400</xdr:rowOff>
    </xdr:to>
    <xdr:pic>
      <xdr:nvPicPr>
        <xdr:cNvPr id="125707" name="Picture 5" descr="7ST CM_rel">
          <a:extLst>
            <a:ext uri="{FF2B5EF4-FFF2-40B4-BE49-F238E27FC236}">
              <a16:creationId xmlns:a16="http://schemas.microsoft.com/office/drawing/2014/main" id="{00000000-0008-0000-1C00-00000BE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28600"/>
          <a:ext cx="175260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6" name="Obrázek 18" descr="Tip.gif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8" name="Obrázek 28" descr="Info.gif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6</xdr:col>
      <xdr:colOff>0</xdr:colOff>
      <xdr:row>14</xdr:row>
      <xdr:rowOff>38100</xdr:rowOff>
    </xdr:to>
    <xdr:pic>
      <xdr:nvPicPr>
        <xdr:cNvPr id="110853" name="Picture 3" descr="7D N">
          <a:extLst>
            <a:ext uri="{FF2B5EF4-FFF2-40B4-BE49-F238E27FC236}">
              <a16:creationId xmlns:a16="http://schemas.microsoft.com/office/drawing/2014/main" id="{00000000-0008-0000-0200-000005B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7200"/>
          <a:ext cx="3105150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109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9</xdr:row>
      <xdr:rowOff>152400</xdr:rowOff>
    </xdr:from>
    <xdr:to>
      <xdr:col>7</xdr:col>
      <xdr:colOff>609600</xdr:colOff>
      <xdr:row>10</xdr:row>
      <xdr:rowOff>142875</xdr:rowOff>
    </xdr:to>
    <xdr:pic>
      <xdr:nvPicPr>
        <xdr:cNvPr id="153036" name="Obrázek 28" descr="Info.gif">
          <a:extLst>
            <a:ext uri="{FF2B5EF4-FFF2-40B4-BE49-F238E27FC236}">
              <a16:creationId xmlns:a16="http://schemas.microsoft.com/office/drawing/2014/main" id="{00000000-0008-0000-1D00-0000CC5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47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</xdr:row>
      <xdr:rowOff>66675</xdr:rowOff>
    </xdr:from>
    <xdr:to>
      <xdr:col>5</xdr:col>
      <xdr:colOff>0</xdr:colOff>
      <xdr:row>16</xdr:row>
      <xdr:rowOff>152400</xdr:rowOff>
    </xdr:to>
    <xdr:pic>
      <xdr:nvPicPr>
        <xdr:cNvPr id="153038" name="Obrázek 1">
          <a:extLst>
            <a:ext uri="{FF2B5EF4-FFF2-40B4-BE49-F238E27FC236}">
              <a16:creationId xmlns:a16="http://schemas.microsoft.com/office/drawing/2014/main" id="{00000000-0008-0000-1D00-0000CE5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28600"/>
          <a:ext cx="175260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5" name="Obrázek 18" descr="Tip.gif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273</xdr:row>
      <xdr:rowOff>76200</xdr:rowOff>
    </xdr:from>
    <xdr:to>
      <xdr:col>8</xdr:col>
      <xdr:colOff>1457325</xdr:colOff>
      <xdr:row>317</xdr:row>
      <xdr:rowOff>85725</xdr:rowOff>
    </xdr:to>
    <xdr:pic>
      <xdr:nvPicPr>
        <xdr:cNvPr id="178199" name="Obrázek 3">
          <a:extLst>
            <a:ext uri="{FF2B5EF4-FFF2-40B4-BE49-F238E27FC236}">
              <a16:creationId xmlns:a16="http://schemas.microsoft.com/office/drawing/2014/main" id="{00000000-0008-0000-1E00-000017B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4853225"/>
          <a:ext cx="8343900" cy="713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152400</xdr:colOff>
      <xdr:row>12</xdr:row>
      <xdr:rowOff>0</xdr:rowOff>
    </xdr:to>
    <xdr:pic>
      <xdr:nvPicPr>
        <xdr:cNvPr id="178201" name="Obrázek 28" descr="Info.gif">
          <a:extLst>
            <a:ext uri="{FF2B5EF4-FFF2-40B4-BE49-F238E27FC236}">
              <a16:creationId xmlns:a16="http://schemas.microsoft.com/office/drawing/2014/main" id="{00000000-0008-0000-1E00-000019B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9716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152400</xdr:colOff>
      <xdr:row>29</xdr:row>
      <xdr:rowOff>0</xdr:rowOff>
    </xdr:to>
    <xdr:pic>
      <xdr:nvPicPr>
        <xdr:cNvPr id="178202" name="Obrázek 28" descr="Info.gif">
          <a:extLst>
            <a:ext uri="{FF2B5EF4-FFF2-40B4-BE49-F238E27FC236}">
              <a16:creationId xmlns:a16="http://schemas.microsoft.com/office/drawing/2014/main" id="{00000000-0008-0000-1E00-00001AB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4791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109</xdr:row>
      <xdr:rowOff>38100</xdr:rowOff>
    </xdr:from>
    <xdr:to>
      <xdr:col>8</xdr:col>
      <xdr:colOff>1419225</xdr:colOff>
      <xdr:row>201</xdr:row>
      <xdr:rowOff>19050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8259425"/>
          <a:ext cx="8343900" cy="148780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135</xdr:row>
      <xdr:rowOff>9525</xdr:rowOff>
    </xdr:from>
    <xdr:to>
      <xdr:col>8</xdr:col>
      <xdr:colOff>1343025</xdr:colOff>
      <xdr:row>231</xdr:row>
      <xdr:rowOff>104775</xdr:rowOff>
    </xdr:to>
    <xdr:pic>
      <xdr:nvPicPr>
        <xdr:cNvPr id="102858" name="Obrázek 2">
          <a:extLst>
            <a:ext uri="{FF2B5EF4-FFF2-40B4-BE49-F238E27FC236}">
              <a16:creationId xmlns:a16="http://schemas.microsoft.com/office/drawing/2014/main" id="{00000000-0008-0000-1F00-0000CA9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010"/>
        <a:stretch>
          <a:fillRect/>
        </a:stretch>
      </xdr:blipFill>
      <xdr:spPr bwMode="auto">
        <a:xfrm>
          <a:off x="447675" y="22136100"/>
          <a:ext cx="8343900" cy="1564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12</xdr:row>
      <xdr:rowOff>28575</xdr:rowOff>
    </xdr:from>
    <xdr:to>
      <xdr:col>5</xdr:col>
      <xdr:colOff>428625</xdr:colOff>
      <xdr:row>13</xdr:row>
      <xdr:rowOff>95250</xdr:rowOff>
    </xdr:to>
    <xdr:pic>
      <xdr:nvPicPr>
        <xdr:cNvPr id="179310" name="Obrázek 7">
          <a:extLst>
            <a:ext uri="{FF2B5EF4-FFF2-40B4-BE49-F238E27FC236}">
              <a16:creationId xmlns:a16="http://schemas.microsoft.com/office/drawing/2014/main" id="{00000000-0008-0000-2000-00006E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2181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1219200</xdr:colOff>
      <xdr:row>3</xdr:row>
      <xdr:rowOff>28575</xdr:rowOff>
    </xdr:from>
    <xdr:to>
      <xdr:col>5</xdr:col>
      <xdr:colOff>190500</xdr:colOff>
      <xdr:row>4</xdr:row>
      <xdr:rowOff>85725</xdr:rowOff>
    </xdr:to>
    <xdr:pic>
      <xdr:nvPicPr>
        <xdr:cNvPr id="179311" name="Obrázek 9">
          <a:extLst>
            <a:ext uri="{FF2B5EF4-FFF2-40B4-BE49-F238E27FC236}">
              <a16:creationId xmlns:a16="http://schemas.microsoft.com/office/drawing/2014/main" id="{00000000-0008-0000-2000-00006F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657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12</xdr:row>
      <xdr:rowOff>28575</xdr:rowOff>
    </xdr:from>
    <xdr:to>
      <xdr:col>6</xdr:col>
      <xdr:colOff>0</xdr:colOff>
      <xdr:row>13</xdr:row>
      <xdr:rowOff>95250</xdr:rowOff>
    </xdr:to>
    <xdr:pic>
      <xdr:nvPicPr>
        <xdr:cNvPr id="179312" name="Obrázek 10">
          <a:extLst>
            <a:ext uri="{FF2B5EF4-FFF2-40B4-BE49-F238E27FC236}">
              <a16:creationId xmlns:a16="http://schemas.microsoft.com/office/drawing/2014/main" id="{00000000-0008-0000-2000-000070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81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1219200</xdr:colOff>
      <xdr:row>12</xdr:row>
      <xdr:rowOff>28575</xdr:rowOff>
    </xdr:from>
    <xdr:to>
      <xdr:col>5</xdr:col>
      <xdr:colOff>190500</xdr:colOff>
      <xdr:row>13</xdr:row>
      <xdr:rowOff>95250</xdr:rowOff>
    </xdr:to>
    <xdr:pic>
      <xdr:nvPicPr>
        <xdr:cNvPr id="179313" name="Obrázek 25">
          <a:extLst>
            <a:ext uri="{FF2B5EF4-FFF2-40B4-BE49-F238E27FC236}">
              <a16:creationId xmlns:a16="http://schemas.microsoft.com/office/drawing/2014/main" id="{00000000-0008-0000-2000-000071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2181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17</xdr:row>
      <xdr:rowOff>114300</xdr:rowOff>
    </xdr:from>
    <xdr:to>
      <xdr:col>15</xdr:col>
      <xdr:colOff>228600</xdr:colOff>
      <xdr:row>19</xdr:row>
      <xdr:rowOff>19050</xdr:rowOff>
    </xdr:to>
    <xdr:pic>
      <xdr:nvPicPr>
        <xdr:cNvPr id="179314" name="Obrázek 26">
          <a:extLst>
            <a:ext uri="{FF2B5EF4-FFF2-40B4-BE49-F238E27FC236}">
              <a16:creationId xmlns:a16="http://schemas.microsoft.com/office/drawing/2014/main" id="{00000000-0008-0000-2000-000072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0765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15</xdr:row>
      <xdr:rowOff>123825</xdr:rowOff>
    </xdr:from>
    <xdr:to>
      <xdr:col>15</xdr:col>
      <xdr:colOff>228600</xdr:colOff>
      <xdr:row>17</xdr:row>
      <xdr:rowOff>28575</xdr:rowOff>
    </xdr:to>
    <xdr:pic>
      <xdr:nvPicPr>
        <xdr:cNvPr id="179315" name="Obrázek 27">
          <a:extLst>
            <a:ext uri="{FF2B5EF4-FFF2-40B4-BE49-F238E27FC236}">
              <a16:creationId xmlns:a16="http://schemas.microsoft.com/office/drawing/2014/main" id="{00000000-0008-0000-2000-000073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27622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19</xdr:row>
      <xdr:rowOff>114300</xdr:rowOff>
    </xdr:from>
    <xdr:to>
      <xdr:col>15</xdr:col>
      <xdr:colOff>228600</xdr:colOff>
      <xdr:row>21</xdr:row>
      <xdr:rowOff>19050</xdr:rowOff>
    </xdr:to>
    <xdr:pic>
      <xdr:nvPicPr>
        <xdr:cNvPr id="179316" name="Obrázek 28">
          <a:extLst>
            <a:ext uri="{FF2B5EF4-FFF2-40B4-BE49-F238E27FC236}">
              <a16:creationId xmlns:a16="http://schemas.microsoft.com/office/drawing/2014/main" id="{00000000-0008-0000-2000-000074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4004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21</xdr:row>
      <xdr:rowOff>123825</xdr:rowOff>
    </xdr:from>
    <xdr:to>
      <xdr:col>15</xdr:col>
      <xdr:colOff>228600</xdr:colOff>
      <xdr:row>23</xdr:row>
      <xdr:rowOff>28575</xdr:rowOff>
    </xdr:to>
    <xdr:pic>
      <xdr:nvPicPr>
        <xdr:cNvPr id="179317" name="Obrázek 33">
          <a:extLst>
            <a:ext uri="{FF2B5EF4-FFF2-40B4-BE49-F238E27FC236}">
              <a16:creationId xmlns:a16="http://schemas.microsoft.com/office/drawing/2014/main" id="{00000000-0008-0000-2000-000075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733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228600</xdr:colOff>
      <xdr:row>25</xdr:row>
      <xdr:rowOff>19050</xdr:rowOff>
    </xdr:to>
    <xdr:pic>
      <xdr:nvPicPr>
        <xdr:cNvPr id="179318" name="Obrázek 34">
          <a:extLst>
            <a:ext uri="{FF2B5EF4-FFF2-40B4-BE49-F238E27FC236}">
              <a16:creationId xmlns:a16="http://schemas.microsoft.com/office/drawing/2014/main" id="{00000000-0008-0000-2000-000076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40481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</xdr:row>
      <xdr:rowOff>28575</xdr:rowOff>
    </xdr:from>
    <xdr:to>
      <xdr:col>6</xdr:col>
      <xdr:colOff>0</xdr:colOff>
      <xdr:row>4</xdr:row>
      <xdr:rowOff>85725</xdr:rowOff>
    </xdr:to>
    <xdr:pic>
      <xdr:nvPicPr>
        <xdr:cNvPr id="179319" name="Obrázek 35">
          <a:extLst>
            <a:ext uri="{FF2B5EF4-FFF2-40B4-BE49-F238E27FC236}">
              <a16:creationId xmlns:a16="http://schemas.microsoft.com/office/drawing/2014/main" id="{00000000-0008-0000-2000-000077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657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12</xdr:row>
      <xdr:rowOff>28575</xdr:rowOff>
    </xdr:from>
    <xdr:to>
      <xdr:col>5</xdr:col>
      <xdr:colOff>666750</xdr:colOff>
      <xdr:row>13</xdr:row>
      <xdr:rowOff>95250</xdr:rowOff>
    </xdr:to>
    <xdr:pic>
      <xdr:nvPicPr>
        <xdr:cNvPr id="179320" name="Obrázek 43">
          <a:extLst>
            <a:ext uri="{FF2B5EF4-FFF2-40B4-BE49-F238E27FC236}">
              <a16:creationId xmlns:a16="http://schemas.microsoft.com/office/drawing/2014/main" id="{00000000-0008-0000-2000-000078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181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3</xdr:row>
      <xdr:rowOff>28575</xdr:rowOff>
    </xdr:from>
    <xdr:to>
      <xdr:col>5</xdr:col>
      <xdr:colOff>666750</xdr:colOff>
      <xdr:row>4</xdr:row>
      <xdr:rowOff>85725</xdr:rowOff>
    </xdr:to>
    <xdr:pic>
      <xdr:nvPicPr>
        <xdr:cNvPr id="179321" name="Obrázek 44">
          <a:extLst>
            <a:ext uri="{FF2B5EF4-FFF2-40B4-BE49-F238E27FC236}">
              <a16:creationId xmlns:a16="http://schemas.microsoft.com/office/drawing/2014/main" id="{00000000-0008-0000-2000-000079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57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981075</xdr:colOff>
      <xdr:row>12</xdr:row>
      <xdr:rowOff>28575</xdr:rowOff>
    </xdr:from>
    <xdr:to>
      <xdr:col>4</xdr:col>
      <xdr:colOff>1209675</xdr:colOff>
      <xdr:row>13</xdr:row>
      <xdr:rowOff>95250</xdr:rowOff>
    </xdr:to>
    <xdr:pic>
      <xdr:nvPicPr>
        <xdr:cNvPr id="179322" name="Picture 568">
          <a:extLst>
            <a:ext uri="{FF2B5EF4-FFF2-40B4-BE49-F238E27FC236}">
              <a16:creationId xmlns:a16="http://schemas.microsoft.com/office/drawing/2014/main" id="{00000000-0008-0000-2000-00007A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181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21</xdr:row>
      <xdr:rowOff>28575</xdr:rowOff>
    </xdr:from>
    <xdr:to>
      <xdr:col>6</xdr:col>
      <xdr:colOff>0</xdr:colOff>
      <xdr:row>22</xdr:row>
      <xdr:rowOff>95250</xdr:rowOff>
    </xdr:to>
    <xdr:pic>
      <xdr:nvPicPr>
        <xdr:cNvPr id="179324" name="Obrázek 35">
          <a:extLst>
            <a:ext uri="{FF2B5EF4-FFF2-40B4-BE49-F238E27FC236}">
              <a16:creationId xmlns:a16="http://schemas.microsoft.com/office/drawing/2014/main" id="{00000000-0008-0000-2000-00007C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36385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21</xdr:row>
      <xdr:rowOff>28575</xdr:rowOff>
    </xdr:from>
    <xdr:to>
      <xdr:col>5</xdr:col>
      <xdr:colOff>666750</xdr:colOff>
      <xdr:row>22</xdr:row>
      <xdr:rowOff>95250</xdr:rowOff>
    </xdr:to>
    <xdr:pic>
      <xdr:nvPicPr>
        <xdr:cNvPr id="179325" name="Obrázek 44">
          <a:extLst>
            <a:ext uri="{FF2B5EF4-FFF2-40B4-BE49-F238E27FC236}">
              <a16:creationId xmlns:a16="http://schemas.microsoft.com/office/drawing/2014/main" id="{00000000-0008-0000-2000-00007D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36385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295275</xdr:colOff>
      <xdr:row>12</xdr:row>
      <xdr:rowOff>0</xdr:rowOff>
    </xdr:from>
    <xdr:to>
      <xdr:col>10</xdr:col>
      <xdr:colOff>76200</xdr:colOff>
      <xdr:row>14</xdr:row>
      <xdr:rowOff>114300</xdr:rowOff>
    </xdr:to>
    <xdr:pic>
      <xdr:nvPicPr>
        <xdr:cNvPr id="179326" name="Picture 577" descr="A-L wood_pull_th">
          <a:extLst>
            <a:ext uri="{FF2B5EF4-FFF2-40B4-BE49-F238E27FC236}">
              <a16:creationId xmlns:a16="http://schemas.microsoft.com/office/drawing/2014/main" id="{00000000-0008-0000-2000-00007EB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1526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3</xdr:row>
      <xdr:rowOff>0</xdr:rowOff>
    </xdr:from>
    <xdr:to>
      <xdr:col>3</xdr:col>
      <xdr:colOff>390525</xdr:colOff>
      <xdr:row>7</xdr:row>
      <xdr:rowOff>28575</xdr:rowOff>
    </xdr:to>
    <xdr:pic>
      <xdr:nvPicPr>
        <xdr:cNvPr id="179327" name="Picture 579" descr="A-L steel_draw_th">
          <a:extLst>
            <a:ext uri="{FF2B5EF4-FFF2-40B4-BE49-F238E27FC236}">
              <a16:creationId xmlns:a16="http://schemas.microsoft.com/office/drawing/2014/main" id="{00000000-0008-0000-2000-00007FB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8650"/>
          <a:ext cx="1400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12</xdr:row>
      <xdr:rowOff>0</xdr:rowOff>
    </xdr:from>
    <xdr:to>
      <xdr:col>3</xdr:col>
      <xdr:colOff>276225</xdr:colOff>
      <xdr:row>15</xdr:row>
      <xdr:rowOff>85725</xdr:rowOff>
    </xdr:to>
    <xdr:pic>
      <xdr:nvPicPr>
        <xdr:cNvPr id="179328" name="Picture 580" descr="A-L steel_pull_th">
          <a:extLst>
            <a:ext uri="{FF2B5EF4-FFF2-40B4-BE49-F238E27FC236}">
              <a16:creationId xmlns:a16="http://schemas.microsoft.com/office/drawing/2014/main" id="{00000000-0008-0000-2000-000080B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52650"/>
          <a:ext cx="1171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304800</xdr:colOff>
      <xdr:row>3</xdr:row>
      <xdr:rowOff>0</xdr:rowOff>
    </xdr:from>
    <xdr:to>
      <xdr:col>10</xdr:col>
      <xdr:colOff>466725</xdr:colOff>
      <xdr:row>6</xdr:row>
      <xdr:rowOff>114300</xdr:rowOff>
    </xdr:to>
    <xdr:pic>
      <xdr:nvPicPr>
        <xdr:cNvPr id="179329" name="Picture 581" descr="A-L wood_draw_th">
          <a:extLst>
            <a:ext uri="{FF2B5EF4-FFF2-40B4-BE49-F238E27FC236}">
              <a16:creationId xmlns:a16="http://schemas.microsoft.com/office/drawing/2014/main" id="{00000000-0008-0000-2000-000081B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28650"/>
          <a:ext cx="1381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981075</xdr:colOff>
      <xdr:row>3</xdr:row>
      <xdr:rowOff>28575</xdr:rowOff>
    </xdr:from>
    <xdr:to>
      <xdr:col>4</xdr:col>
      <xdr:colOff>1209675</xdr:colOff>
      <xdr:row>4</xdr:row>
      <xdr:rowOff>85725</xdr:rowOff>
    </xdr:to>
    <xdr:pic>
      <xdr:nvPicPr>
        <xdr:cNvPr id="179330" name="Picture 582">
          <a:extLst>
            <a:ext uri="{FF2B5EF4-FFF2-40B4-BE49-F238E27FC236}">
              <a16:creationId xmlns:a16="http://schemas.microsoft.com/office/drawing/2014/main" id="{00000000-0008-0000-2000-000082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657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3</xdr:row>
      <xdr:rowOff>28575</xdr:rowOff>
    </xdr:from>
    <xdr:to>
      <xdr:col>5</xdr:col>
      <xdr:colOff>428625</xdr:colOff>
      <xdr:row>4</xdr:row>
      <xdr:rowOff>85725</xdr:rowOff>
    </xdr:to>
    <xdr:pic>
      <xdr:nvPicPr>
        <xdr:cNvPr id="179331" name="Obrázek 7">
          <a:extLst>
            <a:ext uri="{FF2B5EF4-FFF2-40B4-BE49-F238E27FC236}">
              <a16:creationId xmlns:a16="http://schemas.microsoft.com/office/drawing/2014/main" id="{00000000-0008-0000-2000-000083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57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21</xdr:row>
      <xdr:rowOff>28575</xdr:rowOff>
    </xdr:from>
    <xdr:to>
      <xdr:col>5</xdr:col>
      <xdr:colOff>428625</xdr:colOff>
      <xdr:row>22</xdr:row>
      <xdr:rowOff>95250</xdr:rowOff>
    </xdr:to>
    <xdr:pic>
      <xdr:nvPicPr>
        <xdr:cNvPr id="46" name="Obrázek 7">
          <a:extLst>
            <a:ext uri="{FF2B5EF4-FFF2-40B4-BE49-F238E27FC236}">
              <a16:creationId xmlns:a16="http://schemas.microsoft.com/office/drawing/2014/main" id="{00000000-0008-0000-2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6385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200025</xdr:colOff>
      <xdr:row>21</xdr:row>
      <xdr:rowOff>28575</xdr:rowOff>
    </xdr:from>
    <xdr:ext cx="228600" cy="228600"/>
    <xdr:pic>
      <xdr:nvPicPr>
        <xdr:cNvPr id="48" name="Obrázek 9">
          <a:extLst>
            <a:ext uri="{FF2B5EF4-FFF2-40B4-BE49-F238E27FC236}">
              <a16:creationId xmlns:a16="http://schemas.microsoft.com/office/drawing/2014/main" id="{00000000-0008-0000-2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676275</xdr:colOff>
      <xdr:row>21</xdr:row>
      <xdr:rowOff>28575</xdr:rowOff>
    </xdr:from>
    <xdr:ext cx="228600" cy="228600"/>
    <xdr:pic>
      <xdr:nvPicPr>
        <xdr:cNvPr id="49" name="Obrázek 35">
          <a:extLst>
            <a:ext uri="{FF2B5EF4-FFF2-40B4-BE49-F238E27FC236}">
              <a16:creationId xmlns:a16="http://schemas.microsoft.com/office/drawing/2014/main" id="{00000000-0008-0000-2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438150</xdr:colOff>
      <xdr:row>21</xdr:row>
      <xdr:rowOff>28575</xdr:rowOff>
    </xdr:from>
    <xdr:ext cx="228600" cy="228600"/>
    <xdr:pic>
      <xdr:nvPicPr>
        <xdr:cNvPr id="50" name="Obrázek 44">
          <a:extLst>
            <a:ext uri="{FF2B5EF4-FFF2-40B4-BE49-F238E27FC236}">
              <a16:creationId xmlns:a16="http://schemas.microsoft.com/office/drawing/2014/main" id="{00000000-0008-0000-2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600075</xdr:colOff>
      <xdr:row>21</xdr:row>
      <xdr:rowOff>152400</xdr:rowOff>
    </xdr:from>
    <xdr:ext cx="714375" cy="581025"/>
    <xdr:pic>
      <xdr:nvPicPr>
        <xdr:cNvPr id="51" name="Obrázek 1">
          <a:extLst>
            <a:ext uri="{FF2B5EF4-FFF2-40B4-BE49-F238E27FC236}">
              <a16:creationId xmlns:a16="http://schemas.microsoft.com/office/drawing/2014/main" id="{00000000-0008-0000-2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219700"/>
          <a:ext cx="714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200025</xdr:colOff>
      <xdr:row>30</xdr:row>
      <xdr:rowOff>28575</xdr:rowOff>
    </xdr:from>
    <xdr:ext cx="228600" cy="228600"/>
    <xdr:pic>
      <xdr:nvPicPr>
        <xdr:cNvPr id="52" name="Obrázek 9">
          <a:extLst>
            <a:ext uri="{FF2B5EF4-FFF2-40B4-BE49-F238E27FC236}">
              <a16:creationId xmlns:a16="http://schemas.microsoft.com/office/drawing/2014/main" id="{00000000-0008-0000-2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676275</xdr:colOff>
      <xdr:row>30</xdr:row>
      <xdr:rowOff>28575</xdr:rowOff>
    </xdr:from>
    <xdr:ext cx="228600" cy="228600"/>
    <xdr:pic>
      <xdr:nvPicPr>
        <xdr:cNvPr id="53" name="Obrázek 35">
          <a:extLst>
            <a:ext uri="{FF2B5EF4-FFF2-40B4-BE49-F238E27FC236}">
              <a16:creationId xmlns:a16="http://schemas.microsoft.com/office/drawing/2014/main" id="{00000000-0008-0000-2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438150</xdr:colOff>
      <xdr:row>30</xdr:row>
      <xdr:rowOff>28575</xdr:rowOff>
    </xdr:from>
    <xdr:ext cx="228600" cy="228600"/>
    <xdr:pic>
      <xdr:nvPicPr>
        <xdr:cNvPr id="54" name="Obrázek 44">
          <a:extLst>
            <a:ext uri="{FF2B5EF4-FFF2-40B4-BE49-F238E27FC236}">
              <a16:creationId xmlns:a16="http://schemas.microsoft.com/office/drawing/2014/main" id="{00000000-0008-0000-2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238125</xdr:colOff>
      <xdr:row>30</xdr:row>
      <xdr:rowOff>0</xdr:rowOff>
    </xdr:from>
    <xdr:ext cx="1228725" cy="704850"/>
    <xdr:pic>
      <xdr:nvPicPr>
        <xdr:cNvPr id="55" name="Picture 578" descr="A-L helper_th">
          <a:extLst>
            <a:ext uri="{FF2B5EF4-FFF2-40B4-BE49-F238E27FC236}">
              <a16:creationId xmlns:a16="http://schemas.microsoft.com/office/drawing/2014/main" id="{00000000-0008-0000-2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6730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323850</xdr:colOff>
      <xdr:row>21</xdr:row>
      <xdr:rowOff>85725</xdr:rowOff>
    </xdr:from>
    <xdr:to>
      <xdr:col>3</xdr:col>
      <xdr:colOff>381000</xdr:colOff>
      <xdr:row>25</xdr:row>
      <xdr:rowOff>85725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695700"/>
          <a:ext cx="1276350" cy="6477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14</xdr:row>
      <xdr:rowOff>171450</xdr:rowOff>
    </xdr:from>
    <xdr:to>
      <xdr:col>13</xdr:col>
      <xdr:colOff>266700</xdr:colOff>
      <xdr:row>16</xdr:row>
      <xdr:rowOff>9525</xdr:rowOff>
    </xdr:to>
    <xdr:pic>
      <xdr:nvPicPr>
        <xdr:cNvPr id="172368" name="Obrázek 9">
          <a:extLst>
            <a:ext uri="{FF2B5EF4-FFF2-40B4-BE49-F238E27FC236}">
              <a16:creationId xmlns:a16="http://schemas.microsoft.com/office/drawing/2014/main" id="{00000000-0008-0000-2100-000050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2667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276225</xdr:colOff>
      <xdr:row>20</xdr:row>
      <xdr:rowOff>171450</xdr:rowOff>
    </xdr:from>
    <xdr:to>
      <xdr:col>13</xdr:col>
      <xdr:colOff>504825</xdr:colOff>
      <xdr:row>22</xdr:row>
      <xdr:rowOff>9525</xdr:rowOff>
    </xdr:to>
    <xdr:pic>
      <xdr:nvPicPr>
        <xdr:cNvPr id="172369" name="Obrázek 7">
          <a:extLst>
            <a:ext uri="{FF2B5EF4-FFF2-40B4-BE49-F238E27FC236}">
              <a16:creationId xmlns:a16="http://schemas.microsoft.com/office/drawing/2014/main" id="{00000000-0008-0000-2100-000051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</xdr:colOff>
      <xdr:row>20</xdr:row>
      <xdr:rowOff>171450</xdr:rowOff>
    </xdr:from>
    <xdr:to>
      <xdr:col>13</xdr:col>
      <xdr:colOff>266700</xdr:colOff>
      <xdr:row>22</xdr:row>
      <xdr:rowOff>9525</xdr:rowOff>
    </xdr:to>
    <xdr:pic>
      <xdr:nvPicPr>
        <xdr:cNvPr id="172370" name="Obrázek 9">
          <a:extLst>
            <a:ext uri="{FF2B5EF4-FFF2-40B4-BE49-F238E27FC236}">
              <a16:creationId xmlns:a16="http://schemas.microsoft.com/office/drawing/2014/main" id="{00000000-0008-0000-2100-000052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752475</xdr:colOff>
      <xdr:row>20</xdr:row>
      <xdr:rowOff>171450</xdr:rowOff>
    </xdr:from>
    <xdr:to>
      <xdr:col>13</xdr:col>
      <xdr:colOff>981075</xdr:colOff>
      <xdr:row>22</xdr:row>
      <xdr:rowOff>9525</xdr:rowOff>
    </xdr:to>
    <xdr:pic>
      <xdr:nvPicPr>
        <xdr:cNvPr id="172371" name="Obrázek 35">
          <a:extLst>
            <a:ext uri="{FF2B5EF4-FFF2-40B4-BE49-F238E27FC236}">
              <a16:creationId xmlns:a16="http://schemas.microsoft.com/office/drawing/2014/main" id="{00000000-0008-0000-2100-000053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514350</xdr:colOff>
      <xdr:row>20</xdr:row>
      <xdr:rowOff>171450</xdr:rowOff>
    </xdr:from>
    <xdr:to>
      <xdr:col>13</xdr:col>
      <xdr:colOff>742950</xdr:colOff>
      <xdr:row>22</xdr:row>
      <xdr:rowOff>9525</xdr:rowOff>
    </xdr:to>
    <xdr:pic>
      <xdr:nvPicPr>
        <xdr:cNvPr id="172372" name="Obrázek 44">
          <a:extLst>
            <a:ext uri="{FF2B5EF4-FFF2-40B4-BE49-F238E27FC236}">
              <a16:creationId xmlns:a16="http://schemas.microsoft.com/office/drawing/2014/main" id="{00000000-0008-0000-2100-000054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</xdr:colOff>
      <xdr:row>25</xdr:row>
      <xdr:rowOff>171450</xdr:rowOff>
    </xdr:from>
    <xdr:to>
      <xdr:col>13</xdr:col>
      <xdr:colOff>266700</xdr:colOff>
      <xdr:row>27</xdr:row>
      <xdr:rowOff>9525</xdr:rowOff>
    </xdr:to>
    <xdr:pic>
      <xdr:nvPicPr>
        <xdr:cNvPr id="172373" name="Obrázek 7">
          <a:extLst>
            <a:ext uri="{FF2B5EF4-FFF2-40B4-BE49-F238E27FC236}">
              <a16:creationId xmlns:a16="http://schemas.microsoft.com/office/drawing/2014/main" id="{00000000-0008-0000-2100-000055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142875</xdr:colOff>
      <xdr:row>10</xdr:row>
      <xdr:rowOff>123825</xdr:rowOff>
    </xdr:to>
    <xdr:pic>
      <xdr:nvPicPr>
        <xdr:cNvPr id="172374" name="Picture 11" descr="A-L steel_draw">
          <a:extLst>
            <a:ext uri="{FF2B5EF4-FFF2-40B4-BE49-F238E27FC236}">
              <a16:creationId xmlns:a16="http://schemas.microsoft.com/office/drawing/2014/main" id="{00000000-0008-0000-2100-000056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34766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0</xdr:rowOff>
    </xdr:from>
    <xdr:to>
      <xdr:col>1</xdr:col>
      <xdr:colOff>190500</xdr:colOff>
      <xdr:row>31</xdr:row>
      <xdr:rowOff>0</xdr:rowOff>
    </xdr:to>
    <xdr:pic>
      <xdr:nvPicPr>
        <xdr:cNvPr id="172375" name="Obrázek 28" descr="Info.gif">
          <a:extLst>
            <a:ext uri="{FF2B5EF4-FFF2-40B4-BE49-F238E27FC236}">
              <a16:creationId xmlns:a16="http://schemas.microsoft.com/office/drawing/2014/main" id="{00000000-0008-0000-2100-000057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3911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20</xdr:row>
      <xdr:rowOff>171450</xdr:rowOff>
    </xdr:from>
    <xdr:to>
      <xdr:col>12</xdr:col>
      <xdr:colOff>752475</xdr:colOff>
      <xdr:row>22</xdr:row>
      <xdr:rowOff>9525</xdr:rowOff>
    </xdr:to>
    <xdr:pic>
      <xdr:nvPicPr>
        <xdr:cNvPr id="173392" name="Obrázek 7">
          <a:extLst>
            <a:ext uri="{FF2B5EF4-FFF2-40B4-BE49-F238E27FC236}">
              <a16:creationId xmlns:a16="http://schemas.microsoft.com/office/drawing/2014/main" id="{00000000-0008-0000-2200-000050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285750</xdr:colOff>
      <xdr:row>20</xdr:row>
      <xdr:rowOff>171450</xdr:rowOff>
    </xdr:from>
    <xdr:to>
      <xdr:col>12</xdr:col>
      <xdr:colOff>514350</xdr:colOff>
      <xdr:row>22</xdr:row>
      <xdr:rowOff>9525</xdr:rowOff>
    </xdr:to>
    <xdr:pic>
      <xdr:nvPicPr>
        <xdr:cNvPr id="173393" name="Obrázek 9">
          <a:extLst>
            <a:ext uri="{FF2B5EF4-FFF2-40B4-BE49-F238E27FC236}">
              <a16:creationId xmlns:a16="http://schemas.microsoft.com/office/drawing/2014/main" id="{00000000-0008-0000-2200-000051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1000125</xdr:colOff>
      <xdr:row>20</xdr:row>
      <xdr:rowOff>171450</xdr:rowOff>
    </xdr:from>
    <xdr:to>
      <xdr:col>12</xdr:col>
      <xdr:colOff>1228725</xdr:colOff>
      <xdr:row>22</xdr:row>
      <xdr:rowOff>9525</xdr:rowOff>
    </xdr:to>
    <xdr:pic>
      <xdr:nvPicPr>
        <xdr:cNvPr id="173394" name="Obrázek 35">
          <a:extLst>
            <a:ext uri="{FF2B5EF4-FFF2-40B4-BE49-F238E27FC236}">
              <a16:creationId xmlns:a16="http://schemas.microsoft.com/office/drawing/2014/main" id="{00000000-0008-0000-2200-000052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762000</xdr:colOff>
      <xdr:row>20</xdr:row>
      <xdr:rowOff>171450</xdr:rowOff>
    </xdr:from>
    <xdr:to>
      <xdr:col>12</xdr:col>
      <xdr:colOff>990600</xdr:colOff>
      <xdr:row>22</xdr:row>
      <xdr:rowOff>9525</xdr:rowOff>
    </xdr:to>
    <xdr:pic>
      <xdr:nvPicPr>
        <xdr:cNvPr id="173395" name="Obrázek 44">
          <a:extLst>
            <a:ext uri="{FF2B5EF4-FFF2-40B4-BE49-F238E27FC236}">
              <a16:creationId xmlns:a16="http://schemas.microsoft.com/office/drawing/2014/main" id="{00000000-0008-0000-2200-000053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20</xdr:row>
      <xdr:rowOff>171450</xdr:rowOff>
    </xdr:from>
    <xdr:to>
      <xdr:col>12</xdr:col>
      <xdr:colOff>276225</xdr:colOff>
      <xdr:row>22</xdr:row>
      <xdr:rowOff>9525</xdr:rowOff>
    </xdr:to>
    <xdr:pic>
      <xdr:nvPicPr>
        <xdr:cNvPr id="173396" name="Obrázek 27">
          <a:extLst>
            <a:ext uri="{FF2B5EF4-FFF2-40B4-BE49-F238E27FC236}">
              <a16:creationId xmlns:a16="http://schemas.microsoft.com/office/drawing/2014/main" id="{00000000-0008-0000-2200-000054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</xdr:row>
      <xdr:rowOff>0</xdr:rowOff>
    </xdr:from>
    <xdr:to>
      <xdr:col>5</xdr:col>
      <xdr:colOff>352425</xdr:colOff>
      <xdr:row>9</xdr:row>
      <xdr:rowOff>114300</xdr:rowOff>
    </xdr:to>
    <xdr:pic>
      <xdr:nvPicPr>
        <xdr:cNvPr id="173397" name="Picture 9" descr="A-L steel_pull">
          <a:extLst>
            <a:ext uri="{FF2B5EF4-FFF2-40B4-BE49-F238E27FC236}">
              <a16:creationId xmlns:a16="http://schemas.microsoft.com/office/drawing/2014/main" id="{00000000-0008-0000-2200-000055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61925"/>
          <a:ext cx="290512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10</xdr:row>
      <xdr:rowOff>85725</xdr:rowOff>
    </xdr:from>
    <xdr:to>
      <xdr:col>5</xdr:col>
      <xdr:colOff>619125</xdr:colOff>
      <xdr:row>11</xdr:row>
      <xdr:rowOff>190500</xdr:rowOff>
    </xdr:to>
    <xdr:pic>
      <xdr:nvPicPr>
        <xdr:cNvPr id="173398" name="Obrázek 16" descr="Notice.gif">
          <a:extLst>
            <a:ext uri="{FF2B5EF4-FFF2-40B4-BE49-F238E27FC236}">
              <a16:creationId xmlns:a16="http://schemas.microsoft.com/office/drawing/2014/main" id="{00000000-0008-0000-2200-000056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9547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26</xdr:row>
      <xdr:rowOff>19050</xdr:rowOff>
    </xdr:from>
    <xdr:to>
      <xdr:col>1</xdr:col>
      <xdr:colOff>200025</xdr:colOff>
      <xdr:row>27</xdr:row>
      <xdr:rowOff>0</xdr:rowOff>
    </xdr:to>
    <xdr:pic>
      <xdr:nvPicPr>
        <xdr:cNvPr id="173399" name="Obrázek 28" descr="Info.gif">
          <a:extLst>
            <a:ext uri="{FF2B5EF4-FFF2-40B4-BE49-F238E27FC236}">
              <a16:creationId xmlns:a16="http://schemas.microsoft.com/office/drawing/2014/main" id="{00000000-0008-0000-2200-000057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053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14</xdr:row>
      <xdr:rowOff>171450</xdr:rowOff>
    </xdr:from>
    <xdr:to>
      <xdr:col>12</xdr:col>
      <xdr:colOff>285750</xdr:colOff>
      <xdr:row>16</xdr:row>
      <xdr:rowOff>9525</xdr:rowOff>
    </xdr:to>
    <xdr:pic>
      <xdr:nvPicPr>
        <xdr:cNvPr id="2" name="Obrázek 7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705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533400</xdr:colOff>
      <xdr:row>14</xdr:row>
      <xdr:rowOff>171450</xdr:rowOff>
    </xdr:from>
    <xdr:to>
      <xdr:col>12</xdr:col>
      <xdr:colOff>762000</xdr:colOff>
      <xdr:row>16</xdr:row>
      <xdr:rowOff>9525</xdr:rowOff>
    </xdr:to>
    <xdr:pic>
      <xdr:nvPicPr>
        <xdr:cNvPr id="4" name="Obrázek 35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2705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295275</xdr:colOff>
      <xdr:row>14</xdr:row>
      <xdr:rowOff>171450</xdr:rowOff>
    </xdr:from>
    <xdr:to>
      <xdr:col>12</xdr:col>
      <xdr:colOff>523875</xdr:colOff>
      <xdr:row>16</xdr:row>
      <xdr:rowOff>9525</xdr:rowOff>
    </xdr:to>
    <xdr:pic>
      <xdr:nvPicPr>
        <xdr:cNvPr id="5" name="Obrázek 4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2705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10</xdr:row>
      <xdr:rowOff>85725</xdr:rowOff>
    </xdr:from>
    <xdr:to>
      <xdr:col>5</xdr:col>
      <xdr:colOff>619125</xdr:colOff>
      <xdr:row>11</xdr:row>
      <xdr:rowOff>190500</xdr:rowOff>
    </xdr:to>
    <xdr:pic>
      <xdr:nvPicPr>
        <xdr:cNvPr id="8" name="Obrázek 16" descr="Notice.gif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9547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20</xdr:row>
      <xdr:rowOff>19050</xdr:rowOff>
    </xdr:from>
    <xdr:to>
      <xdr:col>1</xdr:col>
      <xdr:colOff>200025</xdr:colOff>
      <xdr:row>20</xdr:row>
      <xdr:rowOff>180975</xdr:rowOff>
    </xdr:to>
    <xdr:pic>
      <xdr:nvPicPr>
        <xdr:cNvPr id="9" name="Obrázek 28" descr="Info.gif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053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</xdr:row>
      <xdr:rowOff>57150</xdr:rowOff>
    </xdr:from>
    <xdr:to>
      <xdr:col>6</xdr:col>
      <xdr:colOff>66675</xdr:colOff>
      <xdr:row>10</xdr:row>
      <xdr:rowOff>19050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19075"/>
          <a:ext cx="3171825" cy="160972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114300</xdr:colOff>
      <xdr:row>9</xdr:row>
      <xdr:rowOff>85725</xdr:rowOff>
    </xdr:to>
    <xdr:pic>
      <xdr:nvPicPr>
        <xdr:cNvPr id="128267" name="Picture 9" descr="A-L wood_draw">
          <a:extLst>
            <a:ext uri="{FF2B5EF4-FFF2-40B4-BE49-F238E27FC236}">
              <a16:creationId xmlns:a16="http://schemas.microsoft.com/office/drawing/2014/main" id="{00000000-0008-0000-2400-00000BF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34480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</xdr:row>
      <xdr:rowOff>0</xdr:rowOff>
    </xdr:from>
    <xdr:to>
      <xdr:col>5</xdr:col>
      <xdr:colOff>133350</xdr:colOff>
      <xdr:row>9</xdr:row>
      <xdr:rowOff>57150</xdr:rowOff>
    </xdr:to>
    <xdr:pic>
      <xdr:nvPicPr>
        <xdr:cNvPr id="130572" name="Picture 7" descr="A-L wood_pull">
          <a:extLst>
            <a:ext uri="{FF2B5EF4-FFF2-40B4-BE49-F238E27FC236}">
              <a16:creationId xmlns:a16="http://schemas.microsoft.com/office/drawing/2014/main" id="{00000000-0008-0000-2500-00000CF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57200"/>
          <a:ext cx="24669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10</xdr:row>
      <xdr:rowOff>95250</xdr:rowOff>
    </xdr:from>
    <xdr:to>
      <xdr:col>5</xdr:col>
      <xdr:colOff>581025</xdr:colOff>
      <xdr:row>12</xdr:row>
      <xdr:rowOff>0</xdr:rowOff>
    </xdr:to>
    <xdr:pic>
      <xdr:nvPicPr>
        <xdr:cNvPr id="130573" name="Obrázek 16" descr="Notice.gif">
          <a:extLst>
            <a:ext uri="{FF2B5EF4-FFF2-40B4-BE49-F238E27FC236}">
              <a16:creationId xmlns:a16="http://schemas.microsoft.com/office/drawing/2014/main" id="{00000000-0008-0000-2500-00000DF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90500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10</xdr:row>
      <xdr:rowOff>95250</xdr:rowOff>
    </xdr:from>
    <xdr:to>
      <xdr:col>5</xdr:col>
      <xdr:colOff>581025</xdr:colOff>
      <xdr:row>12</xdr:row>
      <xdr:rowOff>0</xdr:rowOff>
    </xdr:to>
    <xdr:pic>
      <xdr:nvPicPr>
        <xdr:cNvPr id="154913" name="Obrázek 16" descr="Notice.gif">
          <a:extLst>
            <a:ext uri="{FF2B5EF4-FFF2-40B4-BE49-F238E27FC236}">
              <a16:creationId xmlns:a16="http://schemas.microsoft.com/office/drawing/2014/main" id="{00000000-0008-0000-2600-0000215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90500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</xdr:row>
      <xdr:rowOff>180975</xdr:rowOff>
    </xdr:from>
    <xdr:to>
      <xdr:col>4</xdr:col>
      <xdr:colOff>142875</xdr:colOff>
      <xdr:row>9</xdr:row>
      <xdr:rowOff>57150</xdr:rowOff>
    </xdr:to>
    <xdr:pic>
      <xdr:nvPicPr>
        <xdr:cNvPr id="154914" name="Obrázek 1">
          <a:extLst>
            <a:ext uri="{FF2B5EF4-FFF2-40B4-BE49-F238E27FC236}">
              <a16:creationId xmlns:a16="http://schemas.microsoft.com/office/drawing/2014/main" id="{00000000-0008-0000-2600-0000225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42900"/>
          <a:ext cx="16097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6</xdr:col>
      <xdr:colOff>0</xdr:colOff>
      <xdr:row>14</xdr:row>
      <xdr:rowOff>123825</xdr:rowOff>
    </xdr:to>
    <xdr:pic>
      <xdr:nvPicPr>
        <xdr:cNvPr id="109830" name="Picture 4" descr="7D M">
          <a:extLst>
            <a:ext uri="{FF2B5EF4-FFF2-40B4-BE49-F238E27FC236}">
              <a16:creationId xmlns:a16="http://schemas.microsoft.com/office/drawing/2014/main" id="{00000000-0008-0000-0300-000006A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7200"/>
          <a:ext cx="31051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514350</xdr:colOff>
      <xdr:row>108</xdr:row>
      <xdr:rowOff>133350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23</xdr:row>
      <xdr:rowOff>180975</xdr:rowOff>
    </xdr:from>
    <xdr:to>
      <xdr:col>12</xdr:col>
      <xdr:colOff>266700</xdr:colOff>
      <xdr:row>25</xdr:row>
      <xdr:rowOff>9525</xdr:rowOff>
    </xdr:to>
    <xdr:pic>
      <xdr:nvPicPr>
        <xdr:cNvPr id="174332" name="Obrázek 9">
          <a:extLst>
            <a:ext uri="{FF2B5EF4-FFF2-40B4-BE49-F238E27FC236}">
              <a16:creationId xmlns:a16="http://schemas.microsoft.com/office/drawing/2014/main" id="{00000000-0008-0000-2700-0000FC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381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285750</xdr:colOff>
      <xdr:row>20</xdr:row>
      <xdr:rowOff>180975</xdr:rowOff>
    </xdr:from>
    <xdr:to>
      <xdr:col>12</xdr:col>
      <xdr:colOff>514350</xdr:colOff>
      <xdr:row>22</xdr:row>
      <xdr:rowOff>9525</xdr:rowOff>
    </xdr:to>
    <xdr:pic>
      <xdr:nvPicPr>
        <xdr:cNvPr id="174333" name="Obrázek 35">
          <a:extLst>
            <a:ext uri="{FF2B5EF4-FFF2-40B4-BE49-F238E27FC236}">
              <a16:creationId xmlns:a16="http://schemas.microsoft.com/office/drawing/2014/main" id="{00000000-0008-0000-2700-0000FD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13</xdr:row>
      <xdr:rowOff>190500</xdr:rowOff>
    </xdr:from>
    <xdr:to>
      <xdr:col>12</xdr:col>
      <xdr:colOff>266700</xdr:colOff>
      <xdr:row>15</xdr:row>
      <xdr:rowOff>19050</xdr:rowOff>
    </xdr:to>
    <xdr:pic>
      <xdr:nvPicPr>
        <xdr:cNvPr id="174334" name="Obrázek 44">
          <a:extLst>
            <a:ext uri="{FF2B5EF4-FFF2-40B4-BE49-F238E27FC236}">
              <a16:creationId xmlns:a16="http://schemas.microsoft.com/office/drawing/2014/main" id="{00000000-0008-0000-2700-0000FE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4860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16</xdr:row>
      <xdr:rowOff>190500</xdr:rowOff>
    </xdr:from>
    <xdr:to>
      <xdr:col>12</xdr:col>
      <xdr:colOff>266700</xdr:colOff>
      <xdr:row>18</xdr:row>
      <xdr:rowOff>19050</xdr:rowOff>
    </xdr:to>
    <xdr:pic>
      <xdr:nvPicPr>
        <xdr:cNvPr id="174335" name="Obrázek 44">
          <a:extLst>
            <a:ext uri="{FF2B5EF4-FFF2-40B4-BE49-F238E27FC236}">
              <a16:creationId xmlns:a16="http://schemas.microsoft.com/office/drawing/2014/main" id="{00000000-0008-0000-2700-0000FF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048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20</xdr:row>
      <xdr:rowOff>180975</xdr:rowOff>
    </xdr:from>
    <xdr:to>
      <xdr:col>12</xdr:col>
      <xdr:colOff>266700</xdr:colOff>
      <xdr:row>22</xdr:row>
      <xdr:rowOff>9525</xdr:rowOff>
    </xdr:to>
    <xdr:pic>
      <xdr:nvPicPr>
        <xdr:cNvPr id="174336" name="Obrázek 44">
          <a:extLst>
            <a:ext uri="{FF2B5EF4-FFF2-40B4-BE49-F238E27FC236}">
              <a16:creationId xmlns:a16="http://schemas.microsoft.com/office/drawing/2014/main" id="{00000000-0008-0000-2700-000000A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</xdr:row>
      <xdr:rowOff>190500</xdr:rowOff>
    </xdr:from>
    <xdr:to>
      <xdr:col>5</xdr:col>
      <xdr:colOff>381000</xdr:colOff>
      <xdr:row>11</xdr:row>
      <xdr:rowOff>133350</xdr:rowOff>
    </xdr:to>
    <xdr:pic>
      <xdr:nvPicPr>
        <xdr:cNvPr id="174337" name="Picture 11" descr="A-L helper">
          <a:extLst>
            <a:ext uri="{FF2B5EF4-FFF2-40B4-BE49-F238E27FC236}">
              <a16:creationId xmlns:a16="http://schemas.microsoft.com/office/drawing/2014/main" id="{00000000-0008-0000-2700-000001A9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52425"/>
          <a:ext cx="30670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0</xdr:col>
      <xdr:colOff>0</xdr:colOff>
      <xdr:row>6</xdr:row>
      <xdr:rowOff>0</xdr:rowOff>
    </xdr:to>
    <xdr:pic>
      <xdr:nvPicPr>
        <xdr:cNvPr id="175314" name="Obrázek 14">
          <a:extLst>
            <a:ext uri="{FF2B5EF4-FFF2-40B4-BE49-F238E27FC236}">
              <a16:creationId xmlns:a16="http://schemas.microsoft.com/office/drawing/2014/main" id="{00000000-0008-0000-2800-0000D2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38100</xdr:rowOff>
    </xdr:from>
    <xdr:to>
      <xdr:col>0</xdr:col>
      <xdr:colOff>0</xdr:colOff>
      <xdr:row>6</xdr:row>
      <xdr:rowOff>0</xdr:rowOff>
    </xdr:to>
    <xdr:pic>
      <xdr:nvPicPr>
        <xdr:cNvPr id="175315" name="Obrázek 16">
          <a:extLst>
            <a:ext uri="{FF2B5EF4-FFF2-40B4-BE49-F238E27FC236}">
              <a16:creationId xmlns:a16="http://schemas.microsoft.com/office/drawing/2014/main" id="{00000000-0008-0000-2800-0000D3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57150</xdr:rowOff>
    </xdr:from>
    <xdr:to>
      <xdr:col>0</xdr:col>
      <xdr:colOff>0</xdr:colOff>
      <xdr:row>6</xdr:row>
      <xdr:rowOff>0</xdr:rowOff>
    </xdr:to>
    <xdr:pic>
      <xdr:nvPicPr>
        <xdr:cNvPr id="175316" name="Obrázek 18">
          <a:extLst>
            <a:ext uri="{FF2B5EF4-FFF2-40B4-BE49-F238E27FC236}">
              <a16:creationId xmlns:a16="http://schemas.microsoft.com/office/drawing/2014/main" id="{00000000-0008-0000-2800-0000D4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152400</xdr:colOff>
      <xdr:row>141</xdr:row>
      <xdr:rowOff>0</xdr:rowOff>
    </xdr:to>
    <xdr:pic>
      <xdr:nvPicPr>
        <xdr:cNvPr id="175317" name="Obrázek 28" descr="Info.gif">
          <a:extLst>
            <a:ext uri="{FF2B5EF4-FFF2-40B4-BE49-F238E27FC236}">
              <a16:creationId xmlns:a16="http://schemas.microsoft.com/office/drawing/2014/main" id="{00000000-0008-0000-2800-0000D5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076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42</xdr:row>
      <xdr:rowOff>38100</xdr:rowOff>
    </xdr:from>
    <xdr:to>
      <xdr:col>0</xdr:col>
      <xdr:colOff>0</xdr:colOff>
      <xdr:row>46</xdr:row>
      <xdr:rowOff>0</xdr:rowOff>
    </xdr:to>
    <xdr:pic>
      <xdr:nvPicPr>
        <xdr:cNvPr id="175318" name="Obrázek 14">
          <a:extLst>
            <a:ext uri="{FF2B5EF4-FFF2-40B4-BE49-F238E27FC236}">
              <a16:creationId xmlns:a16="http://schemas.microsoft.com/office/drawing/2014/main" id="{00000000-0008-0000-2800-0000D6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5525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9525</xdr:rowOff>
    </xdr:from>
    <xdr:to>
      <xdr:col>8</xdr:col>
      <xdr:colOff>571500</xdr:colOff>
      <xdr:row>7</xdr:row>
      <xdr:rowOff>247650</xdr:rowOff>
    </xdr:to>
    <xdr:pic>
      <xdr:nvPicPr>
        <xdr:cNvPr id="176338" name="Picture 2">
          <a:extLst>
            <a:ext uri="{FF2B5EF4-FFF2-40B4-BE49-F238E27FC236}">
              <a16:creationId xmlns:a16="http://schemas.microsoft.com/office/drawing/2014/main" id="{00000000-0008-0000-2900-0000D2B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2</xdr:row>
      <xdr:rowOff>0</xdr:rowOff>
    </xdr:from>
    <xdr:to>
      <xdr:col>15</xdr:col>
      <xdr:colOff>0</xdr:colOff>
      <xdr:row>7</xdr:row>
      <xdr:rowOff>247650</xdr:rowOff>
    </xdr:to>
    <xdr:pic>
      <xdr:nvPicPr>
        <xdr:cNvPr id="176339" name="Picture 3">
          <a:extLst>
            <a:ext uri="{FF2B5EF4-FFF2-40B4-BE49-F238E27FC236}">
              <a16:creationId xmlns:a16="http://schemas.microsoft.com/office/drawing/2014/main" id="{00000000-0008-0000-2900-0000D3B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361950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6</xdr:col>
      <xdr:colOff>571500</xdr:colOff>
      <xdr:row>7</xdr:row>
      <xdr:rowOff>247650</xdr:rowOff>
    </xdr:to>
    <xdr:pic>
      <xdr:nvPicPr>
        <xdr:cNvPr id="176340" name="Picture 4">
          <a:extLst>
            <a:ext uri="{FF2B5EF4-FFF2-40B4-BE49-F238E27FC236}">
              <a16:creationId xmlns:a16="http://schemas.microsoft.com/office/drawing/2014/main" id="{00000000-0008-0000-2900-0000D4B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2</xdr:row>
      <xdr:rowOff>9525</xdr:rowOff>
    </xdr:from>
    <xdr:to>
      <xdr:col>10</xdr:col>
      <xdr:colOff>571500</xdr:colOff>
      <xdr:row>7</xdr:row>
      <xdr:rowOff>247650</xdr:rowOff>
    </xdr:to>
    <xdr:pic>
      <xdr:nvPicPr>
        <xdr:cNvPr id="176341" name="Picture 5">
          <a:extLst>
            <a:ext uri="{FF2B5EF4-FFF2-40B4-BE49-F238E27FC236}">
              <a16:creationId xmlns:a16="http://schemas.microsoft.com/office/drawing/2014/main" id="{00000000-0008-0000-2900-0000D5B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2</xdr:row>
      <xdr:rowOff>9525</xdr:rowOff>
    </xdr:from>
    <xdr:to>
      <xdr:col>12</xdr:col>
      <xdr:colOff>571500</xdr:colOff>
      <xdr:row>7</xdr:row>
      <xdr:rowOff>247650</xdr:rowOff>
    </xdr:to>
    <xdr:pic>
      <xdr:nvPicPr>
        <xdr:cNvPr id="176342" name="Picture 6">
          <a:extLst>
            <a:ext uri="{FF2B5EF4-FFF2-40B4-BE49-F238E27FC236}">
              <a16:creationId xmlns:a16="http://schemas.microsoft.com/office/drawing/2014/main" id="{00000000-0008-0000-2900-0000D6B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303</xdr:row>
      <xdr:rowOff>9525</xdr:rowOff>
    </xdr:from>
    <xdr:to>
      <xdr:col>1</xdr:col>
      <xdr:colOff>190500</xdr:colOff>
      <xdr:row>304</xdr:row>
      <xdr:rowOff>19050</xdr:rowOff>
    </xdr:to>
    <xdr:pic>
      <xdr:nvPicPr>
        <xdr:cNvPr id="72203" name="Obrázek 1" descr="Tip.gif">
          <a:extLst>
            <a:ext uri="{FF2B5EF4-FFF2-40B4-BE49-F238E27FC236}">
              <a16:creationId xmlns:a16="http://schemas.microsoft.com/office/drawing/2014/main" id="{00000000-0008-0000-2A00-00000B1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9444275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590550</xdr:colOff>
      <xdr:row>306</xdr:row>
      <xdr:rowOff>133350</xdr:rowOff>
    </xdr:from>
    <xdr:to>
      <xdr:col>11</xdr:col>
      <xdr:colOff>0</xdr:colOff>
      <xdr:row>308</xdr:row>
      <xdr:rowOff>19050</xdr:rowOff>
    </xdr:to>
    <xdr:sp macro="[0]!Ordering" textlink="">
      <xdr:nvSpPr>
        <xdr:cNvPr id="72204" name="Rectangle 8">
          <a:extLst>
            <a:ext uri="{FF2B5EF4-FFF2-40B4-BE49-F238E27FC236}">
              <a16:creationId xmlns:a16="http://schemas.microsoft.com/office/drawing/2014/main" id="{00000000-0008-0000-2A00-00000C1A0100}"/>
            </a:ext>
          </a:extLst>
        </xdr:cNvPr>
        <xdr:cNvSpPr>
          <a:spLocks noChangeArrowheads="1"/>
        </xdr:cNvSpPr>
      </xdr:nvSpPr>
      <xdr:spPr bwMode="auto">
        <a:xfrm>
          <a:off x="6581775" y="50149125"/>
          <a:ext cx="1600200" cy="1905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42</xdr:row>
      <xdr:rowOff>9525</xdr:rowOff>
    </xdr:from>
    <xdr:to>
      <xdr:col>1</xdr:col>
      <xdr:colOff>180975</xdr:colOff>
      <xdr:row>43</xdr:row>
      <xdr:rowOff>9525</xdr:rowOff>
    </xdr:to>
    <xdr:pic>
      <xdr:nvPicPr>
        <xdr:cNvPr id="109062" name="Obrázek 28" descr="Info.gif">
          <a:extLst>
            <a:ext uri="{FF2B5EF4-FFF2-40B4-BE49-F238E27FC236}">
              <a16:creationId xmlns:a16="http://schemas.microsoft.com/office/drawing/2014/main" id="{00000000-0008-0000-0400-000006A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62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2</xdr:row>
      <xdr:rowOff>0</xdr:rowOff>
    </xdr:from>
    <xdr:to>
      <xdr:col>6</xdr:col>
      <xdr:colOff>9525</xdr:colOff>
      <xdr:row>14</xdr:row>
      <xdr:rowOff>66675</xdr:rowOff>
    </xdr:to>
    <xdr:pic>
      <xdr:nvPicPr>
        <xdr:cNvPr id="109063" name="Picture 3" descr="7D MV">
          <a:extLst>
            <a:ext uri="{FF2B5EF4-FFF2-40B4-BE49-F238E27FC236}">
              <a16:creationId xmlns:a16="http://schemas.microsoft.com/office/drawing/2014/main" id="{00000000-0008-0000-0400-000007A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7200"/>
          <a:ext cx="3000375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109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0</xdr:rowOff>
    </xdr:from>
    <xdr:to>
      <xdr:col>6</xdr:col>
      <xdr:colOff>0</xdr:colOff>
      <xdr:row>15</xdr:row>
      <xdr:rowOff>76200</xdr:rowOff>
    </xdr:to>
    <xdr:pic>
      <xdr:nvPicPr>
        <xdr:cNvPr id="112135" name="Picture 3" descr="7D K">
          <a:extLst>
            <a:ext uri="{FF2B5EF4-FFF2-40B4-BE49-F238E27FC236}">
              <a16:creationId xmlns:a16="http://schemas.microsoft.com/office/drawing/2014/main" id="{00000000-0008-0000-0500-000007B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57200"/>
          <a:ext cx="30956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16</xdr:row>
      <xdr:rowOff>95250</xdr:rowOff>
    </xdr:from>
    <xdr:to>
      <xdr:col>5</xdr:col>
      <xdr:colOff>581025</xdr:colOff>
      <xdr:row>18</xdr:row>
      <xdr:rowOff>9525</xdr:rowOff>
    </xdr:to>
    <xdr:pic>
      <xdr:nvPicPr>
        <xdr:cNvPr id="112136" name="Obrázek 16" descr="Notice.gif">
          <a:extLst>
            <a:ext uri="{FF2B5EF4-FFF2-40B4-BE49-F238E27FC236}">
              <a16:creationId xmlns:a16="http://schemas.microsoft.com/office/drawing/2014/main" id="{00000000-0008-0000-0500-000008B6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286702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108</xdr:row>
      <xdr:rowOff>95250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6</xdr:col>
      <xdr:colOff>0</xdr:colOff>
      <xdr:row>16</xdr:row>
      <xdr:rowOff>85725</xdr:rowOff>
    </xdr:to>
    <xdr:pic>
      <xdr:nvPicPr>
        <xdr:cNvPr id="112902" name="Picture 4" descr="7D C">
          <a:extLst>
            <a:ext uri="{FF2B5EF4-FFF2-40B4-BE49-F238E27FC236}">
              <a16:creationId xmlns:a16="http://schemas.microsoft.com/office/drawing/2014/main" id="{00000000-0008-0000-0600-000006B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7200"/>
          <a:ext cx="31051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108</xdr:row>
      <xdr:rowOff>95250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6</xdr:col>
      <xdr:colOff>0</xdr:colOff>
      <xdr:row>16</xdr:row>
      <xdr:rowOff>85725</xdr:rowOff>
    </xdr:to>
    <xdr:pic>
      <xdr:nvPicPr>
        <xdr:cNvPr id="138643" name="Obrázek 2">
          <a:extLst>
            <a:ext uri="{FF2B5EF4-FFF2-40B4-BE49-F238E27FC236}">
              <a16:creationId xmlns:a16="http://schemas.microsoft.com/office/drawing/2014/main" id="{00000000-0008-0000-0700-0000931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7200"/>
          <a:ext cx="31051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43</xdr:row>
      <xdr:rowOff>133350</xdr:rowOff>
    </xdr:from>
    <xdr:to>
      <xdr:col>1</xdr:col>
      <xdr:colOff>266700</xdr:colOff>
      <xdr:row>44</xdr:row>
      <xdr:rowOff>133350</xdr:rowOff>
    </xdr:to>
    <xdr:pic>
      <xdr:nvPicPr>
        <xdr:cNvPr id="138644" name="Obrázek 28" descr="Info.gif">
          <a:extLst>
            <a:ext uri="{FF2B5EF4-FFF2-40B4-BE49-F238E27FC236}">
              <a16:creationId xmlns:a16="http://schemas.microsoft.com/office/drawing/2014/main" id="{00000000-0008-0000-0700-0000941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8009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108</xdr:row>
      <xdr:rowOff>95250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49</xdr:row>
      <xdr:rowOff>9525</xdr:rowOff>
    </xdr:from>
    <xdr:to>
      <xdr:col>1</xdr:col>
      <xdr:colOff>247650</xdr:colOff>
      <xdr:row>50</xdr:row>
      <xdr:rowOff>9525</xdr:rowOff>
    </xdr:to>
    <xdr:pic>
      <xdr:nvPicPr>
        <xdr:cNvPr id="170194" name="Obrázek 28" descr="Info.gif">
          <a:extLst>
            <a:ext uri="{FF2B5EF4-FFF2-40B4-BE49-F238E27FC236}">
              <a16:creationId xmlns:a16="http://schemas.microsoft.com/office/drawing/2014/main" id="{00000000-0008-0000-0800-0000D2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8677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9</xdr:row>
      <xdr:rowOff>152400</xdr:rowOff>
    </xdr:from>
    <xdr:to>
      <xdr:col>6</xdr:col>
      <xdr:colOff>628650</xdr:colOff>
      <xdr:row>10</xdr:row>
      <xdr:rowOff>142875</xdr:rowOff>
    </xdr:to>
    <xdr:pic>
      <xdr:nvPicPr>
        <xdr:cNvPr id="170195" name="Obrázek 28" descr="Info.gif">
          <a:extLst>
            <a:ext uri="{FF2B5EF4-FFF2-40B4-BE49-F238E27FC236}">
              <a16:creationId xmlns:a16="http://schemas.microsoft.com/office/drawing/2014/main" id="{00000000-0008-0000-0800-0000D3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7811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2</xdr:row>
      <xdr:rowOff>0</xdr:rowOff>
    </xdr:from>
    <xdr:to>
      <xdr:col>6</xdr:col>
      <xdr:colOff>0</xdr:colOff>
      <xdr:row>16</xdr:row>
      <xdr:rowOff>38100</xdr:rowOff>
    </xdr:to>
    <xdr:pic>
      <xdr:nvPicPr>
        <xdr:cNvPr id="170196" name="Picture 10" descr="7D CVv">
          <a:extLst>
            <a:ext uri="{FF2B5EF4-FFF2-40B4-BE49-F238E27FC236}">
              <a16:creationId xmlns:a16="http://schemas.microsoft.com/office/drawing/2014/main" id="{00000000-0008-0000-0800-0000D49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5720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57150</xdr:rowOff>
    </xdr:from>
    <xdr:to>
      <xdr:col>1</xdr:col>
      <xdr:colOff>257175</xdr:colOff>
      <xdr:row>42</xdr:row>
      <xdr:rowOff>161925</xdr:rowOff>
    </xdr:to>
    <xdr:pic>
      <xdr:nvPicPr>
        <xdr:cNvPr id="170197" name="Obrázek 16" descr="Notice.gif">
          <a:extLst>
            <a:ext uri="{FF2B5EF4-FFF2-40B4-BE49-F238E27FC236}">
              <a16:creationId xmlns:a16="http://schemas.microsoft.com/office/drawing/2014/main" id="{00000000-0008-0000-0800-0000D5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66675</xdr:rowOff>
    </xdr:from>
    <xdr:to>
      <xdr:col>1</xdr:col>
      <xdr:colOff>257175</xdr:colOff>
      <xdr:row>42</xdr:row>
      <xdr:rowOff>171450</xdr:rowOff>
    </xdr:to>
    <xdr:pic>
      <xdr:nvPicPr>
        <xdr:cNvPr id="170198" name="Obrázek 16" descr="Notice.gif">
          <a:extLst>
            <a:ext uri="{FF2B5EF4-FFF2-40B4-BE49-F238E27FC236}">
              <a16:creationId xmlns:a16="http://schemas.microsoft.com/office/drawing/2014/main" id="{00000000-0008-0000-0800-0000D6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4855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561975</xdr:colOff>
      <xdr:row>108</xdr:row>
      <xdr:rowOff>95250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C000"/>
  </sheetPr>
  <dimension ref="A1:U438"/>
  <sheetViews>
    <sheetView showGridLines="0" showRowColHeaders="0" tabSelected="1" workbookViewId="0"/>
  </sheetViews>
  <sheetFormatPr defaultColWidth="9.1796875" defaultRowHeight="12.5" x14ac:dyDescent="0.25"/>
  <cols>
    <col min="1" max="1" width="3.26953125" style="2" customWidth="1"/>
    <col min="2" max="2" width="10.453125" style="2" customWidth="1"/>
    <col min="3" max="3" width="10.54296875" style="2" customWidth="1"/>
    <col min="4" max="4" width="10.453125" style="2" customWidth="1"/>
    <col min="5" max="5" width="9" style="2" customWidth="1"/>
    <col min="6" max="6" width="1.81640625" style="2" customWidth="1"/>
    <col min="7" max="7" width="6.453125" style="2" customWidth="1"/>
    <col min="8" max="8" width="6" style="2" customWidth="1"/>
    <col min="9" max="9" width="6.54296875" style="2" customWidth="1"/>
    <col min="10" max="10" width="9.1796875" style="2"/>
    <col min="11" max="11" width="26.26953125" style="2" customWidth="1"/>
    <col min="12" max="12" width="9.1796875" style="2"/>
    <col min="13" max="15" width="9.1796875" style="2" hidden="1" customWidth="1"/>
    <col min="16" max="16" width="12.26953125" style="2" hidden="1" customWidth="1"/>
    <col min="17" max="21" width="9.1796875" style="2" hidden="1" customWidth="1"/>
    <col min="22" max="22" width="0" style="2" hidden="1" customWidth="1"/>
    <col min="23" max="16384" width="9.1796875" style="2"/>
  </cols>
  <sheetData>
    <row r="1" spans="1:20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20" ht="15" customHeigh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56" t="str">
        <f>" "&amp;List!$B$24</f>
        <v xml:space="preserve"> Základní údaje</v>
      </c>
      <c r="L2" s="119"/>
      <c r="N2" s="109">
        <v>1</v>
      </c>
      <c r="O2" s="2" t="str">
        <f>IF($N$2=1,O3,IF($N$2=2,O4,IF($N$2=3,O5,O6)))</f>
        <v>Orion šedá (OG-M)</v>
      </c>
      <c r="Q2" s="2" t="str">
        <f>IF($N$2=1,Q3,IF($N$2=2,Q4,IF($N$2=3,Q5,Q5)))</f>
        <v>Nebraska dub/OG-M</v>
      </c>
      <c r="T2" s="2" t="str">
        <f>IF($N$2=1,T3,IF($N$2=2,T4,IF($N$2=3,T5,T6)))</f>
        <v>Orion šedá (OG-M)</v>
      </c>
    </row>
    <row r="3" spans="1:20" ht="15" customHeight="1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793" t="str">
        <f>List!$B$3</f>
        <v>Údaje pro objednávku, zadání slevy od prodejce</v>
      </c>
      <c r="L3" s="119"/>
      <c r="O3" s="2" t="str">
        <f>List!$B$28&amp;" (OG-M)"</f>
        <v>Orion šedá (OG-M)</v>
      </c>
      <c r="Q3" s="2" t="str">
        <f>List!B32</f>
        <v>Nebraska dub/OG-M</v>
      </c>
      <c r="T3" s="2" t="str">
        <f>List!$B$28&amp;" (OG-M)"</f>
        <v>Orion šedá (OG-M)</v>
      </c>
    </row>
    <row r="4" spans="1:20" ht="15" customHeight="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794"/>
      <c r="L4" s="119"/>
      <c r="O4" s="2" t="str">
        <f>List!$B$29&amp;" (SW-M)"</f>
        <v>hedvábně bílá (SW-M)</v>
      </c>
      <c r="Q4" s="2" t="str">
        <f>List!B33</f>
        <v>Bardolino dub/SW-M</v>
      </c>
      <c r="T4" s="2" t="str">
        <f>List!$B$29&amp;" (SW-M)"</f>
        <v>hedvábně bílá (SW-M)</v>
      </c>
    </row>
    <row r="5" spans="1:20" ht="15" customHeight="1" x14ac:dyDescent="0.25">
      <c r="A5" s="119"/>
      <c r="B5" s="119"/>
      <c r="C5" s="119"/>
      <c r="D5" s="119"/>
      <c r="E5" s="119"/>
      <c r="F5" s="119"/>
      <c r="G5" s="119"/>
      <c r="H5" s="119"/>
      <c r="I5" s="119"/>
      <c r="J5" s="119"/>
      <c r="L5" s="119"/>
      <c r="O5" s="2" t="str">
        <f>List!$B$30&amp;" (TS-M)"</f>
        <v>Terra černá  (TS-M)</v>
      </c>
      <c r="Q5" s="2" t="str">
        <f>List!B34</f>
        <v>Tennessee ořech/TS-M</v>
      </c>
      <c r="T5" s="2" t="str">
        <f>List!$B$30&amp;" (TS-M)"</f>
        <v>Terra černá  (TS-M)</v>
      </c>
    </row>
    <row r="6" spans="1:20" ht="15" customHeight="1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2" t="str">
        <f>List!$B$12&amp;":"</f>
        <v>Pokračovat na:</v>
      </c>
      <c r="L6" s="119"/>
      <c r="O6" s="2" t="str">
        <f>List!$B$31&amp;" (INGL)"</f>
        <v>Inox (INGL)</v>
      </c>
      <c r="T6" s="2" t="str">
        <f>List!$B$30&amp;" (TS-M)"</f>
        <v>Terra černá  (TS-M)</v>
      </c>
    </row>
    <row r="7" spans="1:20" ht="15" customHeight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56" t="str">
        <f>" "&amp;List!$B$4</f>
        <v xml:space="preserve"> Výběr zásuvek a výsuvů</v>
      </c>
      <c r="L7" s="119"/>
    </row>
    <row r="8" spans="1:20" ht="15" customHeight="1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200"/>
      <c r="L8" s="119"/>
      <c r="N8" s="109">
        <v>1</v>
      </c>
      <c r="O8" s="2" t="str">
        <f>IF(N8=1,N9,IF(N8=2,N10,N11))</f>
        <v>čiré</v>
      </c>
    </row>
    <row r="9" spans="1:20" ht="15" customHeight="1" thickBot="1" x14ac:dyDescent="0.3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51" t="str">
        <f>" "&amp;List!$B$5</f>
        <v xml:space="preserve"> Výběr doplňků</v>
      </c>
      <c r="L9" s="119"/>
      <c r="N9" s="2" t="str">
        <f>List!B36</f>
        <v>čiré</v>
      </c>
      <c r="T9" s="106">
        <v>2</v>
      </c>
    </row>
    <row r="10" spans="1:20" ht="15" customHeight="1" thickBot="1" x14ac:dyDescent="0.3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51" t="str">
        <f>" "&amp;List!$B$6</f>
        <v xml:space="preserve"> Výběr SERVO-DRIVE</v>
      </c>
      <c r="L10" s="119"/>
      <c r="N10" s="2" t="str">
        <f>List!B37</f>
        <v>saténované</v>
      </c>
      <c r="T10" s="107" t="s">
        <v>180</v>
      </c>
    </row>
    <row r="11" spans="1:20" ht="15" customHeight="1" x14ac:dyDescent="0.3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514" t="str">
        <f>" "&amp;List!$B$7</f>
        <v xml:space="preserve"> Výběr AMBIA-LINE</v>
      </c>
      <c r="L11" s="119"/>
    </row>
    <row r="12" spans="1:20" ht="15" customHeight="1" x14ac:dyDescent="0.2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L12" s="119"/>
      <c r="S12" s="108"/>
    </row>
    <row r="13" spans="1:20" ht="15" customHeight="1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L13" s="119"/>
      <c r="N13" s="109">
        <v>2</v>
      </c>
      <c r="O13" s="2" t="str">
        <f>IF(N13=1,N14,IF(N13=2,N15,N19))</f>
        <v>EXPANDO</v>
      </c>
    </row>
    <row r="14" spans="1:20" ht="21" customHeight="1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L14" s="119"/>
      <c r="N14" s="2" t="str">
        <f>List!B40</f>
        <v>na vruty</v>
      </c>
    </row>
    <row r="15" spans="1:20" ht="29.25" customHeight="1" x14ac:dyDescent="0.25">
      <c r="A15" s="119"/>
      <c r="C15" s="119"/>
      <c r="D15" s="119"/>
      <c r="E15" s="119"/>
      <c r="F15" s="119"/>
      <c r="G15" s="119"/>
      <c r="H15" s="119"/>
      <c r="I15" s="119"/>
      <c r="J15" s="119"/>
      <c r="L15" s="119"/>
      <c r="N15" s="2" t="s">
        <v>498</v>
      </c>
    </row>
    <row r="16" spans="1:20" ht="29.25" customHeight="1" x14ac:dyDescent="0.6">
      <c r="A16" s="119"/>
      <c r="B16" s="732"/>
      <c r="C16" s="238"/>
      <c r="D16" s="238"/>
      <c r="E16" s="238"/>
      <c r="F16" s="238"/>
      <c r="G16" s="238"/>
      <c r="H16" s="238"/>
      <c r="I16" s="238"/>
      <c r="J16" s="238"/>
      <c r="K16" s="560"/>
      <c r="L16" s="119"/>
    </row>
    <row r="17" spans="1:14" ht="15" customHeight="1" x14ac:dyDescent="0.35">
      <c r="A17" s="119"/>
      <c r="C17" s="238"/>
      <c r="D17" s="238"/>
      <c r="E17" s="238"/>
      <c r="H17" s="199" t="str">
        <f>List!$B$248&amp;" "</f>
        <v xml:space="preserve">Verze </v>
      </c>
      <c r="I17" s="553" t="s">
        <v>1273</v>
      </c>
      <c r="J17" s="658"/>
      <c r="K17" s="552"/>
      <c r="L17" s="119"/>
    </row>
    <row r="18" spans="1:14" ht="15" customHeight="1" x14ac:dyDescent="0.25">
      <c r="A18" s="119"/>
      <c r="B18" s="119" t="str">
        <f>List!$B$27&amp;":"</f>
        <v>barva:</v>
      </c>
      <c r="C18" s="119"/>
      <c r="D18" s="119"/>
      <c r="E18" s="119"/>
      <c r="G18" s="119" t="str">
        <f>List!$B$39&amp;":"</f>
        <v>čelní kování:</v>
      </c>
      <c r="H18" s="119"/>
      <c r="I18" s="119"/>
      <c r="J18" s="119"/>
      <c r="K18" s="119"/>
      <c r="L18" s="119"/>
    </row>
    <row r="19" spans="1:14" ht="15" customHeight="1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24" t="str">
        <f>" "&amp;List!$B$16</f>
        <v xml:space="preserve"> Nápověda</v>
      </c>
      <c r="L19" s="119"/>
    </row>
    <row r="20" spans="1:14" ht="13.5" customHeight="1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</row>
    <row r="21" spans="1:14" ht="15.75" customHeight="1" x14ac:dyDescent="0.35">
      <c r="A21" s="13"/>
      <c r="B21" s="799" t="str">
        <f>List!$B$85&amp;": "</f>
        <v xml:space="preserve">Cenová hladina: </v>
      </c>
      <c r="C21" s="799"/>
      <c r="D21" s="13"/>
      <c r="E21" s="13"/>
      <c r="H21" s="241" t="str">
        <f>List!$B$250&amp;" %"</f>
        <v>Sleva %</v>
      </c>
      <c r="I21" s="125">
        <f>IF($N$21=1,0,IF($N$21=2,$E$119,IF($N$21=3,$G$148,0)))</f>
        <v>0</v>
      </c>
      <c r="J21" s="119"/>
      <c r="K21" s="119"/>
      <c r="L21" s="119"/>
      <c r="N21" s="158">
        <v>1</v>
      </c>
    </row>
    <row r="22" spans="1:14" ht="15" customHeight="1" x14ac:dyDescent="0.25">
      <c r="A22" s="119"/>
      <c r="B22" s="800" t="str">
        <f>IF(N21=2,List!$B$91&amp;" ["&amp;List!$B$24&amp;"]",IF(N21=3,IF(I21=0,List!$B$89,List!$B$90)," "))</f>
        <v xml:space="preserve"> </v>
      </c>
      <c r="C22" s="800"/>
      <c r="D22" s="800"/>
      <c r="E22" s="800"/>
      <c r="F22" s="800"/>
      <c r="G22" s="800"/>
      <c r="H22" s="119"/>
      <c r="I22" s="119"/>
      <c r="J22" s="119"/>
      <c r="K22" s="119"/>
      <c r="L22" s="119"/>
      <c r="N22" s="2" t="str">
        <f>List!$B86</f>
        <v>Základní ceny</v>
      </c>
    </row>
    <row r="23" spans="1:14" ht="13.5" customHeight="1" x14ac:dyDescent="0.25">
      <c r="A23" s="119"/>
      <c r="C23" s="119"/>
      <c r="D23" s="119"/>
      <c r="E23" s="119"/>
      <c r="G23" s="157" t="str">
        <f>IF($N$21=3,List!$B$92," ")</f>
        <v xml:space="preserve"> </v>
      </c>
      <c r="H23" s="119"/>
      <c r="I23" s="119"/>
      <c r="J23" s="119"/>
      <c r="K23" s="119"/>
      <c r="L23" s="119"/>
      <c r="N23" s="2" t="str">
        <f>List!$B87</f>
        <v>Nákupní ceny</v>
      </c>
    </row>
    <row r="24" spans="1:14" ht="21.75" customHeight="1" x14ac:dyDescent="0.25">
      <c r="A24" s="119"/>
      <c r="B24" s="119" t="str">
        <f>List!$B$251&amp;":"</f>
        <v>Prodejce:</v>
      </c>
      <c r="H24" s="119"/>
      <c r="I24" s="119"/>
      <c r="J24" s="119"/>
      <c r="K24" s="119"/>
      <c r="L24" s="119"/>
      <c r="N24" s="2" t="str">
        <f>List!$B88</f>
        <v>Se slevou</v>
      </c>
    </row>
    <row r="25" spans="1:14" ht="15" customHeight="1" x14ac:dyDescent="0.25">
      <c r="A25" s="119"/>
      <c r="B25" s="126" t="str">
        <f>IF(Price!A3&lt;&gt;0," "&amp;Price!A3," ")</f>
        <v xml:space="preserve">   Démos trade s.r.o.</v>
      </c>
      <c r="C25" s="126"/>
      <c r="D25" s="126"/>
      <c r="E25" s="126"/>
      <c r="F25" s="144"/>
      <c r="G25" s="119"/>
      <c r="H25" s="119"/>
      <c r="I25" s="119"/>
      <c r="J25" s="119"/>
      <c r="K25" s="119"/>
      <c r="L25" s="119"/>
    </row>
    <row r="26" spans="1:14" ht="15" customHeight="1" x14ac:dyDescent="0.25">
      <c r="A26" s="119"/>
      <c r="B26" s="127" t="str">
        <f>IF(Price!A4&lt;&gt;0," "&amp;Price!A4," ")</f>
        <v xml:space="preserve">   Dolné Rudiny 8516/41C</v>
      </c>
      <c r="C26" s="127"/>
      <c r="D26" s="127"/>
      <c r="E26" s="127"/>
      <c r="F26" s="144"/>
      <c r="G26" s="119"/>
      <c r="H26" s="119"/>
      <c r="I26" s="119"/>
      <c r="J26" s="119"/>
      <c r="K26" s="119"/>
      <c r="L26" s="119"/>
    </row>
    <row r="27" spans="1:14" ht="15" customHeight="1" x14ac:dyDescent="0.25">
      <c r="A27" s="119"/>
      <c r="B27" s="127" t="str">
        <f>IF(Price!A5&lt;&gt;0," "&amp;Price!A5," ")</f>
        <v xml:space="preserve">   010 01 Žilina</v>
      </c>
      <c r="C27" s="127"/>
      <c r="D27" s="127"/>
      <c r="E27" s="127"/>
      <c r="F27" s="144"/>
      <c r="G27" s="119"/>
      <c r="H27" s="119"/>
      <c r="I27" s="119"/>
      <c r="J27" s="119"/>
      <c r="K27" s="119"/>
      <c r="L27" s="119"/>
    </row>
    <row r="28" spans="1:14" ht="15" customHeight="1" x14ac:dyDescent="0.3">
      <c r="A28" s="119"/>
      <c r="B28" s="127" t="str">
        <f>IF(Price!A6&lt;&gt;0," "&amp;Price!A6," ")</f>
        <v xml:space="preserve">    +421 412 850 040 </v>
      </c>
      <c r="C28" s="127"/>
      <c r="D28" s="127"/>
      <c r="E28" s="127"/>
      <c r="F28" s="144"/>
      <c r="G28" s="119"/>
      <c r="H28" s="119"/>
      <c r="I28" s="119"/>
      <c r="J28" s="119"/>
      <c r="K28" s="119"/>
      <c r="L28" s="119"/>
      <c r="N28" s="111"/>
    </row>
    <row r="29" spans="1:14" ht="15" customHeight="1" x14ac:dyDescent="0.3">
      <c r="A29" s="119"/>
      <c r="B29" s="127" t="str">
        <f>IF(Price!A7&lt;&gt;0," "&amp;Price!A7," ")</f>
        <v xml:space="preserve">   dispecing.zilina@demos-trade.com </v>
      </c>
      <c r="C29" s="127"/>
      <c r="D29" s="127"/>
      <c r="E29" s="127"/>
      <c r="F29" s="144"/>
      <c r="G29" s="119"/>
      <c r="H29" s="119"/>
      <c r="I29" s="119"/>
      <c r="J29" s="119"/>
      <c r="K29" s="119"/>
      <c r="L29" s="119"/>
      <c r="N29" s="111"/>
    </row>
    <row r="30" spans="1:14" ht="15" customHeight="1" x14ac:dyDescent="0.25">
      <c r="A30" s="119"/>
      <c r="B30" s="128" t="str">
        <f>IF(Price!A8&lt;&gt;0," "&amp;Price!A8," ")</f>
        <v xml:space="preserve"> </v>
      </c>
      <c r="C30" s="128"/>
      <c r="D30" s="128"/>
      <c r="E30" s="128"/>
      <c r="F30" s="144"/>
      <c r="G30" s="119"/>
      <c r="H30" s="119"/>
      <c r="I30" s="119"/>
      <c r="J30" s="119"/>
      <c r="K30" s="119"/>
      <c r="L30" s="119"/>
    </row>
    <row r="31" spans="1:14" ht="15" customHeight="1" x14ac:dyDescent="0.25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1:14" ht="15" customHeight="1" x14ac:dyDescent="0.25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</row>
    <row r="33" spans="1:12" ht="15" customHeight="1" x14ac:dyDescent="0.25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</row>
    <row r="34" spans="1:12" ht="15" customHeight="1" x14ac:dyDescent="0.25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</row>
    <row r="35" spans="1:12" ht="15" customHeight="1" x14ac:dyDescent="0.25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</row>
    <row r="36" spans="1:12" x14ac:dyDescent="0.25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</row>
    <row r="37" spans="1:12" x14ac:dyDescent="0.25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</row>
    <row r="38" spans="1:12" x14ac:dyDescent="0.25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</row>
    <row r="39" spans="1:12" x14ac:dyDescent="0.25">
      <c r="A39" s="119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</row>
    <row r="40" spans="1:12" x14ac:dyDescent="0.25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</row>
    <row r="41" spans="1:12" x14ac:dyDescent="0.25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</row>
    <row r="42" spans="1:12" x14ac:dyDescent="0.25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</row>
    <row r="43" spans="1:12" x14ac:dyDescent="0.25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</row>
    <row r="44" spans="1:12" x14ac:dyDescent="0.25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</row>
    <row r="45" spans="1:12" x14ac:dyDescent="0.25">
      <c r="A45" s="11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</row>
    <row r="46" spans="1:12" x14ac:dyDescent="0.25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</row>
    <row r="47" spans="1:12" x14ac:dyDescent="0.25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1:12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</row>
    <row r="49" spans="1:12" x14ac:dyDescent="0.25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</row>
    <row r="50" spans="1:12" x14ac:dyDescent="0.25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</row>
    <row r="51" spans="1:12" x14ac:dyDescent="0.25">
      <c r="A51" s="119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</row>
    <row r="52" spans="1:12" x14ac:dyDescent="0.25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</row>
    <row r="53" spans="1:12" x14ac:dyDescent="0.25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</row>
    <row r="54" spans="1:12" x14ac:dyDescent="0.25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</row>
    <row r="55" spans="1:12" x14ac:dyDescent="0.25">
      <c r="A55" s="119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1:12" x14ac:dyDescent="0.25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</row>
    <row r="57" spans="1:12" x14ac:dyDescent="0.25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</row>
    <row r="58" spans="1:12" x14ac:dyDescent="0.25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</row>
    <row r="59" spans="1:12" x14ac:dyDescent="0.25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</row>
    <row r="60" spans="1:12" x14ac:dyDescent="0.25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</row>
    <row r="61" spans="1:12" x14ac:dyDescent="0.25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</row>
    <row r="62" spans="1:12" x14ac:dyDescent="0.25">
      <c r="A62" s="119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</row>
    <row r="63" spans="1:12" x14ac:dyDescent="0.25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</row>
    <row r="64" spans="1:12" x14ac:dyDescent="0.25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</row>
    <row r="65" spans="1:12" x14ac:dyDescent="0.25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</row>
    <row r="66" spans="1:12" x14ac:dyDescent="0.25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</row>
    <row r="67" spans="1:12" x14ac:dyDescent="0.25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</row>
    <row r="68" spans="1:12" x14ac:dyDescent="0.25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</row>
    <row r="69" spans="1:12" x14ac:dyDescent="0.25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</row>
    <row r="70" spans="1:12" x14ac:dyDescent="0.25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</row>
    <row r="71" spans="1:12" x14ac:dyDescent="0.25">
      <c r="A71" s="11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</row>
    <row r="72" spans="1:12" x14ac:dyDescent="0.25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</row>
    <row r="73" spans="1:12" x14ac:dyDescent="0.25">
      <c r="A73" s="119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</row>
    <row r="74" spans="1:12" x14ac:dyDescent="0.25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</row>
    <row r="75" spans="1:12" x14ac:dyDescent="0.25">
      <c r="A75" s="119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</row>
    <row r="76" spans="1:12" x14ac:dyDescent="0.25">
      <c r="A76" s="119"/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</row>
    <row r="77" spans="1:12" x14ac:dyDescent="0.25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</row>
    <row r="78" spans="1:12" x14ac:dyDescent="0.25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</row>
    <row r="79" spans="1:12" x14ac:dyDescent="0.25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</row>
    <row r="80" spans="1:12" x14ac:dyDescent="0.25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</row>
    <row r="81" spans="1:12" x14ac:dyDescent="0.25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</row>
    <row r="82" spans="1:12" x14ac:dyDescent="0.25">
      <c r="A82" s="119"/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</row>
    <row r="83" spans="1:12" x14ac:dyDescent="0.25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</row>
    <row r="84" spans="1:12" x14ac:dyDescent="0.25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</row>
    <row r="85" spans="1:12" x14ac:dyDescent="0.25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</row>
    <row r="86" spans="1:12" x14ac:dyDescent="0.25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</row>
    <row r="87" spans="1:12" x14ac:dyDescent="0.25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</row>
    <row r="88" spans="1:12" x14ac:dyDescent="0.25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</row>
    <row r="89" spans="1:12" x14ac:dyDescent="0.25">
      <c r="A89" s="119"/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</row>
    <row r="90" spans="1:12" x14ac:dyDescent="0.25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</row>
    <row r="91" spans="1:12" x14ac:dyDescent="0.25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</row>
    <row r="92" spans="1:12" x14ac:dyDescent="0.25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</row>
    <row r="93" spans="1:12" x14ac:dyDescent="0.25">
      <c r="A93" s="119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</row>
    <row r="94" spans="1:12" x14ac:dyDescent="0.25">
      <c r="A94" s="119"/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</row>
    <row r="95" spans="1:12" x14ac:dyDescent="0.25">
      <c r="A95" s="119"/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</row>
    <row r="96" spans="1:12" x14ac:dyDescent="0.25">
      <c r="A96" s="119"/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</row>
    <row r="97" spans="1:12" x14ac:dyDescent="0.25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</row>
    <row r="98" spans="1:12" x14ac:dyDescent="0.25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</row>
    <row r="99" spans="1:12" ht="15.75" customHeight="1" x14ac:dyDescent="0.25">
      <c r="A99" s="795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</row>
    <row r="100" spans="1:12" ht="18" customHeight="1" x14ac:dyDescent="0.4">
      <c r="A100" s="795"/>
      <c r="B100" s="119"/>
      <c r="C100" s="129" t="str">
        <f>List!$B$239</f>
        <v>Formulář pro identifikační údaje</v>
      </c>
      <c r="D100" s="119"/>
      <c r="E100" s="119"/>
      <c r="F100" s="119"/>
      <c r="G100" s="119"/>
      <c r="H100" s="119"/>
      <c r="I100" s="119"/>
      <c r="J100" s="119"/>
      <c r="K100" s="119"/>
      <c r="L100" s="119"/>
    </row>
    <row r="101" spans="1:12" ht="25.5" customHeight="1" x14ac:dyDescent="0.25">
      <c r="A101" s="795"/>
      <c r="B101" s="119"/>
      <c r="C101" s="130" t="str">
        <f>List!$B$240</f>
        <v>Odběratel</v>
      </c>
      <c r="D101" s="131"/>
      <c r="E101" s="119"/>
      <c r="F101" s="119"/>
      <c r="G101" s="132"/>
      <c r="H101" s="132"/>
      <c r="I101" s="132"/>
      <c r="J101" s="132"/>
      <c r="K101" s="132"/>
      <c r="L101" s="119"/>
    </row>
    <row r="102" spans="1:12" ht="15.75" customHeight="1" x14ac:dyDescent="0.3">
      <c r="A102" s="795"/>
      <c r="B102" s="119"/>
      <c r="C102" s="782"/>
      <c r="D102" s="782"/>
      <c r="E102" s="782"/>
      <c r="F102" s="237"/>
      <c r="G102" s="119"/>
      <c r="H102" s="119"/>
      <c r="I102" s="119"/>
      <c r="J102" s="133"/>
      <c r="K102" s="133"/>
      <c r="L102" s="133"/>
    </row>
    <row r="103" spans="1:12" ht="15.75" customHeight="1" x14ac:dyDescent="0.25">
      <c r="A103" s="795"/>
      <c r="B103" s="119"/>
      <c r="C103" s="130" t="str">
        <f>List!$B$241</f>
        <v>Adresa</v>
      </c>
      <c r="D103" s="131"/>
      <c r="E103" s="119"/>
      <c r="F103" s="238"/>
      <c r="G103" s="119"/>
      <c r="H103" s="119"/>
      <c r="I103" s="119"/>
      <c r="J103" s="119"/>
      <c r="K103" s="119"/>
      <c r="L103" s="119"/>
    </row>
    <row r="104" spans="1:12" ht="15.75" customHeight="1" x14ac:dyDescent="0.25">
      <c r="A104" s="795"/>
      <c r="B104" s="119"/>
      <c r="C104" s="796"/>
      <c r="D104" s="796"/>
      <c r="E104" s="796"/>
      <c r="F104" s="237"/>
      <c r="G104" s="119"/>
      <c r="H104" s="119"/>
      <c r="I104" s="119"/>
      <c r="J104" s="119"/>
      <c r="K104" s="119"/>
      <c r="L104" s="119"/>
    </row>
    <row r="105" spans="1:12" ht="15.75" customHeight="1" x14ac:dyDescent="0.25">
      <c r="A105" s="795"/>
      <c r="B105" s="119"/>
      <c r="C105" s="797"/>
      <c r="D105" s="797"/>
      <c r="E105" s="797"/>
      <c r="F105" s="237"/>
      <c r="G105" s="119"/>
      <c r="H105" s="119"/>
      <c r="I105" s="119"/>
      <c r="J105" s="119"/>
      <c r="K105" s="119"/>
      <c r="L105" s="119"/>
    </row>
    <row r="106" spans="1:12" ht="15.75" customHeight="1" x14ac:dyDescent="0.25">
      <c r="A106" s="795"/>
      <c r="B106" s="119"/>
      <c r="C106" s="798"/>
      <c r="D106" s="798"/>
      <c r="E106" s="798"/>
      <c r="F106" s="237"/>
      <c r="G106" s="119"/>
      <c r="H106" s="119"/>
      <c r="I106" s="119"/>
      <c r="J106" s="119"/>
      <c r="K106" s="119"/>
      <c r="L106" s="119"/>
    </row>
    <row r="107" spans="1:12" ht="15.75" customHeight="1" x14ac:dyDescent="0.25">
      <c r="A107" s="795"/>
      <c r="B107" s="119"/>
      <c r="C107" s="130" t="str">
        <f>List!$B$242</f>
        <v>Dodací adresa</v>
      </c>
      <c r="D107" s="131"/>
      <c r="E107" s="119"/>
      <c r="F107" s="238"/>
      <c r="G107" s="119"/>
      <c r="H107" s="119"/>
      <c r="I107" s="119"/>
      <c r="J107" s="119"/>
      <c r="K107" s="119"/>
      <c r="L107" s="119"/>
    </row>
    <row r="108" spans="1:12" ht="15.75" customHeight="1" x14ac:dyDescent="0.25">
      <c r="A108" s="795"/>
      <c r="B108" s="119"/>
      <c r="C108" s="796"/>
      <c r="D108" s="796"/>
      <c r="E108" s="796"/>
      <c r="F108" s="237"/>
      <c r="G108" s="119"/>
      <c r="H108" s="119"/>
      <c r="I108" s="119"/>
      <c r="J108" s="119"/>
      <c r="K108" s="119"/>
      <c r="L108" s="119"/>
    </row>
    <row r="109" spans="1:12" ht="15.75" customHeight="1" x14ac:dyDescent="0.25">
      <c r="A109" s="795"/>
      <c r="B109" s="119"/>
      <c r="C109" s="797"/>
      <c r="D109" s="797"/>
      <c r="E109" s="797"/>
      <c r="F109" s="237"/>
      <c r="G109" s="119"/>
      <c r="H109" s="119"/>
      <c r="I109" s="119"/>
      <c r="J109" s="119"/>
      <c r="K109" s="119"/>
      <c r="L109" s="119"/>
    </row>
    <row r="110" spans="1:12" ht="15.75" customHeight="1" x14ac:dyDescent="0.25">
      <c r="A110" s="795"/>
      <c r="B110" s="119"/>
      <c r="C110" s="798"/>
      <c r="D110" s="798"/>
      <c r="E110" s="798"/>
      <c r="F110" s="237"/>
      <c r="G110" s="119"/>
      <c r="H110" s="119"/>
      <c r="I110" s="119"/>
      <c r="J110" s="119"/>
      <c r="K110" s="119"/>
      <c r="L110" s="119"/>
    </row>
    <row r="111" spans="1:12" ht="15.75" customHeight="1" x14ac:dyDescent="0.25">
      <c r="A111" s="795"/>
      <c r="B111" s="119"/>
      <c r="C111" s="130" t="str">
        <f>List!$B$243</f>
        <v>IČO, DIČ</v>
      </c>
      <c r="D111" s="131"/>
      <c r="E111" s="119"/>
      <c r="F111" s="238"/>
      <c r="G111" s="119"/>
      <c r="H111" s="119"/>
      <c r="I111" s="119"/>
      <c r="J111" s="119"/>
      <c r="K111" s="119"/>
      <c r="L111" s="119"/>
    </row>
    <row r="112" spans="1:12" ht="15.75" customHeight="1" x14ac:dyDescent="0.25">
      <c r="A112" s="795"/>
      <c r="B112" s="119"/>
      <c r="C112" s="796"/>
      <c r="D112" s="796"/>
      <c r="E112" s="119"/>
      <c r="F112" s="238"/>
      <c r="G112" s="119"/>
      <c r="H112" s="119"/>
      <c r="I112" s="119"/>
      <c r="J112" s="119"/>
      <c r="K112" s="119"/>
      <c r="L112" s="119"/>
    </row>
    <row r="113" spans="1:12" ht="15.75" customHeight="1" x14ac:dyDescent="0.25">
      <c r="A113" s="795"/>
      <c r="B113" s="119"/>
      <c r="C113" s="797"/>
      <c r="D113" s="797"/>
      <c r="E113" s="119"/>
      <c r="F113" s="238"/>
      <c r="G113" s="119"/>
      <c r="H113" s="119"/>
      <c r="I113" s="119"/>
      <c r="J113" s="119"/>
      <c r="K113" s="119"/>
      <c r="L113" s="119"/>
    </row>
    <row r="114" spans="1:12" ht="15.75" customHeight="1" x14ac:dyDescent="0.25">
      <c r="A114" s="795"/>
      <c r="B114" s="119"/>
      <c r="C114" s="130" t="str">
        <f>List!$B$244</f>
        <v>Telefon, fax, e-mail</v>
      </c>
      <c r="D114" s="131"/>
      <c r="E114" s="119"/>
      <c r="F114" s="238"/>
      <c r="G114" s="119"/>
      <c r="H114" s="119"/>
      <c r="I114" s="119"/>
      <c r="J114" s="119"/>
      <c r="K114" s="119"/>
      <c r="L114" s="119"/>
    </row>
    <row r="115" spans="1:12" ht="15.75" customHeight="1" x14ac:dyDescent="0.25">
      <c r="A115" s="795"/>
      <c r="B115" s="119"/>
      <c r="C115" s="796"/>
      <c r="D115" s="796"/>
      <c r="E115" s="134"/>
      <c r="F115" s="239"/>
      <c r="G115" s="119"/>
      <c r="H115" s="119"/>
      <c r="I115" s="119"/>
      <c r="J115" s="119"/>
      <c r="K115" s="119"/>
      <c r="L115" s="119"/>
    </row>
    <row r="116" spans="1:12" ht="15.75" customHeight="1" x14ac:dyDescent="0.25">
      <c r="A116" s="795"/>
      <c r="B116" s="119"/>
      <c r="C116" s="797"/>
      <c r="D116" s="797"/>
      <c r="E116" s="134"/>
      <c r="F116" s="239"/>
      <c r="G116" s="119"/>
      <c r="H116" s="119"/>
      <c r="I116" s="119"/>
      <c r="J116" s="119"/>
      <c r="K116" s="119"/>
      <c r="L116" s="119"/>
    </row>
    <row r="117" spans="1:12" ht="15.75" customHeight="1" x14ac:dyDescent="0.25">
      <c r="A117" s="795"/>
      <c r="B117" s="119"/>
      <c r="C117" s="781"/>
      <c r="D117" s="782"/>
      <c r="E117" s="782"/>
      <c r="F117" s="237"/>
      <c r="G117" s="119"/>
      <c r="H117" s="119"/>
      <c r="I117" s="119"/>
      <c r="J117" s="119"/>
      <c r="K117" s="119"/>
      <c r="L117" s="119"/>
    </row>
    <row r="118" spans="1:12" ht="15.75" customHeight="1" x14ac:dyDescent="0.25">
      <c r="A118" s="795"/>
      <c r="B118" s="119"/>
      <c r="C118" s="131"/>
      <c r="D118" s="131"/>
      <c r="E118" s="119"/>
      <c r="F118" s="238"/>
      <c r="G118" s="119"/>
      <c r="H118" s="119"/>
      <c r="I118" s="119"/>
      <c r="J118" s="119"/>
      <c r="K118" s="119"/>
      <c r="L118" s="119"/>
    </row>
    <row r="119" spans="1:12" ht="15.75" customHeight="1" x14ac:dyDescent="0.25">
      <c r="A119" s="795"/>
      <c r="B119" s="119"/>
      <c r="C119" s="119"/>
      <c r="D119" s="135" t="str">
        <f>List!$B$252&amp;" [%]: "</f>
        <v xml:space="preserve">Sleva od prodejce [%]: </v>
      </c>
      <c r="E119" s="138"/>
      <c r="F119" s="240"/>
      <c r="G119" s="119"/>
      <c r="H119" s="119"/>
      <c r="I119" s="119"/>
      <c r="J119" s="119"/>
      <c r="K119" s="119"/>
      <c r="L119" s="119"/>
    </row>
    <row r="120" spans="1:12" ht="15.75" customHeight="1" x14ac:dyDescent="0.25">
      <c r="A120" s="795"/>
      <c r="B120" s="119"/>
      <c r="C120" s="119"/>
      <c r="D120" s="119"/>
      <c r="E120" s="119"/>
      <c r="F120" s="238"/>
      <c r="G120" s="119"/>
      <c r="H120" s="119"/>
      <c r="I120" s="119"/>
      <c r="J120" s="119"/>
      <c r="K120" s="119"/>
      <c r="L120" s="119"/>
    </row>
    <row r="121" spans="1:12" ht="15.75" customHeight="1" x14ac:dyDescent="0.25">
      <c r="A121" s="795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</row>
    <row r="122" spans="1:12" ht="15.75" customHeight="1" x14ac:dyDescent="0.25">
      <c r="A122" s="795"/>
      <c r="B122" s="119"/>
      <c r="C122" s="130" t="str">
        <f>List!$B265</f>
        <v>Vyplňte identifikační údaje a výši slevy od prodejce</v>
      </c>
      <c r="D122" s="119"/>
      <c r="E122" s="119"/>
      <c r="F122" s="119"/>
      <c r="G122" s="119"/>
      <c r="H122" s="119"/>
      <c r="I122" s="119"/>
      <c r="J122" s="119"/>
      <c r="K122" s="119"/>
      <c r="L122" s="119"/>
    </row>
    <row r="123" spans="1:12" ht="15.75" customHeight="1" x14ac:dyDescent="0.25">
      <c r="A123" s="795"/>
      <c r="B123" s="119"/>
      <c r="C123" s="130" t="str">
        <f>List!$B267</f>
        <v>Identifikační údaje se budou zobrazovat v objednávkách</v>
      </c>
      <c r="D123" s="119"/>
      <c r="E123" s="119"/>
      <c r="F123" s="119"/>
      <c r="G123" s="119"/>
      <c r="H123" s="119"/>
      <c r="I123" s="119"/>
      <c r="J123" s="119"/>
      <c r="K123" s="119"/>
      <c r="L123" s="119"/>
    </row>
    <row r="124" spans="1:12" ht="15.75" customHeight="1" x14ac:dyDescent="0.25">
      <c r="A124" s="795"/>
      <c r="B124" s="119"/>
      <c r="C124" s="130" t="str">
        <f>List!$B266</f>
        <v>Po vyplnění se vraťte na úvod a subor uložte nebo zavřete s potvrzením změn</v>
      </c>
      <c r="D124" s="119"/>
      <c r="E124" s="119"/>
      <c r="F124" s="119"/>
      <c r="G124" s="119"/>
      <c r="H124" s="119"/>
      <c r="I124" s="119"/>
      <c r="J124" s="119"/>
      <c r="K124" s="119"/>
      <c r="L124" s="119"/>
    </row>
    <row r="125" spans="1:12" ht="15.75" customHeight="1" x14ac:dyDescent="0.25">
      <c r="A125" s="795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</row>
    <row r="126" spans="1:12" ht="15.75" customHeight="1" x14ac:dyDescent="0.25">
      <c r="A126" s="795"/>
      <c r="B126" s="119"/>
      <c r="C126" s="784" t="str">
        <f>List!$B$110</f>
        <v>Zpět na úvod</v>
      </c>
      <c r="D126" s="784"/>
      <c r="E126" s="119"/>
      <c r="F126" s="119"/>
      <c r="G126" s="119"/>
      <c r="H126" s="119"/>
      <c r="I126" s="119"/>
      <c r="J126" s="136"/>
      <c r="K126" s="136"/>
      <c r="L126" s="136"/>
    </row>
    <row r="127" spans="1:12" ht="15.75" customHeight="1" x14ac:dyDescent="0.25">
      <c r="A127" s="795"/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</row>
    <row r="128" spans="1:12" ht="15.75" customHeight="1" x14ac:dyDescent="0.25">
      <c r="A128" s="795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</row>
    <row r="129" spans="1:12" ht="15.75" customHeight="1" x14ac:dyDescent="0.25">
      <c r="A129" s="795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</row>
    <row r="130" spans="1:12" ht="15.75" customHeight="1" x14ac:dyDescent="0.25">
      <c r="A130" s="795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</row>
    <row r="131" spans="1:12" ht="15.75" customHeight="1" x14ac:dyDescent="0.25">
      <c r="A131" s="795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</row>
    <row r="132" spans="1:12" ht="15.75" customHeight="1" x14ac:dyDescent="0.25">
      <c r="A132" s="795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</row>
    <row r="133" spans="1:12" s="110" customFormat="1" ht="15.75" customHeight="1" x14ac:dyDescent="0.3">
      <c r="A133" s="795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</row>
    <row r="134" spans="1:12" x14ac:dyDescent="0.25">
      <c r="A134" s="119"/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</row>
    <row r="135" spans="1:12" x14ac:dyDescent="0.25">
      <c r="A135" s="119"/>
      <c r="B135" s="119"/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</row>
    <row r="136" spans="1:12" x14ac:dyDescent="0.25">
      <c r="A136" s="119"/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</row>
    <row r="137" spans="1:12" x14ac:dyDescent="0.25">
      <c r="A137" s="119"/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</row>
    <row r="138" spans="1:12" x14ac:dyDescent="0.25">
      <c r="A138" s="119"/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</row>
    <row r="139" spans="1:12" x14ac:dyDescent="0.25">
      <c r="A139" s="119"/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</row>
    <row r="140" spans="1:12" x14ac:dyDescent="0.25">
      <c r="A140" s="119"/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</row>
    <row r="141" spans="1:12" x14ac:dyDescent="0.25">
      <c r="A141" s="119"/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</row>
    <row r="142" spans="1:12" x14ac:dyDescent="0.25">
      <c r="A142" s="119"/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</row>
    <row r="143" spans="1:12" x14ac:dyDescent="0.25">
      <c r="A143" s="119"/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</row>
    <row r="144" spans="1:12" x14ac:dyDescent="0.25">
      <c r="A144" s="119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</row>
    <row r="145" spans="1:12" x14ac:dyDescent="0.25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</row>
    <row r="146" spans="1:12" x14ac:dyDescent="0.25">
      <c r="A146" s="119"/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</row>
    <row r="147" spans="1:12" ht="14.5" x14ac:dyDescent="0.35">
      <c r="A147" s="785"/>
      <c r="B147" s="13"/>
      <c r="C147" s="13"/>
      <c r="D147" s="13"/>
      <c r="E147" s="13"/>
      <c r="F147" s="13"/>
      <c r="G147" s="13"/>
      <c r="H147" s="13"/>
      <c r="I147" s="13"/>
      <c r="J147" s="119"/>
      <c r="K147" s="119"/>
      <c r="L147" s="119"/>
    </row>
    <row r="148" spans="1:12" ht="14.5" x14ac:dyDescent="0.35">
      <c r="A148" s="785"/>
      <c r="B148" s="13"/>
      <c r="C148" s="13"/>
      <c r="D148" s="13"/>
      <c r="E148" s="135" t="str">
        <f>List!$B$89&amp;" [%] "</f>
        <v xml:space="preserve">Zadejte výši slevy [%] </v>
      </c>
      <c r="F148" s="135"/>
      <c r="G148" s="139"/>
      <c r="H148" s="13"/>
      <c r="I148" s="13"/>
      <c r="J148" s="119"/>
      <c r="K148" s="119"/>
      <c r="L148" s="119"/>
    </row>
    <row r="149" spans="1:12" ht="14.5" x14ac:dyDescent="0.35">
      <c r="A149" s="785"/>
      <c r="B149" s="13"/>
      <c r="C149" s="13"/>
      <c r="D149" s="13"/>
      <c r="E149" s="13"/>
      <c r="F149" s="13"/>
      <c r="G149" s="13"/>
      <c r="H149" s="13"/>
      <c r="I149" s="13"/>
      <c r="J149" s="119"/>
      <c r="K149" s="119"/>
      <c r="L149" s="119"/>
    </row>
    <row r="150" spans="1:12" ht="14.5" x14ac:dyDescent="0.35">
      <c r="A150" s="785"/>
      <c r="B150" s="13"/>
      <c r="C150" s="13"/>
      <c r="D150" s="13"/>
      <c r="E150" s="13"/>
      <c r="F150" s="13"/>
      <c r="G150" s="13"/>
      <c r="H150" s="13"/>
      <c r="I150" s="13"/>
      <c r="J150" s="119"/>
      <c r="K150" s="119"/>
      <c r="L150" s="119"/>
    </row>
    <row r="151" spans="1:12" ht="14.5" x14ac:dyDescent="0.35">
      <c r="A151" s="785"/>
      <c r="B151" s="13"/>
      <c r="C151" s="13"/>
      <c r="D151" s="13"/>
      <c r="E151" s="13"/>
      <c r="F151" s="13"/>
      <c r="G151" s="13"/>
      <c r="H151" s="13"/>
      <c r="I151" s="13"/>
      <c r="J151" s="119"/>
      <c r="K151" s="119"/>
      <c r="L151" s="119"/>
    </row>
    <row r="152" spans="1:12" ht="14.5" x14ac:dyDescent="0.35">
      <c r="A152" s="785"/>
      <c r="B152" s="13"/>
      <c r="C152" s="13"/>
      <c r="D152" s="13"/>
      <c r="E152" s="784" t="str">
        <f>List!$B$110</f>
        <v>Zpět na úvod</v>
      </c>
      <c r="F152" s="784"/>
      <c r="G152" s="784"/>
      <c r="H152" s="13"/>
      <c r="I152" s="13"/>
      <c r="J152" s="119"/>
      <c r="K152" s="119"/>
      <c r="L152" s="119"/>
    </row>
    <row r="153" spans="1:12" ht="14.5" x14ac:dyDescent="0.35">
      <c r="A153" s="785"/>
      <c r="B153" s="13"/>
      <c r="C153" s="13"/>
      <c r="D153" s="13"/>
      <c r="E153" s="13"/>
      <c r="F153" s="13"/>
      <c r="G153" s="13"/>
      <c r="H153" s="13"/>
      <c r="I153" s="13"/>
      <c r="J153" s="119"/>
      <c r="K153" s="119"/>
      <c r="L153" s="119"/>
    </row>
    <row r="154" spans="1:12" ht="14.5" x14ac:dyDescent="0.35">
      <c r="A154" s="785"/>
      <c r="B154" s="13"/>
      <c r="C154" s="13"/>
      <c r="D154" s="13"/>
      <c r="E154" s="13"/>
      <c r="F154" s="13"/>
      <c r="G154" s="13"/>
      <c r="H154" s="13"/>
      <c r="I154" s="13"/>
      <c r="J154" s="119"/>
      <c r="K154" s="119"/>
      <c r="L154" s="119"/>
    </row>
    <row r="155" spans="1:12" ht="14.5" x14ac:dyDescent="0.35">
      <c r="A155" s="785"/>
      <c r="B155" s="13"/>
      <c r="C155" s="13"/>
      <c r="D155" s="13"/>
      <c r="E155" s="13"/>
      <c r="F155" s="13"/>
      <c r="G155" s="13"/>
      <c r="H155" s="13"/>
      <c r="I155" s="13"/>
      <c r="J155" s="119"/>
      <c r="K155" s="119"/>
      <c r="L155" s="119"/>
    </row>
    <row r="156" spans="1:12" ht="14.5" x14ac:dyDescent="0.35">
      <c r="A156" s="785"/>
      <c r="B156" s="13"/>
      <c r="C156" s="13"/>
      <c r="D156" s="13"/>
      <c r="E156" s="13"/>
      <c r="F156" s="13"/>
      <c r="G156" s="13"/>
      <c r="H156" s="13"/>
      <c r="I156" s="13"/>
      <c r="J156" s="119"/>
      <c r="K156" s="119"/>
      <c r="L156" s="119"/>
    </row>
    <row r="157" spans="1:12" ht="14.5" x14ac:dyDescent="0.35">
      <c r="A157" s="785"/>
      <c r="B157" s="13"/>
      <c r="C157" s="13"/>
      <c r="D157" s="13"/>
      <c r="E157" s="13"/>
      <c r="F157" s="13"/>
      <c r="G157" s="13"/>
      <c r="H157" s="13"/>
      <c r="I157" s="13"/>
      <c r="J157" s="119"/>
      <c r="K157" s="119"/>
      <c r="L157" s="119"/>
    </row>
    <row r="158" spans="1:12" ht="14.5" x14ac:dyDescent="0.35">
      <c r="A158" s="785"/>
      <c r="B158" s="13"/>
      <c r="C158" s="13"/>
      <c r="D158" s="13"/>
      <c r="E158" s="13"/>
      <c r="F158" s="13"/>
      <c r="G158" s="13"/>
      <c r="H158" s="13"/>
      <c r="I158" s="13"/>
      <c r="J158" s="119"/>
      <c r="K158" s="119"/>
      <c r="L158" s="119"/>
    </row>
    <row r="159" spans="1:12" ht="14.5" x14ac:dyDescent="0.35">
      <c r="A159" s="785"/>
      <c r="B159" s="13"/>
      <c r="C159" s="13"/>
      <c r="D159" s="13"/>
      <c r="E159" s="13"/>
      <c r="F159" s="13"/>
      <c r="G159" s="13"/>
      <c r="H159" s="13"/>
      <c r="I159" s="13"/>
      <c r="J159" s="119"/>
      <c r="K159" s="119"/>
      <c r="L159" s="119"/>
    </row>
    <row r="160" spans="1:12" ht="14.5" x14ac:dyDescent="0.35">
      <c r="A160" s="785"/>
      <c r="B160" s="13"/>
      <c r="C160" s="13"/>
      <c r="D160" s="13"/>
      <c r="E160" s="13"/>
      <c r="F160" s="13"/>
      <c r="G160" s="13"/>
      <c r="H160" s="13"/>
      <c r="I160" s="13"/>
      <c r="J160" s="119"/>
      <c r="K160" s="119"/>
      <c r="L160" s="119"/>
    </row>
    <row r="161" spans="1:12" ht="14.5" x14ac:dyDescent="0.35">
      <c r="A161" s="785"/>
      <c r="B161" s="13"/>
      <c r="C161" s="13"/>
      <c r="D161" s="13"/>
      <c r="E161" s="13"/>
      <c r="F161" s="13"/>
      <c r="G161" s="13"/>
      <c r="H161" s="13"/>
      <c r="I161" s="13"/>
      <c r="J161" s="119"/>
      <c r="K161" s="119"/>
      <c r="L161" s="119"/>
    </row>
    <row r="162" spans="1:12" ht="14.5" x14ac:dyDescent="0.35">
      <c r="A162" s="785"/>
      <c r="B162" s="13"/>
      <c r="C162" s="13"/>
      <c r="D162" s="13"/>
      <c r="E162" s="13"/>
      <c r="F162" s="13"/>
      <c r="G162" s="13"/>
      <c r="H162" s="13"/>
      <c r="I162" s="13"/>
      <c r="J162" s="119"/>
      <c r="K162" s="119"/>
      <c r="L162" s="119"/>
    </row>
    <row r="163" spans="1:12" ht="14.5" x14ac:dyDescent="0.35">
      <c r="A163" s="785"/>
      <c r="B163" s="13"/>
      <c r="C163" s="13"/>
      <c r="D163" s="13"/>
      <c r="E163" s="13"/>
      <c r="F163" s="13"/>
      <c r="G163" s="13"/>
      <c r="H163" s="13"/>
      <c r="I163" s="13"/>
      <c r="J163" s="119"/>
      <c r="K163" s="119"/>
      <c r="L163" s="119"/>
    </row>
    <row r="164" spans="1:12" ht="14.5" x14ac:dyDescent="0.35">
      <c r="A164" s="785"/>
      <c r="B164" s="13"/>
      <c r="C164" s="13"/>
      <c r="D164" s="13"/>
      <c r="E164" s="13"/>
      <c r="F164" s="13"/>
      <c r="G164" s="13"/>
      <c r="H164" s="13"/>
      <c r="I164" s="13"/>
      <c r="J164" s="119"/>
      <c r="K164" s="119"/>
      <c r="L164" s="119"/>
    </row>
    <row r="165" spans="1:12" ht="14.5" x14ac:dyDescent="0.35">
      <c r="A165" s="785"/>
      <c r="B165" s="13"/>
      <c r="C165" s="13"/>
      <c r="D165" s="13"/>
      <c r="E165" s="13"/>
      <c r="F165" s="13"/>
      <c r="G165" s="13"/>
      <c r="H165" s="13"/>
      <c r="I165" s="13"/>
      <c r="J165" s="119"/>
      <c r="K165" s="119"/>
      <c r="L165" s="119"/>
    </row>
    <row r="166" spans="1:12" ht="14.5" x14ac:dyDescent="0.35">
      <c r="A166" s="785"/>
      <c r="B166" s="13"/>
      <c r="C166" s="13"/>
      <c r="D166" s="13"/>
      <c r="E166" s="13"/>
      <c r="F166" s="13"/>
      <c r="G166" s="13"/>
      <c r="H166" s="13"/>
      <c r="I166" s="13"/>
      <c r="J166" s="119"/>
      <c r="K166" s="119"/>
      <c r="L166" s="119"/>
    </row>
    <row r="167" spans="1:12" ht="14.5" x14ac:dyDescent="0.35">
      <c r="A167" s="785"/>
      <c r="B167" s="13"/>
      <c r="C167" s="13"/>
      <c r="D167" s="13"/>
      <c r="E167" s="13"/>
      <c r="F167" s="13"/>
      <c r="G167" s="13"/>
      <c r="H167" s="13"/>
      <c r="I167" s="13"/>
      <c r="J167" s="119"/>
      <c r="K167" s="119"/>
      <c r="L167" s="119"/>
    </row>
    <row r="168" spans="1:12" ht="14.5" x14ac:dyDescent="0.35">
      <c r="A168" s="785"/>
      <c r="B168" s="13"/>
      <c r="C168" s="13"/>
      <c r="D168" s="13"/>
      <c r="E168" s="13"/>
      <c r="F168" s="13"/>
      <c r="G168" s="13"/>
      <c r="H168" s="13"/>
      <c r="I168" s="13"/>
      <c r="J168" s="119"/>
      <c r="K168" s="119"/>
      <c r="L168" s="119"/>
    </row>
    <row r="169" spans="1:12" ht="14.5" x14ac:dyDescent="0.35">
      <c r="A169" s="785"/>
      <c r="B169" s="13"/>
      <c r="C169" s="13"/>
      <c r="D169" s="13"/>
      <c r="E169" s="13"/>
      <c r="F169" s="13"/>
      <c r="G169" s="13"/>
      <c r="H169" s="13"/>
      <c r="I169" s="13"/>
      <c r="J169" s="119"/>
      <c r="K169" s="119"/>
      <c r="L169" s="119"/>
    </row>
    <row r="170" spans="1:12" ht="14.5" x14ac:dyDescent="0.35">
      <c r="A170" s="785"/>
      <c r="B170" s="13"/>
      <c r="C170" s="13"/>
      <c r="D170" s="13"/>
      <c r="E170" s="13"/>
      <c r="F170" s="13"/>
      <c r="G170" s="13"/>
      <c r="H170" s="13"/>
      <c r="I170" s="13"/>
      <c r="J170" s="119"/>
      <c r="K170" s="119"/>
      <c r="L170" s="119"/>
    </row>
    <row r="171" spans="1:12" ht="14.5" x14ac:dyDescent="0.35">
      <c r="A171" s="785"/>
      <c r="B171" s="13"/>
      <c r="C171" s="13"/>
      <c r="D171" s="13"/>
      <c r="E171" s="13"/>
      <c r="F171" s="13"/>
      <c r="G171" s="13"/>
      <c r="H171" s="13"/>
      <c r="I171" s="13"/>
      <c r="J171" s="119"/>
      <c r="K171" s="119"/>
      <c r="L171" s="119"/>
    </row>
    <row r="172" spans="1:12" ht="14.5" x14ac:dyDescent="0.35">
      <c r="A172" s="785"/>
      <c r="B172" s="13"/>
      <c r="C172" s="13"/>
      <c r="D172" s="13"/>
      <c r="E172" s="13"/>
      <c r="F172" s="13"/>
      <c r="G172" s="13"/>
      <c r="H172" s="13"/>
      <c r="I172" s="13"/>
      <c r="J172" s="119"/>
      <c r="K172" s="119"/>
      <c r="L172" s="119"/>
    </row>
    <row r="173" spans="1:12" ht="14.5" x14ac:dyDescent="0.35">
      <c r="A173" s="785"/>
      <c r="B173" s="13"/>
      <c r="C173" s="13"/>
      <c r="D173" s="13"/>
      <c r="E173" s="13"/>
      <c r="F173" s="13"/>
      <c r="G173" s="13"/>
      <c r="H173" s="13"/>
      <c r="I173" s="13"/>
      <c r="J173" s="119"/>
      <c r="K173" s="119"/>
      <c r="L173" s="119"/>
    </row>
    <row r="174" spans="1:12" ht="14.5" x14ac:dyDescent="0.35">
      <c r="A174" s="785"/>
      <c r="B174" s="13"/>
      <c r="C174" s="13"/>
      <c r="D174" s="13"/>
      <c r="E174" s="13"/>
      <c r="F174" s="13"/>
      <c r="G174" s="13"/>
      <c r="H174" s="13"/>
      <c r="I174" s="13"/>
      <c r="J174" s="119"/>
      <c r="K174" s="119"/>
      <c r="L174" s="119"/>
    </row>
    <row r="175" spans="1:12" ht="14.5" x14ac:dyDescent="0.35">
      <c r="A175" s="785"/>
      <c r="B175" s="13"/>
      <c r="C175" s="13"/>
      <c r="D175" s="13"/>
      <c r="E175" s="13"/>
      <c r="F175" s="13"/>
      <c r="G175" s="13"/>
      <c r="H175" s="13"/>
      <c r="I175" s="13"/>
      <c r="J175" s="119"/>
      <c r="K175" s="119"/>
      <c r="L175" s="119"/>
    </row>
    <row r="176" spans="1:12" ht="14.5" x14ac:dyDescent="0.35">
      <c r="A176" s="785"/>
      <c r="B176" s="13"/>
      <c r="C176" s="13"/>
      <c r="D176" s="13"/>
      <c r="E176" s="13"/>
      <c r="F176" s="13"/>
      <c r="G176" s="13"/>
      <c r="H176" s="13"/>
      <c r="I176" s="13"/>
      <c r="J176" s="119"/>
      <c r="K176" s="119"/>
      <c r="L176" s="119"/>
    </row>
    <row r="177" spans="1:12" ht="14.5" x14ac:dyDescent="0.35">
      <c r="A177" s="785"/>
      <c r="B177" s="13"/>
      <c r="C177" s="13"/>
      <c r="D177" s="13"/>
      <c r="E177" s="13"/>
      <c r="F177" s="13"/>
      <c r="G177" s="13"/>
      <c r="H177" s="13"/>
      <c r="I177" s="13"/>
      <c r="J177" s="119"/>
      <c r="K177" s="119"/>
      <c r="L177" s="119"/>
    </row>
    <row r="178" spans="1:12" ht="14.5" x14ac:dyDescent="0.35">
      <c r="A178" s="785"/>
      <c r="B178" s="13"/>
      <c r="C178" s="13"/>
      <c r="D178" s="13"/>
      <c r="E178" s="13"/>
      <c r="F178" s="13"/>
      <c r="G178" s="13"/>
      <c r="H178" s="13"/>
      <c r="I178" s="13"/>
      <c r="J178" s="119"/>
      <c r="K178" s="119"/>
      <c r="L178" s="119"/>
    </row>
    <row r="179" spans="1:12" ht="14.5" x14ac:dyDescent="0.35">
      <c r="A179" s="785"/>
      <c r="B179" s="13"/>
      <c r="C179" s="13"/>
      <c r="D179" s="13"/>
      <c r="E179" s="13"/>
      <c r="F179" s="13"/>
      <c r="G179" s="13"/>
      <c r="H179" s="13"/>
      <c r="I179" s="13"/>
      <c r="J179" s="119"/>
      <c r="K179" s="119"/>
      <c r="L179" s="119"/>
    </row>
    <row r="180" spans="1:12" ht="14.5" x14ac:dyDescent="0.35">
      <c r="A180" s="785"/>
      <c r="B180" s="13"/>
      <c r="C180" s="13"/>
      <c r="D180" s="13"/>
      <c r="E180" s="13"/>
      <c r="F180" s="13"/>
      <c r="G180" s="13"/>
      <c r="H180" s="13"/>
      <c r="I180" s="13"/>
      <c r="J180" s="119"/>
      <c r="K180" s="119"/>
      <c r="L180" s="119"/>
    </row>
    <row r="181" spans="1:12" ht="14.5" x14ac:dyDescent="0.35">
      <c r="A181" s="785"/>
      <c r="B181" s="13"/>
      <c r="C181" s="13"/>
      <c r="D181" s="13"/>
      <c r="E181" s="13"/>
      <c r="F181" s="13"/>
      <c r="G181" s="13"/>
      <c r="H181" s="13"/>
      <c r="I181" s="13"/>
      <c r="J181" s="119"/>
      <c r="K181" s="119"/>
      <c r="L181" s="119"/>
    </row>
    <row r="182" spans="1:12" ht="14.5" x14ac:dyDescent="0.35">
      <c r="A182" s="785"/>
      <c r="B182" s="13"/>
      <c r="C182" s="13"/>
      <c r="D182" s="13"/>
      <c r="E182" s="13"/>
      <c r="F182" s="13"/>
      <c r="G182" s="13"/>
      <c r="H182" s="13"/>
      <c r="I182" s="13"/>
      <c r="J182" s="119"/>
      <c r="K182" s="119"/>
      <c r="L182" s="119"/>
    </row>
    <row r="183" spans="1:12" ht="14.5" x14ac:dyDescent="0.35">
      <c r="A183" s="785"/>
      <c r="B183" s="13"/>
      <c r="C183" s="13"/>
      <c r="D183" s="13"/>
      <c r="E183" s="13"/>
      <c r="F183" s="13"/>
      <c r="G183" s="13"/>
      <c r="H183" s="13"/>
      <c r="I183" s="13"/>
      <c r="J183" s="119"/>
      <c r="K183" s="119"/>
      <c r="L183" s="119"/>
    </row>
    <row r="184" spans="1:12" ht="14.5" x14ac:dyDescent="0.35">
      <c r="A184" s="785"/>
      <c r="B184" s="13"/>
      <c r="C184" s="13"/>
      <c r="D184" s="13"/>
      <c r="E184" s="13"/>
      <c r="F184" s="13"/>
      <c r="G184" s="13"/>
      <c r="H184" s="13"/>
      <c r="I184" s="13"/>
      <c r="J184" s="119"/>
      <c r="K184" s="119"/>
      <c r="L184" s="119"/>
    </row>
    <row r="185" spans="1:12" ht="14.5" x14ac:dyDescent="0.35">
      <c r="A185" s="785"/>
      <c r="B185" s="13"/>
      <c r="C185" s="13"/>
      <c r="D185" s="13"/>
      <c r="E185" s="13"/>
      <c r="F185" s="13"/>
      <c r="G185" s="13"/>
      <c r="H185" s="13"/>
      <c r="I185" s="13"/>
      <c r="J185" s="119"/>
      <c r="K185" s="119"/>
      <c r="L185" s="119"/>
    </row>
    <row r="186" spans="1:12" ht="14.5" x14ac:dyDescent="0.35">
      <c r="A186" s="785"/>
      <c r="B186" s="13"/>
      <c r="C186" s="13"/>
      <c r="D186" s="13"/>
      <c r="E186" s="13"/>
      <c r="F186" s="13"/>
      <c r="G186" s="13"/>
      <c r="H186" s="13"/>
      <c r="I186" s="13"/>
      <c r="J186" s="119"/>
      <c r="K186" s="119"/>
      <c r="L186" s="119"/>
    </row>
    <row r="187" spans="1:12" ht="14.5" x14ac:dyDescent="0.35">
      <c r="A187" s="785"/>
      <c r="B187" s="13"/>
      <c r="C187" s="13"/>
      <c r="D187" s="13"/>
      <c r="E187" s="13"/>
      <c r="F187" s="13"/>
      <c r="G187" s="13"/>
      <c r="H187" s="13"/>
      <c r="I187" s="13"/>
      <c r="J187" s="119"/>
      <c r="K187" s="119"/>
      <c r="L187" s="119"/>
    </row>
    <row r="188" spans="1:12" ht="14.5" x14ac:dyDescent="0.35">
      <c r="A188" s="785"/>
      <c r="B188" s="13"/>
      <c r="C188" s="13"/>
      <c r="D188" s="13"/>
      <c r="E188" s="13"/>
      <c r="F188" s="13"/>
      <c r="G188" s="13"/>
      <c r="H188" s="13"/>
      <c r="I188" s="13"/>
      <c r="J188" s="119"/>
      <c r="K188" s="119"/>
      <c r="L188" s="119"/>
    </row>
    <row r="189" spans="1:12" ht="14.5" x14ac:dyDescent="0.35">
      <c r="A189" s="785"/>
      <c r="B189" s="13"/>
      <c r="C189" s="13"/>
      <c r="D189" s="13"/>
      <c r="E189" s="13"/>
      <c r="F189" s="13"/>
      <c r="G189" s="13"/>
      <c r="H189" s="13"/>
      <c r="I189" s="13"/>
      <c r="J189" s="119"/>
      <c r="K189" s="119"/>
      <c r="L189" s="119"/>
    </row>
    <row r="190" spans="1:12" ht="14.5" x14ac:dyDescent="0.35">
      <c r="A190" s="785"/>
      <c r="B190" s="13"/>
      <c r="C190" s="13"/>
      <c r="D190" s="13"/>
      <c r="E190" s="13"/>
      <c r="F190" s="13"/>
      <c r="G190" s="13"/>
      <c r="H190" s="13"/>
      <c r="I190" s="13"/>
      <c r="J190" s="119"/>
      <c r="K190" s="119"/>
      <c r="L190" s="119"/>
    </row>
    <row r="191" spans="1:12" x14ac:dyDescent="0.25">
      <c r="A191" s="119"/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</row>
    <row r="192" spans="1:12" x14ac:dyDescent="0.25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</row>
    <row r="193" spans="1:12" x14ac:dyDescent="0.25">
      <c r="A193" s="119"/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</row>
    <row r="194" spans="1:12" x14ac:dyDescent="0.25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</row>
    <row r="195" spans="1:12" x14ac:dyDescent="0.25">
      <c r="A195" s="119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</row>
    <row r="196" spans="1:12" x14ac:dyDescent="0.25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</row>
    <row r="197" spans="1:12" x14ac:dyDescent="0.25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</row>
    <row r="198" spans="1:12" x14ac:dyDescent="0.25">
      <c r="A198" s="119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</row>
    <row r="199" spans="1:12" x14ac:dyDescent="0.25">
      <c r="A199" s="119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</row>
    <row r="200" spans="1:12" x14ac:dyDescent="0.25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</row>
    <row r="201" spans="1:12" x14ac:dyDescent="0.25">
      <c r="A201" s="119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</row>
    <row r="202" spans="1:12" x14ac:dyDescent="0.25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</row>
    <row r="203" spans="1:12" x14ac:dyDescent="0.25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</row>
    <row r="204" spans="1:12" x14ac:dyDescent="0.25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</row>
    <row r="205" spans="1:12" x14ac:dyDescent="0.25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</row>
    <row r="206" spans="1:12" x14ac:dyDescent="0.25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</row>
    <row r="207" spans="1:12" x14ac:dyDescent="0.25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</row>
    <row r="208" spans="1:12" x14ac:dyDescent="0.25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</row>
    <row r="209" spans="1:12" x14ac:dyDescent="0.25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</row>
    <row r="210" spans="1:12" x14ac:dyDescent="0.25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</row>
    <row r="211" spans="1:12" x14ac:dyDescent="0.25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</row>
    <row r="212" spans="1:12" x14ac:dyDescent="0.25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</row>
    <row r="213" spans="1:12" x14ac:dyDescent="0.25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</row>
    <row r="214" spans="1:12" x14ac:dyDescent="0.25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</row>
    <row r="215" spans="1:12" x14ac:dyDescent="0.25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</row>
    <row r="216" spans="1:12" x14ac:dyDescent="0.25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</row>
    <row r="217" spans="1:12" x14ac:dyDescent="0.25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</row>
    <row r="218" spans="1:12" x14ac:dyDescent="0.25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</row>
    <row r="219" spans="1:12" x14ac:dyDescent="0.25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</row>
    <row r="220" spans="1:12" x14ac:dyDescent="0.25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</row>
    <row r="221" spans="1:12" x14ac:dyDescent="0.25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</row>
    <row r="222" spans="1:12" x14ac:dyDescent="0.25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</row>
    <row r="223" spans="1:12" x14ac:dyDescent="0.25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</row>
    <row r="224" spans="1:12" x14ac:dyDescent="0.25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</row>
    <row r="225" spans="1:12" x14ac:dyDescent="0.25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</row>
    <row r="226" spans="1:12" x14ac:dyDescent="0.25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</row>
    <row r="227" spans="1:12" x14ac:dyDescent="0.25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</row>
    <row r="228" spans="1:12" x14ac:dyDescent="0.25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</row>
    <row r="229" spans="1:12" x14ac:dyDescent="0.25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</row>
    <row r="230" spans="1:12" x14ac:dyDescent="0.25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</row>
    <row r="231" spans="1:12" x14ac:dyDescent="0.25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</row>
    <row r="232" spans="1:12" x14ac:dyDescent="0.25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</row>
    <row r="233" spans="1:12" x14ac:dyDescent="0.25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</row>
    <row r="234" spans="1:12" x14ac:dyDescent="0.25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</row>
    <row r="235" spans="1:12" x14ac:dyDescent="0.25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</row>
    <row r="236" spans="1:12" x14ac:dyDescent="0.25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</row>
    <row r="237" spans="1:12" x14ac:dyDescent="0.25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</row>
    <row r="238" spans="1:12" x14ac:dyDescent="0.25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</row>
    <row r="239" spans="1:12" x14ac:dyDescent="0.25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</row>
    <row r="240" spans="1:12" x14ac:dyDescent="0.25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</row>
    <row r="241" spans="1:12" x14ac:dyDescent="0.25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</row>
    <row r="242" spans="1:12" x14ac:dyDescent="0.25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</row>
    <row r="243" spans="1:12" x14ac:dyDescent="0.25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</row>
    <row r="244" spans="1:12" x14ac:dyDescent="0.25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</row>
    <row r="245" spans="1:12" x14ac:dyDescent="0.25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</row>
    <row r="246" spans="1:12" x14ac:dyDescent="0.25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</row>
    <row r="247" spans="1:12" x14ac:dyDescent="0.25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</row>
    <row r="248" spans="1:12" x14ac:dyDescent="0.25">
      <c r="A248" s="119"/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</row>
    <row r="249" spans="1:12" x14ac:dyDescent="0.25">
      <c r="A249" s="119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</row>
    <row r="250" spans="1:12" x14ac:dyDescent="0.25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</row>
    <row r="251" spans="1:12" x14ac:dyDescent="0.25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</row>
    <row r="252" spans="1:12" x14ac:dyDescent="0.25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</row>
    <row r="253" spans="1:12" x14ac:dyDescent="0.25">
      <c r="A253" s="119"/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</row>
    <row r="254" spans="1:12" x14ac:dyDescent="0.25">
      <c r="A254" s="119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</row>
    <row r="255" spans="1:12" x14ac:dyDescent="0.25">
      <c r="A255" s="119"/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</row>
    <row r="256" spans="1:12" x14ac:dyDescent="0.25">
      <c r="A256" s="119"/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</row>
    <row r="257" spans="1:12" x14ac:dyDescent="0.25">
      <c r="A257" s="119"/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</row>
    <row r="258" spans="1:12" x14ac:dyDescent="0.25">
      <c r="A258" s="119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</row>
    <row r="259" spans="1:12" x14ac:dyDescent="0.25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</row>
    <row r="260" spans="1:12" x14ac:dyDescent="0.25">
      <c r="A260" s="119"/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</row>
    <row r="261" spans="1:12" x14ac:dyDescent="0.25">
      <c r="A261" s="119"/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</row>
    <row r="262" spans="1:12" x14ac:dyDescent="0.25">
      <c r="A262" s="119"/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</row>
    <row r="263" spans="1:12" x14ac:dyDescent="0.25">
      <c r="A263" s="119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</row>
    <row r="264" spans="1:12" x14ac:dyDescent="0.25">
      <c r="A264" s="119"/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</row>
    <row r="265" spans="1:12" x14ac:dyDescent="0.25">
      <c r="A265" s="119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</row>
    <row r="266" spans="1:12" x14ac:dyDescent="0.25">
      <c r="A266" s="119"/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</row>
    <row r="267" spans="1:12" x14ac:dyDescent="0.25">
      <c r="A267" s="119"/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</row>
    <row r="268" spans="1:12" x14ac:dyDescent="0.25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</row>
    <row r="269" spans="1:12" x14ac:dyDescent="0.25">
      <c r="A269" s="119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</row>
    <row r="270" spans="1:12" x14ac:dyDescent="0.25">
      <c r="A270" s="119"/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</row>
    <row r="271" spans="1:12" x14ac:dyDescent="0.25">
      <c r="A271" s="119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</row>
    <row r="272" spans="1:12" x14ac:dyDescent="0.25">
      <c r="A272" s="119"/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</row>
    <row r="273" spans="1:12" x14ac:dyDescent="0.25">
      <c r="A273" s="119"/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</row>
    <row r="274" spans="1:12" x14ac:dyDescent="0.25">
      <c r="A274" s="119"/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</row>
    <row r="275" spans="1:12" x14ac:dyDescent="0.25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</row>
    <row r="276" spans="1:12" x14ac:dyDescent="0.25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</row>
    <row r="277" spans="1:12" x14ac:dyDescent="0.25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</row>
    <row r="278" spans="1:12" x14ac:dyDescent="0.25">
      <c r="A278" s="119"/>
      <c r="B278" s="119"/>
      <c r="C278" s="119"/>
      <c r="D278" s="119"/>
      <c r="E278" s="119"/>
      <c r="F278" s="119"/>
      <c r="G278" s="119"/>
      <c r="H278" s="119"/>
      <c r="I278" s="119"/>
      <c r="J278" s="119"/>
      <c r="K278" s="119"/>
      <c r="L278" s="119"/>
    </row>
    <row r="279" spans="1:12" x14ac:dyDescent="0.25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</row>
    <row r="280" spans="1:12" x14ac:dyDescent="0.25">
      <c r="A280" s="119"/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</row>
    <row r="281" spans="1:12" x14ac:dyDescent="0.25">
      <c r="A281" s="119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</row>
    <row r="282" spans="1:12" x14ac:dyDescent="0.25">
      <c r="A282" s="119"/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</row>
    <row r="283" spans="1:12" x14ac:dyDescent="0.25">
      <c r="A283" s="119"/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</row>
    <row r="284" spans="1:12" x14ac:dyDescent="0.25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</row>
    <row r="285" spans="1:12" x14ac:dyDescent="0.25">
      <c r="A285" s="119"/>
      <c r="B285" s="119"/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</row>
    <row r="286" spans="1:12" x14ac:dyDescent="0.25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</row>
    <row r="287" spans="1:12" x14ac:dyDescent="0.25">
      <c r="A287" s="119"/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</row>
    <row r="288" spans="1:12" x14ac:dyDescent="0.25">
      <c r="A288" s="119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</row>
    <row r="289" spans="1:12" x14ac:dyDescent="0.25">
      <c r="A289" s="119"/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</row>
    <row r="290" spans="1:12" x14ac:dyDescent="0.25">
      <c r="A290" s="119"/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</row>
    <row r="291" spans="1:12" x14ac:dyDescent="0.25">
      <c r="A291" s="119"/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</row>
    <row r="292" spans="1:12" x14ac:dyDescent="0.25">
      <c r="A292" s="119"/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</row>
    <row r="293" spans="1:12" x14ac:dyDescent="0.25">
      <c r="A293" s="119"/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</row>
    <row r="294" spans="1:12" x14ac:dyDescent="0.25">
      <c r="A294" s="119"/>
      <c r="B294" s="119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</row>
    <row r="295" spans="1:12" x14ac:dyDescent="0.25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</row>
    <row r="296" spans="1:12" x14ac:dyDescent="0.25">
      <c r="A296" s="786"/>
      <c r="B296" s="119"/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</row>
    <row r="297" spans="1:12" x14ac:dyDescent="0.25">
      <c r="A297" s="786"/>
      <c r="B297" s="119"/>
      <c r="C297" s="119"/>
      <c r="D297" s="119"/>
      <c r="E297" s="119"/>
      <c r="F297" s="119"/>
      <c r="G297" s="119"/>
      <c r="H297" s="119"/>
      <c r="I297" s="119"/>
      <c r="J297" s="119"/>
      <c r="K297" s="119"/>
      <c r="L297" s="119"/>
    </row>
    <row r="298" spans="1:12" x14ac:dyDescent="0.25">
      <c r="A298" s="786"/>
      <c r="B298" s="787" t="str">
        <f>List!$B$253</f>
        <v>Ceník</v>
      </c>
      <c r="C298" s="788"/>
      <c r="D298" s="119"/>
      <c r="E298" s="789" t="s">
        <v>211</v>
      </c>
      <c r="F298" s="790"/>
      <c r="G298" s="791"/>
      <c r="H298" s="119"/>
      <c r="I298" s="119"/>
      <c r="J298" s="792" t="str">
        <f>List!$B$110</f>
        <v>Zpět na úvod</v>
      </c>
      <c r="K298" s="792"/>
      <c r="L298" s="119"/>
    </row>
    <row r="299" spans="1:12" x14ac:dyDescent="0.25">
      <c r="A299" s="786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</row>
    <row r="300" spans="1:12" x14ac:dyDescent="0.25">
      <c r="A300" s="786"/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</row>
    <row r="301" spans="1:12" x14ac:dyDescent="0.25">
      <c r="A301" s="786"/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</row>
    <row r="302" spans="1:12" x14ac:dyDescent="0.25">
      <c r="A302" s="786"/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</row>
    <row r="303" spans="1:12" x14ac:dyDescent="0.25">
      <c r="A303" s="786"/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</row>
    <row r="304" spans="1:12" x14ac:dyDescent="0.25">
      <c r="A304" s="786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</row>
    <row r="305" spans="1:12" x14ac:dyDescent="0.25">
      <c r="A305" s="786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19"/>
    </row>
    <row r="306" spans="1:12" x14ac:dyDescent="0.25">
      <c r="A306" s="786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</row>
    <row r="307" spans="1:12" x14ac:dyDescent="0.25">
      <c r="A307" s="786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</row>
    <row r="397" spans="1:11" x14ac:dyDescent="0.25">
      <c r="A397" s="783"/>
    </row>
    <row r="398" spans="1:11" ht="17.5" x14ac:dyDescent="0.35">
      <c r="A398" s="783"/>
      <c r="B398" s="196" t="str">
        <f>"     "&amp;List!$B$16&amp;": "&amp;List!$B$13</f>
        <v xml:space="preserve">     Nápověda: Úvod</v>
      </c>
      <c r="C398" s="7"/>
      <c r="D398" s="7"/>
      <c r="E398" s="7"/>
      <c r="F398" s="7"/>
      <c r="G398" s="7"/>
      <c r="H398" s="7"/>
      <c r="I398" s="7"/>
      <c r="J398" s="7"/>
      <c r="K398" s="72"/>
    </row>
    <row r="399" spans="1:11" x14ac:dyDescent="0.25">
      <c r="A399" s="783"/>
    </row>
    <row r="400" spans="1:11" x14ac:dyDescent="0.25">
      <c r="A400" s="783"/>
      <c r="B400" s="2" t="str">
        <f>List!B263&amp;":"</f>
        <v>Před prvním spuštěním:</v>
      </c>
    </row>
    <row r="401" spans="1:2" x14ac:dyDescent="0.25">
      <c r="A401" s="783"/>
    </row>
    <row r="402" spans="1:2" x14ac:dyDescent="0.25">
      <c r="A402" s="783"/>
      <c r="B402" s="2" t="str">
        <f>"1. "&amp;List!$B$264&amp;" ' "&amp;List!$B$24&amp;" '"</f>
        <v>1. Přejděte na  ' Základní údaje '</v>
      </c>
    </row>
    <row r="403" spans="1:2" x14ac:dyDescent="0.25">
      <c r="A403" s="783"/>
      <c r="B403" s="2" t="str">
        <f>"2. "&amp;List!$B$265</f>
        <v>2. Vyplňte identifikační údaje a výši slevy od prodejce</v>
      </c>
    </row>
    <row r="404" spans="1:2" x14ac:dyDescent="0.25">
      <c r="A404" s="783"/>
      <c r="B404" s="2" t="str">
        <f>"3. "&amp;List!$B$266</f>
        <v>3. Po vyplnění se vraťte na úvod a subor uložte nebo zavřete s potvrzením změn</v>
      </c>
    </row>
    <row r="405" spans="1:2" x14ac:dyDescent="0.25">
      <c r="A405" s="783"/>
      <c r="B405" s="2" t="str">
        <f>"    "&amp;List!$B$267</f>
        <v xml:space="preserve">    Identifikační údaje se budou zobrazovat v objednávkách</v>
      </c>
    </row>
    <row r="406" spans="1:2" x14ac:dyDescent="0.25">
      <c r="A406" s="783"/>
    </row>
    <row r="407" spans="1:2" x14ac:dyDescent="0.25">
      <c r="A407" s="783"/>
    </row>
    <row r="408" spans="1:2" x14ac:dyDescent="0.25">
      <c r="A408" s="783"/>
      <c r="B408" s="2" t="str">
        <f>List!B269</f>
        <v>Na úvodní obrazovce vyberte, jaké ceny se budou zobrazovat:</v>
      </c>
    </row>
    <row r="409" spans="1:2" x14ac:dyDescent="0.25">
      <c r="A409" s="783"/>
      <c r="B409" s="2" t="str">
        <f>" - "&amp;List!B270</f>
        <v xml:space="preserve"> - Základní (ceníkové) ceny bez slevy</v>
      </c>
    </row>
    <row r="410" spans="1:2" x14ac:dyDescent="0.25">
      <c r="A410" s="783"/>
      <c r="B410" s="2" t="str">
        <f>" - "&amp;List!$B$87&amp;" ("&amp;List!$B$91&amp;")"</f>
        <v xml:space="preserve"> - Nákupní ceny (Ceny se slevou od prodejce)</v>
      </c>
    </row>
    <row r="411" spans="1:2" x14ac:dyDescent="0.25">
      <c r="A411" s="783"/>
      <c r="B411" s="2" t="str">
        <f>" - "&amp;List!$B$90</f>
        <v xml:space="preserve"> - Ceny s volitelnou slevou</v>
      </c>
    </row>
    <row r="412" spans="1:2" ht="13" x14ac:dyDescent="0.3">
      <c r="A412" s="783"/>
      <c r="B412" s="234" t="str">
        <f>"     Tip: "&amp;List!B271</f>
        <v xml:space="preserve">     Tip: Zadáte-li slevu s mínusovým znamínkem, zobrazí se ceny o tuto hodnotu vyšší </v>
      </c>
    </row>
    <row r="413" spans="1:2" x14ac:dyDescent="0.25">
      <c r="A413" s="783"/>
    </row>
    <row r="414" spans="1:2" x14ac:dyDescent="0.25">
      <c r="A414" s="783"/>
      <c r="B414" s="2" t="str">
        <f>List!$B$273</f>
        <v>Vyberte barvu povrchové úpravy</v>
      </c>
    </row>
    <row r="415" spans="1:2" x14ac:dyDescent="0.25">
      <c r="A415" s="783"/>
      <c r="B415" s="2" t="str">
        <f>List!$B$274</f>
        <v>Vyberte způsob montáže čelního kování</v>
      </c>
    </row>
    <row r="416" spans="1:2" x14ac:dyDescent="0.25">
      <c r="A416" s="783"/>
    </row>
    <row r="417" spans="1:1" x14ac:dyDescent="0.25">
      <c r="A417" s="783"/>
    </row>
    <row r="418" spans="1:1" x14ac:dyDescent="0.25">
      <c r="A418" s="783"/>
    </row>
    <row r="419" spans="1:1" x14ac:dyDescent="0.25">
      <c r="A419" s="783"/>
    </row>
    <row r="420" spans="1:1" x14ac:dyDescent="0.25">
      <c r="A420" s="783"/>
    </row>
    <row r="421" spans="1:1" x14ac:dyDescent="0.25">
      <c r="A421" s="783"/>
    </row>
    <row r="422" spans="1:1" x14ac:dyDescent="0.25">
      <c r="A422" s="783"/>
    </row>
    <row r="423" spans="1:1" x14ac:dyDescent="0.25">
      <c r="A423" s="783"/>
    </row>
    <row r="424" spans="1:1" x14ac:dyDescent="0.25">
      <c r="A424" s="783"/>
    </row>
    <row r="425" spans="1:1" x14ac:dyDescent="0.25">
      <c r="A425" s="783"/>
    </row>
    <row r="426" spans="1:1" x14ac:dyDescent="0.25">
      <c r="A426" s="783"/>
    </row>
    <row r="427" spans="1:1" x14ac:dyDescent="0.25">
      <c r="A427" s="783"/>
    </row>
    <row r="428" spans="1:1" x14ac:dyDescent="0.25">
      <c r="A428" s="783"/>
    </row>
    <row r="429" spans="1:1" x14ac:dyDescent="0.25">
      <c r="A429" s="783"/>
    </row>
    <row r="430" spans="1:1" x14ac:dyDescent="0.25">
      <c r="A430" s="783"/>
    </row>
    <row r="431" spans="1:1" x14ac:dyDescent="0.25">
      <c r="A431" s="783"/>
    </row>
    <row r="432" spans="1:1" x14ac:dyDescent="0.25">
      <c r="A432" s="783"/>
    </row>
    <row r="433" spans="1:10" x14ac:dyDescent="0.25">
      <c r="A433" s="783"/>
      <c r="H433" s="784" t="str">
        <f>List!$B$110</f>
        <v>Zpět na úvod</v>
      </c>
      <c r="I433" s="784"/>
      <c r="J433" s="784"/>
    </row>
    <row r="434" spans="1:10" x14ac:dyDescent="0.25">
      <c r="A434" s="783"/>
    </row>
    <row r="435" spans="1:10" x14ac:dyDescent="0.25">
      <c r="A435" s="783"/>
    </row>
    <row r="436" spans="1:10" x14ac:dyDescent="0.25">
      <c r="A436" s="783"/>
    </row>
    <row r="437" spans="1:10" x14ac:dyDescent="0.25">
      <c r="A437" s="783"/>
    </row>
    <row r="438" spans="1:10" x14ac:dyDescent="0.25">
      <c r="A438" s="783"/>
    </row>
  </sheetData>
  <sheetProtection algorithmName="SHA-512" hashValue="7H2cr1RO5LtXfmiTcio+1/6puAZl2oSqSsRQcLPFBlZ7NWFnBaQhzscsq0RHtV4G6HCmGySmtWyyiVhGXNMStQ==" saltValue="GtsEIASCxokMADWO4ddWCA==" spinCount="100000" sheet="1" objects="1" scenarios="1"/>
  <mergeCells count="25">
    <mergeCell ref="K3:K4"/>
    <mergeCell ref="A99:A133"/>
    <mergeCell ref="C102:E102"/>
    <mergeCell ref="C104:E104"/>
    <mergeCell ref="C105:E105"/>
    <mergeCell ref="C106:E106"/>
    <mergeCell ref="C108:E108"/>
    <mergeCell ref="C109:E109"/>
    <mergeCell ref="C110:E110"/>
    <mergeCell ref="C126:D126"/>
    <mergeCell ref="B21:C21"/>
    <mergeCell ref="C112:D112"/>
    <mergeCell ref="C113:D113"/>
    <mergeCell ref="B22:G22"/>
    <mergeCell ref="C115:D115"/>
    <mergeCell ref="C116:D116"/>
    <mergeCell ref="C117:E117"/>
    <mergeCell ref="A397:A438"/>
    <mergeCell ref="H433:J433"/>
    <mergeCell ref="A147:A190"/>
    <mergeCell ref="E152:G152"/>
    <mergeCell ref="A296:A307"/>
    <mergeCell ref="B298:C298"/>
    <mergeCell ref="E298:G298"/>
    <mergeCell ref="J298:K298"/>
  </mergeCells>
  <phoneticPr fontId="51" type="noConversion"/>
  <hyperlinks>
    <hyperlink ref="C126" location="HFww!A1" tooltip=" " display="HFww!A1"/>
    <hyperlink ref="C126:D126" location="Form!A1" tooltip=" " display="Form!A1"/>
    <hyperlink ref="K2" location="Form!A100" tooltip=" " display="Form!A100"/>
    <hyperlink ref="G23" location="Form!A150" tooltip=" " display="Form!A150"/>
    <hyperlink ref="E152" location="HFww!A1" tooltip=" " display="HFww!A1"/>
    <hyperlink ref="E152:G152" location="Form!A1" tooltip=" " display="Form!A1"/>
    <hyperlink ref="B298:C298" location="Price!A1" tooltip=" " display="Price!A1"/>
    <hyperlink ref="J298" location="Form!A1" tooltip=" " display="Form!A1"/>
    <hyperlink ref="E298:G298" location="List!A1" tooltip=" " display="List"/>
    <hyperlink ref="K7" location="Menu!A1" tooltip=" " display="Menu!A1"/>
    <hyperlink ref="K11" location="AL!A1" tooltip=" " display="AL!A1"/>
    <hyperlink ref="K9" location="Acs!A1" tooltip=" " display="Acs!A1"/>
    <hyperlink ref="H433" location="HFww!A1" tooltip=" " display="HFww!A1"/>
    <hyperlink ref="H433:J433" location="Form!A1" tooltip=" " display="Form!A1"/>
    <hyperlink ref="K19" location="Form!A400" tooltip=" " display="Form!A400"/>
    <hyperlink ref="K10" location="SD!A1" tooltip=" " display="SD!A1"/>
  </hyperlinks>
  <pageMargins left="0.7" right="0.7" top="0.78740157499999996" bottom="0.78740157499999996" header="0.3" footer="0.3"/>
  <pageSetup paperSize="9" orientation="portrait" horizontalDpi="4294967293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4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17</xdr:row>
                    <xdr:rowOff>190500</xdr:rowOff>
                  </from>
                  <to>
                    <xdr:col>3</xdr:col>
                    <xdr:colOff>171450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5" name="Drop Down 8">
              <controlPr defaultSize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6" name="Drop Down 9">
              <controlPr defaultSize="0" autoLine="0" autoPict="0">
                <anchor moveWithCells="1">
                  <from>
                    <xdr:col>3</xdr:col>
                    <xdr:colOff>0</xdr:colOff>
                    <xdr:row>19</xdr:row>
                    <xdr:rowOff>184150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5" tint="0.39997558519241921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6.5429687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1.4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List!$B$52&amp;" C, "&amp;List!$B$68&amp;" "&amp;List!$B$66</f>
        <v>Vnitřní výsuv C, vysoký přední zásuvný prvek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/>
      <c r="Q3" s="127"/>
      <c r="R3" s="127"/>
      <c r="S3" s="262"/>
      <c r="T3" s="266"/>
      <c r="U3" s="263"/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473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/>
      <c r="Q4" s="127"/>
      <c r="R4" s="127"/>
      <c r="S4" s="262"/>
      <c r="T4" s="266"/>
      <c r="U4" s="263"/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 t="str">
        <f>Cen!A119</f>
        <v>Bočnice C free, 350mm, Orion šedé</v>
      </c>
      <c r="Q5" s="127" t="str">
        <f>Cen!B119</f>
        <v>780C3502S</v>
      </c>
      <c r="R5" s="127" t="str">
        <f>Cen!C119</f>
        <v>OG-M</v>
      </c>
      <c r="S5" s="262">
        <f>SUM(F21,F27,F33)</f>
        <v>0</v>
      </c>
      <c r="T5" s="266">
        <f>Cen!F119</f>
        <v>30.157519999999998</v>
      </c>
      <c r="U5" s="263">
        <f t="shared" ref="U5:U10" si="0">S5*T5</f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952</v>
      </c>
      <c r="K6" s="122"/>
      <c r="L6" s="144"/>
      <c r="M6" s="119"/>
      <c r="N6" s="2" t="str">
        <f>List!$B$12&amp;":"</f>
        <v>Pokračovat na:</v>
      </c>
      <c r="O6" s="119"/>
      <c r="P6" s="127" t="str">
        <f>Cen!A123</f>
        <v>Bočnice C free, 400mm, Orion šedé</v>
      </c>
      <c r="Q6" s="127" t="str">
        <f>Cen!B123</f>
        <v>780C4002S</v>
      </c>
      <c r="R6" s="127" t="str">
        <f>Cen!C123</f>
        <v>OG-M</v>
      </c>
      <c r="S6" s="262">
        <f>SUM(G21,G27,G33)</f>
        <v>0</v>
      </c>
      <c r="T6" s="266">
        <f>Cen!F123</f>
        <v>30.37988</v>
      </c>
      <c r="U6" s="2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1" t="str">
        <f>List!$B$35&amp;":"</f>
        <v>sklo:</v>
      </c>
      <c r="I7" s="122"/>
      <c r="J7" s="121" t="str">
        <f>Form!$O$8</f>
        <v>čiré</v>
      </c>
      <c r="K7" s="122"/>
      <c r="L7" s="144"/>
      <c r="M7" s="119"/>
      <c r="N7" s="151" t="str">
        <f>" "&amp;List!$B$5</f>
        <v xml:space="preserve"> Výběr doplňků</v>
      </c>
      <c r="O7" s="119"/>
      <c r="P7" s="127" t="str">
        <f>Cen!A127</f>
        <v>Bočnice C free, 450mm, Orion šedé</v>
      </c>
      <c r="Q7" s="127" t="str">
        <f>Cen!B127</f>
        <v>780C4502S</v>
      </c>
      <c r="R7" s="127" t="str">
        <f>Cen!C127</f>
        <v>OG-M</v>
      </c>
      <c r="S7" s="262">
        <f>SUM(H21:H22,H27:H28,H33:H34)</f>
        <v>0</v>
      </c>
      <c r="T7" s="266">
        <f>Cen!F127</f>
        <v>30.602429999999998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$U$80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Cen!A131</f>
        <v>Bočnice C free, 500mm, Orion šedé</v>
      </c>
      <c r="Q8" s="127" t="str">
        <f>Cen!B131</f>
        <v>780C5002S</v>
      </c>
      <c r="R8" s="127" t="str">
        <f>Cen!C131</f>
        <v>OG-M</v>
      </c>
      <c r="S8" s="262">
        <f>SUM(I21:I22,I27:I28,I33:I34)</f>
        <v>0</v>
      </c>
      <c r="T8" s="266">
        <f>Cen!F131</f>
        <v>30.824969999999997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Cen!A135</f>
        <v>Bočnice C free, 550mm, Orion šedé</v>
      </c>
      <c r="Q9" s="127" t="str">
        <f>Cen!B135</f>
        <v>780C5502S</v>
      </c>
      <c r="R9" s="127" t="str">
        <f>Cen!C135</f>
        <v>OG-M</v>
      </c>
      <c r="S9" s="262">
        <f>SUM(J21:J22,J27:J28,J33:J34)</f>
        <v>0</v>
      </c>
      <c r="T9" s="266">
        <f>Cen!F135</f>
        <v>32.604779999999998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Cen!A139</f>
        <v>Bočnice C free, 600mm, Orion šedé</v>
      </c>
      <c r="Q10" s="127" t="str">
        <f>Cen!B139</f>
        <v>780C6002S</v>
      </c>
      <c r="R10" s="127" t="str">
        <f>Cen!C139</f>
        <v>OG-M</v>
      </c>
      <c r="S10" s="262">
        <f>SUM(K21:K22,K27:K28,K33:K34)</f>
        <v>0</v>
      </c>
      <c r="T10" s="266">
        <f>Cen!F139</f>
        <v>35.385860000000001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 t="str">
        <f>List!$B$146&amp;":"</f>
        <v>Přířezy prvků:</v>
      </c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Cen!A143</f>
        <v>Bočnice C free, 650mm, Orion šedé</v>
      </c>
      <c r="Q11" s="127" t="str">
        <f>Cen!B143</f>
        <v>780C6502S</v>
      </c>
      <c r="R11" s="127" t="str">
        <f>Cen!C143</f>
        <v>OG-M</v>
      </c>
      <c r="S11" s="262">
        <f>SUM(L22,L28,L34)</f>
        <v>0</v>
      </c>
      <c r="T11" s="266">
        <f>Cen!F143</f>
        <v>36.432029999999997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 t="str">
        <f>List!$C$150&amp;":   LW - 126"</f>
        <v>Přední díl:   LW - 126</v>
      </c>
      <c r="I12" s="291"/>
      <c r="J12" s="291"/>
      <c r="K12" s="291"/>
      <c r="L12" s="29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119" t="str">
        <f>List!$C$66&amp;":"</f>
        <v>přední zásuvný prvek:</v>
      </c>
      <c r="I13" s="293"/>
      <c r="J13" s="293"/>
      <c r="K13" s="293"/>
      <c r="L13" s="293"/>
      <c r="M13" s="119"/>
      <c r="N13" s="119"/>
      <c r="O13" s="119"/>
      <c r="P13" s="209" t="str">
        <f>Cen!A177</f>
        <v>Korpusové lišty BLUMOTION, 270mm, 40kg</v>
      </c>
      <c r="Q13" s="209" t="str">
        <f>Cen!B177</f>
        <v>750.2701B</v>
      </c>
      <c r="R13" s="209" t="str">
        <f>Cen!C177</f>
        <v>ZN</v>
      </c>
      <c r="S13" s="260">
        <f>D21</f>
        <v>0</v>
      </c>
      <c r="T13" s="261">
        <f>Cen!F177</f>
        <v>21.845690000000001</v>
      </c>
      <c r="U13" s="261">
        <f t="shared" ref="U13:U68" si="1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119" t="str">
        <f>"       "&amp;List!$C$74&amp;"  =  LW - 80"</f>
        <v xml:space="preserve">       šířka  =  LW - 80</v>
      </c>
      <c r="I14" s="290"/>
      <c r="J14" s="290"/>
      <c r="K14" s="290"/>
      <c r="L14" s="290"/>
      <c r="M14" s="119"/>
      <c r="N14" s="119"/>
      <c r="O14" s="119"/>
      <c r="P14" s="209" t="str">
        <f>Cen!A178</f>
        <v>Korpusové lišty BLUMOTION, 300mm, 40kg</v>
      </c>
      <c r="Q14" s="209" t="str">
        <f>Cen!B178</f>
        <v>750.3001B</v>
      </c>
      <c r="R14" s="209" t="str">
        <f>Cen!C178</f>
        <v>ZN</v>
      </c>
      <c r="S14" s="260">
        <f>E21</f>
        <v>0</v>
      </c>
      <c r="T14" s="261">
        <f>Cen!F178</f>
        <v>21.925909999999998</v>
      </c>
      <c r="U14" s="26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119" t="str">
        <f>"       "&amp;List!$C$75&amp;" = 138 mm"</f>
        <v xml:space="preserve">       výška = 138 mm</v>
      </c>
      <c r="I15" s="288"/>
      <c r="J15" s="288"/>
      <c r="K15" s="288"/>
      <c r="L15" s="288"/>
      <c r="M15" s="119"/>
      <c r="N15" s="119"/>
      <c r="O15" s="119"/>
      <c r="P15" s="209" t="str">
        <f>Cen!A179</f>
        <v>Korpusové lišty BLUMOTION, 350mm, 40kg</v>
      </c>
      <c r="Q15" s="209" t="str">
        <f>Cen!B179</f>
        <v>750.3501B</v>
      </c>
      <c r="R15" s="209" t="str">
        <f>Cen!C179</f>
        <v>ZN</v>
      </c>
      <c r="S15" s="260">
        <f>F21</f>
        <v>0</v>
      </c>
      <c r="T15" s="261">
        <f>Cen!F179</f>
        <v>21.845690000000001</v>
      </c>
      <c r="U15" s="26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Cen!A180</f>
        <v>Korpusové lišty BLUMOTION, 400mm, 40kg</v>
      </c>
      <c r="Q16" s="209" t="str">
        <f>Cen!B180</f>
        <v>750.4001B</v>
      </c>
      <c r="R16" s="209" t="str">
        <f>Cen!C180</f>
        <v>ZN</v>
      </c>
      <c r="S16" s="260">
        <f>G21</f>
        <v>0</v>
      </c>
      <c r="T16" s="261">
        <f>Cen!F180</f>
        <v>22.204979999999999</v>
      </c>
      <c r="U16" s="261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ht="15.5" x14ac:dyDescent="0.25">
      <c r="A18" s="119"/>
      <c r="C18" s="119"/>
      <c r="D18" s="119"/>
      <c r="E18" s="119"/>
      <c r="F18" s="119"/>
      <c r="G18" s="478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5" t="s">
        <v>615</v>
      </c>
      <c r="G20" s="305" t="s">
        <v>616</v>
      </c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830</v>
      </c>
      <c r="C21" s="298" t="s">
        <v>505</v>
      </c>
      <c r="D21" s="572"/>
      <c r="E21" s="572"/>
      <c r="F21" s="299"/>
      <c r="G21" s="299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831</v>
      </c>
      <c r="C22" s="311" t="s">
        <v>506</v>
      </c>
      <c r="D22" s="415"/>
      <c r="E22" s="415"/>
      <c r="F22" s="415"/>
      <c r="G22" s="415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/>
      <c r="E26" s="305"/>
      <c r="F26" s="305" t="s">
        <v>615</v>
      </c>
      <c r="G26" s="305" t="s">
        <v>616</v>
      </c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832</v>
      </c>
      <c r="C27" s="298" t="s">
        <v>505</v>
      </c>
      <c r="D27" s="572"/>
      <c r="E27" s="572"/>
      <c r="F27" s="299"/>
      <c r="G27" s="299"/>
      <c r="H27" s="299"/>
      <c r="I27" s="299"/>
      <c r="J27" s="299"/>
      <c r="K27" s="300"/>
      <c r="L27" s="572"/>
      <c r="M27" s="119"/>
      <c r="N27" s="119"/>
      <c r="O27" s="119"/>
      <c r="P27" s="209" t="str">
        <f>Cen!A193</f>
        <v>Korpusové lišty TIP-ON, 270mm, 40kg</v>
      </c>
      <c r="Q27" s="209" t="str">
        <f>Cen!B193</f>
        <v>750.2701T</v>
      </c>
      <c r="R27" s="209" t="str">
        <f>Cen!C193</f>
        <v>ZN</v>
      </c>
      <c r="S27" s="260">
        <f>D27</f>
        <v>0</v>
      </c>
      <c r="T27" s="261">
        <f>Cen!F193</f>
        <v>30.366460000000004</v>
      </c>
      <c r="U27" s="261">
        <f t="shared" si="1"/>
        <v>0</v>
      </c>
    </row>
    <row r="28" spans="1:21" ht="14" x14ac:dyDescent="0.3">
      <c r="A28" s="119"/>
      <c r="B28" s="296" t="s">
        <v>833</v>
      </c>
      <c r="C28" s="310" t="s">
        <v>506</v>
      </c>
      <c r="D28" s="415"/>
      <c r="E28" s="415"/>
      <c r="F28" s="415"/>
      <c r="G28" s="415"/>
      <c r="H28" s="303"/>
      <c r="I28" s="303"/>
      <c r="J28" s="303"/>
      <c r="K28" s="304"/>
      <c r="L28" s="304"/>
      <c r="M28" s="119"/>
      <c r="N28" s="119"/>
      <c r="O28" s="119"/>
      <c r="P28" s="209" t="str">
        <f>Cen!A194</f>
        <v>Korpusové lišty TIP-ON, 300mm, 40kg</v>
      </c>
      <c r="Q28" s="209" t="str">
        <f>Cen!B194</f>
        <v>750.3001T</v>
      </c>
      <c r="R28" s="209" t="str">
        <f>Cen!C194</f>
        <v>ZN</v>
      </c>
      <c r="S28" s="260">
        <f>E27</f>
        <v>0</v>
      </c>
      <c r="T28" s="261">
        <f>Cen!F194</f>
        <v>30.366460000000004</v>
      </c>
      <c r="U28" s="261">
        <f t="shared" si="1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209" t="str">
        <f>Cen!A195</f>
        <v>Korpusové lišty TIP-ON, 350mm, 40kg</v>
      </c>
      <c r="Q29" s="209" t="str">
        <f>Cen!B195</f>
        <v>750.3501T</v>
      </c>
      <c r="R29" s="209" t="str">
        <f>Cen!C195</f>
        <v>ZN</v>
      </c>
      <c r="S29" s="260">
        <f>F27</f>
        <v>0</v>
      </c>
      <c r="T29" s="261">
        <f>Cen!F195</f>
        <v>30.366460000000004</v>
      </c>
      <c r="U29" s="261">
        <f t="shared" si="1"/>
        <v>0</v>
      </c>
    </row>
    <row r="30" spans="1:21" x14ac:dyDescent="0.25">
      <c r="A30" s="119"/>
      <c r="M30" s="119"/>
      <c r="N30" s="119"/>
      <c r="O30" s="119"/>
      <c r="P30" s="209" t="str">
        <f>Cen!A196</f>
        <v>Korpusové lišty TIP-ON, 400mm, 40kg</v>
      </c>
      <c r="Q30" s="209" t="str">
        <f>Cen!B196</f>
        <v>750.4001T</v>
      </c>
      <c r="R30" s="209" t="str">
        <f>Cen!C196</f>
        <v>ZN</v>
      </c>
      <c r="S30" s="260">
        <f>G27</f>
        <v>0</v>
      </c>
      <c r="T30" s="261">
        <f>Cen!F196</f>
        <v>30.645720000000001</v>
      </c>
      <c r="U30" s="261">
        <f t="shared" si="1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Cen!A197</f>
        <v>Korpusové lišty TIP-ON, 450mm, 40kg</v>
      </c>
      <c r="Q31" s="209" t="str">
        <f>Cen!B197</f>
        <v>750.4501T</v>
      </c>
      <c r="R31" s="209" t="str">
        <f>Cen!C197</f>
        <v>ZN</v>
      </c>
      <c r="S31" s="260">
        <f>H27</f>
        <v>0</v>
      </c>
      <c r="T31" s="261">
        <f>Cen!F197</f>
        <v>32.552599999999998</v>
      </c>
      <c r="U31" s="261">
        <f t="shared" si="1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/>
      <c r="E32" s="305"/>
      <c r="F32" s="305" t="s">
        <v>615</v>
      </c>
      <c r="G32" s="305" t="s">
        <v>616</v>
      </c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Cen!A198</f>
        <v>Korpusové lišty TIP-ON, 450mm, 70kg</v>
      </c>
      <c r="Q32" s="209" t="str">
        <f>Cen!B198</f>
        <v>753.4501T</v>
      </c>
      <c r="R32" s="209" t="str">
        <f>Cen!C198</f>
        <v>ZN</v>
      </c>
      <c r="S32" s="260">
        <f>H28</f>
        <v>0</v>
      </c>
      <c r="T32" s="261">
        <f>Cen!F198</f>
        <v>36.006259999999997</v>
      </c>
      <c r="U32" s="261">
        <f t="shared" si="1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572"/>
      <c r="E33" s="572"/>
      <c r="F33" s="299"/>
      <c r="G33" s="299"/>
      <c r="H33" s="299"/>
      <c r="I33" s="299"/>
      <c r="J33" s="299"/>
      <c r="K33" s="300"/>
      <c r="L33" s="572"/>
      <c r="M33" s="119"/>
      <c r="N33" s="119"/>
      <c r="P33" s="209" t="str">
        <f>Cen!A199</f>
        <v>Korpusové lišty TIP-ON, 500mm, 40kg</v>
      </c>
      <c r="Q33" s="209" t="str">
        <f>Cen!B199</f>
        <v>750.5001T</v>
      </c>
      <c r="R33" s="209" t="str">
        <f>Cen!C199</f>
        <v>ZN</v>
      </c>
      <c r="S33" s="260">
        <f>I27</f>
        <v>0</v>
      </c>
      <c r="T33" s="261">
        <f>Cen!F199</f>
        <v>32.846359999999997</v>
      </c>
      <c r="U33" s="261">
        <f t="shared" si="1"/>
        <v>0</v>
      </c>
    </row>
    <row r="34" spans="1:21" ht="14" x14ac:dyDescent="0.3">
      <c r="B34" s="296" t="s">
        <v>1188</v>
      </c>
      <c r="C34" s="310" t="s">
        <v>506</v>
      </c>
      <c r="D34" s="415"/>
      <c r="E34" s="415"/>
      <c r="F34" s="415"/>
      <c r="G34" s="415"/>
      <c r="H34" s="303"/>
      <c r="I34" s="303"/>
      <c r="J34" s="303"/>
      <c r="K34" s="304"/>
      <c r="L34" s="304"/>
      <c r="M34" s="119"/>
      <c r="N34" s="119"/>
      <c r="P34" s="209" t="str">
        <f>Cen!A200</f>
        <v>Korpusové lišty TIP-ON, 500mm, 70kg</v>
      </c>
      <c r="Q34" s="209" t="str">
        <f>Cen!B200</f>
        <v>753.5001T</v>
      </c>
      <c r="R34" s="209" t="str">
        <f>Cen!C200</f>
        <v>ZN</v>
      </c>
      <c r="S34" s="260">
        <f>I28</f>
        <v>0</v>
      </c>
      <c r="T34" s="261">
        <f>Cen!F200</f>
        <v>36.285339999999998</v>
      </c>
      <c r="U34" s="261">
        <f t="shared" si="1"/>
        <v>0</v>
      </c>
    </row>
    <row r="35" spans="1:21" ht="15.5" x14ac:dyDescent="0.3"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P35" s="209" t="str">
        <f>Cen!A201</f>
        <v>Korpusové lišty TIP-ON, 550mm, 40kg</v>
      </c>
      <c r="Q35" s="209" t="str">
        <f>Cen!B201</f>
        <v>750.5501T</v>
      </c>
      <c r="R35" s="209" t="str">
        <f>Cen!C201</f>
        <v>ZN</v>
      </c>
      <c r="S35" s="260">
        <f>J27</f>
        <v>0</v>
      </c>
      <c r="T35" s="261">
        <f>Cen!F201</f>
        <v>32.694760000000002</v>
      </c>
      <c r="U35" s="261">
        <f t="shared" si="1"/>
        <v>0</v>
      </c>
    </row>
    <row r="36" spans="1:21" ht="13" x14ac:dyDescent="0.3"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P36" s="209" t="str">
        <f>Cen!A202</f>
        <v>Korpusové lišty TIP-ON, 550mm, 70kg</v>
      </c>
      <c r="Q36" s="209" t="str">
        <f>Cen!B202</f>
        <v>753.5501T</v>
      </c>
      <c r="R36" s="209" t="str">
        <f>Cen!C202</f>
        <v>ZN</v>
      </c>
      <c r="S36" s="260">
        <f>J28</f>
        <v>0</v>
      </c>
      <c r="T36" s="261">
        <f>Cen!F202</f>
        <v>37.776060000000001</v>
      </c>
      <c r="U36" s="261">
        <f t="shared" si="1"/>
        <v>0</v>
      </c>
    </row>
    <row r="37" spans="1:21" ht="14" x14ac:dyDescent="0.3">
      <c r="B37" s="291"/>
      <c r="C37" s="291"/>
      <c r="D37" s="308"/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122" t="str">
        <f>Cen!A203</f>
        <v>Korpusové lišty TIP-ON, 600mm, 40kg</v>
      </c>
      <c r="Q37" s="122" t="str">
        <f>Cen!B203</f>
        <v>750.6001T</v>
      </c>
      <c r="R37" s="122" t="str">
        <f>Cen!C203</f>
        <v>ZN</v>
      </c>
      <c r="S37" s="123">
        <f>K27</f>
        <v>0</v>
      </c>
      <c r="T37" s="118">
        <f>Cen!F203</f>
        <v>35.700530000000001</v>
      </c>
      <c r="U37" s="261">
        <f t="shared" si="1"/>
        <v>0</v>
      </c>
    </row>
    <row r="38" spans="1:21" ht="14.5" thickBot="1" x14ac:dyDescent="0.35">
      <c r="B38" s="179"/>
      <c r="C38" s="291"/>
      <c r="D38" s="572"/>
      <c r="E38" s="299"/>
      <c r="F38" s="299"/>
      <c r="G38" s="300"/>
      <c r="H38" s="662" t="str">
        <f>IF(SUM(F33:K33,H34:L34)=SUM(E38:G38)," ",P82)</f>
        <v xml:space="preserve"> </v>
      </c>
      <c r="I38" s="291"/>
      <c r="M38" s="119"/>
      <c r="P38" s="122" t="str">
        <f>Cen!A204</f>
        <v>Korpusové lišty TIP-ON, 600mm, 70kg</v>
      </c>
      <c r="Q38" s="122" t="str">
        <f>Cen!B204</f>
        <v>753.6001T</v>
      </c>
      <c r="R38" s="122" t="str">
        <f>Cen!C204</f>
        <v>ZN</v>
      </c>
      <c r="S38" s="123">
        <f>K28</f>
        <v>0</v>
      </c>
      <c r="T38" s="118">
        <f>Cen!F204</f>
        <v>40.781829999999999</v>
      </c>
      <c r="U38" s="118">
        <f t="shared" si="1"/>
        <v>0</v>
      </c>
    </row>
    <row r="39" spans="1:21" x14ac:dyDescent="0.25">
      <c r="C39" s="661"/>
      <c r="D39" s="660"/>
      <c r="E39" s="291"/>
      <c r="F39" s="291"/>
      <c r="G39" s="291"/>
      <c r="H39" s="291"/>
      <c r="I39" s="291"/>
      <c r="M39" s="119"/>
      <c r="P39" s="122" t="str">
        <f>Cen!A205</f>
        <v>Korpusové lišty TIP-ON, 650mm, 70kg</v>
      </c>
      <c r="Q39" s="122" t="str">
        <f>Cen!B205</f>
        <v>753.6501T</v>
      </c>
      <c r="R39" s="122" t="str">
        <f>Cen!C205</f>
        <v>ZN</v>
      </c>
      <c r="S39" s="123">
        <f>L28</f>
        <v>0</v>
      </c>
      <c r="T39" s="118">
        <f>Cen!F205</f>
        <v>42.272550000000003</v>
      </c>
      <c r="U39" s="118">
        <f>S39*T39</f>
        <v>0</v>
      </c>
    </row>
    <row r="40" spans="1:21" x14ac:dyDescent="0.25">
      <c r="B40" s="661"/>
      <c r="C40" s="661"/>
      <c r="D40" s="660"/>
      <c r="P40" s="144"/>
      <c r="Q40" s="144"/>
      <c r="R40" s="144"/>
      <c r="S40" s="150"/>
      <c r="T40" s="154"/>
      <c r="U40" s="154"/>
    </row>
    <row r="41" spans="1:21" ht="13" x14ac:dyDescent="0.3">
      <c r="B41" s="119"/>
      <c r="C41" s="287"/>
      <c r="H41" s="291"/>
      <c r="I41" s="291"/>
      <c r="J41" s="291"/>
      <c r="K41" s="291"/>
      <c r="L41" s="291"/>
      <c r="P41" s="122" t="str">
        <f>Cen!A209</f>
        <v>Korpusové lišty TIP-ON BLUMOTION, 270mm, 40kg</v>
      </c>
      <c r="Q41" s="122" t="str">
        <f>Cen!B209</f>
        <v>750.2700M</v>
      </c>
      <c r="R41" s="122" t="str">
        <f>Cen!C209</f>
        <v>ZN</v>
      </c>
      <c r="S41" s="123">
        <f>D33</f>
        <v>0</v>
      </c>
      <c r="T41" s="118">
        <f>Cen!F209</f>
        <v>21.925909999999998</v>
      </c>
      <c r="U41" s="118">
        <f>S41*T41</f>
        <v>0</v>
      </c>
    </row>
    <row r="42" spans="1:21" ht="13" x14ac:dyDescent="0.3">
      <c r="B42" s="287"/>
      <c r="C42" s="287"/>
      <c r="D42" s="119"/>
      <c r="E42" s="119"/>
      <c r="F42" s="119"/>
      <c r="G42" s="119"/>
      <c r="H42" s="144"/>
      <c r="I42" s="144"/>
      <c r="J42" s="119"/>
      <c r="K42" s="119"/>
      <c r="L42" s="119"/>
      <c r="P42" s="122" t="str">
        <f>Cen!A210</f>
        <v>Korpusové lišty TIP-ON BLUMOTION, 300mm, 40kg</v>
      </c>
      <c r="Q42" s="122" t="str">
        <f>Cen!B210</f>
        <v>750.3001M</v>
      </c>
      <c r="R42" s="122" t="str">
        <f>Cen!C210</f>
        <v>ZN</v>
      </c>
      <c r="S42" s="123">
        <f>E33</f>
        <v>0</v>
      </c>
      <c r="T42" s="118">
        <f>Cen!F210</f>
        <v>21.925909999999998</v>
      </c>
      <c r="U42" s="118">
        <f t="shared" ref="U42:U58" si="2">S42*T42</f>
        <v>0</v>
      </c>
    </row>
    <row r="43" spans="1:21" ht="14" x14ac:dyDescent="0.3">
      <c r="B43" s="477" t="str">
        <f>IF(AND(SUM(S3:S10)&gt;0,SUM(S65:S68)=0),"        *"&amp;List!$B$166&amp;" "&amp;List!$B$167," ")</f>
        <v xml:space="preserve"> </v>
      </c>
      <c r="C43" s="287"/>
      <c r="H43" s="289"/>
      <c r="I43" s="289"/>
      <c r="J43" s="289"/>
      <c r="K43" s="289"/>
      <c r="L43" s="289"/>
      <c r="P43" s="122" t="str">
        <f>Cen!A211</f>
        <v>Korpusové lišty TIP-ON BLUMOTION, 350mm, 40kg</v>
      </c>
      <c r="Q43" s="122" t="str">
        <f>Cen!B211</f>
        <v>750.3501M</v>
      </c>
      <c r="R43" s="122" t="str">
        <f>Cen!C211</f>
        <v>ZN</v>
      </c>
      <c r="S43" s="123">
        <f>F33</f>
        <v>0</v>
      </c>
      <c r="T43" s="118">
        <f>Cen!F211</f>
        <v>21.925909999999998</v>
      </c>
      <c r="U43" s="118">
        <f t="shared" si="2"/>
        <v>0</v>
      </c>
    </row>
    <row r="44" spans="1:21" ht="13" x14ac:dyDescent="0.3">
      <c r="B44" s="287"/>
      <c r="C44" s="287"/>
      <c r="H44" s="290"/>
      <c r="I44" s="290"/>
      <c r="J44" s="290"/>
      <c r="K44" s="290"/>
      <c r="L44" s="290"/>
      <c r="P44" s="122" t="str">
        <f>Cen!A212</f>
        <v>Korpusové lišty TIP-ON BLUMOTION, 400mm, 40kg</v>
      </c>
      <c r="Q44" s="122" t="str">
        <f>Cen!B212</f>
        <v>750.4001M</v>
      </c>
      <c r="R44" s="122" t="str">
        <f>Cen!C212</f>
        <v>ZN</v>
      </c>
      <c r="S44" s="123">
        <f>G33</f>
        <v>0</v>
      </c>
      <c r="T44" s="118">
        <f>Cen!F212</f>
        <v>22.204979999999999</v>
      </c>
      <c r="U44" s="118">
        <f t="shared" si="2"/>
        <v>0</v>
      </c>
    </row>
    <row r="45" spans="1:21" ht="15.5" x14ac:dyDescent="0.35">
      <c r="B45" s="321" t="str">
        <f>List!$B$65&amp;" - "&amp;List!$B$35</f>
        <v>Přední zásuvné prvky - sklo</v>
      </c>
      <c r="C45" s="287"/>
      <c r="H45" s="288"/>
      <c r="I45" s="288"/>
      <c r="J45" s="288"/>
      <c r="K45" s="288"/>
      <c r="L45" s="288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2"/>
        <v>0</v>
      </c>
    </row>
    <row r="46" spans="1:21" ht="15.5" x14ac:dyDescent="0.3">
      <c r="B46" s="312"/>
      <c r="C46" s="7"/>
      <c r="D46" s="320" t="str">
        <f>List!$B$112&amp;" KB: "</f>
        <v xml:space="preserve">Šířka korpusu KB: </v>
      </c>
      <c r="E46" s="308" t="s">
        <v>122</v>
      </c>
      <c r="F46" s="314" t="s">
        <v>123</v>
      </c>
      <c r="G46" s="305" t="s">
        <v>817</v>
      </c>
      <c r="H46" s="307" t="s">
        <v>818</v>
      </c>
      <c r="I46" s="291"/>
      <c r="J46" s="291"/>
      <c r="K46" s="291"/>
      <c r="L46" s="291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2"/>
        <v>0</v>
      </c>
    </row>
    <row r="47" spans="1:21" ht="14" x14ac:dyDescent="0.3">
      <c r="B47" s="319"/>
      <c r="D47" s="322" t="str">
        <f>List!$B$100&amp;": "</f>
        <v xml:space="preserve">Celkový počet ks: </v>
      </c>
      <c r="E47" s="317"/>
      <c r="F47" s="317"/>
      <c r="G47" s="317"/>
      <c r="H47" s="318"/>
      <c r="I47" s="289"/>
      <c r="J47" s="289"/>
      <c r="K47" s="289"/>
      <c r="L47" s="28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2"/>
        <v>0</v>
      </c>
    </row>
    <row r="48" spans="1:21" ht="14" x14ac:dyDescent="0.3">
      <c r="B48" s="319"/>
      <c r="D48" s="322"/>
      <c r="E48" s="295"/>
      <c r="F48" s="295"/>
      <c r="G48" s="295"/>
      <c r="H48" s="295"/>
      <c r="I48" s="289"/>
      <c r="J48" s="289"/>
      <c r="K48" s="289"/>
      <c r="L48" s="28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2"/>
        <v>0</v>
      </c>
    </row>
    <row r="49" spans="2:21" ht="14" x14ac:dyDescent="0.3">
      <c r="B49" s="315"/>
      <c r="C49" s="316"/>
      <c r="D49" s="295"/>
      <c r="E49" s="295"/>
      <c r="F49" s="295"/>
      <c r="G49" s="295"/>
      <c r="I49" s="290"/>
      <c r="J49" s="290"/>
      <c r="K49" s="290"/>
      <c r="L49" s="290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2"/>
        <v>0</v>
      </c>
    </row>
    <row r="50" spans="2:21" ht="13" x14ac:dyDescent="0.3">
      <c r="B50" s="119" t="str">
        <f>"        "&amp;List!$B$168</f>
        <v xml:space="preserve">        Zadejte celkový počet předních zásuvných prvků pro příslušnou šířku korpusu</v>
      </c>
      <c r="C50" s="287"/>
      <c r="H50" s="288"/>
      <c r="I50" s="288"/>
      <c r="J50" s="288"/>
      <c r="K50" s="288"/>
      <c r="L50" s="288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2"/>
        <v>0</v>
      </c>
    </row>
    <row r="51" spans="2:21" ht="13" x14ac:dyDescent="0.3">
      <c r="B51" s="119" t="str">
        <f>"        "&amp;List!$B$172</f>
        <v xml:space="preserve">        Máte-li zásuvné prvky vlastní, počty nezadávejte</v>
      </c>
      <c r="C51" s="287"/>
      <c r="H51" s="291"/>
      <c r="I51" s="291"/>
      <c r="J51" s="291"/>
      <c r="K51" s="291"/>
      <c r="L51" s="291"/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2"/>
        <v>0</v>
      </c>
    </row>
    <row r="52" spans="2:21" ht="13" x14ac:dyDescent="0.3">
      <c r="B52" s="119"/>
      <c r="C52" s="287"/>
      <c r="H52" s="291"/>
      <c r="I52" s="291"/>
      <c r="J52" s="291"/>
      <c r="K52" s="291"/>
      <c r="L52" s="291"/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2"/>
        <v>0</v>
      </c>
    </row>
    <row r="53" spans="2:21" ht="13" x14ac:dyDescent="0.3">
      <c r="B53" s="119" t="str">
        <f>"        "&amp;List!$B$158</f>
        <v xml:space="preserve">        Pro každý výsuv je započítán jeden přední díl</v>
      </c>
      <c r="C53" s="287"/>
      <c r="H53" s="291"/>
      <c r="I53" s="291"/>
      <c r="J53" s="291"/>
      <c r="K53" s="291"/>
      <c r="L53" s="291"/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2"/>
        <v>0</v>
      </c>
    </row>
    <row r="54" spans="2:21" ht="13" x14ac:dyDescent="0.3">
      <c r="B54" s="119" t="str">
        <f>"        "&amp;List!$B$160</f>
        <v xml:space="preserve">        Potřebný počet předních dílů upravte v objednávce</v>
      </c>
      <c r="C54" s="287"/>
      <c r="H54" s="291"/>
      <c r="I54" s="291"/>
      <c r="J54" s="291"/>
      <c r="K54" s="291"/>
      <c r="L54" s="291"/>
      <c r="P54" s="122"/>
      <c r="Q54" s="122"/>
      <c r="R54" s="122"/>
      <c r="S54" s="123"/>
      <c r="T54" s="118"/>
      <c r="U54" s="118"/>
    </row>
    <row r="55" spans="2:21" ht="13" x14ac:dyDescent="0.3">
      <c r="C55" s="287"/>
      <c r="H55" s="291"/>
      <c r="I55" s="291"/>
      <c r="J55" s="291"/>
      <c r="K55" s="291"/>
      <c r="L55" s="291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>
        <f>D38</f>
        <v>0</v>
      </c>
      <c r="T55" s="118">
        <f>Cen!F223</f>
        <v>15.883479999999999</v>
      </c>
      <c r="U55" s="118">
        <f t="shared" si="2"/>
        <v>0</v>
      </c>
    </row>
    <row r="56" spans="2:21" ht="13" x14ac:dyDescent="0.3">
      <c r="B56" s="119" t="str">
        <f>"        "&amp;List!$B$169</f>
        <v xml:space="preserve">        Boční zásuvné prvky se načtou automaticky</v>
      </c>
      <c r="C56" s="287"/>
      <c r="H56" s="291"/>
      <c r="I56" s="291"/>
      <c r="J56" s="291"/>
      <c r="K56" s="291"/>
      <c r="L56" s="291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 t="shared" si="2"/>
        <v>0</v>
      </c>
    </row>
    <row r="57" spans="2:21" ht="13" x14ac:dyDescent="0.3">
      <c r="B57" s="119" t="str">
        <f>"        "&amp;List!$B$173</f>
        <v xml:space="preserve">        Máte-li zásuvné prvky vlastní, upravte počty v objednávce</v>
      </c>
      <c r="C57" s="287"/>
      <c r="H57" s="291"/>
      <c r="I57" s="291"/>
      <c r="J57" s="291"/>
      <c r="K57" s="291"/>
      <c r="L57" s="291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 t="shared" si="2"/>
        <v>0</v>
      </c>
    </row>
    <row r="58" spans="2:21" ht="13" x14ac:dyDescent="0.3">
      <c r="B58" s="119"/>
      <c r="C58" s="287"/>
      <c r="H58" s="291"/>
      <c r="I58" s="291"/>
      <c r="J58" s="291"/>
      <c r="K58" s="291"/>
      <c r="L58" s="291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 t="shared" si="2"/>
        <v>0</v>
      </c>
    </row>
    <row r="59" spans="2:21" ht="13" x14ac:dyDescent="0.3">
      <c r="B59" s="119"/>
      <c r="C59" s="287"/>
      <c r="H59" s="291"/>
      <c r="I59" s="291"/>
      <c r="J59" s="291"/>
      <c r="K59" s="291"/>
      <c r="L59" s="291"/>
      <c r="P59" s="144"/>
      <c r="Q59" s="144"/>
      <c r="R59" s="144"/>
      <c r="S59" s="150"/>
      <c r="T59" s="154"/>
      <c r="U59" s="154"/>
    </row>
    <row r="60" spans="2:21" ht="13" x14ac:dyDescent="0.3">
      <c r="C60" s="287"/>
      <c r="H60" s="289"/>
      <c r="I60" s="289"/>
      <c r="J60" s="289"/>
      <c r="K60" s="289"/>
      <c r="L60" s="289"/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SUM(S3:S11)</f>
        <v>0</v>
      </c>
      <c r="T60" s="118">
        <f>Cen!$F259</f>
        <v>1.59894</v>
      </c>
      <c r="U60" s="118">
        <f t="shared" si="1"/>
        <v>0</v>
      </c>
    </row>
    <row r="61" spans="2:21" x14ac:dyDescent="0.25">
      <c r="H61" s="290"/>
      <c r="I61" s="290"/>
      <c r="J61" s="290"/>
      <c r="K61" s="290"/>
      <c r="L61" s="290"/>
      <c r="P61" s="122" t="str">
        <f>Cen!A293</f>
        <v>Sada kování vnitř.výs. C, se zás.prvkem, Orion šedá</v>
      </c>
      <c r="Q61" s="122" t="str">
        <f>Cen!B293</f>
        <v>ZI7.2CS0</v>
      </c>
      <c r="R61" s="122" t="str">
        <f>Cen!C293</f>
        <v>OG-M</v>
      </c>
      <c r="S61" s="123">
        <f>SUM(S3:S11)</f>
        <v>0</v>
      </c>
      <c r="T61" s="118">
        <f>Cen!F293</f>
        <v>19.402619999999999</v>
      </c>
      <c r="U61" s="118">
        <f t="shared" si="1"/>
        <v>0</v>
      </c>
    </row>
    <row r="62" spans="2:21" ht="13" x14ac:dyDescent="0.3">
      <c r="H62" s="288"/>
      <c r="I62" s="288"/>
      <c r="J62" s="288"/>
      <c r="K62" s="288"/>
      <c r="L62" s="288"/>
      <c r="P62" s="122"/>
      <c r="Q62" s="122"/>
      <c r="R62" s="122"/>
      <c r="S62" s="123"/>
      <c r="T62" s="118"/>
      <c r="U62" s="118"/>
    </row>
    <row r="63" spans="2:21" x14ac:dyDescent="0.25">
      <c r="P63" s="122" t="str">
        <f>Cen!A306</f>
        <v>Přední díl vnitřní zásuvky, s drážkou, Orion šedý</v>
      </c>
      <c r="Q63" s="122" t="str">
        <f>Cen!B306</f>
        <v>ZV7.1043MN1</v>
      </c>
      <c r="R63" s="122" t="str">
        <f>Cen!C306</f>
        <v>OG-M</v>
      </c>
      <c r="S63" s="336">
        <f>SUM($S$3:$S$11)</f>
        <v>0</v>
      </c>
      <c r="T63" s="118">
        <f>Cen!F306</f>
        <v>14.808439999999997</v>
      </c>
      <c r="U63" s="118">
        <f t="shared" si="1"/>
        <v>0</v>
      </c>
    </row>
    <row r="64" spans="2:21" x14ac:dyDescent="0.25">
      <c r="P64" s="122"/>
      <c r="Q64" s="122"/>
      <c r="R64" s="122"/>
      <c r="S64" s="123"/>
      <c r="T64" s="118"/>
      <c r="U64" s="118"/>
    </row>
    <row r="65" spans="16:21" x14ac:dyDescent="0.25">
      <c r="P65" s="126" t="str">
        <f>Cen!A322</f>
        <v>Přední zásuvný prvek vysoký, sklo, KB 450mm</v>
      </c>
      <c r="Q65" s="126" t="str">
        <f>Cen!B322</f>
        <v>ZE7W332G</v>
      </c>
      <c r="R65" s="126" t="str">
        <f>Cen!C322</f>
        <v>KLA</v>
      </c>
      <c r="S65" s="334">
        <f>IF(SUM($S$3:$S$11)&gt;0,E47,0)</f>
        <v>0</v>
      </c>
      <c r="T65" s="335">
        <f>Cen!F322</f>
        <v>12.912559999999999</v>
      </c>
      <c r="U65" s="335">
        <f t="shared" si="1"/>
        <v>0</v>
      </c>
    </row>
    <row r="66" spans="16:21" x14ac:dyDescent="0.25">
      <c r="P66" s="127" t="str">
        <f>Cen!A323</f>
        <v>Přední zásuvný prvek vysoký, sklo, KB 600mm</v>
      </c>
      <c r="Q66" s="127" t="str">
        <f>Cen!B323</f>
        <v>ZE7W482G</v>
      </c>
      <c r="R66" s="127" t="str">
        <f>Cen!C323</f>
        <v>KLA</v>
      </c>
      <c r="S66" s="334">
        <f>IF(SUM($S$3:$S$11)&gt;0,F47,0)</f>
        <v>0</v>
      </c>
      <c r="T66" s="263">
        <f>Cen!F323</f>
        <v>14.673980000000002</v>
      </c>
      <c r="U66" s="263">
        <f t="shared" si="1"/>
        <v>0</v>
      </c>
    </row>
    <row r="67" spans="16:21" x14ac:dyDescent="0.25">
      <c r="P67" s="127" t="str">
        <f>Cen!A324</f>
        <v>Přední zásuvný prvek vysoký, sklo, KB 900mm</v>
      </c>
      <c r="Q67" s="127" t="str">
        <f>Cen!B324</f>
        <v>ZE7W782G</v>
      </c>
      <c r="R67" s="127" t="str">
        <f>Cen!C324</f>
        <v>KLA</v>
      </c>
      <c r="S67" s="334">
        <f>IF(SUM($S$3:$S$11)&gt;0,G47,0)</f>
        <v>0</v>
      </c>
      <c r="T67" s="263">
        <f>Cen!F324</f>
        <v>24.45665</v>
      </c>
      <c r="U67" s="263">
        <f t="shared" si="1"/>
        <v>0</v>
      </c>
    </row>
    <row r="68" spans="16:21" x14ac:dyDescent="0.25">
      <c r="P68" s="206" t="str">
        <f>Cen!A325</f>
        <v>Přední zásuvný prvek vysoký, sklo, KB 1200mm</v>
      </c>
      <c r="Q68" s="206" t="str">
        <f>Cen!B325</f>
        <v>ZE7W1082G</v>
      </c>
      <c r="R68" s="206" t="str">
        <f>Cen!C325</f>
        <v>KLA</v>
      </c>
      <c r="S68" s="264">
        <f>IF(SUM($S$3:$S$11)&gt;0,H47,0)</f>
        <v>0</v>
      </c>
      <c r="T68" s="265">
        <f>Cen!F325</f>
        <v>31.500150000000005</v>
      </c>
      <c r="U68" s="265">
        <f t="shared" si="1"/>
        <v>0</v>
      </c>
    </row>
    <row r="69" spans="16:21" x14ac:dyDescent="0.25">
      <c r="P69" s="119"/>
      <c r="Q69" s="119"/>
    </row>
    <row r="70" spans="16:21" x14ac:dyDescent="0.25">
      <c r="P70" s="209" t="str">
        <f>Cen!A168</f>
        <v>Boční zásuvné prvky, sklo, pro 350 mm</v>
      </c>
      <c r="Q70" s="209" t="str">
        <f>Cen!B168</f>
        <v>ZE7S238G</v>
      </c>
      <c r="R70" s="209" t="str">
        <f>Cen!C168</f>
        <v>KLA</v>
      </c>
      <c r="S70" s="260">
        <f t="shared" ref="S70:S76" si="3">S5</f>
        <v>0</v>
      </c>
      <c r="T70" s="607">
        <f>Cen!F168</f>
        <v>20.738469999999996</v>
      </c>
      <c r="U70" s="261">
        <f>S70*T70</f>
        <v>0</v>
      </c>
    </row>
    <row r="71" spans="16:21" x14ac:dyDescent="0.25">
      <c r="P71" s="127" t="str">
        <f>Cen!A169</f>
        <v>Boční zásuvné prvky, sklo, pro 400 mm</v>
      </c>
      <c r="Q71" s="127" t="str">
        <f>Cen!B169</f>
        <v>ZE7S288G</v>
      </c>
      <c r="R71" s="127" t="str">
        <f>Cen!C169</f>
        <v>KLA</v>
      </c>
      <c r="S71" s="262">
        <f t="shared" si="3"/>
        <v>0</v>
      </c>
      <c r="T71" s="266">
        <f>Cen!F169</f>
        <v>21.912770000000002</v>
      </c>
      <c r="U71" s="263">
        <f t="shared" ref="U71:U76" si="4">S71*T71</f>
        <v>0</v>
      </c>
    </row>
    <row r="72" spans="16:21" x14ac:dyDescent="0.25">
      <c r="P72" s="127" t="str">
        <f>Cen!A170</f>
        <v>Boční zásuvné prvky, sklo, pro 450 mm</v>
      </c>
      <c r="Q72" s="127" t="str">
        <f>Cen!B170</f>
        <v>ZE7S338G</v>
      </c>
      <c r="R72" s="127" t="str">
        <f>Cen!C170</f>
        <v>KLA</v>
      </c>
      <c r="S72" s="262">
        <f t="shared" si="3"/>
        <v>0</v>
      </c>
      <c r="T72" s="266">
        <f>Cen!F170</f>
        <v>23.087060000000001</v>
      </c>
      <c r="U72" s="263">
        <f t="shared" si="4"/>
        <v>0</v>
      </c>
    </row>
    <row r="73" spans="16:21" x14ac:dyDescent="0.25">
      <c r="P73" s="127" t="str">
        <f>Cen!A171</f>
        <v>Boční zásuvné prvky, sklo, pro 500 mm</v>
      </c>
      <c r="Q73" s="127" t="str">
        <f>Cen!B171</f>
        <v>ZE7S388G</v>
      </c>
      <c r="R73" s="127" t="str">
        <f>Cen!C171</f>
        <v>KLA</v>
      </c>
      <c r="S73" s="262">
        <f t="shared" si="3"/>
        <v>0</v>
      </c>
      <c r="T73" s="266">
        <f>Cen!F171</f>
        <v>24.26136</v>
      </c>
      <c r="U73" s="263">
        <f t="shared" si="4"/>
        <v>0</v>
      </c>
    </row>
    <row r="74" spans="16:21" x14ac:dyDescent="0.25">
      <c r="P74" s="127" t="str">
        <f>Cen!A172</f>
        <v>Boční zásuvné prvky, sklo, pro 550 mm</v>
      </c>
      <c r="Q74" s="127" t="str">
        <f>Cen!B172</f>
        <v>ZE7S438G</v>
      </c>
      <c r="R74" s="127" t="str">
        <f>Cen!C172</f>
        <v>KLA</v>
      </c>
      <c r="S74" s="262">
        <f t="shared" si="3"/>
        <v>0</v>
      </c>
      <c r="T74" s="266">
        <f>Cen!F172</f>
        <v>26.609179999999995</v>
      </c>
      <c r="U74" s="263">
        <f t="shared" si="4"/>
        <v>0</v>
      </c>
    </row>
    <row r="75" spans="16:21" x14ac:dyDescent="0.25">
      <c r="P75" s="127" t="str">
        <f>Cen!A173</f>
        <v>Boční zásuvné prvky, sklo, pro 600 mm</v>
      </c>
      <c r="Q75" s="127" t="str">
        <f>Cen!B173</f>
        <v>ZE7S488G</v>
      </c>
      <c r="R75" s="127" t="str">
        <f>Cen!C173</f>
        <v>KLA</v>
      </c>
      <c r="S75" s="262">
        <f t="shared" si="3"/>
        <v>0</v>
      </c>
      <c r="T75" s="266">
        <f>Cen!F173</f>
        <v>28.957020000000004</v>
      </c>
      <c r="U75" s="263">
        <f t="shared" si="4"/>
        <v>0</v>
      </c>
    </row>
    <row r="76" spans="16:21" ht="13" thickBot="1" x14ac:dyDescent="0.3">
      <c r="P76" s="608" t="str">
        <f>Cen!A174</f>
        <v>Boční zásuvné prvky, sklo, pro 650 mm</v>
      </c>
      <c r="Q76" s="608" t="str">
        <f>Cen!B174</f>
        <v>ZE7S538G</v>
      </c>
      <c r="R76" s="608" t="str">
        <f>Cen!C174</f>
        <v>KLA</v>
      </c>
      <c r="S76" s="609">
        <f t="shared" si="3"/>
        <v>0</v>
      </c>
      <c r="T76" s="610">
        <f>Cen!F174</f>
        <v>31.304870000000001</v>
      </c>
      <c r="U76" s="611">
        <f t="shared" si="4"/>
        <v>0</v>
      </c>
    </row>
    <row r="77" spans="16:21" x14ac:dyDescent="0.25">
      <c r="P77" s="119"/>
      <c r="Q77" s="119"/>
    </row>
    <row r="78" spans="16:21" x14ac:dyDescent="0.25">
      <c r="P78" s="119"/>
      <c r="Q78" s="119"/>
    </row>
    <row r="79" spans="16:21" x14ac:dyDescent="0.25">
      <c r="P79" s="119"/>
      <c r="Q79" s="119"/>
    </row>
    <row r="80" spans="16:21" x14ac:dyDescent="0.25">
      <c r="P80" s="119" t="str">
        <f>List!$B$305&amp;"!"</f>
        <v>S1 pouze pro jmenovitou délku 270 a 300 mm!</v>
      </c>
      <c r="Q80" s="119"/>
      <c r="S80" s="73" t="str">
        <f>List!$B$94</f>
        <v>cena kování</v>
      </c>
      <c r="U80" s="353">
        <f>SUM(U3:U76)</f>
        <v>0</v>
      </c>
    </row>
    <row r="81" spans="16:17" x14ac:dyDescent="0.25">
      <c r="P81" s="119" t="str">
        <f>List!$B$306&amp;"!"</f>
        <v>Pro výsuvy délky 270 a 300 mm vyberte jednotky S1!</v>
      </c>
      <c r="Q81" s="119"/>
    </row>
    <row r="82" spans="16:17" x14ac:dyDescent="0.25">
      <c r="P82" s="119" t="str">
        <f>List!$B$307&amp;"!"</f>
        <v>Počet jednotek L neodpovídá počtu korpusových lišt!</v>
      </c>
      <c r="Q82" s="119"/>
    </row>
    <row r="83" spans="16:17" x14ac:dyDescent="0.25">
      <c r="P83" s="119" t="str">
        <f>List!$B$308&amp;"!"</f>
        <v>Počet jednotek S1 neodpovídá počtu korpusových lišt!</v>
      </c>
      <c r="Q83" s="119"/>
    </row>
    <row r="84" spans="16:17" x14ac:dyDescent="0.25">
      <c r="Q84" s="119"/>
    </row>
    <row r="85" spans="16:17" x14ac:dyDescent="0.25">
      <c r="P85" s="119"/>
      <c r="Q85" s="119"/>
    </row>
    <row r="86" spans="16:17" x14ac:dyDescent="0.25">
      <c r="P86" s="119"/>
      <c r="Q86" s="119"/>
    </row>
    <row r="87" spans="16:17" x14ac:dyDescent="0.25">
      <c r="P87" s="119"/>
      <c r="Q87" s="119"/>
    </row>
    <row r="88" spans="16:17" x14ac:dyDescent="0.25">
      <c r="P88" s="119"/>
      <c r="Q88" s="119"/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22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jJU8V2ecunyLsY9vrpQvkwnPR6fq4nS7CTEhknKgIe0FfmYdtFN5+bTmLtQ4L1C8jx6raq0tX+eyM/nO2ZI/5w==" saltValue="rJqta+b13skdUJPcPhacVQ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C41VF'!A100" tooltip=" " display="'7C41VF'!A100"/>
    <hyperlink ref="N111" location="'7C41VF'!A1" tooltip=" " display="'7C41VF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tabColor indexed="22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10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.7265625" style="2" hidden="1" customWidth="1"/>
    <col min="21" max="21" width="11.179687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List!$B$52&amp;" C, "&amp;List!$B$69&amp;" "&amp;List!$B$66</f>
        <v>Vnitřní výsuv C, nízký přední zásuvný prvek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 t="str">
        <f>Cen!A75</f>
        <v>Bočnice C pure, 270mm, Orion šedé</v>
      </c>
      <c r="Q3" s="127" t="str">
        <f>Cen!B75</f>
        <v>770C2702S</v>
      </c>
      <c r="R3" s="127" t="str">
        <f>Cen!C75</f>
        <v>OG-M</v>
      </c>
      <c r="S3" s="262">
        <f>SUM(D21,D27,D33)</f>
        <v>0</v>
      </c>
      <c r="T3" s="266">
        <f>Cen!F75</f>
        <v>29.004729999999999</v>
      </c>
      <c r="U3" s="263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473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 t="str">
        <f>Cen!A79</f>
        <v>Bočnice C pure, 300mm, Orion šedé</v>
      </c>
      <c r="Q4" s="127" t="str">
        <f>Cen!B79</f>
        <v>770C3002S</v>
      </c>
      <c r="R4" s="127" t="str">
        <f>Cen!C79</f>
        <v>OG-M</v>
      </c>
      <c r="S4" s="262">
        <f>SUM(E21,E27,E33)</f>
        <v>0</v>
      </c>
      <c r="T4" s="266">
        <f>Cen!F79</f>
        <v>29.004729999999999</v>
      </c>
      <c r="U4" s="263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 t="str">
        <f>Cen!A83</f>
        <v>Bočnice C pure, 350mm, Orion šedé</v>
      </c>
      <c r="Q5" s="127" t="str">
        <f>Cen!B83</f>
        <v>770C3502S</v>
      </c>
      <c r="R5" s="127" t="str">
        <f>Cen!C83</f>
        <v>OG-M</v>
      </c>
      <c r="S5" s="262">
        <f>SUM(F21,F27,F33)</f>
        <v>0</v>
      </c>
      <c r="T5" s="266">
        <f>Cen!F83</f>
        <v>29.004729999999999</v>
      </c>
      <c r="U5" s="263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951</v>
      </c>
      <c r="K6" s="122"/>
      <c r="L6" s="144"/>
      <c r="M6" s="119"/>
      <c r="N6" s="2" t="str">
        <f>List!$B$12&amp;":"</f>
        <v>Pokračovat na:</v>
      </c>
      <c r="O6" s="119"/>
      <c r="P6" s="127" t="str">
        <f>Cen!A87</f>
        <v>Bočnice C pure, 400mm, Orion šedé</v>
      </c>
      <c r="Q6" s="127" t="str">
        <f>Cen!B87</f>
        <v>770C4002S</v>
      </c>
      <c r="R6" s="127" t="str">
        <f>Cen!C87</f>
        <v>OG-M</v>
      </c>
      <c r="S6" s="262">
        <f>SUM(G21,G27,G33)</f>
        <v>0</v>
      </c>
      <c r="T6" s="266">
        <f>Cen!F87</f>
        <v>29.360900000000001</v>
      </c>
      <c r="U6" s="2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1" t="str">
        <f>List!$B$35&amp;":"</f>
        <v>sklo:</v>
      </c>
      <c r="I7" s="122"/>
      <c r="J7" s="121" t="str">
        <f>Form!$O$8</f>
        <v>čiré</v>
      </c>
      <c r="K7" s="122"/>
      <c r="L7" s="144"/>
      <c r="M7" s="119"/>
      <c r="N7" s="151" t="str">
        <f>" "&amp;List!$B$5</f>
        <v xml:space="preserve"> Výběr doplňků</v>
      </c>
      <c r="O7" s="119"/>
      <c r="P7" s="127" t="str">
        <f>Cen!A91</f>
        <v>Bočnice C pure, 450mm, Orion šedé</v>
      </c>
      <c r="Q7" s="127" t="str">
        <f>Cen!B91</f>
        <v>770C4502S</v>
      </c>
      <c r="R7" s="127" t="str">
        <f>Cen!C91</f>
        <v>OG-M</v>
      </c>
      <c r="S7" s="262">
        <f>SUM(H21:H22,H27:H28,H33:H34)</f>
        <v>0</v>
      </c>
      <c r="T7" s="266">
        <f>Cen!F91</f>
        <v>31.28134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$U$70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Cen!A95</f>
        <v>Bočnice C pure, 500mm, Orion šedé</v>
      </c>
      <c r="Q8" s="127" t="str">
        <f>Cen!B95</f>
        <v>770C5002S</v>
      </c>
      <c r="R8" s="127" t="str">
        <f>Cen!C95</f>
        <v>OG-M</v>
      </c>
      <c r="S8" s="262">
        <f>SUM(I21:I22,I27:I28,I33:I34)</f>
        <v>0</v>
      </c>
      <c r="T8" s="266">
        <f>Cen!F95</f>
        <v>31.656259999999996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Cen!A99</f>
        <v>Bočnice C pure, 550mm, Orion šedé</v>
      </c>
      <c r="Q9" s="127" t="str">
        <f>Cen!B99</f>
        <v>770C5502S</v>
      </c>
      <c r="R9" s="127" t="str">
        <f>Cen!C99</f>
        <v>OG-M</v>
      </c>
      <c r="S9" s="262">
        <f>SUM(J21:J22,J27:J28,J33:J34)</f>
        <v>0</v>
      </c>
      <c r="T9" s="266">
        <f>Cen!F99</f>
        <v>31.853429999999999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Cen!A103</f>
        <v>Bočnice C pure, 600mm, Orion šedé</v>
      </c>
      <c r="Q10" s="127" t="str">
        <f>Cen!B103</f>
        <v>770C6002S</v>
      </c>
      <c r="R10" s="127" t="str">
        <f>Cen!C103</f>
        <v>OG-M</v>
      </c>
      <c r="S10" s="262">
        <f>SUM(K21:K22,K27:K28,K33:K34)</f>
        <v>0</v>
      </c>
      <c r="T10" s="266">
        <f>Cen!F103</f>
        <v>35.537379999999999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 t="str">
        <f>List!$B$146&amp;":"</f>
        <v>Přířezy prvků:</v>
      </c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Cen!A107</f>
        <v>Bočnice C pure, 650mm, Orion šedé</v>
      </c>
      <c r="Q11" s="127" t="str">
        <f>Cen!B107</f>
        <v>770C6502S</v>
      </c>
      <c r="R11" s="127" t="str">
        <f>Cen!C107</f>
        <v>OG-M</v>
      </c>
      <c r="S11" s="262">
        <f>SUM(L22,L28,L34)</f>
        <v>0</v>
      </c>
      <c r="T11" s="266">
        <f>Cen!F107</f>
        <v>36.783200000000001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 t="str">
        <f>List!$C$150&amp;":   LW - 126"</f>
        <v>Přední díl:   LW - 126</v>
      </c>
      <c r="I12" s="291"/>
      <c r="J12" s="291"/>
      <c r="K12" s="291"/>
      <c r="L12" s="29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119" t="str">
        <f>List!$C$66&amp;":"</f>
        <v>přední zásuvný prvek:</v>
      </c>
      <c r="I13" s="293"/>
      <c r="J13" s="293"/>
      <c r="K13" s="293"/>
      <c r="L13" s="293"/>
      <c r="M13" s="119"/>
      <c r="N13" s="119"/>
      <c r="O13" s="119"/>
      <c r="P13" s="209" t="str">
        <f>Cen!A177</f>
        <v>Korpusové lišty BLUMOTION, 270mm, 40kg</v>
      </c>
      <c r="Q13" s="209" t="str">
        <f>Cen!B177</f>
        <v>750.2701B</v>
      </c>
      <c r="R13" s="209" t="str">
        <f>Cen!C177</f>
        <v>ZN</v>
      </c>
      <c r="S13" s="260">
        <f>D21</f>
        <v>0</v>
      </c>
      <c r="T13" s="261">
        <f>Cen!F177</f>
        <v>21.845690000000001</v>
      </c>
      <c r="U13" s="261">
        <f t="shared" ref="U13:U24" si="1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119" t="str">
        <f>"       "&amp;List!$C$74&amp;"  =  LW - 80"</f>
        <v xml:space="preserve">       šířka  =  LW - 80</v>
      </c>
      <c r="I14" s="290"/>
      <c r="J14" s="290"/>
      <c r="K14" s="290"/>
      <c r="L14" s="290"/>
      <c r="M14" s="119"/>
      <c r="N14" s="119"/>
      <c r="O14" s="119"/>
      <c r="P14" s="209" t="str">
        <f>Cen!A178</f>
        <v>Korpusové lišty BLUMOTION, 300mm, 40kg</v>
      </c>
      <c r="Q14" s="209" t="str">
        <f>Cen!B178</f>
        <v>750.3001B</v>
      </c>
      <c r="R14" s="209" t="str">
        <f>Cen!C178</f>
        <v>ZN</v>
      </c>
      <c r="S14" s="260">
        <f>E21</f>
        <v>0</v>
      </c>
      <c r="T14" s="261">
        <f>Cen!F178</f>
        <v>21.925909999999998</v>
      </c>
      <c r="U14" s="26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119" t="str">
        <f>"       "&amp;List!$C$75&amp;" =  70 mm"</f>
        <v xml:space="preserve">       výška =  70 mm</v>
      </c>
      <c r="I15" s="288"/>
      <c r="J15" s="288"/>
      <c r="K15" s="288"/>
      <c r="L15" s="288"/>
      <c r="M15" s="119"/>
      <c r="N15" s="119"/>
      <c r="O15" s="119"/>
      <c r="P15" s="209" t="str">
        <f>Cen!A179</f>
        <v>Korpusové lišty BLUMOTION, 350mm, 40kg</v>
      </c>
      <c r="Q15" s="209" t="str">
        <f>Cen!B179</f>
        <v>750.3501B</v>
      </c>
      <c r="R15" s="209" t="str">
        <f>Cen!C179</f>
        <v>ZN</v>
      </c>
      <c r="S15" s="260">
        <f>F21</f>
        <v>0</v>
      </c>
      <c r="T15" s="261">
        <f>Cen!F179</f>
        <v>21.845690000000001</v>
      </c>
      <c r="U15" s="26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Cen!A180</f>
        <v>Korpusové lišty BLUMOTION, 400mm, 40kg</v>
      </c>
      <c r="Q16" s="209" t="str">
        <f>Cen!B180</f>
        <v>750.4001B</v>
      </c>
      <c r="R16" s="209" t="str">
        <f>Cen!C180</f>
        <v>ZN</v>
      </c>
      <c r="S16" s="260">
        <f>G21</f>
        <v>0</v>
      </c>
      <c r="T16" s="261">
        <f>Cen!F180</f>
        <v>22.204979999999999</v>
      </c>
      <c r="U16" s="261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ht="15.5" x14ac:dyDescent="0.25">
      <c r="A18" s="119"/>
      <c r="C18" s="119"/>
      <c r="D18" s="119"/>
      <c r="E18" s="119"/>
      <c r="F18" s="119"/>
      <c r="G18" s="478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 t="s">
        <v>614</v>
      </c>
      <c r="E20" s="305" t="s">
        <v>57</v>
      </c>
      <c r="F20" s="305" t="s">
        <v>615</v>
      </c>
      <c r="G20" s="305" t="s">
        <v>616</v>
      </c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846</v>
      </c>
      <c r="C21" s="298" t="s">
        <v>505</v>
      </c>
      <c r="D21" s="299"/>
      <c r="E21" s="299"/>
      <c r="F21" s="299"/>
      <c r="G21" s="299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847</v>
      </c>
      <c r="C22" s="311" t="s">
        <v>506</v>
      </c>
      <c r="D22" s="415"/>
      <c r="E22" s="415"/>
      <c r="F22" s="415"/>
      <c r="G22" s="415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 t="s">
        <v>614</v>
      </c>
      <c r="E26" s="305" t="s">
        <v>57</v>
      </c>
      <c r="F26" s="305" t="s">
        <v>615</v>
      </c>
      <c r="G26" s="305" t="s">
        <v>616</v>
      </c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848</v>
      </c>
      <c r="C27" s="298" t="s">
        <v>505</v>
      </c>
      <c r="D27" s="299"/>
      <c r="E27" s="299"/>
      <c r="F27" s="299"/>
      <c r="G27" s="299"/>
      <c r="H27" s="299"/>
      <c r="I27" s="299"/>
      <c r="J27" s="299"/>
      <c r="K27" s="300"/>
      <c r="L27" s="572"/>
      <c r="M27" s="119"/>
      <c r="N27" s="119"/>
      <c r="O27" s="119"/>
      <c r="P27" s="209" t="str">
        <f>Cen!A193</f>
        <v>Korpusové lišty TIP-ON, 270mm, 40kg</v>
      </c>
      <c r="Q27" s="209" t="str">
        <f>Cen!B193</f>
        <v>750.2701T</v>
      </c>
      <c r="R27" s="209" t="str">
        <f>Cen!C193</f>
        <v>ZN</v>
      </c>
      <c r="S27" s="260">
        <f>D27</f>
        <v>0</v>
      </c>
      <c r="T27" s="261">
        <f>Cen!F193</f>
        <v>30.366460000000004</v>
      </c>
      <c r="U27" s="261">
        <f t="shared" ref="U27:U38" si="2">S27*T27</f>
        <v>0</v>
      </c>
    </row>
    <row r="28" spans="1:21" ht="14" x14ac:dyDescent="0.3">
      <c r="A28" s="119"/>
      <c r="B28" s="296" t="s">
        <v>849</v>
      </c>
      <c r="C28" s="310" t="s">
        <v>506</v>
      </c>
      <c r="D28" s="415"/>
      <c r="E28" s="415"/>
      <c r="F28" s="415"/>
      <c r="G28" s="415"/>
      <c r="H28" s="303"/>
      <c r="I28" s="303"/>
      <c r="J28" s="303"/>
      <c r="K28" s="304"/>
      <c r="L28" s="304"/>
      <c r="M28" s="119"/>
      <c r="N28" s="119"/>
      <c r="O28" s="119"/>
      <c r="P28" s="209" t="str">
        <f>Cen!A194</f>
        <v>Korpusové lišty TIP-ON, 300mm, 40kg</v>
      </c>
      <c r="Q28" s="209" t="str">
        <f>Cen!B194</f>
        <v>750.3001T</v>
      </c>
      <c r="R28" s="209" t="str">
        <f>Cen!C194</f>
        <v>ZN</v>
      </c>
      <c r="S28" s="260">
        <f>E27</f>
        <v>0</v>
      </c>
      <c r="T28" s="261">
        <f>Cen!F194</f>
        <v>30.366460000000004</v>
      </c>
      <c r="U28" s="261">
        <f t="shared" si="2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209" t="str">
        <f>Cen!A195</f>
        <v>Korpusové lišty TIP-ON, 350mm, 40kg</v>
      </c>
      <c r="Q29" s="209" t="str">
        <f>Cen!B195</f>
        <v>750.3501T</v>
      </c>
      <c r="R29" s="209" t="str">
        <f>Cen!C195</f>
        <v>ZN</v>
      </c>
      <c r="S29" s="260">
        <f>F27</f>
        <v>0</v>
      </c>
      <c r="T29" s="261">
        <f>Cen!F195</f>
        <v>30.366460000000004</v>
      </c>
      <c r="U29" s="261">
        <f t="shared" si="2"/>
        <v>0</v>
      </c>
    </row>
    <row r="30" spans="1:21" x14ac:dyDescent="0.25">
      <c r="A30" s="119"/>
      <c r="M30" s="119"/>
      <c r="N30" s="119"/>
      <c r="O30" s="119"/>
      <c r="P30" s="209" t="str">
        <f>Cen!A196</f>
        <v>Korpusové lišty TIP-ON, 400mm, 40kg</v>
      </c>
      <c r="Q30" s="209" t="str">
        <f>Cen!B196</f>
        <v>750.4001T</v>
      </c>
      <c r="R30" s="209" t="str">
        <f>Cen!C196</f>
        <v>ZN</v>
      </c>
      <c r="S30" s="260">
        <f>G27</f>
        <v>0</v>
      </c>
      <c r="T30" s="261">
        <f>Cen!F196</f>
        <v>30.645720000000001</v>
      </c>
      <c r="U30" s="261">
        <f t="shared" si="2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Cen!A197</f>
        <v>Korpusové lišty TIP-ON, 450mm, 40kg</v>
      </c>
      <c r="Q31" s="209" t="str">
        <f>Cen!B197</f>
        <v>750.4501T</v>
      </c>
      <c r="R31" s="209" t="str">
        <f>Cen!C197</f>
        <v>ZN</v>
      </c>
      <c r="S31" s="260">
        <f>H27</f>
        <v>0</v>
      </c>
      <c r="T31" s="261">
        <f>Cen!F197</f>
        <v>32.552599999999998</v>
      </c>
      <c r="U31" s="261">
        <f t="shared" si="2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 t="s">
        <v>614</v>
      </c>
      <c r="E32" s="305" t="s">
        <v>57</v>
      </c>
      <c r="F32" s="305" t="s">
        <v>615</v>
      </c>
      <c r="G32" s="305" t="s">
        <v>616</v>
      </c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Cen!A198</f>
        <v>Korpusové lišty TIP-ON, 450mm, 70kg</v>
      </c>
      <c r="Q32" s="209" t="str">
        <f>Cen!B198</f>
        <v>753.4501T</v>
      </c>
      <c r="R32" s="209" t="str">
        <f>Cen!C198</f>
        <v>ZN</v>
      </c>
      <c r="S32" s="260">
        <f>H28</f>
        <v>0</v>
      </c>
      <c r="T32" s="261">
        <f>Cen!F198</f>
        <v>36.006259999999997</v>
      </c>
      <c r="U32" s="261">
        <f t="shared" si="2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299"/>
      <c r="E33" s="299"/>
      <c r="F33" s="299"/>
      <c r="G33" s="299"/>
      <c r="H33" s="299"/>
      <c r="I33" s="299"/>
      <c r="J33" s="299"/>
      <c r="K33" s="300"/>
      <c r="L33" s="572"/>
      <c r="M33" s="119"/>
      <c r="N33" s="119"/>
      <c r="P33" s="209" t="str">
        <f>Cen!A199</f>
        <v>Korpusové lišty TIP-ON, 500mm, 40kg</v>
      </c>
      <c r="Q33" s="209" t="str">
        <f>Cen!B199</f>
        <v>750.5001T</v>
      </c>
      <c r="R33" s="209" t="str">
        <f>Cen!C199</f>
        <v>ZN</v>
      </c>
      <c r="S33" s="260">
        <f>I27</f>
        <v>0</v>
      </c>
      <c r="T33" s="261">
        <f>Cen!F199</f>
        <v>32.846359999999997</v>
      </c>
      <c r="U33" s="261">
        <f t="shared" si="2"/>
        <v>0</v>
      </c>
    </row>
    <row r="34" spans="1:21" ht="14" x14ac:dyDescent="0.3">
      <c r="B34" s="296" t="s">
        <v>1188</v>
      </c>
      <c r="C34" s="310" t="s">
        <v>506</v>
      </c>
      <c r="D34" s="415"/>
      <c r="E34" s="415"/>
      <c r="F34" s="415"/>
      <c r="G34" s="415"/>
      <c r="H34" s="303"/>
      <c r="I34" s="303"/>
      <c r="J34" s="303"/>
      <c r="K34" s="304"/>
      <c r="L34" s="304"/>
      <c r="M34" s="119"/>
      <c r="N34" s="119"/>
      <c r="P34" s="209" t="str">
        <f>Cen!A200</f>
        <v>Korpusové lišty TIP-ON, 500mm, 70kg</v>
      </c>
      <c r="Q34" s="209" t="str">
        <f>Cen!B200</f>
        <v>753.5001T</v>
      </c>
      <c r="R34" s="209" t="str">
        <f>Cen!C200</f>
        <v>ZN</v>
      </c>
      <c r="S34" s="260">
        <f>I28</f>
        <v>0</v>
      </c>
      <c r="T34" s="261">
        <f>Cen!F200</f>
        <v>36.285339999999998</v>
      </c>
      <c r="U34" s="261">
        <f t="shared" si="2"/>
        <v>0</v>
      </c>
    </row>
    <row r="35" spans="1:21" ht="15.5" x14ac:dyDescent="0.3"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P35" s="209" t="str">
        <f>Cen!A201</f>
        <v>Korpusové lišty TIP-ON, 550mm, 40kg</v>
      </c>
      <c r="Q35" s="209" t="str">
        <f>Cen!B201</f>
        <v>750.5501T</v>
      </c>
      <c r="R35" s="209" t="str">
        <f>Cen!C201</f>
        <v>ZN</v>
      </c>
      <c r="S35" s="260">
        <f>J27</f>
        <v>0</v>
      </c>
      <c r="T35" s="261">
        <f>Cen!F201</f>
        <v>32.694760000000002</v>
      </c>
      <c r="U35" s="261">
        <f t="shared" si="2"/>
        <v>0</v>
      </c>
    </row>
    <row r="36" spans="1:21" ht="13" x14ac:dyDescent="0.3"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P36" s="209" t="str">
        <f>Cen!A202</f>
        <v>Korpusové lišty TIP-ON, 550mm, 70kg</v>
      </c>
      <c r="Q36" s="209" t="str">
        <f>Cen!B202</f>
        <v>753.5501T</v>
      </c>
      <c r="R36" s="209" t="str">
        <f>Cen!C202</f>
        <v>ZN</v>
      </c>
      <c r="S36" s="260">
        <f>J28</f>
        <v>0</v>
      </c>
      <c r="T36" s="261">
        <f>Cen!F202</f>
        <v>37.776060000000001</v>
      </c>
      <c r="U36" s="261">
        <f t="shared" si="2"/>
        <v>0</v>
      </c>
    </row>
    <row r="37" spans="1:21" ht="14" x14ac:dyDescent="0.3">
      <c r="B37" s="291"/>
      <c r="C37" s="291"/>
      <c r="D37" s="308" t="s">
        <v>1192</v>
      </c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122" t="str">
        <f>Cen!A203</f>
        <v>Korpusové lišty TIP-ON, 600mm, 40kg</v>
      </c>
      <c r="Q37" s="122" t="str">
        <f>Cen!B203</f>
        <v>750.6001T</v>
      </c>
      <c r="R37" s="122" t="str">
        <f>Cen!C203</f>
        <v>ZN</v>
      </c>
      <c r="S37" s="123">
        <f>K27</f>
        <v>0</v>
      </c>
      <c r="T37" s="118">
        <f>Cen!F203</f>
        <v>35.700530000000001</v>
      </c>
      <c r="U37" s="261">
        <f t="shared" si="2"/>
        <v>0</v>
      </c>
    </row>
    <row r="38" spans="1:21" ht="14.5" thickBot="1" x14ac:dyDescent="0.35">
      <c r="B38" s="179"/>
      <c r="C38" s="291"/>
      <c r="D38" s="299"/>
      <c r="E38" s="299"/>
      <c r="F38" s="299"/>
      <c r="G38" s="300"/>
      <c r="H38" s="662" t="str">
        <f>IF(SUM(F33:K33,H34:L34)=SUM(E38:G38)," ",P82)</f>
        <v xml:space="preserve"> </v>
      </c>
      <c r="I38" s="291"/>
      <c r="M38" s="119"/>
      <c r="P38" s="122" t="str">
        <f>Cen!A204</f>
        <v>Korpusové lišty TIP-ON, 600mm, 70kg</v>
      </c>
      <c r="Q38" s="122" t="str">
        <f>Cen!B204</f>
        <v>753.6001T</v>
      </c>
      <c r="R38" s="122" t="str">
        <f>Cen!C204</f>
        <v>ZN</v>
      </c>
      <c r="S38" s="123">
        <f>K28</f>
        <v>0</v>
      </c>
      <c r="T38" s="118">
        <f>Cen!F204</f>
        <v>40.781829999999999</v>
      </c>
      <c r="U38" s="118">
        <f t="shared" si="2"/>
        <v>0</v>
      </c>
    </row>
    <row r="39" spans="1:21" x14ac:dyDescent="0.25">
      <c r="C39" s="661"/>
      <c r="D39" s="660" t="str">
        <f>IF(AND(SUM($D$33,$E$33)&gt;0,$D$38=0),$P$81,IF(AND(SUM($D$33,$E$33)=0,$D$38&gt;0),$P$80,IF(SUM($D$33,$E$33)&lt;&gt;$D$38,$P$80," ")))</f>
        <v xml:space="preserve"> </v>
      </c>
      <c r="E39" s="291"/>
      <c r="F39" s="291"/>
      <c r="G39" s="291"/>
      <c r="H39" s="291"/>
      <c r="I39" s="291"/>
      <c r="M39" s="119"/>
      <c r="P39" s="122" t="str">
        <f>Cen!A205</f>
        <v>Korpusové lišty TIP-ON, 650mm, 70kg</v>
      </c>
      <c r="Q39" s="122" t="str">
        <f>Cen!B205</f>
        <v>753.6501T</v>
      </c>
      <c r="R39" s="122" t="str">
        <f>Cen!C205</f>
        <v>ZN</v>
      </c>
      <c r="S39" s="123">
        <f>L28</f>
        <v>0</v>
      </c>
      <c r="T39" s="118">
        <f>Cen!F205</f>
        <v>42.272550000000003</v>
      </c>
      <c r="U39" s="118">
        <f>S39*T39</f>
        <v>0</v>
      </c>
    </row>
    <row r="40" spans="1:21" x14ac:dyDescent="0.25">
      <c r="B40" s="661"/>
      <c r="C40" s="661"/>
      <c r="D40" s="660" t="str">
        <f>IF(SUM($D$33,$E$33)&lt;&gt;$D$38,$P$83," ")</f>
        <v xml:space="preserve"> </v>
      </c>
      <c r="P40" s="144"/>
      <c r="Q40" s="144"/>
      <c r="R40" s="144"/>
      <c r="S40" s="150"/>
      <c r="T40" s="154"/>
      <c r="U40" s="154"/>
    </row>
    <row r="41" spans="1:21" ht="13" x14ac:dyDescent="0.3">
      <c r="B41" s="119"/>
      <c r="C41" s="287"/>
      <c r="H41" s="289"/>
      <c r="I41" s="289"/>
      <c r="J41" s="289"/>
      <c r="K41" s="289"/>
      <c r="L41" s="289"/>
      <c r="P41" s="122" t="str">
        <f>Cen!A209</f>
        <v>Korpusové lišty TIP-ON BLUMOTION, 270mm, 40kg</v>
      </c>
      <c r="Q41" s="122" t="str">
        <f>Cen!B209</f>
        <v>750.2700M</v>
      </c>
      <c r="R41" s="122" t="str">
        <f>Cen!C209</f>
        <v>ZN</v>
      </c>
      <c r="S41" s="123">
        <f>D33</f>
        <v>0</v>
      </c>
      <c r="T41" s="118">
        <f>Cen!F209</f>
        <v>21.925909999999998</v>
      </c>
      <c r="U41" s="118">
        <f>S41*T41</f>
        <v>0</v>
      </c>
    </row>
    <row r="42" spans="1:21" ht="13" x14ac:dyDescent="0.3">
      <c r="B42" s="287"/>
      <c r="C42" s="287"/>
      <c r="D42" s="119"/>
      <c r="E42" s="119"/>
      <c r="F42" s="119"/>
      <c r="G42" s="119"/>
      <c r="H42" s="144"/>
      <c r="I42" s="144"/>
      <c r="J42" s="119"/>
      <c r="K42" s="119"/>
      <c r="L42" s="119"/>
      <c r="P42" s="122" t="str">
        <f>Cen!A210</f>
        <v>Korpusové lišty TIP-ON BLUMOTION, 300mm, 40kg</v>
      </c>
      <c r="Q42" s="122" t="str">
        <f>Cen!B210</f>
        <v>750.3001M</v>
      </c>
      <c r="R42" s="122" t="str">
        <f>Cen!C210</f>
        <v>ZN</v>
      </c>
      <c r="S42" s="123">
        <f>E33</f>
        <v>0</v>
      </c>
      <c r="T42" s="118">
        <f>Cen!F210</f>
        <v>21.925909999999998</v>
      </c>
      <c r="U42" s="118">
        <f t="shared" ref="U42:U58" si="3">S42*T42</f>
        <v>0</v>
      </c>
    </row>
    <row r="43" spans="1:21" ht="14" x14ac:dyDescent="0.3">
      <c r="B43" s="477" t="str">
        <f>IF(AND(SUM(S3:S10)&gt;0,SUM(S65:S68)=0),"        *"&amp;List!$B$166&amp;" "&amp;List!$B$167," ")</f>
        <v xml:space="preserve"> </v>
      </c>
      <c r="C43" s="287"/>
      <c r="H43" s="289"/>
      <c r="I43" s="289"/>
      <c r="J43" s="289"/>
      <c r="K43" s="289"/>
      <c r="L43" s="289"/>
      <c r="P43" s="122" t="str">
        <f>Cen!A211</f>
        <v>Korpusové lišty TIP-ON BLUMOTION, 350mm, 40kg</v>
      </c>
      <c r="Q43" s="122" t="str">
        <f>Cen!B211</f>
        <v>750.3501M</v>
      </c>
      <c r="R43" s="122" t="str">
        <f>Cen!C211</f>
        <v>ZN</v>
      </c>
      <c r="S43" s="123">
        <f>F33</f>
        <v>0</v>
      </c>
      <c r="T43" s="118">
        <f>Cen!F211</f>
        <v>21.925909999999998</v>
      </c>
      <c r="U43" s="118">
        <f t="shared" si="3"/>
        <v>0</v>
      </c>
    </row>
    <row r="44" spans="1:21" ht="13" x14ac:dyDescent="0.3">
      <c r="B44" s="287"/>
      <c r="C44" s="287"/>
      <c r="H44" s="290"/>
      <c r="I44" s="290"/>
      <c r="J44" s="290"/>
      <c r="K44" s="290"/>
      <c r="L44" s="290"/>
      <c r="P44" s="122" t="str">
        <f>Cen!A212</f>
        <v>Korpusové lišty TIP-ON BLUMOTION, 400mm, 40kg</v>
      </c>
      <c r="Q44" s="122" t="str">
        <f>Cen!B212</f>
        <v>750.4001M</v>
      </c>
      <c r="R44" s="122" t="str">
        <f>Cen!C212</f>
        <v>ZN</v>
      </c>
      <c r="S44" s="123">
        <f>G33</f>
        <v>0</v>
      </c>
      <c r="T44" s="118">
        <f>Cen!F212</f>
        <v>22.204979999999999</v>
      </c>
      <c r="U44" s="118">
        <f t="shared" si="3"/>
        <v>0</v>
      </c>
    </row>
    <row r="45" spans="1:21" ht="15.5" x14ac:dyDescent="0.35">
      <c r="B45" s="321" t="str">
        <f>List!$B$65&amp;" - "&amp;List!$B$35</f>
        <v>Přední zásuvné prvky - sklo</v>
      </c>
      <c r="C45" s="287"/>
      <c r="H45" s="288"/>
      <c r="I45" s="288"/>
      <c r="J45" s="288"/>
      <c r="K45" s="288"/>
      <c r="L45" s="288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3"/>
        <v>0</v>
      </c>
    </row>
    <row r="46" spans="1:21" ht="15.5" x14ac:dyDescent="0.3">
      <c r="B46" s="312"/>
      <c r="C46" s="7"/>
      <c r="D46" s="320" t="str">
        <f>List!$B$112&amp;" KB: "</f>
        <v xml:space="preserve">Šířka korpusu KB: </v>
      </c>
      <c r="E46" s="308" t="s">
        <v>122</v>
      </c>
      <c r="F46" s="314" t="s">
        <v>123</v>
      </c>
      <c r="G46" s="305" t="s">
        <v>817</v>
      </c>
      <c r="H46" s="307" t="s">
        <v>818</v>
      </c>
      <c r="I46" s="291"/>
      <c r="J46" s="291"/>
      <c r="K46" s="291"/>
      <c r="L46" s="291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3"/>
        <v>0</v>
      </c>
    </row>
    <row r="47" spans="1:21" ht="14" x14ac:dyDescent="0.3">
      <c r="B47" s="319"/>
      <c r="D47" s="322" t="str">
        <f>List!$B$100&amp;": "</f>
        <v xml:space="preserve">Celkový počet ks: </v>
      </c>
      <c r="E47" s="317"/>
      <c r="F47" s="317"/>
      <c r="G47" s="317"/>
      <c r="H47" s="318"/>
      <c r="I47" s="289"/>
      <c r="J47" s="289"/>
      <c r="K47" s="289"/>
      <c r="L47" s="28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3"/>
        <v>0</v>
      </c>
    </row>
    <row r="48" spans="1:21" ht="14" x14ac:dyDescent="0.3">
      <c r="B48" s="319"/>
      <c r="D48" s="322"/>
      <c r="E48" s="295"/>
      <c r="F48" s="295"/>
      <c r="G48" s="295"/>
      <c r="H48" s="295"/>
      <c r="I48" s="289"/>
      <c r="J48" s="289"/>
      <c r="K48" s="289"/>
      <c r="L48" s="28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3"/>
        <v>0</v>
      </c>
    </row>
    <row r="49" spans="2:21" ht="14" x14ac:dyDescent="0.3">
      <c r="B49" s="315"/>
      <c r="C49" s="316"/>
      <c r="D49" s="295"/>
      <c r="E49" s="295"/>
      <c r="F49" s="295"/>
      <c r="G49" s="295"/>
      <c r="I49" s="290"/>
      <c r="J49" s="290"/>
      <c r="K49" s="290"/>
      <c r="L49" s="290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3"/>
        <v>0</v>
      </c>
    </row>
    <row r="50" spans="2:21" ht="13" x14ac:dyDescent="0.3">
      <c r="B50" s="119" t="str">
        <f>"        "&amp;List!$B$168</f>
        <v xml:space="preserve">        Zadejte celkový počet předních zásuvných prvků pro příslušnou šířku korpusu</v>
      </c>
      <c r="C50" s="287"/>
      <c r="H50" s="288"/>
      <c r="I50" s="288"/>
      <c r="J50" s="288"/>
      <c r="K50" s="288"/>
      <c r="L50" s="288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3"/>
        <v>0</v>
      </c>
    </row>
    <row r="51" spans="2:21" ht="13" x14ac:dyDescent="0.3">
      <c r="B51" s="119" t="str">
        <f>"        "&amp;List!$B$172</f>
        <v xml:space="preserve">        Máte-li zásuvné prvky vlastní, počty nezadávejte</v>
      </c>
      <c r="C51" s="287"/>
      <c r="H51" s="291"/>
      <c r="I51" s="291"/>
      <c r="J51" s="291"/>
      <c r="K51" s="291"/>
      <c r="L51" s="291"/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3"/>
        <v>0</v>
      </c>
    </row>
    <row r="52" spans="2:21" ht="13" x14ac:dyDescent="0.3">
      <c r="B52" s="119"/>
      <c r="C52" s="287"/>
      <c r="H52" s="289"/>
      <c r="I52" s="289"/>
      <c r="J52" s="289"/>
      <c r="K52" s="289"/>
      <c r="L52" s="289"/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3"/>
        <v>0</v>
      </c>
    </row>
    <row r="53" spans="2:21" ht="13" x14ac:dyDescent="0.3">
      <c r="B53" s="119"/>
      <c r="C53" s="287"/>
      <c r="H53" s="289"/>
      <c r="I53" s="289"/>
      <c r="J53" s="289"/>
      <c r="K53" s="289"/>
      <c r="L53" s="289"/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3"/>
        <v>0</v>
      </c>
    </row>
    <row r="54" spans="2:21" ht="13" x14ac:dyDescent="0.3">
      <c r="B54" s="119"/>
      <c r="C54" s="287"/>
      <c r="H54" s="289"/>
      <c r="I54" s="289"/>
      <c r="J54" s="289"/>
      <c r="K54" s="289"/>
      <c r="L54" s="289"/>
      <c r="P54" s="122"/>
      <c r="Q54" s="122"/>
      <c r="R54" s="122"/>
      <c r="S54" s="123"/>
      <c r="T54" s="118"/>
      <c r="U54" s="118"/>
    </row>
    <row r="55" spans="2:21" ht="13" x14ac:dyDescent="0.3">
      <c r="B55" s="119"/>
      <c r="C55" s="287"/>
      <c r="H55" s="289"/>
      <c r="I55" s="289"/>
      <c r="J55" s="289"/>
      <c r="K55" s="289"/>
      <c r="L55" s="28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>
        <f>D38</f>
        <v>0</v>
      </c>
      <c r="T55" s="118">
        <f>Cen!F223</f>
        <v>15.883479999999999</v>
      </c>
      <c r="U55" s="118">
        <f t="shared" si="3"/>
        <v>0</v>
      </c>
    </row>
    <row r="56" spans="2:21" ht="13" x14ac:dyDescent="0.3">
      <c r="B56" s="119"/>
      <c r="C56" s="287"/>
      <c r="H56" s="289"/>
      <c r="I56" s="289"/>
      <c r="J56" s="289"/>
      <c r="K56" s="289"/>
      <c r="L56" s="28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 t="shared" si="3"/>
        <v>0</v>
      </c>
    </row>
    <row r="57" spans="2:21" ht="13" x14ac:dyDescent="0.3">
      <c r="B57" s="119"/>
      <c r="C57" s="287"/>
      <c r="H57" s="289"/>
      <c r="I57" s="289"/>
      <c r="J57" s="289"/>
      <c r="K57" s="289"/>
      <c r="L57" s="28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 t="shared" si="3"/>
        <v>0</v>
      </c>
    </row>
    <row r="58" spans="2:21" ht="13" x14ac:dyDescent="0.3">
      <c r="B58" s="119"/>
      <c r="C58" s="287"/>
      <c r="H58" s="289"/>
      <c r="I58" s="289"/>
      <c r="J58" s="289"/>
      <c r="K58" s="289"/>
      <c r="L58" s="28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 t="shared" si="3"/>
        <v>0</v>
      </c>
    </row>
    <row r="59" spans="2:21" ht="13" x14ac:dyDescent="0.3">
      <c r="B59" s="119"/>
      <c r="C59" s="287"/>
      <c r="H59" s="289"/>
      <c r="I59" s="289"/>
      <c r="J59" s="289"/>
      <c r="K59" s="289"/>
      <c r="L59" s="289"/>
      <c r="P59" s="144"/>
      <c r="Q59" s="144"/>
      <c r="R59" s="144"/>
      <c r="S59" s="150"/>
      <c r="T59" s="154"/>
      <c r="U59" s="154"/>
    </row>
    <row r="60" spans="2:21" x14ac:dyDescent="0.25">
      <c r="B60" s="119" t="str">
        <f>"        "&amp;List!$B$158</f>
        <v xml:space="preserve">        Pro každý výsuv je započítán jeden přední díl</v>
      </c>
      <c r="H60" s="290"/>
      <c r="I60" s="290"/>
      <c r="J60" s="290"/>
      <c r="K60" s="290"/>
      <c r="L60" s="290"/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SUM(S3:S11)</f>
        <v>0</v>
      </c>
      <c r="T60" s="118">
        <f>Cen!$F259</f>
        <v>1.59894</v>
      </c>
      <c r="U60" s="118">
        <f>S60*T60</f>
        <v>0</v>
      </c>
    </row>
    <row r="61" spans="2:21" ht="13" x14ac:dyDescent="0.3">
      <c r="B61" s="119" t="str">
        <f>"        "&amp;List!$B$160</f>
        <v xml:space="preserve">        Potřebný počet předních dílů upravte v objednávce</v>
      </c>
      <c r="H61" s="288"/>
      <c r="I61" s="288"/>
      <c r="J61" s="288"/>
      <c r="K61" s="288"/>
      <c r="L61" s="288"/>
      <c r="P61" s="122" t="str">
        <f>Cen!A293</f>
        <v>Sada kování vnitř.výs. C, se zás.prvkem, Orion šedá</v>
      </c>
      <c r="Q61" s="122" t="str">
        <f>Cen!B293</f>
        <v>ZI7.2CS0</v>
      </c>
      <c r="R61" s="122" t="str">
        <f>Cen!C293</f>
        <v>OG-M</v>
      </c>
      <c r="S61" s="123">
        <f>SUM(S3:S11)</f>
        <v>0</v>
      </c>
      <c r="T61" s="118">
        <f>Cen!F293</f>
        <v>19.402619999999999</v>
      </c>
      <c r="U61" s="118">
        <f>S61*T61</f>
        <v>0</v>
      </c>
    </row>
    <row r="62" spans="2:21" x14ac:dyDescent="0.25">
      <c r="P62" s="122"/>
      <c r="Q62" s="122"/>
      <c r="R62" s="122"/>
      <c r="S62" s="123"/>
      <c r="T62" s="118"/>
      <c r="U62" s="118"/>
    </row>
    <row r="63" spans="2:21" x14ac:dyDescent="0.25">
      <c r="P63" s="122" t="str">
        <f>Cen!A306</f>
        <v>Přední díl vnitřní zásuvky, s drážkou, Orion šedý</v>
      </c>
      <c r="Q63" s="122" t="str">
        <f>Cen!B306</f>
        <v>ZV7.1043MN1</v>
      </c>
      <c r="R63" s="122" t="str">
        <f>Cen!C306</f>
        <v>OG-M</v>
      </c>
      <c r="S63" s="559">
        <f>SUM($S$3:$S$11)</f>
        <v>0</v>
      </c>
      <c r="T63" s="118">
        <f>Cen!F306</f>
        <v>14.808439999999997</v>
      </c>
      <c r="U63" s="118">
        <f>S63*T63</f>
        <v>0</v>
      </c>
    </row>
    <row r="64" spans="2:21" x14ac:dyDescent="0.25">
      <c r="P64" s="122"/>
      <c r="Q64" s="122"/>
      <c r="R64" s="122"/>
      <c r="S64" s="123"/>
      <c r="T64" s="118"/>
      <c r="U64" s="118"/>
    </row>
    <row r="65" spans="16:21" x14ac:dyDescent="0.25">
      <c r="P65" s="126" t="str">
        <f>Cen!A330</f>
        <v>Přední zásuvný prvek nízký, sklo, KB 450mm</v>
      </c>
      <c r="Q65" s="126" t="str">
        <f>Cen!B330</f>
        <v>ZE7V332G</v>
      </c>
      <c r="R65" s="126" t="str">
        <f>Cen!C330</f>
        <v>KLA</v>
      </c>
      <c r="S65" s="334">
        <f>IF(SUM($S$3:$S$11)&gt;0,E47,0)</f>
        <v>0</v>
      </c>
      <c r="T65" s="335">
        <f>Cen!F330</f>
        <v>8.02196</v>
      </c>
      <c r="U65" s="335">
        <f>S65*T65</f>
        <v>0</v>
      </c>
    </row>
    <row r="66" spans="16:21" x14ac:dyDescent="0.25">
      <c r="P66" s="126" t="str">
        <f>Cen!A331</f>
        <v>Přední zásuvný prvek nízký, sklo, KB 600mm</v>
      </c>
      <c r="Q66" s="126" t="str">
        <f>Cen!B331</f>
        <v>ZE7V482G</v>
      </c>
      <c r="R66" s="126" t="str">
        <f>Cen!C331</f>
        <v>KLA</v>
      </c>
      <c r="S66" s="334">
        <f>IF(SUM($S$3:$S$11)&gt;0,F47,0)</f>
        <v>0</v>
      </c>
      <c r="T66" s="335">
        <f>Cen!F331</f>
        <v>9.1958699999999993</v>
      </c>
      <c r="U66" s="335">
        <f>S66*T66</f>
        <v>0</v>
      </c>
    </row>
    <row r="67" spans="16:21" x14ac:dyDescent="0.25">
      <c r="P67" s="126" t="str">
        <f>Cen!A332</f>
        <v>Přední zásuvný prvek nízký, sklo, KB 900mm</v>
      </c>
      <c r="Q67" s="126" t="str">
        <f>Cen!B332</f>
        <v>ZE7V782G</v>
      </c>
      <c r="R67" s="126" t="str">
        <f>Cen!C332</f>
        <v>KLA</v>
      </c>
      <c r="S67" s="334">
        <f>IF(SUM($S$3:$S$11)&gt;0,G47,0)</f>
        <v>0</v>
      </c>
      <c r="T67" s="335">
        <f>Cen!F332</f>
        <v>16.2394</v>
      </c>
      <c r="U67" s="335">
        <f>S67*T67</f>
        <v>0</v>
      </c>
    </row>
    <row r="68" spans="16:21" x14ac:dyDescent="0.25">
      <c r="P68" s="206" t="str">
        <f>Cen!A333</f>
        <v>Přední zásuvný prvek nízký, sklo, KB 1200mm</v>
      </c>
      <c r="Q68" s="206" t="str">
        <f>Cen!B333</f>
        <v>ZE7V1082G</v>
      </c>
      <c r="R68" s="206" t="str">
        <f>Cen!C333</f>
        <v>KLA</v>
      </c>
      <c r="S68" s="264">
        <f>IF(SUM($S$3:$S$11)&gt;0,H47,0)</f>
        <v>0</v>
      </c>
      <c r="T68" s="265">
        <f>Cen!F333</f>
        <v>20.93506</v>
      </c>
      <c r="U68" s="265">
        <f>S68*T68</f>
        <v>0</v>
      </c>
    </row>
    <row r="69" spans="16:21" x14ac:dyDescent="0.25">
      <c r="P69" s="119"/>
      <c r="Q69" s="119"/>
    </row>
    <row r="70" spans="16:21" x14ac:dyDescent="0.25">
      <c r="Q70" s="119"/>
      <c r="S70" s="73" t="str">
        <f>List!$B$94</f>
        <v>cena kování</v>
      </c>
      <c r="U70" s="353">
        <f>SUM(U3:U69)</f>
        <v>0</v>
      </c>
    </row>
    <row r="71" spans="16:21" x14ac:dyDescent="0.25">
      <c r="Q71" s="119"/>
    </row>
    <row r="72" spans="16:21" x14ac:dyDescent="0.25">
      <c r="Q72" s="119"/>
    </row>
    <row r="73" spans="16:21" x14ac:dyDescent="0.25">
      <c r="Q73" s="119"/>
    </row>
    <row r="74" spans="16:21" x14ac:dyDescent="0.25">
      <c r="P74" s="119"/>
      <c r="Q74" s="119"/>
    </row>
    <row r="75" spans="16:21" x14ac:dyDescent="0.25">
      <c r="P75" s="119"/>
      <c r="Q75" s="119"/>
    </row>
    <row r="76" spans="16:21" x14ac:dyDescent="0.25">
      <c r="P76" s="119"/>
      <c r="Q76" s="119"/>
    </row>
    <row r="77" spans="16:21" x14ac:dyDescent="0.25">
      <c r="P77" s="119"/>
      <c r="Q77" s="119"/>
    </row>
    <row r="78" spans="16:21" x14ac:dyDescent="0.25">
      <c r="P78" s="119"/>
      <c r="Q78" s="119"/>
    </row>
    <row r="80" spans="16:21" x14ac:dyDescent="0.25">
      <c r="P80" s="119" t="str">
        <f>List!$B$305&amp;"!"</f>
        <v>S1 pouze pro jmenovitou délku 270 a 300 mm!</v>
      </c>
    </row>
    <row r="81" spans="16:16" x14ac:dyDescent="0.25">
      <c r="P81" s="119" t="str">
        <f>List!$B$306&amp;"!"</f>
        <v>Pro výsuvy délky 270 a 300 mm vyberte jednotky S1!</v>
      </c>
    </row>
    <row r="82" spans="16:16" x14ac:dyDescent="0.25">
      <c r="P82" s="119" t="str">
        <f>List!$B$307&amp;"!"</f>
        <v>Počet jednotek L neodpovídá počtu korpusových lišt!</v>
      </c>
    </row>
    <row r="83" spans="16:16" x14ac:dyDescent="0.25">
      <c r="P83" s="119" t="str">
        <f>List!$B$308&amp;"!"</f>
        <v>Počet jednotek S1 neodpovídá počtu korpusových lišt!</v>
      </c>
    </row>
    <row r="99" spans="1:14" x14ac:dyDescent="0.25">
      <c r="A99" s="783"/>
    </row>
    <row r="100" spans="1:14" ht="12.75" customHeight="1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ht="12.75" customHeight="1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22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4lfyV9qZlBM0joHSf9bD6eYEmOIJZOB+vz6uIE5nF9zhwRJFvT2cG1iYHTCNZjV86Hc1OrL7LXps5Wa+Q2f71g==" saltValue="1ciwbnGYqK38OQHSalqcXQ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C41NP'!A100" tooltip=" " display="'7C41NP'!A100"/>
    <hyperlink ref="N111" location="'7C41NP'!A1" tooltip=" " display="'7C41NP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5" tint="0.39997558519241921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10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.7265625" style="2" hidden="1" customWidth="1"/>
    <col min="21" max="21" width="11.179687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List!$B$52&amp;" C, "&amp;List!$B$69&amp;" "&amp;List!$B$66</f>
        <v>Vnitřní výsuv C, nízký přední zásuvný prvek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/>
      <c r="Q3" s="127"/>
      <c r="R3" s="127"/>
      <c r="S3" s="262"/>
      <c r="T3" s="266"/>
      <c r="U3" s="263"/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473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/>
      <c r="Q4" s="127"/>
      <c r="R4" s="127"/>
      <c r="S4" s="262"/>
      <c r="T4" s="266"/>
      <c r="U4" s="263"/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 t="str">
        <f>Cen!A119</f>
        <v>Bočnice C free, 350mm, Orion šedé</v>
      </c>
      <c r="Q5" s="127" t="str">
        <f>Cen!B119</f>
        <v>780C3502S</v>
      </c>
      <c r="R5" s="127" t="str">
        <f>Cen!C119</f>
        <v>OG-M</v>
      </c>
      <c r="S5" s="262">
        <f>SUM(F21,F27,F33)</f>
        <v>0</v>
      </c>
      <c r="T5" s="266">
        <f>Cen!F119</f>
        <v>30.157519999999998</v>
      </c>
      <c r="U5" s="263">
        <f t="shared" ref="U5:U10" si="0">S5*T5</f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952</v>
      </c>
      <c r="K6" s="122"/>
      <c r="L6" s="144"/>
      <c r="M6" s="119"/>
      <c r="N6" s="2" t="str">
        <f>List!$B$12&amp;":"</f>
        <v>Pokračovat na:</v>
      </c>
      <c r="O6" s="119"/>
      <c r="P6" s="127" t="str">
        <f>Cen!A123</f>
        <v>Bočnice C free, 400mm, Orion šedé</v>
      </c>
      <c r="Q6" s="127" t="str">
        <f>Cen!B123</f>
        <v>780C4002S</v>
      </c>
      <c r="R6" s="127" t="str">
        <f>Cen!C123</f>
        <v>OG-M</v>
      </c>
      <c r="S6" s="262">
        <f>SUM(G21,G27,G33)</f>
        <v>0</v>
      </c>
      <c r="T6" s="266">
        <f>Cen!F123</f>
        <v>30.37988</v>
      </c>
      <c r="U6" s="2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1" t="str">
        <f>List!$B$35&amp;":"</f>
        <v>sklo:</v>
      </c>
      <c r="I7" s="122"/>
      <c r="J7" s="121" t="str">
        <f>Form!$O$8</f>
        <v>čiré</v>
      </c>
      <c r="K7" s="122"/>
      <c r="L7" s="144"/>
      <c r="M7" s="119"/>
      <c r="N7" s="151" t="str">
        <f>" "&amp;List!$B$5</f>
        <v xml:space="preserve"> Výběr doplňků</v>
      </c>
      <c r="O7" s="119"/>
      <c r="P7" s="127" t="str">
        <f>Cen!A127</f>
        <v>Bočnice C free, 450mm, Orion šedé</v>
      </c>
      <c r="Q7" s="127" t="str">
        <f>Cen!B127</f>
        <v>780C4502S</v>
      </c>
      <c r="R7" s="127" t="str">
        <f>Cen!C127</f>
        <v>OG-M</v>
      </c>
      <c r="S7" s="262">
        <f>SUM(H21:H22,H27:H28,H33:H34)</f>
        <v>0</v>
      </c>
      <c r="T7" s="266">
        <f>Cen!F127</f>
        <v>30.602429999999998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$U$80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Cen!A131</f>
        <v>Bočnice C free, 500mm, Orion šedé</v>
      </c>
      <c r="Q8" s="127" t="str">
        <f>Cen!B131</f>
        <v>780C5002S</v>
      </c>
      <c r="R8" s="127" t="str">
        <f>Cen!C131</f>
        <v>OG-M</v>
      </c>
      <c r="S8" s="262">
        <f>SUM(I21:I22,I27:I28,I33:I34)</f>
        <v>0</v>
      </c>
      <c r="T8" s="266">
        <f>Cen!F131</f>
        <v>30.824969999999997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Cen!A135</f>
        <v>Bočnice C free, 550mm, Orion šedé</v>
      </c>
      <c r="Q9" s="127" t="str">
        <f>Cen!B135</f>
        <v>780C5502S</v>
      </c>
      <c r="R9" s="127" t="str">
        <f>Cen!C135</f>
        <v>OG-M</v>
      </c>
      <c r="S9" s="262">
        <f>SUM(J21:J22,J27:J28,J33:J34)</f>
        <v>0</v>
      </c>
      <c r="T9" s="266">
        <f>Cen!F135</f>
        <v>32.604779999999998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Cen!A139</f>
        <v>Bočnice C free, 600mm, Orion šedé</v>
      </c>
      <c r="Q10" s="127" t="str">
        <f>Cen!B139</f>
        <v>780C6002S</v>
      </c>
      <c r="R10" s="127" t="str">
        <f>Cen!C139</f>
        <v>OG-M</v>
      </c>
      <c r="S10" s="262">
        <f>SUM(K21:K22,K27:K28,K33:K34)</f>
        <v>0</v>
      </c>
      <c r="T10" s="266">
        <f>Cen!F139</f>
        <v>35.385860000000001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 t="str">
        <f>List!$B$146&amp;":"</f>
        <v>Přířezy prvků:</v>
      </c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Cen!A143</f>
        <v>Bočnice C free, 650mm, Orion šedé</v>
      </c>
      <c r="Q11" s="127" t="str">
        <f>Cen!B143</f>
        <v>780C6502S</v>
      </c>
      <c r="R11" s="127" t="str">
        <f>Cen!C143</f>
        <v>OG-M</v>
      </c>
      <c r="S11" s="262">
        <f>SUM(L22,L28,L34)</f>
        <v>0</v>
      </c>
      <c r="T11" s="266">
        <f>Cen!F143</f>
        <v>36.432029999999997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 t="str">
        <f>List!$C$150&amp;":   LW - 126"</f>
        <v>Přední díl:   LW - 126</v>
      </c>
      <c r="I12" s="291"/>
      <c r="J12" s="291"/>
      <c r="K12" s="291"/>
      <c r="L12" s="29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119" t="str">
        <f>List!$C$66&amp;":"</f>
        <v>přední zásuvný prvek:</v>
      </c>
      <c r="I13" s="293"/>
      <c r="J13" s="293"/>
      <c r="K13" s="293"/>
      <c r="L13" s="293"/>
      <c r="M13" s="119"/>
      <c r="N13" s="119"/>
      <c r="O13" s="119"/>
      <c r="P13" s="209" t="str">
        <f>Cen!A177</f>
        <v>Korpusové lišty BLUMOTION, 270mm, 40kg</v>
      </c>
      <c r="Q13" s="209" t="str">
        <f>Cen!B177</f>
        <v>750.2701B</v>
      </c>
      <c r="R13" s="209" t="str">
        <f>Cen!C177</f>
        <v>ZN</v>
      </c>
      <c r="S13" s="260">
        <f>D21</f>
        <v>0</v>
      </c>
      <c r="T13" s="261">
        <f>Cen!F177</f>
        <v>21.845690000000001</v>
      </c>
      <c r="U13" s="261">
        <f t="shared" ref="U13:U24" si="1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119" t="str">
        <f>"       "&amp;List!$C$74&amp;"  =  LW - 80"</f>
        <v xml:space="preserve">       šířka  =  LW - 80</v>
      </c>
      <c r="I14" s="290"/>
      <c r="J14" s="290"/>
      <c r="K14" s="290"/>
      <c r="L14" s="290"/>
      <c r="M14" s="119"/>
      <c r="N14" s="119"/>
      <c r="O14" s="119"/>
      <c r="P14" s="209" t="str">
        <f>Cen!A178</f>
        <v>Korpusové lišty BLUMOTION, 300mm, 40kg</v>
      </c>
      <c r="Q14" s="209" t="str">
        <f>Cen!B178</f>
        <v>750.3001B</v>
      </c>
      <c r="R14" s="209" t="str">
        <f>Cen!C178</f>
        <v>ZN</v>
      </c>
      <c r="S14" s="260">
        <f>E21</f>
        <v>0</v>
      </c>
      <c r="T14" s="261">
        <f>Cen!F178</f>
        <v>21.925909999999998</v>
      </c>
      <c r="U14" s="26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119" t="str">
        <f>"       "&amp;List!$C$75&amp;" =  70 mm"</f>
        <v xml:space="preserve">       výška =  70 mm</v>
      </c>
      <c r="I15" s="288"/>
      <c r="J15" s="288"/>
      <c r="K15" s="288"/>
      <c r="L15" s="288"/>
      <c r="M15" s="119"/>
      <c r="N15" s="119"/>
      <c r="O15" s="119"/>
      <c r="P15" s="209" t="str">
        <f>Cen!A179</f>
        <v>Korpusové lišty BLUMOTION, 350mm, 40kg</v>
      </c>
      <c r="Q15" s="209" t="str">
        <f>Cen!B179</f>
        <v>750.3501B</v>
      </c>
      <c r="R15" s="209" t="str">
        <f>Cen!C179</f>
        <v>ZN</v>
      </c>
      <c r="S15" s="260">
        <f>F21</f>
        <v>0</v>
      </c>
      <c r="T15" s="261">
        <f>Cen!F179</f>
        <v>21.845690000000001</v>
      </c>
      <c r="U15" s="26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Cen!A180</f>
        <v>Korpusové lišty BLUMOTION, 400mm, 40kg</v>
      </c>
      <c r="Q16" s="209" t="str">
        <f>Cen!B180</f>
        <v>750.4001B</v>
      </c>
      <c r="R16" s="209" t="str">
        <f>Cen!C180</f>
        <v>ZN</v>
      </c>
      <c r="S16" s="260">
        <f>G21</f>
        <v>0</v>
      </c>
      <c r="T16" s="261">
        <f>Cen!F180</f>
        <v>22.204979999999999</v>
      </c>
      <c r="U16" s="261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ht="15.5" x14ac:dyDescent="0.25">
      <c r="A18" s="119"/>
      <c r="C18" s="119"/>
      <c r="D18" s="119"/>
      <c r="E18" s="119"/>
      <c r="F18" s="119"/>
      <c r="G18" s="478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5" t="s">
        <v>615</v>
      </c>
      <c r="G20" s="305" t="s">
        <v>616</v>
      </c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846</v>
      </c>
      <c r="C21" s="298" t="s">
        <v>505</v>
      </c>
      <c r="D21" s="572"/>
      <c r="E21" s="572"/>
      <c r="F21" s="299"/>
      <c r="G21" s="299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847</v>
      </c>
      <c r="C22" s="311" t="s">
        <v>506</v>
      </c>
      <c r="D22" s="415"/>
      <c r="E22" s="415"/>
      <c r="F22" s="415"/>
      <c r="G22" s="415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/>
      <c r="E26" s="305"/>
      <c r="F26" s="305" t="s">
        <v>615</v>
      </c>
      <c r="G26" s="305" t="s">
        <v>616</v>
      </c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848</v>
      </c>
      <c r="C27" s="298" t="s">
        <v>505</v>
      </c>
      <c r="D27" s="572"/>
      <c r="E27" s="572"/>
      <c r="F27" s="299"/>
      <c r="G27" s="299"/>
      <c r="H27" s="299"/>
      <c r="I27" s="299"/>
      <c r="J27" s="299"/>
      <c r="K27" s="300"/>
      <c r="L27" s="572"/>
      <c r="M27" s="119"/>
      <c r="N27" s="119"/>
      <c r="O27" s="119"/>
      <c r="P27" s="209" t="str">
        <f>Cen!A193</f>
        <v>Korpusové lišty TIP-ON, 270mm, 40kg</v>
      </c>
      <c r="Q27" s="209" t="str">
        <f>Cen!B193</f>
        <v>750.2701T</v>
      </c>
      <c r="R27" s="209" t="str">
        <f>Cen!C193</f>
        <v>ZN</v>
      </c>
      <c r="S27" s="260">
        <f>D27</f>
        <v>0</v>
      </c>
      <c r="T27" s="261">
        <f>Cen!F193</f>
        <v>30.366460000000004</v>
      </c>
      <c r="U27" s="261">
        <f t="shared" ref="U27:U38" si="2">S27*T27</f>
        <v>0</v>
      </c>
    </row>
    <row r="28" spans="1:21" ht="14" x14ac:dyDescent="0.3">
      <c r="A28" s="119"/>
      <c r="B28" s="296" t="s">
        <v>849</v>
      </c>
      <c r="C28" s="310" t="s">
        <v>506</v>
      </c>
      <c r="D28" s="415"/>
      <c r="E28" s="415"/>
      <c r="F28" s="415"/>
      <c r="G28" s="415"/>
      <c r="H28" s="303"/>
      <c r="I28" s="303"/>
      <c r="J28" s="303"/>
      <c r="K28" s="304"/>
      <c r="L28" s="304"/>
      <c r="M28" s="119"/>
      <c r="N28" s="119"/>
      <c r="O28" s="119"/>
      <c r="P28" s="209" t="str">
        <f>Cen!A194</f>
        <v>Korpusové lišty TIP-ON, 300mm, 40kg</v>
      </c>
      <c r="Q28" s="209" t="str">
        <f>Cen!B194</f>
        <v>750.3001T</v>
      </c>
      <c r="R28" s="209" t="str">
        <f>Cen!C194</f>
        <v>ZN</v>
      </c>
      <c r="S28" s="260">
        <f>E27</f>
        <v>0</v>
      </c>
      <c r="T28" s="261">
        <f>Cen!F194</f>
        <v>30.366460000000004</v>
      </c>
      <c r="U28" s="261">
        <f t="shared" si="2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209" t="str">
        <f>Cen!A195</f>
        <v>Korpusové lišty TIP-ON, 350mm, 40kg</v>
      </c>
      <c r="Q29" s="209" t="str">
        <f>Cen!B195</f>
        <v>750.3501T</v>
      </c>
      <c r="R29" s="209" t="str">
        <f>Cen!C195</f>
        <v>ZN</v>
      </c>
      <c r="S29" s="260">
        <f>F27</f>
        <v>0</v>
      </c>
      <c r="T29" s="261">
        <f>Cen!F195</f>
        <v>30.366460000000004</v>
      </c>
      <c r="U29" s="261">
        <f t="shared" si="2"/>
        <v>0</v>
      </c>
    </row>
    <row r="30" spans="1:21" x14ac:dyDescent="0.25">
      <c r="A30" s="119"/>
      <c r="M30" s="119"/>
      <c r="N30" s="119"/>
      <c r="O30" s="119"/>
      <c r="P30" s="209" t="str">
        <f>Cen!A196</f>
        <v>Korpusové lišty TIP-ON, 400mm, 40kg</v>
      </c>
      <c r="Q30" s="209" t="str">
        <f>Cen!B196</f>
        <v>750.4001T</v>
      </c>
      <c r="R30" s="209" t="str">
        <f>Cen!C196</f>
        <v>ZN</v>
      </c>
      <c r="S30" s="260">
        <f>G27</f>
        <v>0</v>
      </c>
      <c r="T30" s="261">
        <f>Cen!F196</f>
        <v>30.645720000000001</v>
      </c>
      <c r="U30" s="261">
        <f t="shared" si="2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Cen!A197</f>
        <v>Korpusové lišty TIP-ON, 450mm, 40kg</v>
      </c>
      <c r="Q31" s="209" t="str">
        <f>Cen!B197</f>
        <v>750.4501T</v>
      </c>
      <c r="R31" s="209" t="str">
        <f>Cen!C197</f>
        <v>ZN</v>
      </c>
      <c r="S31" s="260">
        <f>H27</f>
        <v>0</v>
      </c>
      <c r="T31" s="261">
        <f>Cen!F197</f>
        <v>32.552599999999998</v>
      </c>
      <c r="U31" s="261">
        <f t="shared" si="2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/>
      <c r="E32" s="305"/>
      <c r="F32" s="305" t="s">
        <v>615</v>
      </c>
      <c r="G32" s="305" t="s">
        <v>616</v>
      </c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Cen!A198</f>
        <v>Korpusové lišty TIP-ON, 450mm, 70kg</v>
      </c>
      <c r="Q32" s="209" t="str">
        <f>Cen!B198</f>
        <v>753.4501T</v>
      </c>
      <c r="R32" s="209" t="str">
        <f>Cen!C198</f>
        <v>ZN</v>
      </c>
      <c r="S32" s="260">
        <f>H28</f>
        <v>0</v>
      </c>
      <c r="T32" s="261">
        <f>Cen!F198</f>
        <v>36.006259999999997</v>
      </c>
      <c r="U32" s="261">
        <f t="shared" si="2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572"/>
      <c r="E33" s="572"/>
      <c r="F33" s="299"/>
      <c r="G33" s="299"/>
      <c r="H33" s="299"/>
      <c r="I33" s="299"/>
      <c r="J33" s="299"/>
      <c r="K33" s="300"/>
      <c r="L33" s="572"/>
      <c r="M33" s="119"/>
      <c r="N33" s="119"/>
      <c r="P33" s="209" t="str">
        <f>Cen!A199</f>
        <v>Korpusové lišty TIP-ON, 500mm, 40kg</v>
      </c>
      <c r="Q33" s="209" t="str">
        <f>Cen!B199</f>
        <v>750.5001T</v>
      </c>
      <c r="R33" s="209" t="str">
        <f>Cen!C199</f>
        <v>ZN</v>
      </c>
      <c r="S33" s="260">
        <f>I27</f>
        <v>0</v>
      </c>
      <c r="T33" s="261">
        <f>Cen!F199</f>
        <v>32.846359999999997</v>
      </c>
      <c r="U33" s="261">
        <f t="shared" si="2"/>
        <v>0</v>
      </c>
    </row>
    <row r="34" spans="1:21" ht="14" x14ac:dyDescent="0.3">
      <c r="B34" s="296" t="s">
        <v>1188</v>
      </c>
      <c r="C34" s="310" t="s">
        <v>506</v>
      </c>
      <c r="D34" s="415"/>
      <c r="E34" s="415"/>
      <c r="F34" s="415"/>
      <c r="G34" s="415"/>
      <c r="H34" s="303"/>
      <c r="I34" s="303"/>
      <c r="J34" s="303"/>
      <c r="K34" s="304"/>
      <c r="L34" s="304"/>
      <c r="M34" s="119"/>
      <c r="N34" s="119"/>
      <c r="P34" s="209" t="str">
        <f>Cen!A200</f>
        <v>Korpusové lišty TIP-ON, 500mm, 70kg</v>
      </c>
      <c r="Q34" s="209" t="str">
        <f>Cen!B200</f>
        <v>753.5001T</v>
      </c>
      <c r="R34" s="209" t="str">
        <f>Cen!C200</f>
        <v>ZN</v>
      </c>
      <c r="S34" s="260">
        <f>I28</f>
        <v>0</v>
      </c>
      <c r="T34" s="261">
        <f>Cen!F200</f>
        <v>36.285339999999998</v>
      </c>
      <c r="U34" s="261">
        <f t="shared" si="2"/>
        <v>0</v>
      </c>
    </row>
    <row r="35" spans="1:21" ht="15.5" x14ac:dyDescent="0.3"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P35" s="209" t="str">
        <f>Cen!A201</f>
        <v>Korpusové lišty TIP-ON, 550mm, 40kg</v>
      </c>
      <c r="Q35" s="209" t="str">
        <f>Cen!B201</f>
        <v>750.5501T</v>
      </c>
      <c r="R35" s="209" t="str">
        <f>Cen!C201</f>
        <v>ZN</v>
      </c>
      <c r="S35" s="260">
        <f>J27</f>
        <v>0</v>
      </c>
      <c r="T35" s="261">
        <f>Cen!F201</f>
        <v>32.694760000000002</v>
      </c>
      <c r="U35" s="261">
        <f t="shared" si="2"/>
        <v>0</v>
      </c>
    </row>
    <row r="36" spans="1:21" ht="13" x14ac:dyDescent="0.3"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P36" s="209" t="str">
        <f>Cen!A202</f>
        <v>Korpusové lišty TIP-ON, 550mm, 70kg</v>
      </c>
      <c r="Q36" s="209" t="str">
        <f>Cen!B202</f>
        <v>753.5501T</v>
      </c>
      <c r="R36" s="209" t="str">
        <f>Cen!C202</f>
        <v>ZN</v>
      </c>
      <c r="S36" s="260">
        <f>J28</f>
        <v>0</v>
      </c>
      <c r="T36" s="261">
        <f>Cen!F202</f>
        <v>37.776060000000001</v>
      </c>
      <c r="U36" s="261">
        <f t="shared" si="2"/>
        <v>0</v>
      </c>
    </row>
    <row r="37" spans="1:21" ht="14" x14ac:dyDescent="0.3">
      <c r="B37" s="291"/>
      <c r="C37" s="291"/>
      <c r="D37" s="308"/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122" t="str">
        <f>Cen!A203</f>
        <v>Korpusové lišty TIP-ON, 600mm, 40kg</v>
      </c>
      <c r="Q37" s="122" t="str">
        <f>Cen!B203</f>
        <v>750.6001T</v>
      </c>
      <c r="R37" s="122" t="str">
        <f>Cen!C203</f>
        <v>ZN</v>
      </c>
      <c r="S37" s="123">
        <f>K27</f>
        <v>0</v>
      </c>
      <c r="T37" s="118">
        <f>Cen!F203</f>
        <v>35.700530000000001</v>
      </c>
      <c r="U37" s="261">
        <f t="shared" si="2"/>
        <v>0</v>
      </c>
    </row>
    <row r="38" spans="1:21" ht="14.5" thickBot="1" x14ac:dyDescent="0.35">
      <c r="B38" s="179"/>
      <c r="C38" s="291"/>
      <c r="D38" s="572"/>
      <c r="E38" s="299"/>
      <c r="F38" s="299"/>
      <c r="G38" s="300"/>
      <c r="H38" s="662" t="str">
        <f>IF(SUM(F33:K33,H34:L34)=SUM(E38:G38)," ",P82)</f>
        <v xml:space="preserve"> </v>
      </c>
      <c r="I38" s="291"/>
      <c r="M38" s="119"/>
      <c r="P38" s="122" t="str">
        <f>Cen!A204</f>
        <v>Korpusové lišty TIP-ON, 600mm, 70kg</v>
      </c>
      <c r="Q38" s="122" t="str">
        <f>Cen!B204</f>
        <v>753.6001T</v>
      </c>
      <c r="R38" s="122" t="str">
        <f>Cen!C204</f>
        <v>ZN</v>
      </c>
      <c r="S38" s="123">
        <f>K28</f>
        <v>0</v>
      </c>
      <c r="T38" s="118">
        <f>Cen!F204</f>
        <v>40.781829999999999</v>
      </c>
      <c r="U38" s="118">
        <f t="shared" si="2"/>
        <v>0</v>
      </c>
    </row>
    <row r="39" spans="1:21" x14ac:dyDescent="0.25">
      <c r="C39" s="661"/>
      <c r="D39" s="660"/>
      <c r="E39" s="291"/>
      <c r="F39" s="291"/>
      <c r="G39" s="291"/>
      <c r="H39" s="291"/>
      <c r="I39" s="291"/>
      <c r="M39" s="119"/>
      <c r="P39" s="122" t="str">
        <f>Cen!A205</f>
        <v>Korpusové lišty TIP-ON, 650mm, 70kg</v>
      </c>
      <c r="Q39" s="122" t="str">
        <f>Cen!B205</f>
        <v>753.6501T</v>
      </c>
      <c r="R39" s="122" t="str">
        <f>Cen!C205</f>
        <v>ZN</v>
      </c>
      <c r="S39" s="123">
        <f>L28</f>
        <v>0</v>
      </c>
      <c r="T39" s="118">
        <f>Cen!F205</f>
        <v>42.272550000000003</v>
      </c>
      <c r="U39" s="118">
        <f>S39*T39</f>
        <v>0</v>
      </c>
    </row>
    <row r="40" spans="1:21" x14ac:dyDescent="0.25">
      <c r="B40" s="661"/>
      <c r="C40" s="661"/>
      <c r="D40" s="660"/>
      <c r="P40" s="144"/>
      <c r="Q40" s="144"/>
      <c r="R40" s="144"/>
      <c r="S40" s="150"/>
      <c r="T40" s="154"/>
      <c r="U40" s="154"/>
    </row>
    <row r="41" spans="1:21" ht="13" x14ac:dyDescent="0.3">
      <c r="B41" s="119"/>
      <c r="C41" s="287"/>
      <c r="H41" s="289"/>
      <c r="I41" s="289"/>
      <c r="J41" s="289"/>
      <c r="K41" s="289"/>
      <c r="L41" s="289"/>
      <c r="P41" s="122" t="str">
        <f>Cen!A209</f>
        <v>Korpusové lišty TIP-ON BLUMOTION, 270mm, 40kg</v>
      </c>
      <c r="Q41" s="122" t="str">
        <f>Cen!B209</f>
        <v>750.2700M</v>
      </c>
      <c r="R41" s="122" t="str">
        <f>Cen!C209</f>
        <v>ZN</v>
      </c>
      <c r="S41" s="123">
        <f>D33</f>
        <v>0</v>
      </c>
      <c r="T41" s="118">
        <f>Cen!F209</f>
        <v>21.925909999999998</v>
      </c>
      <c r="U41" s="118">
        <f>S41*T41</f>
        <v>0</v>
      </c>
    </row>
    <row r="42" spans="1:21" ht="13" x14ac:dyDescent="0.3">
      <c r="B42" s="287"/>
      <c r="C42" s="287"/>
      <c r="D42" s="119"/>
      <c r="E42" s="119"/>
      <c r="F42" s="119"/>
      <c r="G42" s="119"/>
      <c r="H42" s="144"/>
      <c r="I42" s="144"/>
      <c r="J42" s="119"/>
      <c r="K42" s="119"/>
      <c r="L42" s="119"/>
      <c r="P42" s="122" t="str">
        <f>Cen!A210</f>
        <v>Korpusové lišty TIP-ON BLUMOTION, 300mm, 40kg</v>
      </c>
      <c r="Q42" s="122" t="str">
        <f>Cen!B210</f>
        <v>750.3001M</v>
      </c>
      <c r="R42" s="122" t="str">
        <f>Cen!C210</f>
        <v>ZN</v>
      </c>
      <c r="S42" s="123">
        <f>E33</f>
        <v>0</v>
      </c>
      <c r="T42" s="118">
        <f>Cen!F210</f>
        <v>21.925909999999998</v>
      </c>
      <c r="U42" s="118">
        <f t="shared" ref="U42:U58" si="3">S42*T42</f>
        <v>0</v>
      </c>
    </row>
    <row r="43" spans="1:21" ht="14" x14ac:dyDescent="0.3">
      <c r="B43" s="477" t="str">
        <f>IF(AND(SUM(S3:S10)&gt;0,SUM(S65:S68)=0),"        *"&amp;List!$B$166&amp;" "&amp;List!$B$167," ")</f>
        <v xml:space="preserve"> </v>
      </c>
      <c r="C43" s="287"/>
      <c r="H43" s="289"/>
      <c r="I43" s="289"/>
      <c r="J43" s="289"/>
      <c r="K43" s="289"/>
      <c r="L43" s="289"/>
      <c r="P43" s="122" t="str">
        <f>Cen!A211</f>
        <v>Korpusové lišty TIP-ON BLUMOTION, 350mm, 40kg</v>
      </c>
      <c r="Q43" s="122" t="str">
        <f>Cen!B211</f>
        <v>750.3501M</v>
      </c>
      <c r="R43" s="122" t="str">
        <f>Cen!C211</f>
        <v>ZN</v>
      </c>
      <c r="S43" s="123">
        <f>F33</f>
        <v>0</v>
      </c>
      <c r="T43" s="118">
        <f>Cen!F211</f>
        <v>21.925909999999998</v>
      </c>
      <c r="U43" s="118">
        <f t="shared" si="3"/>
        <v>0</v>
      </c>
    </row>
    <row r="44" spans="1:21" ht="13" x14ac:dyDescent="0.3">
      <c r="B44" s="287"/>
      <c r="C44" s="287"/>
      <c r="H44" s="290"/>
      <c r="I44" s="290"/>
      <c r="J44" s="290"/>
      <c r="K44" s="290"/>
      <c r="L44" s="290"/>
      <c r="P44" s="122" t="str">
        <f>Cen!A212</f>
        <v>Korpusové lišty TIP-ON BLUMOTION, 400mm, 40kg</v>
      </c>
      <c r="Q44" s="122" t="str">
        <f>Cen!B212</f>
        <v>750.4001M</v>
      </c>
      <c r="R44" s="122" t="str">
        <f>Cen!C212</f>
        <v>ZN</v>
      </c>
      <c r="S44" s="123">
        <f>G33</f>
        <v>0</v>
      </c>
      <c r="T44" s="118">
        <f>Cen!F212</f>
        <v>22.204979999999999</v>
      </c>
      <c r="U44" s="118">
        <f t="shared" si="3"/>
        <v>0</v>
      </c>
    </row>
    <row r="45" spans="1:21" ht="15.5" x14ac:dyDescent="0.35">
      <c r="B45" s="321" t="str">
        <f>List!$B$65&amp;" - "&amp;List!$B$35</f>
        <v>Přední zásuvné prvky - sklo</v>
      </c>
      <c r="C45" s="287"/>
      <c r="H45" s="288"/>
      <c r="I45" s="288"/>
      <c r="J45" s="288"/>
      <c r="K45" s="288"/>
      <c r="L45" s="288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3"/>
        <v>0</v>
      </c>
    </row>
    <row r="46" spans="1:21" ht="15.5" x14ac:dyDescent="0.3">
      <c r="B46" s="312"/>
      <c r="C46" s="7"/>
      <c r="D46" s="320" t="str">
        <f>List!$B$112&amp;" KB: "</f>
        <v xml:space="preserve">Šířka korpusu KB: </v>
      </c>
      <c r="E46" s="308" t="s">
        <v>122</v>
      </c>
      <c r="F46" s="314" t="s">
        <v>123</v>
      </c>
      <c r="G46" s="305" t="s">
        <v>817</v>
      </c>
      <c r="H46" s="307" t="s">
        <v>818</v>
      </c>
      <c r="I46" s="291"/>
      <c r="J46" s="291"/>
      <c r="K46" s="291"/>
      <c r="L46" s="291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3"/>
        <v>0</v>
      </c>
    </row>
    <row r="47" spans="1:21" ht="14" x14ac:dyDescent="0.3">
      <c r="B47" s="319"/>
      <c r="D47" s="322" t="str">
        <f>List!$B$100&amp;": "</f>
        <v xml:space="preserve">Celkový počet ks: </v>
      </c>
      <c r="E47" s="317"/>
      <c r="F47" s="317"/>
      <c r="G47" s="317"/>
      <c r="H47" s="318"/>
      <c r="I47" s="289"/>
      <c r="J47" s="289"/>
      <c r="K47" s="289"/>
      <c r="L47" s="28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3"/>
        <v>0</v>
      </c>
    </row>
    <row r="48" spans="1:21" ht="14" x14ac:dyDescent="0.3">
      <c r="B48" s="319"/>
      <c r="D48" s="322"/>
      <c r="E48" s="295"/>
      <c r="F48" s="295"/>
      <c r="G48" s="295"/>
      <c r="H48" s="295"/>
      <c r="I48" s="289"/>
      <c r="J48" s="289"/>
      <c r="K48" s="289"/>
      <c r="L48" s="28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3"/>
        <v>0</v>
      </c>
    </row>
    <row r="49" spans="2:21" ht="14" x14ac:dyDescent="0.3">
      <c r="B49" s="315"/>
      <c r="C49" s="316"/>
      <c r="D49" s="295"/>
      <c r="E49" s="295"/>
      <c r="F49" s="295"/>
      <c r="G49" s="295"/>
      <c r="I49" s="290"/>
      <c r="J49" s="290"/>
      <c r="K49" s="290"/>
      <c r="L49" s="290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3"/>
        <v>0</v>
      </c>
    </row>
    <row r="50" spans="2:21" ht="13" x14ac:dyDescent="0.3">
      <c r="B50" s="119" t="str">
        <f>"        "&amp;List!$B$168</f>
        <v xml:space="preserve">        Zadejte celkový počet předních zásuvných prvků pro příslušnou šířku korpusu</v>
      </c>
      <c r="C50" s="287"/>
      <c r="H50" s="288"/>
      <c r="I50" s="288"/>
      <c r="J50" s="288"/>
      <c r="K50" s="288"/>
      <c r="L50" s="288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3"/>
        <v>0</v>
      </c>
    </row>
    <row r="51" spans="2:21" ht="13" x14ac:dyDescent="0.3">
      <c r="B51" s="119" t="str">
        <f>"        "&amp;List!$B$172</f>
        <v xml:space="preserve">        Máte-li zásuvné prvky vlastní, počty nezadávejte</v>
      </c>
      <c r="C51" s="287"/>
      <c r="H51" s="291"/>
      <c r="I51" s="291"/>
      <c r="J51" s="291"/>
      <c r="K51" s="291"/>
      <c r="L51" s="291"/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3"/>
        <v>0</v>
      </c>
    </row>
    <row r="52" spans="2:21" ht="13" x14ac:dyDescent="0.3">
      <c r="B52" s="119"/>
      <c r="C52" s="287"/>
      <c r="H52" s="289"/>
      <c r="I52" s="289"/>
      <c r="J52" s="289"/>
      <c r="K52" s="289"/>
      <c r="L52" s="289"/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3"/>
        <v>0</v>
      </c>
    </row>
    <row r="53" spans="2:21" ht="13" x14ac:dyDescent="0.3">
      <c r="B53" s="119" t="str">
        <f>"        "&amp;List!$B$158</f>
        <v xml:space="preserve">        Pro každý výsuv je započítán jeden přední díl</v>
      </c>
      <c r="C53" s="287"/>
      <c r="H53" s="289"/>
      <c r="I53" s="289"/>
      <c r="J53" s="289"/>
      <c r="K53" s="289"/>
      <c r="L53" s="289"/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3"/>
        <v>0</v>
      </c>
    </row>
    <row r="54" spans="2:21" ht="13" x14ac:dyDescent="0.3">
      <c r="B54" s="119" t="str">
        <f>"        "&amp;List!$B$160</f>
        <v xml:space="preserve">        Potřebný počet předních dílů upravte v objednávce</v>
      </c>
      <c r="C54" s="287"/>
      <c r="H54" s="289"/>
      <c r="I54" s="289"/>
      <c r="J54" s="289"/>
      <c r="K54" s="289"/>
      <c r="L54" s="289"/>
      <c r="P54" s="122"/>
      <c r="Q54" s="122"/>
      <c r="R54" s="122"/>
      <c r="S54" s="123"/>
      <c r="T54" s="118"/>
      <c r="U54" s="118"/>
    </row>
    <row r="55" spans="2:21" ht="13" x14ac:dyDescent="0.3">
      <c r="C55" s="287"/>
      <c r="H55" s="289"/>
      <c r="I55" s="289"/>
      <c r="J55" s="289"/>
      <c r="K55" s="289"/>
      <c r="L55" s="28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>
        <f>D38</f>
        <v>0</v>
      </c>
      <c r="T55" s="118">
        <f>Cen!F223</f>
        <v>15.883479999999999</v>
      </c>
      <c r="U55" s="118">
        <f t="shared" si="3"/>
        <v>0</v>
      </c>
    </row>
    <row r="56" spans="2:21" ht="13" x14ac:dyDescent="0.3">
      <c r="B56" s="119" t="str">
        <f>"        "&amp;List!$B$169</f>
        <v xml:space="preserve">        Boční zásuvné prvky se načtou automaticky</v>
      </c>
      <c r="C56" s="287"/>
      <c r="H56" s="289"/>
      <c r="I56" s="289"/>
      <c r="J56" s="289"/>
      <c r="K56" s="289"/>
      <c r="L56" s="28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 t="shared" si="3"/>
        <v>0</v>
      </c>
    </row>
    <row r="57" spans="2:21" ht="13" x14ac:dyDescent="0.3">
      <c r="B57" s="119" t="str">
        <f>"        "&amp;List!$B$173</f>
        <v xml:space="preserve">        Máte-li zásuvné prvky vlastní, upravte počty v objednávce</v>
      </c>
      <c r="C57" s="287"/>
      <c r="H57" s="289"/>
      <c r="I57" s="289"/>
      <c r="J57" s="289"/>
      <c r="K57" s="289"/>
      <c r="L57" s="28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 t="shared" si="3"/>
        <v>0</v>
      </c>
    </row>
    <row r="58" spans="2:21" ht="13" x14ac:dyDescent="0.3">
      <c r="C58" s="287"/>
      <c r="H58" s="289"/>
      <c r="I58" s="289"/>
      <c r="J58" s="289"/>
      <c r="K58" s="289"/>
      <c r="L58" s="28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 t="shared" si="3"/>
        <v>0</v>
      </c>
    </row>
    <row r="59" spans="2:21" ht="13" x14ac:dyDescent="0.3">
      <c r="B59" s="119"/>
      <c r="C59" s="287"/>
      <c r="H59" s="289"/>
      <c r="I59" s="289"/>
      <c r="J59" s="289"/>
      <c r="K59" s="289"/>
      <c r="L59" s="289"/>
      <c r="P59" s="144"/>
      <c r="Q59" s="144"/>
      <c r="R59" s="144"/>
      <c r="S59" s="150"/>
      <c r="T59" s="154"/>
      <c r="U59" s="154"/>
    </row>
    <row r="60" spans="2:21" x14ac:dyDescent="0.25">
      <c r="H60" s="290"/>
      <c r="I60" s="290"/>
      <c r="J60" s="290"/>
      <c r="K60" s="290"/>
      <c r="L60" s="290"/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SUM(S3:S11)</f>
        <v>0</v>
      </c>
      <c r="T60" s="118">
        <f>Cen!$F259</f>
        <v>1.59894</v>
      </c>
      <c r="U60" s="118">
        <f>S60*T60</f>
        <v>0</v>
      </c>
    </row>
    <row r="61" spans="2:21" ht="13" x14ac:dyDescent="0.3">
      <c r="H61" s="288"/>
      <c r="I61" s="288"/>
      <c r="J61" s="288"/>
      <c r="K61" s="288"/>
      <c r="L61" s="288"/>
      <c r="P61" s="122" t="str">
        <f>Cen!A293</f>
        <v>Sada kování vnitř.výs. C, se zás.prvkem, Orion šedá</v>
      </c>
      <c r="Q61" s="122" t="str">
        <f>Cen!B293</f>
        <v>ZI7.2CS0</v>
      </c>
      <c r="R61" s="122" t="str">
        <f>Cen!C293</f>
        <v>OG-M</v>
      </c>
      <c r="S61" s="123">
        <f>SUM(S3:S11)</f>
        <v>0</v>
      </c>
      <c r="T61" s="118">
        <f>Cen!F293</f>
        <v>19.402619999999999</v>
      </c>
      <c r="U61" s="118">
        <f>S61*T61</f>
        <v>0</v>
      </c>
    </row>
    <row r="62" spans="2:21" x14ac:dyDescent="0.25">
      <c r="P62" s="122"/>
      <c r="Q62" s="122"/>
      <c r="R62" s="122"/>
      <c r="S62" s="123"/>
      <c r="T62" s="118"/>
      <c r="U62" s="118"/>
    </row>
    <row r="63" spans="2:21" x14ac:dyDescent="0.25">
      <c r="P63" s="122" t="str">
        <f>Cen!A306</f>
        <v>Přední díl vnitřní zásuvky, s drážkou, Orion šedý</v>
      </c>
      <c r="Q63" s="122" t="str">
        <f>Cen!B306</f>
        <v>ZV7.1043MN1</v>
      </c>
      <c r="R63" s="122" t="str">
        <f>Cen!C306</f>
        <v>OG-M</v>
      </c>
      <c r="S63" s="559">
        <f>SUM($S$3:$S$11)</f>
        <v>0</v>
      </c>
      <c r="T63" s="118">
        <f>Cen!F306</f>
        <v>14.808439999999997</v>
      </c>
      <c r="U63" s="118">
        <f>S63*T63</f>
        <v>0</v>
      </c>
    </row>
    <row r="64" spans="2:21" x14ac:dyDescent="0.25">
      <c r="P64" s="122"/>
      <c r="Q64" s="122"/>
      <c r="R64" s="122"/>
      <c r="S64" s="123"/>
      <c r="T64" s="118"/>
      <c r="U64" s="118"/>
    </row>
    <row r="65" spans="16:21" x14ac:dyDescent="0.25">
      <c r="P65" s="126" t="str">
        <f>Cen!A330</f>
        <v>Přední zásuvný prvek nízký, sklo, KB 450mm</v>
      </c>
      <c r="Q65" s="126" t="str">
        <f>Cen!B330</f>
        <v>ZE7V332G</v>
      </c>
      <c r="R65" s="126" t="str">
        <f>Cen!C330</f>
        <v>KLA</v>
      </c>
      <c r="S65" s="334">
        <f>IF(SUM($S$3:$S$11)&gt;0,E47,0)</f>
        <v>0</v>
      </c>
      <c r="T65" s="335">
        <f>Cen!F330</f>
        <v>8.02196</v>
      </c>
      <c r="U65" s="335">
        <f>S65*T65</f>
        <v>0</v>
      </c>
    </row>
    <row r="66" spans="16:21" x14ac:dyDescent="0.25">
      <c r="P66" s="126" t="str">
        <f>Cen!A331</f>
        <v>Přední zásuvný prvek nízký, sklo, KB 600mm</v>
      </c>
      <c r="Q66" s="126" t="str">
        <f>Cen!B331</f>
        <v>ZE7V482G</v>
      </c>
      <c r="R66" s="126" t="str">
        <f>Cen!C331</f>
        <v>KLA</v>
      </c>
      <c r="S66" s="334">
        <f>IF(SUM($S$3:$S$11)&gt;0,F47,0)</f>
        <v>0</v>
      </c>
      <c r="T66" s="335">
        <f>Cen!F331</f>
        <v>9.1958699999999993</v>
      </c>
      <c r="U66" s="335">
        <f>S66*T66</f>
        <v>0</v>
      </c>
    </row>
    <row r="67" spans="16:21" x14ac:dyDescent="0.25">
      <c r="P67" s="126" t="str">
        <f>Cen!A332</f>
        <v>Přední zásuvný prvek nízký, sklo, KB 900mm</v>
      </c>
      <c r="Q67" s="126" t="str">
        <f>Cen!B332</f>
        <v>ZE7V782G</v>
      </c>
      <c r="R67" s="126" t="str">
        <f>Cen!C332</f>
        <v>KLA</v>
      </c>
      <c r="S67" s="334">
        <f>IF(SUM($S$3:$S$11)&gt;0,G47,0)</f>
        <v>0</v>
      </c>
      <c r="T67" s="335">
        <f>Cen!F332</f>
        <v>16.2394</v>
      </c>
      <c r="U67" s="335">
        <f>S67*T67</f>
        <v>0</v>
      </c>
    </row>
    <row r="68" spans="16:21" x14ac:dyDescent="0.25">
      <c r="P68" s="206" t="str">
        <f>Cen!A333</f>
        <v>Přední zásuvný prvek nízký, sklo, KB 1200mm</v>
      </c>
      <c r="Q68" s="206" t="str">
        <f>Cen!B333</f>
        <v>ZE7V1082G</v>
      </c>
      <c r="R68" s="206" t="str">
        <f>Cen!C333</f>
        <v>KLA</v>
      </c>
      <c r="S68" s="264">
        <f>IF(SUM($S$3:$S$11)&gt;0,H47,0)</f>
        <v>0</v>
      </c>
      <c r="T68" s="265">
        <f>Cen!F333</f>
        <v>20.93506</v>
      </c>
      <c r="U68" s="265">
        <f>S68*T68</f>
        <v>0</v>
      </c>
    </row>
    <row r="69" spans="16:21" x14ac:dyDescent="0.25">
      <c r="P69" s="119"/>
      <c r="Q69" s="119"/>
    </row>
    <row r="70" spans="16:21" x14ac:dyDescent="0.25">
      <c r="P70" s="209" t="str">
        <f>Cen!A168</f>
        <v>Boční zásuvné prvky, sklo, pro 350 mm</v>
      </c>
      <c r="Q70" s="209" t="str">
        <f>Cen!B168</f>
        <v>ZE7S238G</v>
      </c>
      <c r="R70" s="209" t="str">
        <f>Cen!C168</f>
        <v>KLA</v>
      </c>
      <c r="S70" s="260">
        <f t="shared" ref="S70:S76" si="4">S5</f>
        <v>0</v>
      </c>
      <c r="T70" s="607">
        <f>Cen!F168</f>
        <v>20.738469999999996</v>
      </c>
      <c r="U70" s="261">
        <f>S70*T70</f>
        <v>0</v>
      </c>
    </row>
    <row r="71" spans="16:21" x14ac:dyDescent="0.25">
      <c r="P71" s="127" t="str">
        <f>Cen!A169</f>
        <v>Boční zásuvné prvky, sklo, pro 400 mm</v>
      </c>
      <c r="Q71" s="127" t="str">
        <f>Cen!B169</f>
        <v>ZE7S288G</v>
      </c>
      <c r="R71" s="127" t="str">
        <f>Cen!C169</f>
        <v>KLA</v>
      </c>
      <c r="S71" s="262">
        <f t="shared" si="4"/>
        <v>0</v>
      </c>
      <c r="T71" s="266">
        <f>Cen!F169</f>
        <v>21.912770000000002</v>
      </c>
      <c r="U71" s="263">
        <f t="shared" ref="U71:U76" si="5">S71*T71</f>
        <v>0</v>
      </c>
    </row>
    <row r="72" spans="16:21" x14ac:dyDescent="0.25">
      <c r="P72" s="127" t="str">
        <f>Cen!A170</f>
        <v>Boční zásuvné prvky, sklo, pro 450 mm</v>
      </c>
      <c r="Q72" s="127" t="str">
        <f>Cen!B170</f>
        <v>ZE7S338G</v>
      </c>
      <c r="R72" s="127" t="str">
        <f>Cen!C170</f>
        <v>KLA</v>
      </c>
      <c r="S72" s="262">
        <f t="shared" si="4"/>
        <v>0</v>
      </c>
      <c r="T72" s="266">
        <f>Cen!F170</f>
        <v>23.087060000000001</v>
      </c>
      <c r="U72" s="263">
        <f t="shared" si="5"/>
        <v>0</v>
      </c>
    </row>
    <row r="73" spans="16:21" x14ac:dyDescent="0.25">
      <c r="P73" s="127" t="str">
        <f>Cen!A171</f>
        <v>Boční zásuvné prvky, sklo, pro 500 mm</v>
      </c>
      <c r="Q73" s="127" t="str">
        <f>Cen!B171</f>
        <v>ZE7S388G</v>
      </c>
      <c r="R73" s="127" t="str">
        <f>Cen!C171</f>
        <v>KLA</v>
      </c>
      <c r="S73" s="262">
        <f t="shared" si="4"/>
        <v>0</v>
      </c>
      <c r="T73" s="266">
        <f>Cen!F171</f>
        <v>24.26136</v>
      </c>
      <c r="U73" s="263">
        <f t="shared" si="5"/>
        <v>0</v>
      </c>
    </row>
    <row r="74" spans="16:21" x14ac:dyDescent="0.25">
      <c r="P74" s="127" t="str">
        <f>Cen!A172</f>
        <v>Boční zásuvné prvky, sklo, pro 550 mm</v>
      </c>
      <c r="Q74" s="127" t="str">
        <f>Cen!B172</f>
        <v>ZE7S438G</v>
      </c>
      <c r="R74" s="127" t="str">
        <f>Cen!C172</f>
        <v>KLA</v>
      </c>
      <c r="S74" s="262">
        <f t="shared" si="4"/>
        <v>0</v>
      </c>
      <c r="T74" s="266">
        <f>Cen!F172</f>
        <v>26.609179999999995</v>
      </c>
      <c r="U74" s="263">
        <f t="shared" si="5"/>
        <v>0</v>
      </c>
    </row>
    <row r="75" spans="16:21" x14ac:dyDescent="0.25">
      <c r="P75" s="127" t="str">
        <f>Cen!A173</f>
        <v>Boční zásuvné prvky, sklo, pro 600 mm</v>
      </c>
      <c r="Q75" s="127" t="str">
        <f>Cen!B173</f>
        <v>ZE7S488G</v>
      </c>
      <c r="R75" s="127" t="str">
        <f>Cen!C173</f>
        <v>KLA</v>
      </c>
      <c r="S75" s="262">
        <f t="shared" si="4"/>
        <v>0</v>
      </c>
      <c r="T75" s="266">
        <f>Cen!F173</f>
        <v>28.957020000000004</v>
      </c>
      <c r="U75" s="263">
        <f t="shared" si="5"/>
        <v>0</v>
      </c>
    </row>
    <row r="76" spans="16:21" ht="13" thickBot="1" x14ac:dyDescent="0.3">
      <c r="P76" s="608" t="str">
        <f>Cen!A174</f>
        <v>Boční zásuvné prvky, sklo, pro 650 mm</v>
      </c>
      <c r="Q76" s="608" t="str">
        <f>Cen!B174</f>
        <v>ZE7S538G</v>
      </c>
      <c r="R76" s="608" t="str">
        <f>Cen!C174</f>
        <v>KLA</v>
      </c>
      <c r="S76" s="609">
        <f t="shared" si="4"/>
        <v>0</v>
      </c>
      <c r="T76" s="610">
        <f>Cen!F174</f>
        <v>31.304870000000001</v>
      </c>
      <c r="U76" s="611">
        <f t="shared" si="5"/>
        <v>0</v>
      </c>
    </row>
    <row r="77" spans="16:21" x14ac:dyDescent="0.25">
      <c r="P77" s="119"/>
      <c r="Q77" s="119"/>
    </row>
    <row r="78" spans="16:21" x14ac:dyDescent="0.25">
      <c r="P78" s="119"/>
      <c r="Q78" s="119"/>
    </row>
    <row r="79" spans="16:21" x14ac:dyDescent="0.25">
      <c r="P79" s="119"/>
      <c r="Q79" s="119"/>
    </row>
    <row r="80" spans="16:21" x14ac:dyDescent="0.25">
      <c r="P80" s="119" t="str">
        <f>List!$B$305&amp;"!"</f>
        <v>S1 pouze pro jmenovitou délku 270 a 300 mm!</v>
      </c>
      <c r="Q80" s="119"/>
      <c r="S80" s="73" t="str">
        <f>List!$B$94</f>
        <v>cena kování</v>
      </c>
      <c r="U80" s="353">
        <f>SUM(U3:U79)</f>
        <v>0</v>
      </c>
    </row>
    <row r="81" spans="16:17" x14ac:dyDescent="0.25">
      <c r="P81" s="119" t="str">
        <f>List!$B$306&amp;"!"</f>
        <v>Pro výsuvy délky 270 a 300 mm vyberte jednotky S1!</v>
      </c>
      <c r="Q81" s="119"/>
    </row>
    <row r="82" spans="16:17" x14ac:dyDescent="0.25">
      <c r="P82" s="119" t="str">
        <f>List!$B$307&amp;"!"</f>
        <v>Počet jednotek L neodpovídá počtu korpusových lišt!</v>
      </c>
      <c r="Q82" s="119"/>
    </row>
    <row r="83" spans="16:17" x14ac:dyDescent="0.25">
      <c r="P83" s="119" t="str">
        <f>List!$B$308&amp;"!"</f>
        <v>Počet jednotek S1 neodpovídá počtu korpusových lišt!</v>
      </c>
      <c r="Q83" s="119"/>
    </row>
    <row r="84" spans="16:17" x14ac:dyDescent="0.25">
      <c r="P84" s="119"/>
      <c r="Q84" s="119"/>
    </row>
    <row r="85" spans="16:17" x14ac:dyDescent="0.25">
      <c r="P85" s="119"/>
      <c r="Q85" s="119"/>
    </row>
    <row r="86" spans="16:17" x14ac:dyDescent="0.25">
      <c r="P86" s="119"/>
      <c r="Q86" s="119"/>
    </row>
    <row r="87" spans="16:17" x14ac:dyDescent="0.25">
      <c r="P87" s="119"/>
      <c r="Q87" s="119"/>
    </row>
    <row r="88" spans="16:17" x14ac:dyDescent="0.25">
      <c r="P88" s="119"/>
      <c r="Q88" s="119"/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22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7Aq4SMCWZxEJ1wqaIlsNKhns/wyUo+LLiOTFPxhZpM4aE2iokY6Jwovxn089tdC9byfZAxyTOlSXGzjgd531sw==" saltValue="T6ieCPjCxLoe2hgcOkFJCg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C41NF'!A100" tooltip=" " display="'7C41NF'!A100"/>
    <hyperlink ref="N111" location="'7C41NF'!A1" tooltip=" " display="'7C41NF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indexed="22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6.179687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.7265625" style="2" hidden="1" customWidth="1"/>
    <col min="21" max="21" width="10.269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List!$B$52&amp;" C, "&amp;List!$B$71</f>
        <v>Vnitřní výsuv C, přední reling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 t="str">
        <f>Cen!A75</f>
        <v>Bočnice C pure, 270mm, Orion šedé</v>
      </c>
      <c r="Q3" s="127" t="str">
        <f>Cen!B75</f>
        <v>770C2702S</v>
      </c>
      <c r="R3" s="127" t="str">
        <f>Cen!C75</f>
        <v>OG-M</v>
      </c>
      <c r="S3" s="262">
        <f>SUM(D21,D27,D33)</f>
        <v>0</v>
      </c>
      <c r="T3" s="266">
        <f>Cen!F75</f>
        <v>29.004729999999999</v>
      </c>
      <c r="U3" s="263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473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 t="str">
        <f>Cen!A79</f>
        <v>Bočnice C pure, 300mm, Orion šedé</v>
      </c>
      <c r="Q4" s="127" t="str">
        <f>Cen!B79</f>
        <v>770C3002S</v>
      </c>
      <c r="R4" s="127" t="str">
        <f>Cen!C79</f>
        <v>OG-M</v>
      </c>
      <c r="S4" s="262">
        <f>SUM(E21,E27,E33)</f>
        <v>0</v>
      </c>
      <c r="T4" s="266">
        <f>Cen!F79</f>
        <v>29.004729999999999</v>
      </c>
      <c r="U4" s="263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 t="str">
        <f>Cen!A83</f>
        <v>Bočnice C pure, 350mm, Orion šedé</v>
      </c>
      <c r="Q5" s="127" t="str">
        <f>Cen!B83</f>
        <v>770C3502S</v>
      </c>
      <c r="R5" s="127" t="str">
        <f>Cen!C83</f>
        <v>OG-M</v>
      </c>
      <c r="S5" s="262">
        <f>SUM(F21,F27,F33)</f>
        <v>0</v>
      </c>
      <c r="T5" s="266">
        <f>Cen!F83</f>
        <v>29.004729999999999</v>
      </c>
      <c r="U5" s="263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951</v>
      </c>
      <c r="K6" s="122"/>
      <c r="L6" s="144"/>
      <c r="M6" s="119"/>
      <c r="N6" s="2" t="str">
        <f>List!$B$12&amp;":"</f>
        <v>Pokračovat na:</v>
      </c>
      <c r="O6" s="119"/>
      <c r="P6" s="127" t="str">
        <f>Cen!A87</f>
        <v>Bočnice C pure, 400mm, Orion šedé</v>
      </c>
      <c r="Q6" s="127" t="str">
        <f>Cen!B87</f>
        <v>770C4002S</v>
      </c>
      <c r="R6" s="127" t="str">
        <f>Cen!C87</f>
        <v>OG-M</v>
      </c>
      <c r="S6" s="262">
        <f>SUM(G21,G27,G33)</f>
        <v>0</v>
      </c>
      <c r="T6" s="266">
        <f>Cen!F87</f>
        <v>29.360900000000001</v>
      </c>
      <c r="U6" s="2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1"/>
      <c r="I7" s="122"/>
      <c r="J7" s="121"/>
      <c r="K7" s="122"/>
      <c r="L7" s="144"/>
      <c r="M7" s="119"/>
      <c r="N7" s="151" t="str">
        <f>" "&amp;List!$B$5</f>
        <v xml:space="preserve"> Výběr doplňků</v>
      </c>
      <c r="O7" s="119"/>
      <c r="P7" s="127" t="str">
        <f>Cen!A91</f>
        <v>Bočnice C pure, 450mm, Orion šedé</v>
      </c>
      <c r="Q7" s="127" t="str">
        <f>Cen!B91</f>
        <v>770C4502S</v>
      </c>
      <c r="R7" s="127" t="str">
        <f>Cen!C91</f>
        <v>OG-M</v>
      </c>
      <c r="S7" s="262">
        <f>SUM(H21:H22,H27:H28,H33:H34)</f>
        <v>0</v>
      </c>
      <c r="T7" s="266">
        <f>Cen!F91</f>
        <v>31.28134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$U$70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Cen!A95</f>
        <v>Bočnice C pure, 500mm, Orion šedé</v>
      </c>
      <c r="Q8" s="127" t="str">
        <f>Cen!B95</f>
        <v>770C5002S</v>
      </c>
      <c r="R8" s="127" t="str">
        <f>Cen!C95</f>
        <v>OG-M</v>
      </c>
      <c r="S8" s="262">
        <f>SUM(I21:I22,I27:I28,I33:I34)</f>
        <v>0</v>
      </c>
      <c r="T8" s="266">
        <f>Cen!F95</f>
        <v>31.656259999999996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Cen!A99</f>
        <v>Bočnice C pure, 550mm, Orion šedé</v>
      </c>
      <c r="Q9" s="127" t="str">
        <f>Cen!B99</f>
        <v>770C5502S</v>
      </c>
      <c r="R9" s="127" t="str">
        <f>Cen!C99</f>
        <v>OG-M</v>
      </c>
      <c r="S9" s="262">
        <f>SUM(J21:J22,J27:J28,J33:J34)</f>
        <v>0</v>
      </c>
      <c r="T9" s="266">
        <f>Cen!F99</f>
        <v>31.853429999999999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Cen!A103</f>
        <v>Bočnice C pure, 600mm, Orion šedé</v>
      </c>
      <c r="Q10" s="127" t="str">
        <f>Cen!B103</f>
        <v>770C6002S</v>
      </c>
      <c r="R10" s="127" t="str">
        <f>Cen!C103</f>
        <v>OG-M</v>
      </c>
      <c r="S10" s="262">
        <f>SUM(K21:K22,K27:K28,K33:K34)</f>
        <v>0</v>
      </c>
      <c r="T10" s="266">
        <f>Cen!F103</f>
        <v>35.537379999999999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 t="str">
        <f>"* "&amp;List!$B$146&amp;":"</f>
        <v>* Přířezy prvků:</v>
      </c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Cen!A107</f>
        <v>Bočnice C pure, 650mm, Orion šedé</v>
      </c>
      <c r="Q11" s="127" t="str">
        <f>Cen!B107</f>
        <v>770C6502S</v>
      </c>
      <c r="R11" s="127" t="str">
        <f>Cen!C107</f>
        <v>OG-M</v>
      </c>
      <c r="S11" s="262">
        <f>SUM(L22,L28,L34)</f>
        <v>0</v>
      </c>
      <c r="T11" s="266">
        <f>Cen!F107</f>
        <v>36.783200000000001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 t="str">
        <f>List!$C$150&amp;":   LW - 126"</f>
        <v>Přední díl:   LW - 126</v>
      </c>
      <c r="I12" s="291"/>
      <c r="J12" s="291"/>
      <c r="K12" s="291"/>
      <c r="L12" s="29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119" t="str">
        <f>List!$C$151&amp;":   LW - 90"</f>
        <v>Příčný reling:   LW - 90</v>
      </c>
      <c r="I13" s="293"/>
      <c r="J13" s="293"/>
      <c r="K13" s="293"/>
      <c r="L13" s="293"/>
      <c r="M13" s="119"/>
      <c r="N13" s="119"/>
      <c r="O13" s="119"/>
      <c r="P13" s="209" t="str">
        <f>Cen!A177</f>
        <v>Korpusové lišty BLUMOTION, 270mm, 40kg</v>
      </c>
      <c r="Q13" s="209" t="str">
        <f>Cen!B177</f>
        <v>750.2701B</v>
      </c>
      <c r="R13" s="209" t="str">
        <f>Cen!C177</f>
        <v>ZN</v>
      </c>
      <c r="S13" s="260">
        <f>D21</f>
        <v>0</v>
      </c>
      <c r="T13" s="261">
        <f>Cen!F177</f>
        <v>21.845690000000001</v>
      </c>
      <c r="U13" s="261">
        <f t="shared" ref="U13:U24" si="1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290"/>
      <c r="M14" s="119"/>
      <c r="N14" s="119"/>
      <c r="O14" s="119"/>
      <c r="P14" s="209" t="str">
        <f>Cen!A178</f>
        <v>Korpusové lišty BLUMOTION, 300mm, 40kg</v>
      </c>
      <c r="Q14" s="209" t="str">
        <f>Cen!B178</f>
        <v>750.3001B</v>
      </c>
      <c r="R14" s="209" t="str">
        <f>Cen!C178</f>
        <v>ZN</v>
      </c>
      <c r="S14" s="260">
        <f>E21</f>
        <v>0</v>
      </c>
      <c r="T14" s="261">
        <f>Cen!F178</f>
        <v>21.925909999999998</v>
      </c>
      <c r="U14" s="26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288"/>
      <c r="M15" s="119"/>
      <c r="N15" s="119"/>
      <c r="O15" s="119"/>
      <c r="P15" s="209" t="str">
        <f>Cen!A179</f>
        <v>Korpusové lišty BLUMOTION, 350mm, 40kg</v>
      </c>
      <c r="Q15" s="209" t="str">
        <f>Cen!B179</f>
        <v>750.3501B</v>
      </c>
      <c r="R15" s="209" t="str">
        <f>Cen!C179</f>
        <v>ZN</v>
      </c>
      <c r="S15" s="260">
        <f>F21</f>
        <v>0</v>
      </c>
      <c r="T15" s="261">
        <f>Cen!F179</f>
        <v>21.845690000000001</v>
      </c>
      <c r="U15" s="26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Cen!A180</f>
        <v>Korpusové lišty BLUMOTION, 400mm, 40kg</v>
      </c>
      <c r="Q16" s="209" t="str">
        <f>Cen!B180</f>
        <v>750.4001B</v>
      </c>
      <c r="R16" s="209" t="str">
        <f>Cen!C180</f>
        <v>ZN</v>
      </c>
      <c r="S16" s="260">
        <f>G21</f>
        <v>0</v>
      </c>
      <c r="T16" s="261">
        <f>Cen!F180</f>
        <v>22.204979999999999</v>
      </c>
      <c r="U16" s="261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ht="15.5" x14ac:dyDescent="0.25">
      <c r="A18" s="119"/>
      <c r="C18" s="119"/>
      <c r="D18" s="119"/>
      <c r="E18" s="119"/>
      <c r="F18" s="119"/>
      <c r="G18" s="478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 t="s">
        <v>614</v>
      </c>
      <c r="E20" s="305" t="s">
        <v>57</v>
      </c>
      <c r="F20" s="305" t="s">
        <v>615</v>
      </c>
      <c r="G20" s="305" t="s">
        <v>616</v>
      </c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850</v>
      </c>
      <c r="C21" s="298" t="s">
        <v>505</v>
      </c>
      <c r="D21" s="299"/>
      <c r="E21" s="299"/>
      <c r="F21" s="299"/>
      <c r="G21" s="299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851</v>
      </c>
      <c r="C22" s="311" t="s">
        <v>506</v>
      </c>
      <c r="D22" s="415"/>
      <c r="E22" s="415"/>
      <c r="F22" s="415"/>
      <c r="G22" s="415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 t="s">
        <v>614</v>
      </c>
      <c r="E26" s="305" t="s">
        <v>57</v>
      </c>
      <c r="F26" s="305" t="s">
        <v>615</v>
      </c>
      <c r="G26" s="305" t="s">
        <v>616</v>
      </c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852</v>
      </c>
      <c r="C27" s="298" t="s">
        <v>505</v>
      </c>
      <c r="D27" s="299"/>
      <c r="E27" s="299"/>
      <c r="F27" s="299"/>
      <c r="G27" s="299"/>
      <c r="H27" s="299"/>
      <c r="I27" s="299"/>
      <c r="J27" s="299"/>
      <c r="K27" s="300"/>
      <c r="L27" s="572"/>
      <c r="M27" s="119"/>
      <c r="N27" s="119"/>
      <c r="O27" s="119"/>
      <c r="P27" s="209" t="str">
        <f>Cen!A193</f>
        <v>Korpusové lišty TIP-ON, 270mm, 40kg</v>
      </c>
      <c r="Q27" s="209" t="str">
        <f>Cen!B193</f>
        <v>750.2701T</v>
      </c>
      <c r="R27" s="209" t="str">
        <f>Cen!C193</f>
        <v>ZN</v>
      </c>
      <c r="S27" s="260">
        <f>D27</f>
        <v>0</v>
      </c>
      <c r="T27" s="261">
        <f>Cen!F193</f>
        <v>30.366460000000004</v>
      </c>
      <c r="U27" s="261">
        <f t="shared" ref="U27:U38" si="2">S27*T27</f>
        <v>0</v>
      </c>
    </row>
    <row r="28" spans="1:21" ht="14" x14ac:dyDescent="0.3">
      <c r="A28" s="119"/>
      <c r="B28" s="296" t="s">
        <v>853</v>
      </c>
      <c r="C28" s="310" t="s">
        <v>506</v>
      </c>
      <c r="D28" s="415"/>
      <c r="E28" s="415"/>
      <c r="F28" s="415"/>
      <c r="G28" s="415"/>
      <c r="H28" s="303"/>
      <c r="I28" s="303"/>
      <c r="J28" s="303"/>
      <c r="K28" s="304"/>
      <c r="L28" s="304"/>
      <c r="M28" s="119"/>
      <c r="N28" s="119"/>
      <c r="O28" s="119"/>
      <c r="P28" s="209" t="str">
        <f>Cen!A194</f>
        <v>Korpusové lišty TIP-ON, 300mm, 40kg</v>
      </c>
      <c r="Q28" s="209" t="str">
        <f>Cen!B194</f>
        <v>750.3001T</v>
      </c>
      <c r="R28" s="209" t="str">
        <f>Cen!C194</f>
        <v>ZN</v>
      </c>
      <c r="S28" s="260">
        <f>E27</f>
        <v>0</v>
      </c>
      <c r="T28" s="261">
        <f>Cen!F194</f>
        <v>30.366460000000004</v>
      </c>
      <c r="U28" s="261">
        <f t="shared" si="2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209" t="str">
        <f>Cen!A195</f>
        <v>Korpusové lišty TIP-ON, 350mm, 40kg</v>
      </c>
      <c r="Q29" s="209" t="str">
        <f>Cen!B195</f>
        <v>750.3501T</v>
      </c>
      <c r="R29" s="209" t="str">
        <f>Cen!C195</f>
        <v>ZN</v>
      </c>
      <c r="S29" s="260">
        <f>F27</f>
        <v>0</v>
      </c>
      <c r="T29" s="261">
        <f>Cen!F195</f>
        <v>30.366460000000004</v>
      </c>
      <c r="U29" s="261">
        <f t="shared" si="2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19"/>
      <c r="N30" s="119"/>
      <c r="O30" s="119"/>
      <c r="P30" s="209" t="str">
        <f>Cen!A196</f>
        <v>Korpusové lišty TIP-ON, 400mm, 40kg</v>
      </c>
      <c r="Q30" s="209" t="str">
        <f>Cen!B196</f>
        <v>750.4001T</v>
      </c>
      <c r="R30" s="209" t="str">
        <f>Cen!C196</f>
        <v>ZN</v>
      </c>
      <c r="S30" s="260">
        <f>G27</f>
        <v>0</v>
      </c>
      <c r="T30" s="261">
        <f>Cen!F196</f>
        <v>30.645720000000001</v>
      </c>
      <c r="U30" s="261">
        <f t="shared" si="2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Cen!A197</f>
        <v>Korpusové lišty TIP-ON, 450mm, 40kg</v>
      </c>
      <c r="Q31" s="209" t="str">
        <f>Cen!B197</f>
        <v>750.4501T</v>
      </c>
      <c r="R31" s="209" t="str">
        <f>Cen!C197</f>
        <v>ZN</v>
      </c>
      <c r="S31" s="260">
        <f>H27</f>
        <v>0</v>
      </c>
      <c r="T31" s="261">
        <f>Cen!F197</f>
        <v>32.552599999999998</v>
      </c>
      <c r="U31" s="261">
        <f t="shared" si="2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 t="s">
        <v>614</v>
      </c>
      <c r="E32" s="305" t="s">
        <v>57</v>
      </c>
      <c r="F32" s="305" t="s">
        <v>615</v>
      </c>
      <c r="G32" s="305" t="s">
        <v>616</v>
      </c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Cen!A198</f>
        <v>Korpusové lišty TIP-ON, 450mm, 70kg</v>
      </c>
      <c r="Q32" s="209" t="str">
        <f>Cen!B198</f>
        <v>753.4501T</v>
      </c>
      <c r="R32" s="209" t="str">
        <f>Cen!C198</f>
        <v>ZN</v>
      </c>
      <c r="S32" s="260">
        <f>H28</f>
        <v>0</v>
      </c>
      <c r="T32" s="261">
        <f>Cen!F198</f>
        <v>36.006259999999997</v>
      </c>
      <c r="U32" s="261">
        <f t="shared" si="2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299"/>
      <c r="E33" s="299"/>
      <c r="F33" s="299"/>
      <c r="G33" s="299"/>
      <c r="H33" s="299"/>
      <c r="I33" s="299"/>
      <c r="J33" s="299"/>
      <c r="K33" s="300"/>
      <c r="L33" s="572"/>
      <c r="M33" s="119"/>
      <c r="N33" s="119"/>
      <c r="P33" s="209" t="str">
        <f>Cen!A199</f>
        <v>Korpusové lišty TIP-ON, 500mm, 40kg</v>
      </c>
      <c r="Q33" s="209" t="str">
        <f>Cen!B199</f>
        <v>750.5001T</v>
      </c>
      <c r="R33" s="209" t="str">
        <f>Cen!C199</f>
        <v>ZN</v>
      </c>
      <c r="S33" s="260">
        <f>I27</f>
        <v>0</v>
      </c>
      <c r="T33" s="261">
        <f>Cen!F199</f>
        <v>32.846359999999997</v>
      </c>
      <c r="U33" s="261">
        <f t="shared" si="2"/>
        <v>0</v>
      </c>
    </row>
    <row r="34" spans="1:21" ht="14" x14ac:dyDescent="0.3">
      <c r="B34" s="296" t="s">
        <v>1188</v>
      </c>
      <c r="C34" s="310" t="s">
        <v>506</v>
      </c>
      <c r="D34" s="415"/>
      <c r="E34" s="415"/>
      <c r="F34" s="415"/>
      <c r="G34" s="415"/>
      <c r="H34" s="303"/>
      <c r="I34" s="303"/>
      <c r="J34" s="303"/>
      <c r="K34" s="304"/>
      <c r="L34" s="304"/>
      <c r="M34" s="119"/>
      <c r="N34" s="119"/>
      <c r="P34" s="209" t="str">
        <f>Cen!A200</f>
        <v>Korpusové lišty TIP-ON, 500mm, 70kg</v>
      </c>
      <c r="Q34" s="209" t="str">
        <f>Cen!B200</f>
        <v>753.5001T</v>
      </c>
      <c r="R34" s="209" t="str">
        <f>Cen!C200</f>
        <v>ZN</v>
      </c>
      <c r="S34" s="260">
        <f>I28</f>
        <v>0</v>
      </c>
      <c r="T34" s="261">
        <f>Cen!F200</f>
        <v>36.285339999999998</v>
      </c>
      <c r="U34" s="261">
        <f t="shared" si="2"/>
        <v>0</v>
      </c>
    </row>
    <row r="35" spans="1:21" ht="15.5" x14ac:dyDescent="0.3"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P35" s="209" t="str">
        <f>Cen!A201</f>
        <v>Korpusové lišty TIP-ON, 550mm, 40kg</v>
      </c>
      <c r="Q35" s="209" t="str">
        <f>Cen!B201</f>
        <v>750.5501T</v>
      </c>
      <c r="R35" s="209" t="str">
        <f>Cen!C201</f>
        <v>ZN</v>
      </c>
      <c r="S35" s="260">
        <f>J27</f>
        <v>0</v>
      </c>
      <c r="T35" s="261">
        <f>Cen!F201</f>
        <v>32.694760000000002</v>
      </c>
      <c r="U35" s="261">
        <f t="shared" si="2"/>
        <v>0</v>
      </c>
    </row>
    <row r="36" spans="1:21" ht="13" x14ac:dyDescent="0.3"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P36" s="209" t="str">
        <f>Cen!A202</f>
        <v>Korpusové lišty TIP-ON, 550mm, 70kg</v>
      </c>
      <c r="Q36" s="209" t="str">
        <f>Cen!B202</f>
        <v>753.5501T</v>
      </c>
      <c r="R36" s="209" t="str">
        <f>Cen!C202</f>
        <v>ZN</v>
      </c>
      <c r="S36" s="260">
        <f>J28</f>
        <v>0</v>
      </c>
      <c r="T36" s="261">
        <f>Cen!F202</f>
        <v>37.776060000000001</v>
      </c>
      <c r="U36" s="261">
        <f t="shared" si="2"/>
        <v>0</v>
      </c>
    </row>
    <row r="37" spans="1:21" ht="14" x14ac:dyDescent="0.3">
      <c r="B37" s="291"/>
      <c r="C37" s="291"/>
      <c r="D37" s="308" t="s">
        <v>1192</v>
      </c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122" t="str">
        <f>Cen!A203</f>
        <v>Korpusové lišty TIP-ON, 600mm, 40kg</v>
      </c>
      <c r="Q37" s="122" t="str">
        <f>Cen!B203</f>
        <v>750.6001T</v>
      </c>
      <c r="R37" s="122" t="str">
        <f>Cen!C203</f>
        <v>ZN</v>
      </c>
      <c r="S37" s="123">
        <f>K27</f>
        <v>0</v>
      </c>
      <c r="T37" s="118">
        <f>Cen!F203</f>
        <v>35.700530000000001</v>
      </c>
      <c r="U37" s="261">
        <f t="shared" si="2"/>
        <v>0</v>
      </c>
    </row>
    <row r="38" spans="1:21" ht="14.5" thickBot="1" x14ac:dyDescent="0.35">
      <c r="B38" s="179"/>
      <c r="C38" s="291"/>
      <c r="D38" s="299"/>
      <c r="E38" s="299"/>
      <c r="F38" s="299"/>
      <c r="G38" s="300"/>
      <c r="H38" s="662" t="str">
        <f>IF(SUM(F33:K33,H34:L34)=SUM(E38:G38)," ",P82)</f>
        <v xml:space="preserve"> </v>
      </c>
      <c r="I38" s="291"/>
      <c r="M38" s="119"/>
      <c r="P38" s="122" t="str">
        <f>Cen!A204</f>
        <v>Korpusové lišty TIP-ON, 600mm, 70kg</v>
      </c>
      <c r="Q38" s="122" t="str">
        <f>Cen!B204</f>
        <v>753.6001T</v>
      </c>
      <c r="R38" s="122" t="str">
        <f>Cen!C204</f>
        <v>ZN</v>
      </c>
      <c r="S38" s="123">
        <f>K28</f>
        <v>0</v>
      </c>
      <c r="T38" s="118">
        <f>Cen!F204</f>
        <v>40.781829999999999</v>
      </c>
      <c r="U38" s="118">
        <f t="shared" si="2"/>
        <v>0</v>
      </c>
    </row>
    <row r="39" spans="1:21" x14ac:dyDescent="0.25">
      <c r="C39" s="661"/>
      <c r="D39" s="660" t="str">
        <f>IF(AND(SUM($D$33,$E$33)&gt;0,$D$38=0),$P$81,IF(AND(SUM($D$33,$E$33)=0,$D$38&gt;0),$P$80,IF(SUM($D$33,$E$33)&lt;&gt;$D$38,$P$80," ")))</f>
        <v xml:space="preserve"> </v>
      </c>
      <c r="E39" s="291"/>
      <c r="F39" s="291"/>
      <c r="G39" s="291"/>
      <c r="H39" s="291"/>
      <c r="I39" s="291"/>
      <c r="M39" s="119"/>
      <c r="P39" s="122" t="str">
        <f>Cen!A205</f>
        <v>Korpusové lišty TIP-ON, 650mm, 70kg</v>
      </c>
      <c r="Q39" s="122" t="str">
        <f>Cen!B205</f>
        <v>753.6501T</v>
      </c>
      <c r="R39" s="122" t="str">
        <f>Cen!C205</f>
        <v>ZN</v>
      </c>
      <c r="S39" s="123">
        <f>L28</f>
        <v>0</v>
      </c>
      <c r="T39" s="118">
        <f>Cen!F205</f>
        <v>42.272550000000003</v>
      </c>
      <c r="U39" s="118">
        <f>S39*T39</f>
        <v>0</v>
      </c>
    </row>
    <row r="40" spans="1:21" x14ac:dyDescent="0.25">
      <c r="B40" s="661"/>
      <c r="C40" s="661"/>
      <c r="D40" s="660" t="str">
        <f>IF(SUM($D$33,$E$33)&lt;&gt;$D$38,$P$83," ")</f>
        <v xml:space="preserve"> </v>
      </c>
      <c r="P40" s="144"/>
      <c r="Q40" s="144"/>
      <c r="R40" s="144"/>
      <c r="S40" s="150"/>
      <c r="T40" s="154"/>
      <c r="U40" s="154"/>
    </row>
    <row r="41" spans="1:21" x14ac:dyDescent="0.25">
      <c r="P41" s="122" t="str">
        <f>Cen!A209</f>
        <v>Korpusové lišty TIP-ON BLUMOTION, 270mm, 40kg</v>
      </c>
      <c r="Q41" s="122" t="str">
        <f>Cen!B209</f>
        <v>750.2700M</v>
      </c>
      <c r="R41" s="122" t="str">
        <f>Cen!C209</f>
        <v>ZN</v>
      </c>
      <c r="S41" s="123">
        <f>D33</f>
        <v>0</v>
      </c>
      <c r="T41" s="118">
        <f>Cen!F209</f>
        <v>21.925909999999998</v>
      </c>
      <c r="U41" s="118">
        <f>S41*T41</f>
        <v>0</v>
      </c>
    </row>
    <row r="42" spans="1:21" ht="14" x14ac:dyDescent="0.3">
      <c r="B42" s="119" t="str">
        <f>"      * "&amp;List!$B$159</f>
        <v xml:space="preserve">      * Pro každý výsuv je započítán jeden přední díl a jeden příčný reling</v>
      </c>
      <c r="C42" s="291"/>
      <c r="D42" s="347"/>
      <c r="E42" s="348"/>
      <c r="F42" s="349"/>
      <c r="G42" s="348"/>
      <c r="H42" s="348"/>
      <c r="I42" s="291"/>
      <c r="J42" s="291"/>
      <c r="K42" s="291"/>
      <c r="L42" s="291"/>
      <c r="P42" s="122" t="str">
        <f>Cen!A210</f>
        <v>Korpusové lišty TIP-ON BLUMOTION, 300mm, 40kg</v>
      </c>
      <c r="Q42" s="122" t="str">
        <f>Cen!B210</f>
        <v>750.3001M</v>
      </c>
      <c r="R42" s="122" t="str">
        <f>Cen!C210</f>
        <v>ZN</v>
      </c>
      <c r="S42" s="123">
        <f>E33</f>
        <v>0</v>
      </c>
      <c r="T42" s="118">
        <f>Cen!F210</f>
        <v>21.925909999999998</v>
      </c>
      <c r="U42" s="118">
        <f t="shared" ref="U42:U58" si="3">S42*T42</f>
        <v>0</v>
      </c>
    </row>
    <row r="43" spans="1:21" ht="14" x14ac:dyDescent="0.3">
      <c r="B43" s="119" t="str">
        <f>"        "&amp;List!$B$161</f>
        <v xml:space="preserve">        Potřebný počet předních dílů a relingů upravte v objednávce</v>
      </c>
      <c r="C43" s="291"/>
      <c r="D43" s="351"/>
      <c r="E43" s="295"/>
      <c r="F43" s="295"/>
      <c r="G43" s="295"/>
      <c r="H43" s="295"/>
      <c r="I43" s="289"/>
      <c r="J43" s="289"/>
      <c r="K43" s="289"/>
      <c r="L43" s="289"/>
      <c r="P43" s="122" t="str">
        <f>Cen!A211</f>
        <v>Korpusové lišty TIP-ON BLUMOTION, 350mm, 40kg</v>
      </c>
      <c r="Q43" s="122" t="str">
        <f>Cen!B211</f>
        <v>750.3501M</v>
      </c>
      <c r="R43" s="122" t="str">
        <f>Cen!C211</f>
        <v>ZN</v>
      </c>
      <c r="S43" s="123">
        <f>F33</f>
        <v>0</v>
      </c>
      <c r="T43" s="118">
        <f>Cen!F211</f>
        <v>21.925909999999998</v>
      </c>
      <c r="U43" s="118">
        <f t="shared" si="3"/>
        <v>0</v>
      </c>
    </row>
    <row r="44" spans="1:21" ht="14" x14ac:dyDescent="0.3">
      <c r="B44" s="319"/>
      <c r="D44" s="322"/>
      <c r="E44" s="295"/>
      <c r="F44" s="295"/>
      <c r="G44" s="295"/>
      <c r="H44" s="295"/>
      <c r="I44" s="289"/>
      <c r="J44" s="289"/>
      <c r="K44" s="289"/>
      <c r="L44" s="289"/>
      <c r="P44" s="122" t="str">
        <f>Cen!A212</f>
        <v>Korpusové lišty TIP-ON BLUMOTION, 400mm, 40kg</v>
      </c>
      <c r="Q44" s="122" t="str">
        <f>Cen!B212</f>
        <v>750.4001M</v>
      </c>
      <c r="R44" s="122" t="str">
        <f>Cen!C212</f>
        <v>ZN</v>
      </c>
      <c r="S44" s="123">
        <f>G33</f>
        <v>0</v>
      </c>
      <c r="T44" s="118">
        <f>Cen!F212</f>
        <v>22.204979999999999</v>
      </c>
      <c r="U44" s="118">
        <f t="shared" si="3"/>
        <v>0</v>
      </c>
    </row>
    <row r="45" spans="1:21" ht="14" x14ac:dyDescent="0.3">
      <c r="B45" s="315"/>
      <c r="C45" s="316"/>
      <c r="D45" s="295"/>
      <c r="E45" s="295"/>
      <c r="F45" s="295"/>
      <c r="G45" s="295"/>
      <c r="I45" s="290"/>
      <c r="J45" s="290"/>
      <c r="K45" s="290"/>
      <c r="L45" s="290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3"/>
        <v>0</v>
      </c>
    </row>
    <row r="46" spans="1:21" ht="13" x14ac:dyDescent="0.3">
      <c r="B46" s="287"/>
      <c r="C46" s="287"/>
      <c r="H46" s="288"/>
      <c r="I46" s="288"/>
      <c r="J46" s="288"/>
      <c r="K46" s="288"/>
      <c r="L46" s="288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3"/>
        <v>0</v>
      </c>
    </row>
    <row r="47" spans="1:21" ht="13" x14ac:dyDescent="0.3">
      <c r="B47" s="287"/>
      <c r="C47" s="287"/>
      <c r="H47" s="291"/>
      <c r="I47" s="291"/>
      <c r="J47" s="291"/>
      <c r="K47" s="291"/>
      <c r="L47" s="291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3"/>
        <v>0</v>
      </c>
    </row>
    <row r="48" spans="1:21" ht="13" x14ac:dyDescent="0.3">
      <c r="B48" s="287"/>
      <c r="C48" s="287"/>
      <c r="H48" s="289"/>
      <c r="I48" s="289"/>
      <c r="J48" s="289"/>
      <c r="K48" s="289"/>
      <c r="L48" s="28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3"/>
        <v>0</v>
      </c>
    </row>
    <row r="49" spans="2:21" ht="13" x14ac:dyDescent="0.3">
      <c r="B49" s="287"/>
      <c r="C49" s="287"/>
      <c r="H49" s="289"/>
      <c r="I49" s="289"/>
      <c r="J49" s="289"/>
      <c r="K49" s="289"/>
      <c r="L49" s="289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3"/>
        <v>0</v>
      </c>
    </row>
    <row r="50" spans="2:21" ht="13" x14ac:dyDescent="0.3">
      <c r="B50" s="287"/>
      <c r="C50" s="287"/>
      <c r="H50" s="289"/>
      <c r="I50" s="289"/>
      <c r="J50" s="289"/>
      <c r="K50" s="289"/>
      <c r="L50" s="289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3"/>
        <v>0</v>
      </c>
    </row>
    <row r="51" spans="2:21" ht="13" x14ac:dyDescent="0.3">
      <c r="B51" s="287"/>
      <c r="C51" s="287"/>
      <c r="H51" s="289"/>
      <c r="I51" s="289"/>
      <c r="J51" s="289"/>
      <c r="K51" s="289"/>
      <c r="L51" s="289"/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3"/>
        <v>0</v>
      </c>
    </row>
    <row r="52" spans="2:21" ht="13" x14ac:dyDescent="0.3">
      <c r="B52" s="287"/>
      <c r="C52" s="287"/>
      <c r="H52" s="289"/>
      <c r="I52" s="289"/>
      <c r="J52" s="289"/>
      <c r="K52" s="289"/>
      <c r="L52" s="289"/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3"/>
        <v>0</v>
      </c>
    </row>
    <row r="53" spans="2:21" ht="13" x14ac:dyDescent="0.3">
      <c r="B53" s="287"/>
      <c r="C53" s="287"/>
      <c r="H53" s="289"/>
      <c r="I53" s="289"/>
      <c r="J53" s="289"/>
      <c r="K53" s="289"/>
      <c r="L53" s="289"/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3"/>
        <v>0</v>
      </c>
    </row>
    <row r="54" spans="2:21" ht="13" x14ac:dyDescent="0.3">
      <c r="B54" s="287"/>
      <c r="C54" s="287"/>
      <c r="H54" s="289"/>
      <c r="I54" s="289"/>
      <c r="J54" s="289"/>
      <c r="K54" s="289"/>
      <c r="L54" s="289"/>
      <c r="P54" s="122"/>
      <c r="Q54" s="122"/>
      <c r="R54" s="122"/>
      <c r="S54" s="123"/>
      <c r="T54" s="118"/>
      <c r="U54" s="118"/>
    </row>
    <row r="55" spans="2:21" ht="13" x14ac:dyDescent="0.3">
      <c r="B55" s="287"/>
      <c r="C55" s="287"/>
      <c r="H55" s="289"/>
      <c r="I55" s="289"/>
      <c r="J55" s="289"/>
      <c r="K55" s="289"/>
      <c r="L55" s="28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>
        <f>D38</f>
        <v>0</v>
      </c>
      <c r="T55" s="118">
        <f>Cen!F223</f>
        <v>15.883479999999999</v>
      </c>
      <c r="U55" s="118">
        <f t="shared" si="3"/>
        <v>0</v>
      </c>
    </row>
    <row r="56" spans="2:21" ht="13" x14ac:dyDescent="0.3">
      <c r="B56" s="287"/>
      <c r="C56" s="287"/>
      <c r="H56" s="289"/>
      <c r="I56" s="289"/>
      <c r="J56" s="289"/>
      <c r="K56" s="289"/>
      <c r="L56" s="28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 t="shared" si="3"/>
        <v>0</v>
      </c>
    </row>
    <row r="57" spans="2:21" ht="13" x14ac:dyDescent="0.3">
      <c r="B57" s="287"/>
      <c r="C57" s="287"/>
      <c r="H57" s="289"/>
      <c r="I57" s="289"/>
      <c r="J57" s="289"/>
      <c r="K57" s="289"/>
      <c r="L57" s="28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 t="shared" si="3"/>
        <v>0</v>
      </c>
    </row>
    <row r="58" spans="2:21" ht="13" x14ac:dyDescent="0.3">
      <c r="B58" s="287"/>
      <c r="C58" s="287"/>
      <c r="H58" s="289"/>
      <c r="I58" s="289"/>
      <c r="J58" s="289"/>
      <c r="K58" s="289"/>
      <c r="L58" s="28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 t="shared" si="3"/>
        <v>0</v>
      </c>
    </row>
    <row r="59" spans="2:21" ht="13" x14ac:dyDescent="0.3">
      <c r="B59" s="287"/>
      <c r="C59" s="287"/>
      <c r="H59" s="289"/>
      <c r="I59" s="289"/>
      <c r="J59" s="289"/>
      <c r="K59" s="289"/>
      <c r="L59" s="289"/>
      <c r="P59" s="144"/>
      <c r="Q59" s="144"/>
      <c r="R59" s="144"/>
      <c r="S59" s="150"/>
      <c r="T59" s="154"/>
      <c r="U59" s="154"/>
    </row>
    <row r="60" spans="2:21" x14ac:dyDescent="0.25">
      <c r="H60" s="290"/>
      <c r="I60" s="290"/>
      <c r="J60" s="290"/>
      <c r="K60" s="290"/>
      <c r="L60" s="290"/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SUM(S3:S11)</f>
        <v>0</v>
      </c>
      <c r="T60" s="118">
        <f>Cen!$F259</f>
        <v>1.59894</v>
      </c>
      <c r="U60" s="118">
        <f>S60*T60</f>
        <v>0</v>
      </c>
    </row>
    <row r="61" spans="2:21" ht="13" x14ac:dyDescent="0.3">
      <c r="H61" s="288"/>
      <c r="I61" s="288"/>
      <c r="J61" s="288"/>
      <c r="K61" s="288"/>
      <c r="L61" s="288"/>
      <c r="P61" s="122" t="str">
        <f>Cen!A297</f>
        <v>Sada kování vnitř.výs. C, s relingem, Orion šedá</v>
      </c>
      <c r="Q61" s="122" t="str">
        <f>Cen!B297</f>
        <v>ZI7.3CS0</v>
      </c>
      <c r="R61" s="122" t="str">
        <f>Cen!C297</f>
        <v>OG-M</v>
      </c>
      <c r="S61" s="123">
        <f>SUM(S3:S11)</f>
        <v>0</v>
      </c>
      <c r="T61" s="118">
        <f>Cen!F297</f>
        <v>18.150179999999999</v>
      </c>
      <c r="U61" s="118">
        <f>S61*T61</f>
        <v>0</v>
      </c>
    </row>
    <row r="62" spans="2:21" x14ac:dyDescent="0.25">
      <c r="P62" s="122"/>
      <c r="Q62" s="122"/>
      <c r="R62" s="122"/>
      <c r="S62" s="123"/>
      <c r="T62" s="118"/>
      <c r="U62" s="118"/>
    </row>
    <row r="63" spans="2:21" x14ac:dyDescent="0.25">
      <c r="P63" s="122" t="str">
        <f>Cen!A310</f>
        <v>Přední díl vnitřní zásuvky, bez drážky, Orion šedý</v>
      </c>
      <c r="Q63" s="122" t="str">
        <f>Cen!B310</f>
        <v>ZV7.1043C01</v>
      </c>
      <c r="R63" s="122" t="str">
        <f>Cen!C310</f>
        <v>OG-M</v>
      </c>
      <c r="S63" s="336">
        <f>SUM(S3:S11)</f>
        <v>0</v>
      </c>
      <c r="T63" s="118">
        <f>Cen!F310</f>
        <v>15.491620000000001</v>
      </c>
      <c r="U63" s="118">
        <f>S63*T63</f>
        <v>0</v>
      </c>
    </row>
    <row r="64" spans="2:21" x14ac:dyDescent="0.25">
      <c r="P64" s="122" t="str">
        <f>Cen!A338</f>
        <v>Příčný reling vnitřní zásuvky, Orion šedý</v>
      </c>
      <c r="Q64" s="122" t="str">
        <f>Cen!B338</f>
        <v>ZR7.1080U</v>
      </c>
      <c r="R64" s="122" t="str">
        <f>Cen!C338</f>
        <v>OG-M</v>
      </c>
      <c r="S64" s="336">
        <f>SUM(S3:S11)</f>
        <v>0</v>
      </c>
      <c r="T64" s="118">
        <f>Cen!F338</f>
        <v>6.60684</v>
      </c>
      <c r="U64" s="118">
        <f>S64*T64</f>
        <v>0</v>
      </c>
    </row>
    <row r="65" spans="16:21" x14ac:dyDescent="0.25">
      <c r="P65" s="144"/>
      <c r="Q65" s="144"/>
      <c r="R65" s="144"/>
      <c r="S65" s="150"/>
      <c r="T65" s="154"/>
      <c r="U65" s="154"/>
    </row>
    <row r="66" spans="16:21" x14ac:dyDescent="0.25">
      <c r="P66" s="144"/>
      <c r="Q66" s="144"/>
      <c r="R66" s="144"/>
      <c r="S66" s="150"/>
      <c r="T66" s="154"/>
      <c r="U66" s="154"/>
    </row>
    <row r="67" spans="16:21" x14ac:dyDescent="0.25">
      <c r="P67" s="144"/>
      <c r="Q67" s="144"/>
      <c r="R67" s="144"/>
      <c r="S67" s="150"/>
      <c r="T67" s="154"/>
      <c r="U67" s="154"/>
    </row>
    <row r="68" spans="16:21" x14ac:dyDescent="0.25">
      <c r="P68" s="144"/>
      <c r="Q68" s="144"/>
      <c r="R68" s="144"/>
      <c r="S68" s="150"/>
      <c r="T68" s="154"/>
      <c r="U68" s="154"/>
    </row>
    <row r="69" spans="16:21" x14ac:dyDescent="0.25">
      <c r="P69" s="119"/>
      <c r="Q69" s="119"/>
    </row>
    <row r="70" spans="16:21" x14ac:dyDescent="0.25">
      <c r="Q70" s="119"/>
      <c r="S70" s="73" t="str">
        <f>List!$B$94</f>
        <v>cena kování</v>
      </c>
      <c r="U70" s="353">
        <f>SUM(U3:U69)</f>
        <v>0</v>
      </c>
    </row>
    <row r="71" spans="16:21" x14ac:dyDescent="0.25">
      <c r="Q71" s="119"/>
    </row>
    <row r="72" spans="16:21" x14ac:dyDescent="0.25">
      <c r="Q72" s="119"/>
    </row>
    <row r="73" spans="16:21" x14ac:dyDescent="0.25">
      <c r="Q73" s="119"/>
    </row>
    <row r="74" spans="16:21" x14ac:dyDescent="0.25">
      <c r="P74" s="119"/>
      <c r="Q74" s="119"/>
    </row>
    <row r="75" spans="16:21" x14ac:dyDescent="0.25">
      <c r="P75" s="119"/>
      <c r="Q75" s="119"/>
    </row>
    <row r="76" spans="16:21" x14ac:dyDescent="0.25">
      <c r="P76" s="119"/>
      <c r="Q76" s="119"/>
    </row>
    <row r="77" spans="16:21" x14ac:dyDescent="0.25">
      <c r="P77" s="119"/>
      <c r="Q77" s="119"/>
    </row>
    <row r="78" spans="16:21" x14ac:dyDescent="0.25">
      <c r="P78" s="119"/>
      <c r="Q78" s="119"/>
    </row>
    <row r="80" spans="16:21" x14ac:dyDescent="0.25">
      <c r="P80" s="119" t="str">
        <f>List!$B$305&amp;"!"</f>
        <v>S1 pouze pro jmenovitou délku 270 a 300 mm!</v>
      </c>
    </row>
    <row r="81" spans="16:16" x14ac:dyDescent="0.25">
      <c r="P81" s="119" t="str">
        <f>List!$B$306&amp;"!"</f>
        <v>Pro výsuvy délky 270 a 300 mm vyberte jednotky S1!</v>
      </c>
    </row>
    <row r="82" spans="16:16" x14ac:dyDescent="0.25">
      <c r="P82" s="119" t="str">
        <f>List!$B$307&amp;"!"</f>
        <v>Počet jednotek L neodpovídá počtu korpusových lišt!</v>
      </c>
    </row>
    <row r="83" spans="16:16" x14ac:dyDescent="0.25">
      <c r="P83" s="119" t="str">
        <f>List!$B$308&amp;"!"</f>
        <v>Počet jednotek S1 neodpovídá počtu korpusových lišt!</v>
      </c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22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MVU3tEgyDh5fznUl+LXr+2cgoBTL4Jp4fzYNwIq65+8m98Vr4nXYL9DBKeqhffcTiYgh3i9Q0jKBCuUeQqnJKA==" saltValue="dSYlQ42jq4FesxTJyuSP2w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C41RP'!A100" tooltip=" " display="'7C41RP'!A100"/>
    <hyperlink ref="N111" location="'7C41RP'!A1" tooltip=" " display="'7C41RP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5" tint="0.39997558519241921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6.179687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.7265625" style="2" hidden="1" customWidth="1"/>
    <col min="21" max="21" width="10.269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List!$B$52&amp;" C, "&amp;List!$B$71</f>
        <v>Vnitřní výsuv C, přední reling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/>
      <c r="Q3" s="127"/>
      <c r="R3" s="127"/>
      <c r="S3" s="262"/>
      <c r="T3" s="266"/>
      <c r="U3" s="263"/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473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/>
      <c r="Q4" s="127"/>
      <c r="R4" s="127"/>
      <c r="S4" s="262"/>
      <c r="T4" s="266"/>
      <c r="U4" s="263"/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 t="str">
        <f>Cen!A119</f>
        <v>Bočnice C free, 350mm, Orion šedé</v>
      </c>
      <c r="Q5" s="127" t="str">
        <f>Cen!B119</f>
        <v>780C3502S</v>
      </c>
      <c r="R5" s="127" t="str">
        <f>Cen!C119</f>
        <v>OG-M</v>
      </c>
      <c r="S5" s="262">
        <f>SUM(F21,F27,F33)</f>
        <v>0</v>
      </c>
      <c r="T5" s="266">
        <f>Cen!F119</f>
        <v>30.157519999999998</v>
      </c>
      <c r="U5" s="263">
        <f t="shared" ref="U5:U10" si="0">S5*T5</f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952</v>
      </c>
      <c r="K6" s="122"/>
      <c r="L6" s="144"/>
      <c r="M6" s="119"/>
      <c r="N6" s="2" t="str">
        <f>List!$B$12&amp;":"</f>
        <v>Pokračovat na:</v>
      </c>
      <c r="O6" s="119"/>
      <c r="P6" s="127" t="str">
        <f>Cen!A123</f>
        <v>Bočnice C free, 400mm, Orion šedé</v>
      </c>
      <c r="Q6" s="127" t="str">
        <f>Cen!B123</f>
        <v>780C4002S</v>
      </c>
      <c r="R6" s="127" t="str">
        <f>Cen!C123</f>
        <v>OG-M</v>
      </c>
      <c r="S6" s="262">
        <f>SUM(G21,G27,G33)</f>
        <v>0</v>
      </c>
      <c r="T6" s="266">
        <f>Cen!F123</f>
        <v>30.37988</v>
      </c>
      <c r="U6" s="2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1"/>
      <c r="I7" s="122"/>
      <c r="J7" s="121"/>
      <c r="K7" s="122"/>
      <c r="L7" s="144"/>
      <c r="M7" s="119"/>
      <c r="N7" s="151" t="str">
        <f>" "&amp;List!$B$5</f>
        <v xml:space="preserve"> Výběr doplňků</v>
      </c>
      <c r="O7" s="119"/>
      <c r="P7" s="127" t="str">
        <f>Cen!A127</f>
        <v>Bočnice C free, 450mm, Orion šedé</v>
      </c>
      <c r="Q7" s="127" t="str">
        <f>Cen!B127</f>
        <v>780C4502S</v>
      </c>
      <c r="R7" s="127" t="str">
        <f>Cen!C127</f>
        <v>OG-M</v>
      </c>
      <c r="S7" s="262">
        <f>SUM(H21:H22,H27:H28,H33:H34)</f>
        <v>0</v>
      </c>
      <c r="T7" s="266">
        <f>Cen!F127</f>
        <v>30.602429999999998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$U$80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Cen!A131</f>
        <v>Bočnice C free, 500mm, Orion šedé</v>
      </c>
      <c r="Q8" s="127" t="str">
        <f>Cen!B131</f>
        <v>780C5002S</v>
      </c>
      <c r="R8" s="127" t="str">
        <f>Cen!C131</f>
        <v>OG-M</v>
      </c>
      <c r="S8" s="262">
        <f>SUM(I21:I22,I27:I28,I33:I34)</f>
        <v>0</v>
      </c>
      <c r="T8" s="266">
        <f>Cen!F131</f>
        <v>30.824969999999997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Cen!A135</f>
        <v>Bočnice C free, 550mm, Orion šedé</v>
      </c>
      <c r="Q9" s="127" t="str">
        <f>Cen!B135</f>
        <v>780C5502S</v>
      </c>
      <c r="R9" s="127" t="str">
        <f>Cen!C135</f>
        <v>OG-M</v>
      </c>
      <c r="S9" s="262">
        <f>SUM(J21:J22,J27:J28,J33:J34)</f>
        <v>0</v>
      </c>
      <c r="T9" s="266">
        <f>Cen!F135</f>
        <v>32.604779999999998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Cen!A139</f>
        <v>Bočnice C free, 600mm, Orion šedé</v>
      </c>
      <c r="Q10" s="127" t="str">
        <f>Cen!B139</f>
        <v>780C6002S</v>
      </c>
      <c r="R10" s="127" t="str">
        <f>Cen!C139</f>
        <v>OG-M</v>
      </c>
      <c r="S10" s="262">
        <f>SUM(K21:K22,K27:K28,K33:K34)</f>
        <v>0</v>
      </c>
      <c r="T10" s="266">
        <f>Cen!F139</f>
        <v>35.385860000000001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 t="str">
        <f>"* "&amp;List!$B$146&amp;":"</f>
        <v>* Přířezy prvků:</v>
      </c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Cen!A143</f>
        <v>Bočnice C free, 650mm, Orion šedé</v>
      </c>
      <c r="Q11" s="127" t="str">
        <f>Cen!B143</f>
        <v>780C6502S</v>
      </c>
      <c r="R11" s="127" t="str">
        <f>Cen!C143</f>
        <v>OG-M</v>
      </c>
      <c r="S11" s="262">
        <f>SUM(L22,L28,L34)</f>
        <v>0</v>
      </c>
      <c r="T11" s="266">
        <f>Cen!F143</f>
        <v>36.432029999999997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 t="str">
        <f>List!$C$150&amp;":   LW - 126"</f>
        <v>Přední díl:   LW - 126</v>
      </c>
      <c r="I12" s="291"/>
      <c r="J12" s="291"/>
      <c r="K12" s="291"/>
      <c r="L12" s="29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119" t="str">
        <f>List!$C$151&amp;":   LW - 90"</f>
        <v>Příčný reling:   LW - 90</v>
      </c>
      <c r="I13" s="293"/>
      <c r="J13" s="293"/>
      <c r="K13" s="293"/>
      <c r="L13" s="293"/>
      <c r="M13" s="119"/>
      <c r="N13" s="119"/>
      <c r="O13" s="119"/>
      <c r="P13" s="209" t="str">
        <f>Cen!A177</f>
        <v>Korpusové lišty BLUMOTION, 270mm, 40kg</v>
      </c>
      <c r="Q13" s="209" t="str">
        <f>Cen!B177</f>
        <v>750.2701B</v>
      </c>
      <c r="R13" s="209" t="str">
        <f>Cen!C177</f>
        <v>ZN</v>
      </c>
      <c r="S13" s="260">
        <f>D21</f>
        <v>0</v>
      </c>
      <c r="T13" s="261">
        <f>Cen!F177</f>
        <v>21.845690000000001</v>
      </c>
      <c r="U13" s="261">
        <f t="shared" ref="U13:U24" si="1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290"/>
      <c r="M14" s="119"/>
      <c r="N14" s="119"/>
      <c r="O14" s="119"/>
      <c r="P14" s="209" t="str">
        <f>Cen!A178</f>
        <v>Korpusové lišty BLUMOTION, 300mm, 40kg</v>
      </c>
      <c r="Q14" s="209" t="str">
        <f>Cen!B178</f>
        <v>750.3001B</v>
      </c>
      <c r="R14" s="209" t="str">
        <f>Cen!C178</f>
        <v>ZN</v>
      </c>
      <c r="S14" s="260">
        <f>E21</f>
        <v>0</v>
      </c>
      <c r="T14" s="261">
        <f>Cen!F178</f>
        <v>21.925909999999998</v>
      </c>
      <c r="U14" s="26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288"/>
      <c r="M15" s="119"/>
      <c r="N15" s="119"/>
      <c r="O15" s="119"/>
      <c r="P15" s="209" t="str">
        <f>Cen!A179</f>
        <v>Korpusové lišty BLUMOTION, 350mm, 40kg</v>
      </c>
      <c r="Q15" s="209" t="str">
        <f>Cen!B179</f>
        <v>750.3501B</v>
      </c>
      <c r="R15" s="209" t="str">
        <f>Cen!C179</f>
        <v>ZN</v>
      </c>
      <c r="S15" s="260">
        <f>F21</f>
        <v>0</v>
      </c>
      <c r="T15" s="261">
        <f>Cen!F179</f>
        <v>21.845690000000001</v>
      </c>
      <c r="U15" s="26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Cen!A180</f>
        <v>Korpusové lišty BLUMOTION, 400mm, 40kg</v>
      </c>
      <c r="Q16" s="209" t="str">
        <f>Cen!B180</f>
        <v>750.4001B</v>
      </c>
      <c r="R16" s="209" t="str">
        <f>Cen!C180</f>
        <v>ZN</v>
      </c>
      <c r="S16" s="260">
        <f>G21</f>
        <v>0</v>
      </c>
      <c r="T16" s="261">
        <f>Cen!F180</f>
        <v>22.204979999999999</v>
      </c>
      <c r="U16" s="261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ht="15.5" x14ac:dyDescent="0.25">
      <c r="A18" s="119"/>
      <c r="C18" s="119"/>
      <c r="D18" s="119"/>
      <c r="E18" s="119"/>
      <c r="F18" s="119"/>
      <c r="G18" s="478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5" t="s">
        <v>615</v>
      </c>
      <c r="G20" s="305" t="s">
        <v>616</v>
      </c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850</v>
      </c>
      <c r="C21" s="298" t="s">
        <v>505</v>
      </c>
      <c r="D21" s="572"/>
      <c r="E21" s="572"/>
      <c r="F21" s="299"/>
      <c r="G21" s="299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851</v>
      </c>
      <c r="C22" s="311" t="s">
        <v>506</v>
      </c>
      <c r="D22" s="415"/>
      <c r="E22" s="415"/>
      <c r="F22" s="415"/>
      <c r="G22" s="415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/>
      <c r="E26" s="305"/>
      <c r="F26" s="305" t="s">
        <v>615</v>
      </c>
      <c r="G26" s="305" t="s">
        <v>616</v>
      </c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852</v>
      </c>
      <c r="C27" s="298" t="s">
        <v>505</v>
      </c>
      <c r="D27" s="572"/>
      <c r="E27" s="572"/>
      <c r="F27" s="299"/>
      <c r="G27" s="299"/>
      <c r="H27" s="299"/>
      <c r="I27" s="299"/>
      <c r="J27" s="299"/>
      <c r="K27" s="300"/>
      <c r="L27" s="572"/>
      <c r="M27" s="119"/>
      <c r="N27" s="119"/>
      <c r="O27" s="119"/>
      <c r="P27" s="209" t="str">
        <f>Cen!A193</f>
        <v>Korpusové lišty TIP-ON, 270mm, 40kg</v>
      </c>
      <c r="Q27" s="209" t="str">
        <f>Cen!B193</f>
        <v>750.2701T</v>
      </c>
      <c r="R27" s="209" t="str">
        <f>Cen!C193</f>
        <v>ZN</v>
      </c>
      <c r="S27" s="260">
        <f>D27</f>
        <v>0</v>
      </c>
      <c r="T27" s="261">
        <f>Cen!F193</f>
        <v>30.366460000000004</v>
      </c>
      <c r="U27" s="261">
        <f t="shared" ref="U27:U38" si="2">S27*T27</f>
        <v>0</v>
      </c>
    </row>
    <row r="28" spans="1:21" ht="14" x14ac:dyDescent="0.3">
      <c r="A28" s="119"/>
      <c r="B28" s="296" t="s">
        <v>853</v>
      </c>
      <c r="C28" s="310" t="s">
        <v>506</v>
      </c>
      <c r="D28" s="415"/>
      <c r="E28" s="415"/>
      <c r="F28" s="415"/>
      <c r="G28" s="415"/>
      <c r="H28" s="303"/>
      <c r="I28" s="303"/>
      <c r="J28" s="303"/>
      <c r="K28" s="304"/>
      <c r="L28" s="304"/>
      <c r="M28" s="119"/>
      <c r="N28" s="119"/>
      <c r="O28" s="119"/>
      <c r="P28" s="209" t="str">
        <f>Cen!A194</f>
        <v>Korpusové lišty TIP-ON, 300mm, 40kg</v>
      </c>
      <c r="Q28" s="209" t="str">
        <f>Cen!B194</f>
        <v>750.3001T</v>
      </c>
      <c r="R28" s="209" t="str">
        <f>Cen!C194</f>
        <v>ZN</v>
      </c>
      <c r="S28" s="260">
        <f>E27</f>
        <v>0</v>
      </c>
      <c r="T28" s="261">
        <f>Cen!F194</f>
        <v>30.366460000000004</v>
      </c>
      <c r="U28" s="261">
        <f t="shared" si="2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209" t="str">
        <f>Cen!A195</f>
        <v>Korpusové lišty TIP-ON, 350mm, 40kg</v>
      </c>
      <c r="Q29" s="209" t="str">
        <f>Cen!B195</f>
        <v>750.3501T</v>
      </c>
      <c r="R29" s="209" t="str">
        <f>Cen!C195</f>
        <v>ZN</v>
      </c>
      <c r="S29" s="260">
        <f>F27</f>
        <v>0</v>
      </c>
      <c r="T29" s="261">
        <f>Cen!F195</f>
        <v>30.366460000000004</v>
      </c>
      <c r="U29" s="261">
        <f t="shared" si="2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19"/>
      <c r="N30" s="119"/>
      <c r="O30" s="119"/>
      <c r="P30" s="209" t="str">
        <f>Cen!A196</f>
        <v>Korpusové lišty TIP-ON, 400mm, 40kg</v>
      </c>
      <c r="Q30" s="209" t="str">
        <f>Cen!B196</f>
        <v>750.4001T</v>
      </c>
      <c r="R30" s="209" t="str">
        <f>Cen!C196</f>
        <v>ZN</v>
      </c>
      <c r="S30" s="260">
        <f>G27</f>
        <v>0</v>
      </c>
      <c r="T30" s="261">
        <f>Cen!F196</f>
        <v>30.645720000000001</v>
      </c>
      <c r="U30" s="261">
        <f t="shared" si="2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Cen!A197</f>
        <v>Korpusové lišty TIP-ON, 450mm, 40kg</v>
      </c>
      <c r="Q31" s="209" t="str">
        <f>Cen!B197</f>
        <v>750.4501T</v>
      </c>
      <c r="R31" s="209" t="str">
        <f>Cen!C197</f>
        <v>ZN</v>
      </c>
      <c r="S31" s="260">
        <f>H27</f>
        <v>0</v>
      </c>
      <c r="T31" s="261">
        <f>Cen!F197</f>
        <v>32.552599999999998</v>
      </c>
      <c r="U31" s="261">
        <f t="shared" si="2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/>
      <c r="E32" s="305"/>
      <c r="F32" s="305" t="s">
        <v>615</v>
      </c>
      <c r="G32" s="305" t="s">
        <v>616</v>
      </c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Cen!A198</f>
        <v>Korpusové lišty TIP-ON, 450mm, 70kg</v>
      </c>
      <c r="Q32" s="209" t="str">
        <f>Cen!B198</f>
        <v>753.4501T</v>
      </c>
      <c r="R32" s="209" t="str">
        <f>Cen!C198</f>
        <v>ZN</v>
      </c>
      <c r="S32" s="260">
        <f>H28</f>
        <v>0</v>
      </c>
      <c r="T32" s="261">
        <f>Cen!F198</f>
        <v>36.006259999999997</v>
      </c>
      <c r="U32" s="261">
        <f t="shared" si="2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572"/>
      <c r="E33" s="572"/>
      <c r="F33" s="299"/>
      <c r="G33" s="299"/>
      <c r="H33" s="299"/>
      <c r="I33" s="299"/>
      <c r="J33" s="299"/>
      <c r="K33" s="300"/>
      <c r="L33" s="572"/>
      <c r="M33" s="119"/>
      <c r="N33" s="119"/>
      <c r="P33" s="209" t="str">
        <f>Cen!A199</f>
        <v>Korpusové lišty TIP-ON, 500mm, 40kg</v>
      </c>
      <c r="Q33" s="209" t="str">
        <f>Cen!B199</f>
        <v>750.5001T</v>
      </c>
      <c r="R33" s="209" t="str">
        <f>Cen!C199</f>
        <v>ZN</v>
      </c>
      <c r="S33" s="260">
        <f>I27</f>
        <v>0</v>
      </c>
      <c r="T33" s="261">
        <f>Cen!F199</f>
        <v>32.846359999999997</v>
      </c>
      <c r="U33" s="261">
        <f t="shared" si="2"/>
        <v>0</v>
      </c>
    </row>
    <row r="34" spans="1:21" ht="14" x14ac:dyDescent="0.3">
      <c r="B34" s="296" t="s">
        <v>1188</v>
      </c>
      <c r="C34" s="310" t="s">
        <v>506</v>
      </c>
      <c r="D34" s="415"/>
      <c r="E34" s="415"/>
      <c r="F34" s="415"/>
      <c r="G34" s="415"/>
      <c r="H34" s="303"/>
      <c r="I34" s="303"/>
      <c r="J34" s="303"/>
      <c r="K34" s="304"/>
      <c r="L34" s="304"/>
      <c r="M34" s="119"/>
      <c r="N34" s="119"/>
      <c r="P34" s="209" t="str">
        <f>Cen!A200</f>
        <v>Korpusové lišty TIP-ON, 500mm, 70kg</v>
      </c>
      <c r="Q34" s="209" t="str">
        <f>Cen!B200</f>
        <v>753.5001T</v>
      </c>
      <c r="R34" s="209" t="str">
        <f>Cen!C200</f>
        <v>ZN</v>
      </c>
      <c r="S34" s="260">
        <f>I28</f>
        <v>0</v>
      </c>
      <c r="T34" s="261">
        <f>Cen!F200</f>
        <v>36.285339999999998</v>
      </c>
      <c r="U34" s="261">
        <f t="shared" si="2"/>
        <v>0</v>
      </c>
    </row>
    <row r="35" spans="1:21" ht="15.5" x14ac:dyDescent="0.3"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P35" s="209" t="str">
        <f>Cen!A201</f>
        <v>Korpusové lišty TIP-ON, 550mm, 40kg</v>
      </c>
      <c r="Q35" s="209" t="str">
        <f>Cen!B201</f>
        <v>750.5501T</v>
      </c>
      <c r="R35" s="209" t="str">
        <f>Cen!C201</f>
        <v>ZN</v>
      </c>
      <c r="S35" s="260">
        <f>J27</f>
        <v>0</v>
      </c>
      <c r="T35" s="261">
        <f>Cen!F201</f>
        <v>32.694760000000002</v>
      </c>
      <c r="U35" s="261">
        <f t="shared" si="2"/>
        <v>0</v>
      </c>
    </row>
    <row r="36" spans="1:21" ht="13" x14ac:dyDescent="0.3"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P36" s="209" t="str">
        <f>Cen!A202</f>
        <v>Korpusové lišty TIP-ON, 550mm, 70kg</v>
      </c>
      <c r="Q36" s="209" t="str">
        <f>Cen!B202</f>
        <v>753.5501T</v>
      </c>
      <c r="R36" s="209" t="str">
        <f>Cen!C202</f>
        <v>ZN</v>
      </c>
      <c r="S36" s="260">
        <f>J28</f>
        <v>0</v>
      </c>
      <c r="T36" s="261">
        <f>Cen!F202</f>
        <v>37.776060000000001</v>
      </c>
      <c r="U36" s="261">
        <f t="shared" si="2"/>
        <v>0</v>
      </c>
    </row>
    <row r="37" spans="1:21" ht="14" x14ac:dyDescent="0.3">
      <c r="B37" s="291"/>
      <c r="C37" s="291"/>
      <c r="D37" s="308"/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122" t="str">
        <f>Cen!A203</f>
        <v>Korpusové lišty TIP-ON, 600mm, 40kg</v>
      </c>
      <c r="Q37" s="122" t="str">
        <f>Cen!B203</f>
        <v>750.6001T</v>
      </c>
      <c r="R37" s="122" t="str">
        <f>Cen!C203</f>
        <v>ZN</v>
      </c>
      <c r="S37" s="123">
        <f>K27</f>
        <v>0</v>
      </c>
      <c r="T37" s="118">
        <f>Cen!F203</f>
        <v>35.700530000000001</v>
      </c>
      <c r="U37" s="261">
        <f t="shared" si="2"/>
        <v>0</v>
      </c>
    </row>
    <row r="38" spans="1:21" ht="14.5" thickBot="1" x14ac:dyDescent="0.35">
      <c r="B38" s="179"/>
      <c r="C38" s="291"/>
      <c r="D38" s="572"/>
      <c r="E38" s="299"/>
      <c r="F38" s="299"/>
      <c r="G38" s="300"/>
      <c r="H38" s="662" t="str">
        <f>IF(SUM(F33:K33,H34:L34)=SUM(E38:G38)," ",P82)</f>
        <v xml:space="preserve"> </v>
      </c>
      <c r="I38" s="291"/>
      <c r="M38" s="119"/>
      <c r="P38" s="122" t="str">
        <f>Cen!A204</f>
        <v>Korpusové lišty TIP-ON, 600mm, 70kg</v>
      </c>
      <c r="Q38" s="122" t="str">
        <f>Cen!B204</f>
        <v>753.6001T</v>
      </c>
      <c r="R38" s="122" t="str">
        <f>Cen!C204</f>
        <v>ZN</v>
      </c>
      <c r="S38" s="123">
        <f>K28</f>
        <v>0</v>
      </c>
      <c r="T38" s="118">
        <f>Cen!F204</f>
        <v>40.781829999999999</v>
      </c>
      <c r="U38" s="118">
        <f t="shared" si="2"/>
        <v>0</v>
      </c>
    </row>
    <row r="39" spans="1:21" x14ac:dyDescent="0.25">
      <c r="C39" s="661"/>
      <c r="D39" s="660"/>
      <c r="E39" s="291"/>
      <c r="F39" s="291"/>
      <c r="G39" s="291"/>
      <c r="H39" s="291"/>
      <c r="I39" s="291"/>
      <c r="M39" s="119"/>
      <c r="P39" s="122" t="str">
        <f>Cen!A205</f>
        <v>Korpusové lišty TIP-ON, 650mm, 70kg</v>
      </c>
      <c r="Q39" s="122" t="str">
        <f>Cen!B205</f>
        <v>753.6501T</v>
      </c>
      <c r="R39" s="122" t="str">
        <f>Cen!C205</f>
        <v>ZN</v>
      </c>
      <c r="S39" s="123">
        <f>L28</f>
        <v>0</v>
      </c>
      <c r="T39" s="118">
        <f>Cen!F205</f>
        <v>42.272550000000003</v>
      </c>
      <c r="U39" s="118">
        <f>S39*T39</f>
        <v>0</v>
      </c>
    </row>
    <row r="40" spans="1:21" x14ac:dyDescent="0.25">
      <c r="B40" s="661"/>
      <c r="C40" s="661"/>
      <c r="D40" s="660"/>
      <c r="P40" s="144"/>
      <c r="Q40" s="144"/>
      <c r="R40" s="144"/>
      <c r="S40" s="150"/>
      <c r="T40" s="154"/>
      <c r="U40" s="154"/>
    </row>
    <row r="41" spans="1:21" x14ac:dyDescent="0.25">
      <c r="P41" s="122" t="str">
        <f>Cen!A209</f>
        <v>Korpusové lišty TIP-ON BLUMOTION, 270mm, 40kg</v>
      </c>
      <c r="Q41" s="122" t="str">
        <f>Cen!B209</f>
        <v>750.2700M</v>
      </c>
      <c r="R41" s="122" t="str">
        <f>Cen!C209</f>
        <v>ZN</v>
      </c>
      <c r="S41" s="123">
        <f>D33</f>
        <v>0</v>
      </c>
      <c r="T41" s="118">
        <f>Cen!F209</f>
        <v>21.925909999999998</v>
      </c>
      <c r="U41" s="118">
        <f>S41*T41</f>
        <v>0</v>
      </c>
    </row>
    <row r="42" spans="1:21" ht="14" x14ac:dyDescent="0.3">
      <c r="B42" s="119" t="str">
        <f>"      * "&amp;List!$B$159</f>
        <v xml:space="preserve">      * Pro každý výsuv je započítán jeden přední díl a jeden příčný reling</v>
      </c>
      <c r="C42" s="291"/>
      <c r="D42" s="347"/>
      <c r="E42" s="348"/>
      <c r="F42" s="349"/>
      <c r="G42" s="348"/>
      <c r="H42" s="348"/>
      <c r="I42" s="291"/>
      <c r="J42" s="291"/>
      <c r="K42" s="291"/>
      <c r="L42" s="291"/>
      <c r="P42" s="122" t="str">
        <f>Cen!A210</f>
        <v>Korpusové lišty TIP-ON BLUMOTION, 300mm, 40kg</v>
      </c>
      <c r="Q42" s="122" t="str">
        <f>Cen!B210</f>
        <v>750.3001M</v>
      </c>
      <c r="R42" s="122" t="str">
        <f>Cen!C210</f>
        <v>ZN</v>
      </c>
      <c r="S42" s="123">
        <f>E33</f>
        <v>0</v>
      </c>
      <c r="T42" s="118">
        <f>Cen!F210</f>
        <v>21.925909999999998</v>
      </c>
      <c r="U42" s="118">
        <f t="shared" ref="U42:U58" si="3">S42*T42</f>
        <v>0</v>
      </c>
    </row>
    <row r="43" spans="1:21" ht="14" x14ac:dyDescent="0.3">
      <c r="B43" s="119" t="str">
        <f>"        "&amp;List!$B$161</f>
        <v xml:space="preserve">        Potřebný počet předních dílů a relingů upravte v objednávce</v>
      </c>
      <c r="C43" s="291"/>
      <c r="D43" s="351"/>
      <c r="E43" s="295"/>
      <c r="F43" s="295"/>
      <c r="G43" s="295"/>
      <c r="H43" s="295"/>
      <c r="I43" s="289"/>
      <c r="J43" s="289"/>
      <c r="K43" s="289"/>
      <c r="L43" s="289"/>
      <c r="P43" s="122" t="str">
        <f>Cen!A211</f>
        <v>Korpusové lišty TIP-ON BLUMOTION, 350mm, 40kg</v>
      </c>
      <c r="Q43" s="122" t="str">
        <f>Cen!B211</f>
        <v>750.3501M</v>
      </c>
      <c r="R43" s="122" t="str">
        <f>Cen!C211</f>
        <v>ZN</v>
      </c>
      <c r="S43" s="123">
        <f>F33</f>
        <v>0</v>
      </c>
      <c r="T43" s="118">
        <f>Cen!F211</f>
        <v>21.925909999999998</v>
      </c>
      <c r="U43" s="118">
        <f t="shared" si="3"/>
        <v>0</v>
      </c>
    </row>
    <row r="44" spans="1:21" ht="14" x14ac:dyDescent="0.3">
      <c r="B44" s="319"/>
      <c r="D44" s="322"/>
      <c r="E44" s="295"/>
      <c r="F44" s="295"/>
      <c r="G44" s="295"/>
      <c r="H44" s="295"/>
      <c r="I44" s="289"/>
      <c r="J44" s="289"/>
      <c r="K44" s="289"/>
      <c r="L44" s="289"/>
      <c r="P44" s="122" t="str">
        <f>Cen!A212</f>
        <v>Korpusové lišty TIP-ON BLUMOTION, 400mm, 40kg</v>
      </c>
      <c r="Q44" s="122" t="str">
        <f>Cen!B212</f>
        <v>750.4001M</v>
      </c>
      <c r="R44" s="122" t="str">
        <f>Cen!C212</f>
        <v>ZN</v>
      </c>
      <c r="S44" s="123">
        <f>G33</f>
        <v>0</v>
      </c>
      <c r="T44" s="118">
        <f>Cen!F212</f>
        <v>22.204979999999999</v>
      </c>
      <c r="U44" s="118">
        <f t="shared" si="3"/>
        <v>0</v>
      </c>
    </row>
    <row r="45" spans="1:21" ht="14" x14ac:dyDescent="0.3">
      <c r="B45" s="119" t="str">
        <f>"        "&amp;List!$B$169</f>
        <v xml:space="preserve">        Boční zásuvné prvky se načtou automaticky</v>
      </c>
      <c r="C45" s="316"/>
      <c r="D45" s="295"/>
      <c r="E45" s="295"/>
      <c r="F45" s="295"/>
      <c r="G45" s="295"/>
      <c r="I45" s="290"/>
      <c r="J45" s="290"/>
      <c r="K45" s="290"/>
      <c r="L45" s="290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3"/>
        <v>0</v>
      </c>
    </row>
    <row r="46" spans="1:21" ht="13" x14ac:dyDescent="0.3">
      <c r="B46" s="119" t="str">
        <f>"        "&amp;List!$B$173</f>
        <v xml:space="preserve">        Máte-li zásuvné prvky vlastní, upravte počty v objednávce</v>
      </c>
      <c r="C46" s="287"/>
      <c r="H46" s="288"/>
      <c r="I46" s="288"/>
      <c r="J46" s="288"/>
      <c r="K46" s="288"/>
      <c r="L46" s="288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3"/>
        <v>0</v>
      </c>
    </row>
    <row r="47" spans="1:21" ht="13" x14ac:dyDescent="0.3">
      <c r="B47" s="287"/>
      <c r="C47" s="287"/>
      <c r="H47" s="291"/>
      <c r="I47" s="291"/>
      <c r="J47" s="291"/>
      <c r="K47" s="291"/>
      <c r="L47" s="291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3"/>
        <v>0</v>
      </c>
    </row>
    <row r="48" spans="1:21" ht="13" x14ac:dyDescent="0.3">
      <c r="B48" s="287"/>
      <c r="C48" s="287"/>
      <c r="H48" s="289"/>
      <c r="I48" s="289"/>
      <c r="J48" s="289"/>
      <c r="K48" s="289"/>
      <c r="L48" s="28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3"/>
        <v>0</v>
      </c>
    </row>
    <row r="49" spans="2:21" ht="13" x14ac:dyDescent="0.3">
      <c r="B49" s="287"/>
      <c r="C49" s="287"/>
      <c r="H49" s="289"/>
      <c r="I49" s="289"/>
      <c r="J49" s="289"/>
      <c r="K49" s="289"/>
      <c r="L49" s="289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3"/>
        <v>0</v>
      </c>
    </row>
    <row r="50" spans="2:21" ht="13" x14ac:dyDescent="0.3">
      <c r="B50" s="287"/>
      <c r="C50" s="287"/>
      <c r="H50" s="289"/>
      <c r="I50" s="289"/>
      <c r="J50" s="289"/>
      <c r="K50" s="289"/>
      <c r="L50" s="289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3"/>
        <v>0</v>
      </c>
    </row>
    <row r="51" spans="2:21" ht="13" x14ac:dyDescent="0.3">
      <c r="B51" s="287"/>
      <c r="C51" s="287"/>
      <c r="H51" s="289"/>
      <c r="I51" s="289"/>
      <c r="J51" s="289"/>
      <c r="K51" s="289"/>
      <c r="L51" s="289"/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3"/>
        <v>0</v>
      </c>
    </row>
    <row r="52" spans="2:21" ht="13" x14ac:dyDescent="0.3">
      <c r="B52" s="287"/>
      <c r="C52" s="287"/>
      <c r="H52" s="289"/>
      <c r="I52" s="289"/>
      <c r="J52" s="289"/>
      <c r="K52" s="289"/>
      <c r="L52" s="289"/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3"/>
        <v>0</v>
      </c>
    </row>
    <row r="53" spans="2:21" ht="13" x14ac:dyDescent="0.3">
      <c r="B53" s="287"/>
      <c r="C53" s="287"/>
      <c r="H53" s="289"/>
      <c r="I53" s="289"/>
      <c r="J53" s="289"/>
      <c r="K53" s="289"/>
      <c r="L53" s="289"/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3"/>
        <v>0</v>
      </c>
    </row>
    <row r="54" spans="2:21" ht="13" x14ac:dyDescent="0.3">
      <c r="B54" s="287"/>
      <c r="C54" s="287"/>
      <c r="H54" s="289"/>
      <c r="I54" s="289"/>
      <c r="J54" s="289"/>
      <c r="K54" s="289"/>
      <c r="L54" s="289"/>
      <c r="P54" s="122"/>
      <c r="Q54" s="122"/>
      <c r="R54" s="122"/>
      <c r="S54" s="123"/>
      <c r="T54" s="118"/>
      <c r="U54" s="118"/>
    </row>
    <row r="55" spans="2:21" ht="13" x14ac:dyDescent="0.3">
      <c r="B55" s="287"/>
      <c r="C55" s="287"/>
      <c r="H55" s="289"/>
      <c r="I55" s="289"/>
      <c r="J55" s="289"/>
      <c r="K55" s="289"/>
      <c r="L55" s="28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>
        <f>D38</f>
        <v>0</v>
      </c>
      <c r="T55" s="118">
        <f>Cen!F223</f>
        <v>15.883479999999999</v>
      </c>
      <c r="U55" s="118">
        <f t="shared" si="3"/>
        <v>0</v>
      </c>
    </row>
    <row r="56" spans="2:21" ht="13" x14ac:dyDescent="0.3">
      <c r="B56" s="287"/>
      <c r="C56" s="287"/>
      <c r="H56" s="289"/>
      <c r="I56" s="289"/>
      <c r="J56" s="289"/>
      <c r="K56" s="289"/>
      <c r="L56" s="28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 t="shared" si="3"/>
        <v>0</v>
      </c>
    </row>
    <row r="57" spans="2:21" ht="13" x14ac:dyDescent="0.3">
      <c r="B57" s="287"/>
      <c r="C57" s="287"/>
      <c r="H57" s="289"/>
      <c r="I57" s="289"/>
      <c r="J57" s="289"/>
      <c r="K57" s="289"/>
      <c r="L57" s="28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 t="shared" si="3"/>
        <v>0</v>
      </c>
    </row>
    <row r="58" spans="2:21" ht="13" x14ac:dyDescent="0.3">
      <c r="B58" s="287"/>
      <c r="C58" s="287"/>
      <c r="H58" s="289"/>
      <c r="I58" s="289"/>
      <c r="J58" s="289"/>
      <c r="K58" s="289"/>
      <c r="L58" s="28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 t="shared" si="3"/>
        <v>0</v>
      </c>
    </row>
    <row r="59" spans="2:21" ht="13" x14ac:dyDescent="0.3">
      <c r="B59" s="287"/>
      <c r="C59" s="287"/>
      <c r="H59" s="289"/>
      <c r="I59" s="289"/>
      <c r="J59" s="289"/>
      <c r="K59" s="289"/>
      <c r="L59" s="289"/>
      <c r="P59" s="144"/>
      <c r="Q59" s="144"/>
      <c r="R59" s="144"/>
      <c r="S59" s="150"/>
      <c r="T59" s="154"/>
      <c r="U59" s="154"/>
    </row>
    <row r="60" spans="2:21" x14ac:dyDescent="0.25">
      <c r="H60" s="290"/>
      <c r="I60" s="290"/>
      <c r="J60" s="290"/>
      <c r="K60" s="290"/>
      <c r="L60" s="290"/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SUM(S3:S11)</f>
        <v>0</v>
      </c>
      <c r="T60" s="118">
        <f>Cen!$F259</f>
        <v>1.59894</v>
      </c>
      <c r="U60" s="118">
        <f>S60*T60</f>
        <v>0</v>
      </c>
    </row>
    <row r="61" spans="2:21" ht="13" x14ac:dyDescent="0.3">
      <c r="H61" s="288"/>
      <c r="I61" s="288"/>
      <c r="J61" s="288"/>
      <c r="K61" s="288"/>
      <c r="L61" s="288"/>
      <c r="P61" s="122" t="str">
        <f>Cen!A297</f>
        <v>Sada kování vnitř.výs. C, s relingem, Orion šedá</v>
      </c>
      <c r="Q61" s="122" t="str">
        <f>Cen!B297</f>
        <v>ZI7.3CS0</v>
      </c>
      <c r="R61" s="122" t="str">
        <f>Cen!C297</f>
        <v>OG-M</v>
      </c>
      <c r="S61" s="123">
        <f>SUM(S3:S11)</f>
        <v>0</v>
      </c>
      <c r="T61" s="118">
        <f>Cen!F297</f>
        <v>18.150179999999999</v>
      </c>
      <c r="U61" s="118">
        <f>S61*T61</f>
        <v>0</v>
      </c>
    </row>
    <row r="62" spans="2:21" x14ac:dyDescent="0.25">
      <c r="P62" s="122"/>
      <c r="Q62" s="122"/>
      <c r="R62" s="122"/>
      <c r="S62" s="123"/>
      <c r="T62" s="118"/>
      <c r="U62" s="118"/>
    </row>
    <row r="63" spans="2:21" x14ac:dyDescent="0.25">
      <c r="P63" s="122" t="str">
        <f>Cen!A310</f>
        <v>Přední díl vnitřní zásuvky, bez drážky, Orion šedý</v>
      </c>
      <c r="Q63" s="122" t="str">
        <f>Cen!B310</f>
        <v>ZV7.1043C01</v>
      </c>
      <c r="R63" s="122" t="str">
        <f>Cen!C310</f>
        <v>OG-M</v>
      </c>
      <c r="S63" s="336">
        <f>SUM(S3:S11)</f>
        <v>0</v>
      </c>
      <c r="T63" s="118">
        <f>Cen!F310</f>
        <v>15.491620000000001</v>
      </c>
      <c r="U63" s="118">
        <f>S63*T63</f>
        <v>0</v>
      </c>
    </row>
    <row r="64" spans="2:21" x14ac:dyDescent="0.25">
      <c r="P64" s="122" t="str">
        <f>Cen!A338</f>
        <v>Příčný reling vnitřní zásuvky, Orion šedý</v>
      </c>
      <c r="Q64" s="122" t="str">
        <f>Cen!B338</f>
        <v>ZR7.1080U</v>
      </c>
      <c r="R64" s="122" t="str">
        <f>Cen!C338</f>
        <v>OG-M</v>
      </c>
      <c r="S64" s="336">
        <f>SUM(S3:S11)</f>
        <v>0</v>
      </c>
      <c r="T64" s="118">
        <f>Cen!F338</f>
        <v>6.60684</v>
      </c>
      <c r="U64" s="118">
        <f>S64*T64</f>
        <v>0</v>
      </c>
    </row>
    <row r="65" spans="16:21" x14ac:dyDescent="0.25">
      <c r="P65" s="144"/>
      <c r="Q65" s="144"/>
      <c r="R65" s="144"/>
      <c r="S65" s="150"/>
      <c r="T65" s="154"/>
      <c r="U65" s="154"/>
    </row>
    <row r="66" spans="16:21" x14ac:dyDescent="0.25">
      <c r="P66" s="144"/>
      <c r="Q66" s="144"/>
      <c r="R66" s="144"/>
      <c r="S66" s="150"/>
      <c r="T66" s="154"/>
      <c r="U66" s="154"/>
    </row>
    <row r="67" spans="16:21" x14ac:dyDescent="0.25">
      <c r="P67" s="144"/>
      <c r="Q67" s="144"/>
      <c r="R67" s="144"/>
      <c r="S67" s="150"/>
      <c r="T67" s="154"/>
      <c r="U67" s="154"/>
    </row>
    <row r="68" spans="16:21" x14ac:dyDescent="0.25">
      <c r="P68" s="144"/>
      <c r="Q68" s="144"/>
      <c r="R68" s="144"/>
      <c r="S68" s="150"/>
      <c r="T68" s="154"/>
      <c r="U68" s="154"/>
    </row>
    <row r="69" spans="16:21" x14ac:dyDescent="0.25">
      <c r="P69" s="119"/>
      <c r="Q69" s="119"/>
    </row>
    <row r="70" spans="16:21" x14ac:dyDescent="0.25">
      <c r="P70" s="209" t="str">
        <f>Cen!A168</f>
        <v>Boční zásuvné prvky, sklo, pro 350 mm</v>
      </c>
      <c r="Q70" s="209" t="str">
        <f>Cen!B168</f>
        <v>ZE7S238G</v>
      </c>
      <c r="R70" s="209" t="str">
        <f>Cen!C168</f>
        <v>KLA</v>
      </c>
      <c r="S70" s="260">
        <f t="shared" ref="S70:S76" si="4">S5</f>
        <v>0</v>
      </c>
      <c r="T70" s="607">
        <f>Cen!F168</f>
        <v>20.738469999999996</v>
      </c>
      <c r="U70" s="261">
        <f>S70*T70</f>
        <v>0</v>
      </c>
    </row>
    <row r="71" spans="16:21" x14ac:dyDescent="0.25">
      <c r="P71" s="127" t="str">
        <f>Cen!A169</f>
        <v>Boční zásuvné prvky, sklo, pro 400 mm</v>
      </c>
      <c r="Q71" s="127" t="str">
        <f>Cen!B169</f>
        <v>ZE7S288G</v>
      </c>
      <c r="R71" s="127" t="str">
        <f>Cen!C169</f>
        <v>KLA</v>
      </c>
      <c r="S71" s="262">
        <f t="shared" si="4"/>
        <v>0</v>
      </c>
      <c r="T71" s="266">
        <f>Cen!F169</f>
        <v>21.912770000000002</v>
      </c>
      <c r="U71" s="263">
        <f t="shared" ref="U71:U76" si="5">S71*T71</f>
        <v>0</v>
      </c>
    </row>
    <row r="72" spans="16:21" x14ac:dyDescent="0.25">
      <c r="P72" s="127" t="str">
        <f>Cen!A170</f>
        <v>Boční zásuvné prvky, sklo, pro 450 mm</v>
      </c>
      <c r="Q72" s="127" t="str">
        <f>Cen!B170</f>
        <v>ZE7S338G</v>
      </c>
      <c r="R72" s="127" t="str">
        <f>Cen!C170</f>
        <v>KLA</v>
      </c>
      <c r="S72" s="262">
        <f t="shared" si="4"/>
        <v>0</v>
      </c>
      <c r="T72" s="266">
        <f>Cen!F170</f>
        <v>23.087060000000001</v>
      </c>
      <c r="U72" s="263">
        <f t="shared" si="5"/>
        <v>0</v>
      </c>
    </row>
    <row r="73" spans="16:21" x14ac:dyDescent="0.25">
      <c r="P73" s="127" t="str">
        <f>Cen!A171</f>
        <v>Boční zásuvné prvky, sklo, pro 500 mm</v>
      </c>
      <c r="Q73" s="127" t="str">
        <f>Cen!B171</f>
        <v>ZE7S388G</v>
      </c>
      <c r="R73" s="127" t="str">
        <f>Cen!C171</f>
        <v>KLA</v>
      </c>
      <c r="S73" s="262">
        <f t="shared" si="4"/>
        <v>0</v>
      </c>
      <c r="T73" s="266">
        <f>Cen!F171</f>
        <v>24.26136</v>
      </c>
      <c r="U73" s="263">
        <f t="shared" si="5"/>
        <v>0</v>
      </c>
    </row>
    <row r="74" spans="16:21" x14ac:dyDescent="0.25">
      <c r="P74" s="127" t="str">
        <f>Cen!A172</f>
        <v>Boční zásuvné prvky, sklo, pro 550 mm</v>
      </c>
      <c r="Q74" s="127" t="str">
        <f>Cen!B172</f>
        <v>ZE7S438G</v>
      </c>
      <c r="R74" s="127" t="str">
        <f>Cen!C172</f>
        <v>KLA</v>
      </c>
      <c r="S74" s="262">
        <f t="shared" si="4"/>
        <v>0</v>
      </c>
      <c r="T74" s="266">
        <f>Cen!F172</f>
        <v>26.609179999999995</v>
      </c>
      <c r="U74" s="263">
        <f t="shared" si="5"/>
        <v>0</v>
      </c>
    </row>
    <row r="75" spans="16:21" x14ac:dyDescent="0.25">
      <c r="P75" s="127" t="str">
        <f>Cen!A173</f>
        <v>Boční zásuvné prvky, sklo, pro 600 mm</v>
      </c>
      <c r="Q75" s="127" t="str">
        <f>Cen!B173</f>
        <v>ZE7S488G</v>
      </c>
      <c r="R75" s="127" t="str">
        <f>Cen!C173</f>
        <v>KLA</v>
      </c>
      <c r="S75" s="262">
        <f t="shared" si="4"/>
        <v>0</v>
      </c>
      <c r="T75" s="266">
        <f>Cen!F173</f>
        <v>28.957020000000004</v>
      </c>
      <c r="U75" s="263">
        <f t="shared" si="5"/>
        <v>0</v>
      </c>
    </row>
    <row r="76" spans="16:21" ht="13" thickBot="1" x14ac:dyDescent="0.3">
      <c r="P76" s="608" t="str">
        <f>Cen!A174</f>
        <v>Boční zásuvné prvky, sklo, pro 650 mm</v>
      </c>
      <c r="Q76" s="608" t="str">
        <f>Cen!B174</f>
        <v>ZE7S538G</v>
      </c>
      <c r="R76" s="608" t="str">
        <f>Cen!C174</f>
        <v>KLA</v>
      </c>
      <c r="S76" s="609">
        <f t="shared" si="4"/>
        <v>0</v>
      </c>
      <c r="T76" s="610">
        <f>Cen!F174</f>
        <v>31.304870000000001</v>
      </c>
      <c r="U76" s="611">
        <f t="shared" si="5"/>
        <v>0</v>
      </c>
    </row>
    <row r="77" spans="16:21" x14ac:dyDescent="0.25">
      <c r="P77" s="119"/>
      <c r="Q77" s="119"/>
    </row>
    <row r="78" spans="16:21" x14ac:dyDescent="0.25">
      <c r="P78" s="119"/>
      <c r="Q78" s="119"/>
    </row>
    <row r="79" spans="16:21" x14ac:dyDescent="0.25">
      <c r="P79" s="119"/>
      <c r="Q79" s="119"/>
    </row>
    <row r="80" spans="16:21" x14ac:dyDescent="0.25">
      <c r="P80" s="119" t="str">
        <f>List!$B$305&amp;"!"</f>
        <v>S1 pouze pro jmenovitou délku 270 a 300 mm!</v>
      </c>
      <c r="Q80" s="119"/>
      <c r="S80" s="73" t="str">
        <f>List!$B$94</f>
        <v>cena kování</v>
      </c>
      <c r="U80" s="353">
        <f>SUM(U3:U76)</f>
        <v>0</v>
      </c>
    </row>
    <row r="81" spans="16:17" x14ac:dyDescent="0.25">
      <c r="P81" s="119" t="str">
        <f>List!$B$306&amp;"!"</f>
        <v>Pro výsuvy délky 270 a 300 mm vyberte jednotky S1!</v>
      </c>
      <c r="Q81" s="119"/>
    </row>
    <row r="82" spans="16:17" x14ac:dyDescent="0.25">
      <c r="P82" s="119" t="str">
        <f>List!$B$307&amp;"!"</f>
        <v>Počet jednotek L neodpovídá počtu korpusových lišt!</v>
      </c>
      <c r="Q82" s="119"/>
    </row>
    <row r="83" spans="16:17" x14ac:dyDescent="0.25">
      <c r="P83" s="119" t="str">
        <f>List!$B$308&amp;"!"</f>
        <v>Počet jednotek S1 neodpovídá počtu korpusových lišt!</v>
      </c>
      <c r="Q83" s="119"/>
    </row>
    <row r="84" spans="16:17" x14ac:dyDescent="0.25">
      <c r="P84" s="119"/>
      <c r="Q84" s="119"/>
    </row>
    <row r="85" spans="16:17" x14ac:dyDescent="0.25">
      <c r="P85" s="119"/>
      <c r="Q85" s="119"/>
    </row>
    <row r="86" spans="16:17" x14ac:dyDescent="0.25">
      <c r="P86" s="119"/>
      <c r="Q86" s="119"/>
    </row>
    <row r="87" spans="16:17" x14ac:dyDescent="0.25">
      <c r="P87" s="119"/>
      <c r="Q87" s="119"/>
    </row>
    <row r="88" spans="16:17" x14ac:dyDescent="0.25">
      <c r="P88" s="119"/>
      <c r="Q88" s="119"/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22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kiGwpq8PcyCFLb0ibIBGBIOu9XUvywJxjK2M+hwJiMIyf03uhp9ooYdG97wCXoTDbPdMlLSH9Ffl9Ew57HLLQQ==" saltValue="IT34ZHQ+Z9CwKeRb6ljBLg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C41RF'!A100" tooltip=" " display="'7C41RF'!A100"/>
    <hyperlink ref="N111" location="'7C41RF'!A1" tooltip=" " display="'7C41RF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tabColor indexed="22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7.179687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.1796875" style="2" hidden="1" customWidth="1"/>
    <col min="21" max="21" width="10.72656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List!$B$51&amp;" F"</f>
        <v>Čelní výsuv F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/>
      <c r="Q3" s="127"/>
      <c r="R3" s="127"/>
      <c r="S3" s="262"/>
      <c r="T3" s="266"/>
      <c r="U3" s="263"/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474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/>
      <c r="Q4" s="127"/>
      <c r="R4" s="127"/>
      <c r="S4" s="262"/>
      <c r="T4" s="266"/>
      <c r="U4" s="263"/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/>
      <c r="Q5" s="127"/>
      <c r="R5" s="127"/>
      <c r="S5" s="262"/>
      <c r="T5" s="266"/>
      <c r="U5" s="263"/>
    </row>
    <row r="6" spans="1:21" x14ac:dyDescent="0.25">
      <c r="A6" s="119"/>
      <c r="B6" s="119"/>
      <c r="C6" s="119"/>
      <c r="D6" s="119"/>
      <c r="E6" s="119"/>
      <c r="F6" s="119"/>
      <c r="G6" s="119"/>
      <c r="H6" s="122"/>
      <c r="I6" s="122"/>
      <c r="J6" s="121"/>
      <c r="K6" s="122"/>
      <c r="L6" s="144"/>
      <c r="M6" s="119"/>
      <c r="N6" s="2" t="str">
        <f>List!$B$12&amp;":"</f>
        <v>Pokračovat na:</v>
      </c>
      <c r="O6" s="119"/>
      <c r="P6" s="127"/>
      <c r="Q6" s="127"/>
      <c r="R6" s="127"/>
      <c r="S6" s="262"/>
      <c r="T6" s="266"/>
      <c r="U6" s="263"/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54"/>
      <c r="M7" s="119"/>
      <c r="N7" s="151" t="str">
        <f>" "&amp;List!$B$5</f>
        <v xml:space="preserve"> Výběr doplňků</v>
      </c>
      <c r="O7" s="119"/>
      <c r="P7" s="127" t="str">
        <f>Cen!A147</f>
        <v>Bočnice F 450mm, Orion šedé</v>
      </c>
      <c r="Q7" s="127" t="str">
        <f>Cen!B147</f>
        <v>770F4502S</v>
      </c>
      <c r="R7" s="127" t="str">
        <f>Cen!C147</f>
        <v>OG-M</v>
      </c>
      <c r="S7" s="262">
        <f>SUM(H21:H22,H27:H28,H33:H34)</f>
        <v>0</v>
      </c>
      <c r="T7" s="266">
        <f>Cen!F147</f>
        <v>49.551900000000003</v>
      </c>
      <c r="U7" s="263">
        <f>S7*T7</f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$U$64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Cen!A151</f>
        <v>Bočnice F 500mm, Orion šedé</v>
      </c>
      <c r="Q8" s="127" t="str">
        <f>Cen!B151</f>
        <v>770F5002S</v>
      </c>
      <c r="R8" s="127" t="str">
        <f>Cen!C151</f>
        <v>OG-M</v>
      </c>
      <c r="S8" s="262">
        <f>SUM(I21:I22,I27:I28,I33:I34)</f>
        <v>0</v>
      </c>
      <c r="T8" s="266">
        <f>Cen!F151</f>
        <v>49.984830000000002</v>
      </c>
      <c r="U8" s="263">
        <f>S8*T8</f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Cen!A155</f>
        <v>Bočnice F 550mm, Orion šedé</v>
      </c>
      <c r="Q9" s="127" t="str">
        <f>Cen!B155</f>
        <v>770F5502S</v>
      </c>
      <c r="R9" s="127" t="str">
        <f>Cen!C155</f>
        <v>OG-M</v>
      </c>
      <c r="S9" s="262">
        <f>SUM(J21:J22,J27:J28,J33:J34)</f>
        <v>0</v>
      </c>
      <c r="T9" s="266">
        <f>Cen!F155</f>
        <v>51.93262</v>
      </c>
      <c r="U9" s="263">
        <f>S9*T9</f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Cen!A159</f>
        <v>Bočnice F 600mm, Orion šedé</v>
      </c>
      <c r="Q10" s="127" t="str">
        <f>Cen!B159</f>
        <v>770F6002S</v>
      </c>
      <c r="R10" s="127" t="str">
        <f>Cen!C159</f>
        <v>OG-M</v>
      </c>
      <c r="S10" s="262">
        <f>SUM(K21:K22,K27:K28,K33:K34)</f>
        <v>0</v>
      </c>
      <c r="T10" s="266">
        <f>Cen!F159</f>
        <v>56.477589999999999</v>
      </c>
      <c r="U10" s="263">
        <f>S10*T10</f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Cen!A163</f>
        <v>Bočnice F 650mm, Orion šedé</v>
      </c>
      <c r="Q11" s="127" t="str">
        <f>Cen!B163</f>
        <v>770F6502S</v>
      </c>
      <c r="R11" s="127" t="str">
        <f>Cen!C163</f>
        <v>OG-M</v>
      </c>
      <c r="S11" s="262">
        <f>SUM(L22,L28,L34)</f>
        <v>0</v>
      </c>
      <c r="T11" s="266">
        <f>Cen!F163</f>
        <v>58.03593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29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293"/>
      <c r="M13" s="119"/>
      <c r="N13" s="119"/>
      <c r="O13" s="119"/>
      <c r="P13" s="209" t="str">
        <f>Cen!A177</f>
        <v>Korpusové lišty BLUMOTION, 270mm, 40kg</v>
      </c>
      <c r="Q13" s="209" t="str">
        <f>Cen!B177</f>
        <v>750.2701B</v>
      </c>
      <c r="R13" s="209" t="str">
        <f>Cen!C177</f>
        <v>ZN</v>
      </c>
      <c r="S13" s="260">
        <f>D21</f>
        <v>0</v>
      </c>
      <c r="T13" s="261">
        <f>Cen!F177</f>
        <v>21.845690000000001</v>
      </c>
      <c r="U13" s="261">
        <f t="shared" ref="U13:U24" si="0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290"/>
      <c r="M14" s="119"/>
      <c r="N14" s="119"/>
      <c r="O14" s="119"/>
      <c r="P14" s="209" t="str">
        <f>Cen!A178</f>
        <v>Korpusové lišty BLUMOTION, 300mm, 40kg</v>
      </c>
      <c r="Q14" s="209" t="str">
        <f>Cen!B178</f>
        <v>750.3001B</v>
      </c>
      <c r="R14" s="209" t="str">
        <f>Cen!C178</f>
        <v>ZN</v>
      </c>
      <c r="S14" s="260">
        <f>E21</f>
        <v>0</v>
      </c>
      <c r="T14" s="261">
        <f>Cen!F178</f>
        <v>21.925909999999998</v>
      </c>
      <c r="U14" s="261">
        <f t="shared" si="0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288"/>
      <c r="M15" s="119"/>
      <c r="N15" s="119"/>
      <c r="O15" s="119"/>
      <c r="P15" s="209" t="str">
        <f>Cen!A179</f>
        <v>Korpusové lišty BLUMOTION, 350mm, 40kg</v>
      </c>
      <c r="Q15" s="209" t="str">
        <f>Cen!B179</f>
        <v>750.3501B</v>
      </c>
      <c r="R15" s="209" t="str">
        <f>Cen!C179</f>
        <v>ZN</v>
      </c>
      <c r="S15" s="260">
        <f>F21</f>
        <v>0</v>
      </c>
      <c r="T15" s="261">
        <f>Cen!F179</f>
        <v>21.845690000000001</v>
      </c>
      <c r="U15" s="261">
        <f t="shared" si="0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Cen!A180</f>
        <v>Korpusové lišty BLUMOTION, 400mm, 40kg</v>
      </c>
      <c r="Q16" s="209" t="str">
        <f>Cen!B180</f>
        <v>750.4001B</v>
      </c>
      <c r="R16" s="209" t="str">
        <f>Cen!C180</f>
        <v>ZN</v>
      </c>
      <c r="S16" s="260">
        <f>G21</f>
        <v>0</v>
      </c>
      <c r="T16" s="261">
        <f>Cen!F180</f>
        <v>22.204979999999999</v>
      </c>
      <c r="U16" s="261">
        <f t="shared" si="0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0"/>
        <v>0</v>
      </c>
    </row>
    <row r="18" spans="1:21" ht="15.5" x14ac:dyDescent="0.25">
      <c r="A18" s="119"/>
      <c r="C18" s="119"/>
      <c r="D18" s="119"/>
      <c r="E18" s="119"/>
      <c r="F18" s="119"/>
      <c r="G18" s="478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0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0"/>
        <v>0</v>
      </c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8"/>
      <c r="G20" s="305"/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0"/>
        <v>0</v>
      </c>
    </row>
    <row r="21" spans="1:21" ht="14.5" thickBot="1" x14ac:dyDescent="0.35">
      <c r="A21" s="119"/>
      <c r="B21" s="297" t="s">
        <v>521</v>
      </c>
      <c r="C21" s="298" t="s">
        <v>505</v>
      </c>
      <c r="D21" s="355"/>
      <c r="E21" s="355"/>
      <c r="F21" s="355"/>
      <c r="G21" s="355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0"/>
        <v>0</v>
      </c>
    </row>
    <row r="22" spans="1:21" ht="14" x14ac:dyDescent="0.3">
      <c r="A22" s="119"/>
      <c r="B22" s="301" t="s">
        <v>522</v>
      </c>
      <c r="C22" s="311" t="s">
        <v>506</v>
      </c>
      <c r="D22" s="414"/>
      <c r="E22" s="414"/>
      <c r="F22" s="414"/>
      <c r="G22" s="414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0"/>
        <v>0</v>
      </c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0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0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/>
      <c r="E26" s="305"/>
      <c r="F26" s="308"/>
      <c r="G26" s="305"/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523</v>
      </c>
      <c r="C27" s="298" t="s">
        <v>505</v>
      </c>
      <c r="D27" s="355"/>
      <c r="E27" s="355"/>
      <c r="F27" s="355"/>
      <c r="G27" s="355"/>
      <c r="H27" s="299"/>
      <c r="I27" s="299"/>
      <c r="J27" s="299"/>
      <c r="K27" s="300"/>
      <c r="L27" s="572"/>
      <c r="M27" s="119"/>
      <c r="N27" s="119"/>
      <c r="O27" s="119"/>
      <c r="P27" s="209" t="str">
        <f>Cen!A193</f>
        <v>Korpusové lišty TIP-ON, 270mm, 40kg</v>
      </c>
      <c r="Q27" s="209" t="str">
        <f>Cen!B193</f>
        <v>750.2701T</v>
      </c>
      <c r="R27" s="209" t="str">
        <f>Cen!C193</f>
        <v>ZN</v>
      </c>
      <c r="S27" s="260">
        <f>D27</f>
        <v>0</v>
      </c>
      <c r="T27" s="261">
        <f>Cen!F193</f>
        <v>30.366460000000004</v>
      </c>
      <c r="U27" s="261">
        <f t="shared" ref="U27:U38" si="1">S27*T27</f>
        <v>0</v>
      </c>
    </row>
    <row r="28" spans="1:21" ht="14" x14ac:dyDescent="0.3">
      <c r="A28" s="119"/>
      <c r="B28" s="296" t="s">
        <v>524</v>
      </c>
      <c r="C28" s="310" t="s">
        <v>506</v>
      </c>
      <c r="D28" s="414"/>
      <c r="E28" s="414"/>
      <c r="F28" s="414"/>
      <c r="G28" s="414"/>
      <c r="H28" s="303"/>
      <c r="I28" s="303"/>
      <c r="J28" s="303"/>
      <c r="K28" s="304"/>
      <c r="L28" s="304"/>
      <c r="M28" s="119"/>
      <c r="N28" s="119"/>
      <c r="O28" s="119"/>
      <c r="P28" s="209" t="str">
        <f>Cen!A194</f>
        <v>Korpusové lišty TIP-ON, 300mm, 40kg</v>
      </c>
      <c r="Q28" s="209" t="str">
        <f>Cen!B194</f>
        <v>750.3001T</v>
      </c>
      <c r="R28" s="209" t="str">
        <f>Cen!C194</f>
        <v>ZN</v>
      </c>
      <c r="S28" s="260">
        <f>E27</f>
        <v>0</v>
      </c>
      <c r="T28" s="261">
        <f>Cen!F194</f>
        <v>30.366460000000004</v>
      </c>
      <c r="U28" s="261">
        <f t="shared" si="1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209" t="str">
        <f>Cen!A195</f>
        <v>Korpusové lišty TIP-ON, 350mm, 40kg</v>
      </c>
      <c r="Q29" s="209" t="str">
        <f>Cen!B195</f>
        <v>750.3501T</v>
      </c>
      <c r="R29" s="209" t="str">
        <f>Cen!C195</f>
        <v>ZN</v>
      </c>
      <c r="S29" s="260">
        <f>F27</f>
        <v>0</v>
      </c>
      <c r="T29" s="261">
        <f>Cen!F195</f>
        <v>30.366460000000004</v>
      </c>
      <c r="U29" s="261">
        <f t="shared" si="1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19"/>
      <c r="N30" s="119"/>
      <c r="O30" s="119"/>
      <c r="P30" s="209" t="str">
        <f>Cen!A196</f>
        <v>Korpusové lišty TIP-ON, 400mm, 40kg</v>
      </c>
      <c r="Q30" s="209" t="str">
        <f>Cen!B196</f>
        <v>750.4001T</v>
      </c>
      <c r="R30" s="209" t="str">
        <f>Cen!C196</f>
        <v>ZN</v>
      </c>
      <c r="S30" s="260">
        <f>G27</f>
        <v>0</v>
      </c>
      <c r="T30" s="261">
        <f>Cen!F196</f>
        <v>30.645720000000001</v>
      </c>
      <c r="U30" s="261">
        <f t="shared" si="1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Cen!A197</f>
        <v>Korpusové lišty TIP-ON, 450mm, 40kg</v>
      </c>
      <c r="Q31" s="209" t="str">
        <f>Cen!B197</f>
        <v>750.4501T</v>
      </c>
      <c r="R31" s="209" t="str">
        <f>Cen!C197</f>
        <v>ZN</v>
      </c>
      <c r="S31" s="260">
        <f>H27</f>
        <v>0</v>
      </c>
      <c r="T31" s="261">
        <f>Cen!F197</f>
        <v>32.552599999999998</v>
      </c>
      <c r="U31" s="261">
        <f t="shared" si="1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/>
      <c r="E32" s="305"/>
      <c r="F32" s="308"/>
      <c r="G32" s="305"/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Cen!A198</f>
        <v>Korpusové lišty TIP-ON, 450mm, 70kg</v>
      </c>
      <c r="Q32" s="209" t="str">
        <f>Cen!B198</f>
        <v>753.4501T</v>
      </c>
      <c r="R32" s="209" t="str">
        <f>Cen!C198</f>
        <v>ZN</v>
      </c>
      <c r="S32" s="260">
        <f>H28</f>
        <v>0</v>
      </c>
      <c r="T32" s="261">
        <f>Cen!F198</f>
        <v>36.006259999999997</v>
      </c>
      <c r="U32" s="261">
        <f t="shared" si="1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355"/>
      <c r="E33" s="355"/>
      <c r="F33" s="355"/>
      <c r="G33" s="355"/>
      <c r="H33" s="299"/>
      <c r="I33" s="299"/>
      <c r="J33" s="299"/>
      <c r="K33" s="300"/>
      <c r="L33" s="572"/>
      <c r="M33" s="119"/>
      <c r="N33" s="119"/>
      <c r="P33" s="209" t="str">
        <f>Cen!A199</f>
        <v>Korpusové lišty TIP-ON, 500mm, 40kg</v>
      </c>
      <c r="Q33" s="209" t="str">
        <f>Cen!B199</f>
        <v>750.5001T</v>
      </c>
      <c r="R33" s="209" t="str">
        <f>Cen!C199</f>
        <v>ZN</v>
      </c>
      <c r="S33" s="260">
        <f>I27</f>
        <v>0</v>
      </c>
      <c r="T33" s="261">
        <f>Cen!F199</f>
        <v>32.846359999999997</v>
      </c>
      <c r="U33" s="261">
        <f t="shared" si="1"/>
        <v>0</v>
      </c>
    </row>
    <row r="34" spans="1:21" ht="14" x14ac:dyDescent="0.3">
      <c r="B34" s="296" t="s">
        <v>1188</v>
      </c>
      <c r="C34" s="310" t="s">
        <v>506</v>
      </c>
      <c r="D34" s="414"/>
      <c r="E34" s="414"/>
      <c r="F34" s="414"/>
      <c r="G34" s="414"/>
      <c r="H34" s="303"/>
      <c r="I34" s="303"/>
      <c r="J34" s="303"/>
      <c r="K34" s="304"/>
      <c r="L34" s="304"/>
      <c r="M34" s="119"/>
      <c r="N34" s="119"/>
      <c r="P34" s="209" t="str">
        <f>Cen!A200</f>
        <v>Korpusové lišty TIP-ON, 500mm, 70kg</v>
      </c>
      <c r="Q34" s="209" t="str">
        <f>Cen!B200</f>
        <v>753.5001T</v>
      </c>
      <c r="R34" s="209" t="str">
        <f>Cen!C200</f>
        <v>ZN</v>
      </c>
      <c r="S34" s="260">
        <f>I28</f>
        <v>0</v>
      </c>
      <c r="T34" s="261">
        <f>Cen!F200</f>
        <v>36.285339999999998</v>
      </c>
      <c r="U34" s="261">
        <f t="shared" si="1"/>
        <v>0</v>
      </c>
    </row>
    <row r="35" spans="1:21" ht="15.5" x14ac:dyDescent="0.3"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P35" s="209" t="str">
        <f>Cen!A201</f>
        <v>Korpusové lišty TIP-ON, 550mm, 40kg</v>
      </c>
      <c r="Q35" s="209" t="str">
        <f>Cen!B201</f>
        <v>750.5501T</v>
      </c>
      <c r="R35" s="209" t="str">
        <f>Cen!C201</f>
        <v>ZN</v>
      </c>
      <c r="S35" s="260">
        <f>J27</f>
        <v>0</v>
      </c>
      <c r="T35" s="261">
        <f>Cen!F201</f>
        <v>32.694760000000002</v>
      </c>
      <c r="U35" s="261">
        <f t="shared" si="1"/>
        <v>0</v>
      </c>
    </row>
    <row r="36" spans="1:21" ht="13" x14ac:dyDescent="0.3"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P36" s="209" t="str">
        <f>Cen!A202</f>
        <v>Korpusové lišty TIP-ON, 550mm, 70kg</v>
      </c>
      <c r="Q36" s="209" t="str">
        <f>Cen!B202</f>
        <v>753.5501T</v>
      </c>
      <c r="R36" s="209" t="str">
        <f>Cen!C202</f>
        <v>ZN</v>
      </c>
      <c r="S36" s="260">
        <f>J28</f>
        <v>0</v>
      </c>
      <c r="T36" s="261">
        <f>Cen!F202</f>
        <v>37.776060000000001</v>
      </c>
      <c r="U36" s="261">
        <f t="shared" si="1"/>
        <v>0</v>
      </c>
    </row>
    <row r="37" spans="1:21" ht="14" x14ac:dyDescent="0.3">
      <c r="B37" s="291"/>
      <c r="C37" s="291"/>
      <c r="D37" s="308"/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122" t="str">
        <f>Cen!A203</f>
        <v>Korpusové lišty TIP-ON, 600mm, 40kg</v>
      </c>
      <c r="Q37" s="122" t="str">
        <f>Cen!B203</f>
        <v>750.6001T</v>
      </c>
      <c r="R37" s="122" t="str">
        <f>Cen!C203</f>
        <v>ZN</v>
      </c>
      <c r="S37" s="123">
        <f>K27</f>
        <v>0</v>
      </c>
      <c r="T37" s="118">
        <f>Cen!F203</f>
        <v>35.700530000000001</v>
      </c>
      <c r="U37" s="261">
        <f t="shared" si="1"/>
        <v>0</v>
      </c>
    </row>
    <row r="38" spans="1:21" ht="14.5" thickBot="1" x14ac:dyDescent="0.35">
      <c r="B38" s="179"/>
      <c r="C38" s="291"/>
      <c r="D38" s="355"/>
      <c r="E38" s="299"/>
      <c r="F38" s="299"/>
      <c r="G38" s="300"/>
      <c r="H38" s="662" t="str">
        <f>IF(SUM(F33:K33,H34:L34)=SUM(E38:G38)," ",P82)</f>
        <v xml:space="preserve"> </v>
      </c>
      <c r="I38" s="291"/>
      <c r="M38" s="119"/>
      <c r="P38" s="122" t="str">
        <f>Cen!A204</f>
        <v>Korpusové lišty TIP-ON, 600mm, 70kg</v>
      </c>
      <c r="Q38" s="122" t="str">
        <f>Cen!B204</f>
        <v>753.6001T</v>
      </c>
      <c r="R38" s="122" t="str">
        <f>Cen!C204</f>
        <v>ZN</v>
      </c>
      <c r="S38" s="123">
        <f>K28</f>
        <v>0</v>
      </c>
      <c r="T38" s="118">
        <f>Cen!F204</f>
        <v>40.781829999999999</v>
      </c>
      <c r="U38" s="118">
        <f t="shared" si="1"/>
        <v>0</v>
      </c>
    </row>
    <row r="39" spans="1:21" x14ac:dyDescent="0.25">
      <c r="C39" s="661"/>
      <c r="D39" s="660"/>
      <c r="E39" s="291"/>
      <c r="F39" s="291"/>
      <c r="G39" s="291"/>
      <c r="H39" s="291"/>
      <c r="I39" s="291"/>
      <c r="M39" s="119"/>
      <c r="P39" s="122" t="str">
        <f>Cen!A205</f>
        <v>Korpusové lišty TIP-ON, 650mm, 70kg</v>
      </c>
      <c r="Q39" s="122" t="str">
        <f>Cen!B205</f>
        <v>753.6501T</v>
      </c>
      <c r="R39" s="122" t="str">
        <f>Cen!C205</f>
        <v>ZN</v>
      </c>
      <c r="S39" s="123">
        <f>L28</f>
        <v>0</v>
      </c>
      <c r="T39" s="118">
        <f>Cen!F205</f>
        <v>42.272550000000003</v>
      </c>
      <c r="U39" s="118">
        <f>S39*T39</f>
        <v>0</v>
      </c>
    </row>
    <row r="40" spans="1:21" x14ac:dyDescent="0.25">
      <c r="B40" s="661"/>
      <c r="C40" s="661"/>
      <c r="D40" s="660"/>
      <c r="P40" s="144"/>
      <c r="Q40" s="144"/>
      <c r="R40" s="144"/>
      <c r="S40" s="150"/>
      <c r="T40" s="154"/>
      <c r="U40" s="154"/>
    </row>
    <row r="41" spans="1:21" ht="13" x14ac:dyDescent="0.3">
      <c r="B41" s="287"/>
      <c r="C41" s="287"/>
      <c r="H41" s="291"/>
      <c r="I41" s="291"/>
      <c r="J41" s="291"/>
      <c r="K41" s="291"/>
      <c r="L41" s="291"/>
      <c r="P41" s="122" t="str">
        <f>Cen!A209</f>
        <v>Korpusové lišty TIP-ON BLUMOTION, 270mm, 40kg</v>
      </c>
      <c r="Q41" s="122" t="str">
        <f>Cen!B209</f>
        <v>750.2700M</v>
      </c>
      <c r="R41" s="122" t="str">
        <f>Cen!C209</f>
        <v>ZN</v>
      </c>
      <c r="S41" s="123">
        <f>D33</f>
        <v>0</v>
      </c>
      <c r="T41" s="118">
        <f>Cen!F209</f>
        <v>21.925909999999998</v>
      </c>
      <c r="U41" s="118">
        <f>S41*T41</f>
        <v>0</v>
      </c>
    </row>
    <row r="42" spans="1:21" ht="13" x14ac:dyDescent="0.3">
      <c r="B42" s="287"/>
      <c r="C42" s="287"/>
      <c r="H42" s="291"/>
      <c r="I42" s="291"/>
      <c r="J42" s="291"/>
      <c r="K42" s="291"/>
      <c r="L42" s="291"/>
      <c r="P42" s="122" t="str">
        <f>Cen!A210</f>
        <v>Korpusové lišty TIP-ON BLUMOTION, 300mm, 40kg</v>
      </c>
      <c r="Q42" s="122" t="str">
        <f>Cen!B210</f>
        <v>750.3001M</v>
      </c>
      <c r="R42" s="122" t="str">
        <f>Cen!C210</f>
        <v>ZN</v>
      </c>
      <c r="S42" s="123">
        <f>E33</f>
        <v>0</v>
      </c>
      <c r="T42" s="118">
        <f>Cen!F210</f>
        <v>21.925909999999998</v>
      </c>
      <c r="U42" s="118">
        <f t="shared" ref="U42:U58" si="2">S42*T42</f>
        <v>0</v>
      </c>
    </row>
    <row r="43" spans="1:21" ht="13" x14ac:dyDescent="0.3">
      <c r="B43" s="287"/>
      <c r="C43" s="287"/>
      <c r="H43" s="291"/>
      <c r="I43" s="291"/>
      <c r="J43" s="291"/>
      <c r="K43" s="291"/>
      <c r="L43" s="291"/>
      <c r="P43" s="122" t="str">
        <f>Cen!A211</f>
        <v>Korpusové lišty TIP-ON BLUMOTION, 350mm, 40kg</v>
      </c>
      <c r="Q43" s="122" t="str">
        <f>Cen!B211</f>
        <v>750.3501M</v>
      </c>
      <c r="R43" s="122" t="str">
        <f>Cen!C211</f>
        <v>ZN</v>
      </c>
      <c r="S43" s="123">
        <f>F33</f>
        <v>0</v>
      </c>
      <c r="T43" s="118">
        <f>Cen!F211</f>
        <v>21.925909999999998</v>
      </c>
      <c r="U43" s="118">
        <f t="shared" si="2"/>
        <v>0</v>
      </c>
    </row>
    <row r="44" spans="1:21" ht="13" x14ac:dyDescent="0.3">
      <c r="B44" s="287"/>
      <c r="C44" s="287"/>
      <c r="H44" s="291"/>
      <c r="I44" s="291"/>
      <c r="J44" s="291"/>
      <c r="K44" s="291"/>
      <c r="L44" s="291"/>
      <c r="P44" s="122" t="str">
        <f>Cen!A212</f>
        <v>Korpusové lišty TIP-ON BLUMOTION, 400mm, 40kg</v>
      </c>
      <c r="Q44" s="122" t="str">
        <f>Cen!B212</f>
        <v>750.4001M</v>
      </c>
      <c r="R44" s="122" t="str">
        <f>Cen!C212</f>
        <v>ZN</v>
      </c>
      <c r="S44" s="123">
        <f>G33</f>
        <v>0</v>
      </c>
      <c r="T44" s="118">
        <f>Cen!F212</f>
        <v>22.204979999999999</v>
      </c>
      <c r="U44" s="118">
        <f t="shared" si="2"/>
        <v>0</v>
      </c>
    </row>
    <row r="45" spans="1:21" ht="13" x14ac:dyDescent="0.3">
      <c r="B45" s="287"/>
      <c r="C45" s="287"/>
      <c r="H45" s="291"/>
      <c r="I45" s="291"/>
      <c r="J45" s="291"/>
      <c r="K45" s="291"/>
      <c r="L45" s="291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2"/>
        <v>0</v>
      </c>
    </row>
    <row r="46" spans="1:21" ht="13" x14ac:dyDescent="0.3">
      <c r="B46" s="287"/>
      <c r="C46" s="287"/>
      <c r="H46" s="291"/>
      <c r="I46" s="291"/>
      <c r="J46" s="291"/>
      <c r="K46" s="291"/>
      <c r="L46" s="291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2"/>
        <v>0</v>
      </c>
    </row>
    <row r="47" spans="1:21" ht="13" x14ac:dyDescent="0.3">
      <c r="B47" s="287"/>
      <c r="C47" s="287"/>
      <c r="H47" s="291"/>
      <c r="I47" s="291"/>
      <c r="J47" s="291"/>
      <c r="K47" s="291"/>
      <c r="L47" s="291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2"/>
        <v>0</v>
      </c>
    </row>
    <row r="48" spans="1:21" ht="13" x14ac:dyDescent="0.3">
      <c r="B48" s="287"/>
      <c r="C48" s="287"/>
      <c r="H48" s="291"/>
      <c r="I48" s="291"/>
      <c r="J48" s="291"/>
      <c r="K48" s="291"/>
      <c r="L48" s="291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2"/>
        <v>0</v>
      </c>
    </row>
    <row r="49" spans="2:21" ht="13" x14ac:dyDescent="0.3">
      <c r="B49" s="287"/>
      <c r="C49" s="287"/>
      <c r="H49" s="291"/>
      <c r="I49" s="291"/>
      <c r="J49" s="291"/>
      <c r="K49" s="291"/>
      <c r="L49" s="291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2"/>
        <v>0</v>
      </c>
    </row>
    <row r="50" spans="2:21" ht="13" x14ac:dyDescent="0.3">
      <c r="B50" s="287"/>
      <c r="C50" s="287"/>
      <c r="H50" s="291"/>
      <c r="I50" s="291"/>
      <c r="J50" s="291"/>
      <c r="K50" s="291"/>
      <c r="L50" s="291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2"/>
        <v>0</v>
      </c>
    </row>
    <row r="51" spans="2:21" ht="13" x14ac:dyDescent="0.3">
      <c r="B51" s="287"/>
      <c r="C51" s="287"/>
      <c r="H51" s="291"/>
      <c r="I51" s="291"/>
      <c r="J51" s="291"/>
      <c r="K51" s="291"/>
      <c r="L51" s="291"/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2"/>
        <v>0</v>
      </c>
    </row>
    <row r="52" spans="2:21" ht="13" x14ac:dyDescent="0.3">
      <c r="B52" s="287"/>
      <c r="C52" s="287"/>
      <c r="H52" s="291"/>
      <c r="I52" s="291"/>
      <c r="J52" s="291"/>
      <c r="K52" s="291"/>
      <c r="L52" s="291"/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2"/>
        <v>0</v>
      </c>
    </row>
    <row r="53" spans="2:21" ht="13" x14ac:dyDescent="0.3">
      <c r="B53" s="287"/>
      <c r="C53" s="287"/>
      <c r="H53" s="291"/>
      <c r="I53" s="291"/>
      <c r="J53" s="291"/>
      <c r="K53" s="291"/>
      <c r="L53" s="291"/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2"/>
        <v>0</v>
      </c>
    </row>
    <row r="54" spans="2:21" ht="13" x14ac:dyDescent="0.3">
      <c r="B54" s="287"/>
      <c r="C54" s="287"/>
      <c r="H54" s="291"/>
      <c r="I54" s="291"/>
      <c r="J54" s="291"/>
      <c r="K54" s="291"/>
      <c r="L54" s="291"/>
      <c r="P54" s="122"/>
      <c r="Q54" s="122"/>
      <c r="R54" s="122"/>
      <c r="S54" s="123"/>
      <c r="T54" s="118"/>
      <c r="U54" s="118"/>
    </row>
    <row r="55" spans="2:21" ht="13" x14ac:dyDescent="0.3">
      <c r="B55" s="287"/>
      <c r="C55" s="287"/>
      <c r="H55" s="291"/>
      <c r="I55" s="291"/>
      <c r="J55" s="291"/>
      <c r="K55" s="291"/>
      <c r="L55" s="291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>
        <f>D38</f>
        <v>0</v>
      </c>
      <c r="T55" s="118">
        <f>Cen!F223</f>
        <v>15.883479999999999</v>
      </c>
      <c r="U55" s="118">
        <f t="shared" si="2"/>
        <v>0</v>
      </c>
    </row>
    <row r="56" spans="2:21" ht="13" x14ac:dyDescent="0.3">
      <c r="B56" s="287"/>
      <c r="C56" s="287"/>
      <c r="H56" s="291"/>
      <c r="I56" s="291"/>
      <c r="J56" s="291"/>
      <c r="K56" s="291"/>
      <c r="L56" s="291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 t="shared" si="2"/>
        <v>0</v>
      </c>
    </row>
    <row r="57" spans="2:21" ht="13" x14ac:dyDescent="0.3">
      <c r="B57" s="287"/>
      <c r="C57" s="287"/>
      <c r="H57" s="291"/>
      <c r="I57" s="291"/>
      <c r="J57" s="291"/>
      <c r="K57" s="291"/>
      <c r="L57" s="291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 t="shared" si="2"/>
        <v>0</v>
      </c>
    </row>
    <row r="58" spans="2:21" ht="13" x14ac:dyDescent="0.3">
      <c r="B58" s="287"/>
      <c r="C58" s="287"/>
      <c r="H58" s="291"/>
      <c r="I58" s="291"/>
      <c r="J58" s="291"/>
      <c r="K58" s="291"/>
      <c r="L58" s="291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 t="shared" si="2"/>
        <v>0</v>
      </c>
    </row>
    <row r="59" spans="2:21" ht="13" x14ac:dyDescent="0.3">
      <c r="B59" s="287"/>
      <c r="C59" s="287"/>
      <c r="H59" s="291"/>
      <c r="I59" s="291"/>
      <c r="J59" s="291"/>
      <c r="K59" s="291"/>
      <c r="L59" s="291"/>
      <c r="P59" s="144"/>
      <c r="Q59" s="144"/>
      <c r="R59" s="144"/>
      <c r="S59" s="150"/>
      <c r="T59" s="154"/>
      <c r="U59" s="154"/>
    </row>
    <row r="60" spans="2:21" x14ac:dyDescent="0.25">
      <c r="P60" s="122" t="str">
        <f>Cen!A263</f>
        <v>Držáky zadní stěny F, Orion šedé</v>
      </c>
      <c r="Q60" s="122" t="str">
        <f>Cen!B263</f>
        <v>ZB7F000S</v>
      </c>
      <c r="R60" s="122" t="str">
        <f>Cen!C263</f>
        <v>OG-M</v>
      </c>
      <c r="S60" s="123">
        <f>SUM($S$3:$S$11)</f>
        <v>0</v>
      </c>
      <c r="T60" s="118">
        <f>Cen!$F263</f>
        <v>3.3417300000000001</v>
      </c>
      <c r="U60" s="118">
        <f>S60*T60</f>
        <v>0</v>
      </c>
    </row>
    <row r="61" spans="2:21" x14ac:dyDescent="0.25">
      <c r="P61" s="122" t="str">
        <f>Cen!A274</f>
        <v>Čelní kování M, EXPANDO</v>
      </c>
      <c r="Q61" s="122" t="str">
        <f>Cen!B274</f>
        <v>ZF7M70E2</v>
      </c>
      <c r="R61" s="122" t="str">
        <f>Cen!C274</f>
        <v>BL</v>
      </c>
      <c r="S61" s="123">
        <f>SUM($S$3:$S$11)*2</f>
        <v>0</v>
      </c>
      <c r="T61" s="118">
        <f>Cen!F274</f>
        <v>0.35138999999999998</v>
      </c>
      <c r="U61" s="118">
        <f>S61*T61</f>
        <v>0</v>
      </c>
    </row>
    <row r="62" spans="2:21" x14ac:dyDescent="0.25">
      <c r="P62" s="122" t="str">
        <f>Cen!A278</f>
        <v>Čelní kování C, EXPANDO</v>
      </c>
      <c r="Q62" s="122" t="str">
        <f>Cen!B278</f>
        <v>ZF7C70E2</v>
      </c>
      <c r="R62" s="122" t="str">
        <f>Cen!C278</f>
        <v>BL</v>
      </c>
      <c r="S62" s="123">
        <f>SUM($S$3:$S$11)*2</f>
        <v>0</v>
      </c>
      <c r="T62" s="118">
        <f>Cen!F278</f>
        <v>0.76134999999999986</v>
      </c>
      <c r="U62" s="118">
        <f>S62*T62</f>
        <v>0</v>
      </c>
    </row>
    <row r="63" spans="2:21" x14ac:dyDescent="0.25">
      <c r="P63" s="119"/>
      <c r="Q63" s="119"/>
    </row>
    <row r="64" spans="2:21" x14ac:dyDescent="0.25">
      <c r="P64" s="119"/>
      <c r="Q64" s="119"/>
      <c r="S64" s="73" t="str">
        <f>List!$B$94</f>
        <v>cena kování</v>
      </c>
      <c r="U64" s="353">
        <f>SUM(U3:U63)</f>
        <v>0</v>
      </c>
    </row>
    <row r="65" spans="16:17" x14ac:dyDescent="0.25">
      <c r="P65" s="119"/>
      <c r="Q65" s="119"/>
    </row>
    <row r="66" spans="16:17" x14ac:dyDescent="0.25">
      <c r="P66" s="119"/>
      <c r="Q66" s="119"/>
    </row>
    <row r="67" spans="16:17" x14ac:dyDescent="0.25">
      <c r="P67" s="119"/>
      <c r="Q67" s="119"/>
    </row>
    <row r="68" spans="16:17" x14ac:dyDescent="0.25">
      <c r="P68" s="119"/>
      <c r="Q68" s="119"/>
    </row>
    <row r="69" spans="16:17" x14ac:dyDescent="0.25">
      <c r="P69" s="119"/>
      <c r="Q69" s="119"/>
    </row>
    <row r="70" spans="16:17" x14ac:dyDescent="0.25">
      <c r="P70" s="119"/>
      <c r="Q70" s="119"/>
    </row>
    <row r="71" spans="16:17" x14ac:dyDescent="0.25">
      <c r="P71" s="119"/>
      <c r="Q71" s="119"/>
    </row>
    <row r="72" spans="16:17" x14ac:dyDescent="0.25">
      <c r="P72" s="119"/>
      <c r="Q72" s="119"/>
    </row>
    <row r="80" spans="16:17" x14ac:dyDescent="0.25">
      <c r="P80" s="119" t="str">
        <f>List!$B$305&amp;"!"</f>
        <v>S1 pouze pro jmenovitou délku 270 a 300 mm!</v>
      </c>
    </row>
    <row r="81" spans="16:16" x14ac:dyDescent="0.25">
      <c r="P81" s="119" t="str">
        <f>List!$B$306&amp;"!"</f>
        <v>Pro výsuvy délky 270 a 300 mm vyberte jednotky S1!</v>
      </c>
    </row>
    <row r="82" spans="16:16" x14ac:dyDescent="0.25">
      <c r="P82" s="119" t="str">
        <f>List!$B$307&amp;"!"</f>
        <v>Počet jednotek L neodpovídá počtu korpusových lišt!</v>
      </c>
    </row>
    <row r="83" spans="16:16" x14ac:dyDescent="0.25">
      <c r="P83" s="119" t="str">
        <f>List!$B$308&amp;"!"</f>
        <v>Počet jednotek S1 neodpovídá počtu korpusových lišt!</v>
      </c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22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e/BmFMoAoD6Uf1B8NBWKRneqWXAr7Izgf4XyvKT+vYbFjGbKtanPfKDay3JUJ2yLQPRe4qbyFHxV/u6fGhxNvQ==" saltValue="THMS630jJtPEJhHtQKAEcw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F410P'!A100" tooltip=" " display="'7F410P'!A100"/>
    <hyperlink ref="N111" location="'7F410P'!A1" tooltip=" " display="'7F410P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indexed="22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List!$B$54&amp;" M"</f>
        <v>Dřezový výsuv M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360" t="str">
        <f>Cen!A19</f>
        <v>Bočnice M 270mm, Orion šedé</v>
      </c>
      <c r="Q3" s="360" t="str">
        <f>Cen!B19</f>
        <v>770M2702S</v>
      </c>
      <c r="R3" s="360" t="str">
        <f>Cen!C19</f>
        <v>OG-M</v>
      </c>
      <c r="S3" s="361">
        <f>SUM(D21,D27)</f>
        <v>0</v>
      </c>
      <c r="T3" s="362">
        <f>Cen!F19</f>
        <v>18.533550000000002</v>
      </c>
      <c r="U3" s="363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182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360" t="str">
        <f>Cen!A23</f>
        <v>Bočnice M 300mm, Orion šedé</v>
      </c>
      <c r="Q4" s="360" t="str">
        <f>Cen!B23</f>
        <v>770M3002S</v>
      </c>
      <c r="R4" s="360" t="str">
        <f>Cen!C23</f>
        <v>OG-M</v>
      </c>
      <c r="S4" s="361">
        <f>SUM(E21,E27)</f>
        <v>0</v>
      </c>
      <c r="T4" s="362">
        <f>Cen!F23</f>
        <v>18.533550000000002</v>
      </c>
      <c r="U4" s="363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360" t="str">
        <f>Cen!A27</f>
        <v>Bočnice M 350mm, Orion šedé</v>
      </c>
      <c r="Q5" s="360" t="str">
        <f>Cen!B27</f>
        <v>770M3502S</v>
      </c>
      <c r="R5" s="360" t="str">
        <f>Cen!C27</f>
        <v>OG-M</v>
      </c>
      <c r="S5" s="361">
        <f>SUM(F21,F27)</f>
        <v>0</v>
      </c>
      <c r="T5" s="362">
        <f>Cen!F27</f>
        <v>18.533550000000002</v>
      </c>
      <c r="U5" s="363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2"/>
      <c r="I6" s="122"/>
      <c r="J6" s="121"/>
      <c r="K6" s="122"/>
      <c r="L6" s="144"/>
      <c r="M6" s="119"/>
      <c r="N6" s="2" t="str">
        <f>List!$B$12&amp;":"</f>
        <v>Pokračovat na:</v>
      </c>
      <c r="O6" s="119"/>
      <c r="P6" s="360" t="str">
        <f>Cen!A31</f>
        <v>Bočnice M 400mm, Orion šedé</v>
      </c>
      <c r="Q6" s="360" t="str">
        <f>Cen!B31</f>
        <v>770M4002S</v>
      </c>
      <c r="R6" s="360" t="str">
        <f>Cen!C31</f>
        <v>OG-M</v>
      </c>
      <c r="S6" s="361">
        <f>SUM(G21,G27)</f>
        <v>0</v>
      </c>
      <c r="T6" s="362">
        <f>Cen!F31</f>
        <v>18.75609</v>
      </c>
      <c r="U6" s="3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54"/>
      <c r="M7" s="119"/>
      <c r="N7" s="151" t="str">
        <f>" "&amp;List!$B$5</f>
        <v xml:space="preserve"> Výběr doplňků</v>
      </c>
      <c r="O7" s="119"/>
      <c r="P7" s="127" t="str">
        <f>Cen!A35</f>
        <v>Bočnice M 450mm, Orion šedé</v>
      </c>
      <c r="Q7" s="127" t="str">
        <f>Cen!B35</f>
        <v>770M4502S</v>
      </c>
      <c r="R7" s="127" t="str">
        <f>Cen!C35</f>
        <v>OG-M</v>
      </c>
      <c r="S7" s="262">
        <f>SUM(H21:H22)*2</f>
        <v>0</v>
      </c>
      <c r="T7" s="266">
        <f>Cen!F35</f>
        <v>19.977319999999999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U44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Cen!A39</f>
        <v>Bočnice M 500mm, Orion šedé</v>
      </c>
      <c r="Q8" s="127" t="str">
        <f>Cen!B39</f>
        <v>770M5002S</v>
      </c>
      <c r="R8" s="127" t="str">
        <f>Cen!C39</f>
        <v>OG-M</v>
      </c>
      <c r="S8" s="262">
        <f>SUM(I21:I22)*2</f>
        <v>0</v>
      </c>
      <c r="T8" s="266">
        <f>Cen!F39</f>
        <v>20.211580000000001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Cen!A43</f>
        <v>Bočnice M 550mm, Orion šedé</v>
      </c>
      <c r="Q9" s="127" t="str">
        <f>Cen!B43</f>
        <v>770M5502S</v>
      </c>
      <c r="R9" s="127" t="str">
        <f>Cen!C43</f>
        <v>OG-M</v>
      </c>
      <c r="S9" s="262">
        <f>SUM(J21:J22)*2</f>
        <v>0</v>
      </c>
      <c r="T9" s="266">
        <f>Cen!F43</f>
        <v>20.980989999999998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Cen!A47</f>
        <v>Bočnice M 600mm, Orion šedé</v>
      </c>
      <c r="Q10" s="127" t="str">
        <f>Cen!B47</f>
        <v>770M6002S</v>
      </c>
      <c r="R10" s="127" t="str">
        <f>Cen!C47</f>
        <v>OG-M</v>
      </c>
      <c r="S10" s="262">
        <f>SUM(K21:K22)*2</f>
        <v>0</v>
      </c>
      <c r="T10" s="266">
        <f>Cen!F47</f>
        <v>23.762070000000005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Cen!A51</f>
        <v>Bočnice M 650mm, Orion šedé</v>
      </c>
      <c r="Q11" s="127" t="str">
        <f>Cen!B51</f>
        <v>770M6502S</v>
      </c>
      <c r="R11" s="127" t="str">
        <f>Cen!C51</f>
        <v>OG-M</v>
      </c>
      <c r="S11" s="262">
        <f>SUM(L21:L22)*2</f>
        <v>0</v>
      </c>
      <c r="T11" s="266">
        <f>Cen!F51</f>
        <v>24.808240000000001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29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293"/>
      <c r="M13" s="119"/>
      <c r="N13" s="119"/>
      <c r="O13" s="119"/>
      <c r="P13" s="364" t="str">
        <f>Cen!A177</f>
        <v>Korpusové lišty BLUMOTION, 270mm, 40kg</v>
      </c>
      <c r="Q13" s="364" t="str">
        <f>Cen!B177</f>
        <v>750.2701B</v>
      </c>
      <c r="R13" s="364" t="str">
        <f>Cen!C177</f>
        <v>ZN</v>
      </c>
      <c r="S13" s="365">
        <f>D21</f>
        <v>0</v>
      </c>
      <c r="T13" s="366">
        <f>Cen!F177</f>
        <v>21.845690000000001</v>
      </c>
      <c r="U13" s="366">
        <f t="shared" ref="U13:U24" si="1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290"/>
      <c r="M14" s="119"/>
      <c r="N14" s="119"/>
      <c r="O14" s="119"/>
      <c r="P14" s="364" t="str">
        <f>Cen!A178</f>
        <v>Korpusové lišty BLUMOTION, 300mm, 40kg</v>
      </c>
      <c r="Q14" s="364" t="str">
        <f>Cen!B178</f>
        <v>750.3001B</v>
      </c>
      <c r="R14" s="364" t="str">
        <f>Cen!C178</f>
        <v>ZN</v>
      </c>
      <c r="S14" s="365">
        <f>E21</f>
        <v>0</v>
      </c>
      <c r="T14" s="366">
        <f>Cen!F178</f>
        <v>21.925909999999998</v>
      </c>
      <c r="U14" s="366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288"/>
      <c r="M15" s="119"/>
      <c r="N15" s="119"/>
      <c r="O15" s="119"/>
      <c r="P15" s="364" t="str">
        <f>Cen!A179</f>
        <v>Korpusové lišty BLUMOTION, 350mm, 40kg</v>
      </c>
      <c r="Q15" s="364" t="str">
        <f>Cen!B179</f>
        <v>750.3501B</v>
      </c>
      <c r="R15" s="364" t="str">
        <f>Cen!C179</f>
        <v>ZN</v>
      </c>
      <c r="S15" s="365">
        <f>F21</f>
        <v>0</v>
      </c>
      <c r="T15" s="366">
        <f>Cen!F179</f>
        <v>21.845690000000001</v>
      </c>
      <c r="U15" s="366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364" t="str">
        <f>Cen!A180</f>
        <v>Korpusové lišty BLUMOTION, 400mm, 40kg</v>
      </c>
      <c r="Q16" s="364" t="str">
        <f>Cen!B180</f>
        <v>750.4001B</v>
      </c>
      <c r="R16" s="364" t="str">
        <f>Cen!C180</f>
        <v>ZN</v>
      </c>
      <c r="S16" s="365">
        <f>G21</f>
        <v>0</v>
      </c>
      <c r="T16" s="366">
        <f>Cen!F180</f>
        <v>22.204979999999999</v>
      </c>
      <c r="U16" s="366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H21*2</f>
        <v>0</v>
      </c>
      <c r="T17" s="261">
        <f>Cen!F181</f>
        <v>23.667639999999995</v>
      </c>
      <c r="U17" s="261">
        <f t="shared" si="1"/>
        <v>0</v>
      </c>
    </row>
    <row r="18" spans="1:21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H22*2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I21*2</f>
        <v>0</v>
      </c>
      <c r="T19" s="261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5"/>
      <c r="G20" s="305"/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I22*2</f>
        <v>0</v>
      </c>
      <c r="T20" s="261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896</v>
      </c>
      <c r="C21" s="298" t="s">
        <v>505</v>
      </c>
      <c r="D21" s="355"/>
      <c r="E21" s="355"/>
      <c r="F21" s="355"/>
      <c r="G21" s="355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J21*2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897</v>
      </c>
      <c r="C22" s="311" t="s">
        <v>506</v>
      </c>
      <c r="D22" s="370"/>
      <c r="E22" s="370"/>
      <c r="F22" s="370"/>
      <c r="G22" s="370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J22*2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D23" s="51"/>
      <c r="E23" s="51"/>
      <c r="F23" s="51"/>
      <c r="G23" s="51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K21*2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K22*2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58"/>
      <c r="C25" s="259"/>
      <c r="D25" s="291"/>
      <c r="E25" s="291"/>
      <c r="F25" s="291"/>
      <c r="G25" s="291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L22*2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58"/>
      <c r="C26" s="347"/>
      <c r="D26" s="348"/>
      <c r="E26" s="348"/>
      <c r="F26" s="348"/>
      <c r="G26" s="348"/>
      <c r="H26" s="348"/>
      <c r="I26" s="295"/>
      <c r="J26" s="348"/>
      <c r="K26" s="348"/>
      <c r="L26" s="348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5.5" x14ac:dyDescent="0.35">
      <c r="A27" s="119"/>
      <c r="B27" s="391"/>
      <c r="C27" s="347"/>
      <c r="D27" s="295"/>
      <c r="E27" s="295"/>
      <c r="F27" s="295"/>
      <c r="G27" s="295"/>
      <c r="H27" s="295"/>
      <c r="I27" s="295"/>
      <c r="J27" s="295"/>
      <c r="K27" s="295"/>
      <c r="L27" s="295"/>
      <c r="M27" s="119"/>
      <c r="N27" s="119"/>
      <c r="O27" s="119"/>
      <c r="P27" s="364" t="str">
        <f>Cen!A193</f>
        <v>Korpusové lišty TIP-ON, 270mm, 40kg</v>
      </c>
      <c r="Q27" s="364" t="str">
        <f>Cen!B193</f>
        <v>750.2701T</v>
      </c>
      <c r="R27" s="364" t="str">
        <f>Cen!C193</f>
        <v>ZN</v>
      </c>
      <c r="S27" s="365">
        <f>D27</f>
        <v>0</v>
      </c>
      <c r="T27" s="366">
        <f>Cen!F193</f>
        <v>30.366460000000004</v>
      </c>
      <c r="U27" s="366">
        <f t="shared" ref="U27:U38" si="2">S27*T27</f>
        <v>0</v>
      </c>
    </row>
    <row r="28" spans="1:21" ht="14" x14ac:dyDescent="0.3">
      <c r="A28" s="119"/>
      <c r="B28" s="315"/>
      <c r="C28" s="316"/>
      <c r="D28" s="359"/>
      <c r="E28" s="359"/>
      <c r="F28" s="359"/>
      <c r="G28" s="359"/>
      <c r="H28" s="295"/>
      <c r="I28" s="295"/>
      <c r="J28" s="295"/>
      <c r="K28" s="295"/>
      <c r="L28" s="295"/>
      <c r="M28" s="119"/>
      <c r="N28" s="119"/>
      <c r="O28" s="119"/>
      <c r="P28" s="364" t="str">
        <f>Cen!A194</f>
        <v>Korpusové lišty TIP-ON, 300mm, 40kg</v>
      </c>
      <c r="Q28" s="364" t="str">
        <f>Cen!B194</f>
        <v>750.3001T</v>
      </c>
      <c r="R28" s="364" t="str">
        <f>Cen!C194</f>
        <v>ZN</v>
      </c>
      <c r="S28" s="365">
        <f>E27</f>
        <v>0</v>
      </c>
      <c r="T28" s="366">
        <f>Cen!F194</f>
        <v>30.366460000000004</v>
      </c>
      <c r="U28" s="366">
        <f t="shared" si="2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364" t="str">
        <f>Cen!A195</f>
        <v>Korpusové lišty TIP-ON, 350mm, 40kg</v>
      </c>
      <c r="Q29" s="364" t="str">
        <f>Cen!B195</f>
        <v>750.3501T</v>
      </c>
      <c r="R29" s="364" t="str">
        <f>Cen!C195</f>
        <v>ZN</v>
      </c>
      <c r="S29" s="365">
        <f>F27</f>
        <v>0</v>
      </c>
      <c r="T29" s="366">
        <f>Cen!F195</f>
        <v>30.366460000000004</v>
      </c>
      <c r="U29" s="366">
        <f t="shared" si="2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19"/>
      <c r="N30" s="119"/>
      <c r="O30" s="119"/>
      <c r="P30" s="364" t="str">
        <f>Cen!A196</f>
        <v>Korpusové lišty TIP-ON, 400mm, 40kg</v>
      </c>
      <c r="Q30" s="364" t="str">
        <f>Cen!B196</f>
        <v>750.4001T</v>
      </c>
      <c r="R30" s="364" t="str">
        <f>Cen!C196</f>
        <v>ZN</v>
      </c>
      <c r="S30" s="365">
        <f>G27</f>
        <v>0</v>
      </c>
      <c r="T30" s="366">
        <f>Cen!F196</f>
        <v>30.645720000000001</v>
      </c>
      <c r="U30" s="366">
        <f t="shared" si="2"/>
        <v>0</v>
      </c>
    </row>
    <row r="31" spans="1:21" ht="13" x14ac:dyDescent="0.3">
      <c r="A31" s="119"/>
      <c r="B31" s="287"/>
      <c r="C31" s="287"/>
      <c r="H31" s="289"/>
      <c r="I31" s="289"/>
      <c r="J31" s="289"/>
      <c r="K31" s="289"/>
      <c r="L31" s="289"/>
      <c r="M31" s="119"/>
      <c r="N31" s="119"/>
      <c r="O31" s="119"/>
      <c r="P31" s="364" t="str">
        <f>Cen!A197</f>
        <v>Korpusové lišty TIP-ON, 450mm, 40kg</v>
      </c>
      <c r="Q31" s="364" t="str">
        <f>Cen!B197</f>
        <v>750.4501T</v>
      </c>
      <c r="R31" s="364" t="str">
        <f>Cen!C197</f>
        <v>ZN</v>
      </c>
      <c r="S31" s="365">
        <f>H27</f>
        <v>0</v>
      </c>
      <c r="T31" s="366">
        <f>Cen!F197</f>
        <v>32.552599999999998</v>
      </c>
      <c r="U31" s="366">
        <f t="shared" si="2"/>
        <v>0</v>
      </c>
    </row>
    <row r="32" spans="1:21" ht="13" x14ac:dyDescent="0.3">
      <c r="A32" s="119"/>
      <c r="B32" s="287"/>
      <c r="C32" s="287"/>
      <c r="H32" s="290"/>
      <c r="I32" s="290"/>
      <c r="J32" s="290"/>
      <c r="K32" s="290"/>
      <c r="L32" s="290"/>
      <c r="M32" s="119"/>
      <c r="N32" s="119"/>
      <c r="O32" s="119"/>
      <c r="P32" s="364" t="str">
        <f>Cen!A198</f>
        <v>Korpusové lišty TIP-ON, 450mm, 70kg</v>
      </c>
      <c r="Q32" s="364" t="str">
        <f>Cen!B198</f>
        <v>753.4501T</v>
      </c>
      <c r="R32" s="364" t="str">
        <f>Cen!C198</f>
        <v>ZN</v>
      </c>
      <c r="S32" s="365">
        <f>H28</f>
        <v>0</v>
      </c>
      <c r="T32" s="366">
        <f>Cen!F198</f>
        <v>36.006259999999997</v>
      </c>
      <c r="U32" s="366">
        <f t="shared" si="2"/>
        <v>0</v>
      </c>
    </row>
    <row r="33" spans="1:21" ht="15.5" x14ac:dyDescent="0.35">
      <c r="A33" s="119"/>
      <c r="B33" s="321"/>
      <c r="C33" s="287"/>
      <c r="H33" s="288"/>
      <c r="I33" s="288"/>
      <c r="J33" s="288"/>
      <c r="K33" s="288"/>
      <c r="L33" s="288"/>
      <c r="M33" s="119"/>
      <c r="P33" s="364" t="str">
        <f>Cen!A199</f>
        <v>Korpusové lišty TIP-ON, 500mm, 40kg</v>
      </c>
      <c r="Q33" s="364" t="str">
        <f>Cen!B199</f>
        <v>750.5001T</v>
      </c>
      <c r="R33" s="364" t="str">
        <f>Cen!C199</f>
        <v>ZN</v>
      </c>
      <c r="S33" s="365">
        <f>I27</f>
        <v>0</v>
      </c>
      <c r="T33" s="366">
        <f>Cen!F199</f>
        <v>32.846359999999997</v>
      </c>
      <c r="U33" s="366">
        <f t="shared" si="2"/>
        <v>0</v>
      </c>
    </row>
    <row r="34" spans="1:21" ht="15.5" x14ac:dyDescent="0.3">
      <c r="B34" s="346"/>
      <c r="C34" s="291"/>
      <c r="D34" s="347"/>
      <c r="E34" s="348"/>
      <c r="F34" s="349"/>
      <c r="G34" s="348"/>
      <c r="H34" s="348"/>
      <c r="I34" s="291"/>
      <c r="J34" s="291"/>
      <c r="K34" s="291"/>
      <c r="L34" s="291"/>
      <c r="P34" s="364" t="str">
        <f>Cen!A200</f>
        <v>Korpusové lišty TIP-ON, 500mm, 70kg</v>
      </c>
      <c r="Q34" s="364" t="str">
        <f>Cen!B200</f>
        <v>753.5001T</v>
      </c>
      <c r="R34" s="364" t="str">
        <f>Cen!C200</f>
        <v>ZN</v>
      </c>
      <c r="S34" s="365">
        <f>I28</f>
        <v>0</v>
      </c>
      <c r="T34" s="366">
        <f>Cen!F200</f>
        <v>36.285339999999998</v>
      </c>
      <c r="U34" s="366">
        <f t="shared" si="2"/>
        <v>0</v>
      </c>
    </row>
    <row r="35" spans="1:21" ht="14" x14ac:dyDescent="0.3">
      <c r="B35" s="350"/>
      <c r="C35" s="291"/>
      <c r="D35" s="351"/>
      <c r="E35" s="295"/>
      <c r="F35" s="295"/>
      <c r="G35" s="295"/>
      <c r="H35" s="295"/>
      <c r="I35" s="289"/>
      <c r="J35" s="289"/>
      <c r="K35" s="289"/>
      <c r="L35" s="289"/>
      <c r="P35" s="364" t="str">
        <f>Cen!A201</f>
        <v>Korpusové lišty TIP-ON, 550mm, 40kg</v>
      </c>
      <c r="Q35" s="364" t="str">
        <f>Cen!B201</f>
        <v>750.5501T</v>
      </c>
      <c r="R35" s="364" t="str">
        <f>Cen!C201</f>
        <v>ZN</v>
      </c>
      <c r="S35" s="365">
        <f>J27</f>
        <v>0</v>
      </c>
      <c r="T35" s="366">
        <f>Cen!F201</f>
        <v>32.694760000000002</v>
      </c>
      <c r="U35" s="366">
        <f t="shared" si="2"/>
        <v>0</v>
      </c>
    </row>
    <row r="36" spans="1:21" ht="14" x14ac:dyDescent="0.3">
      <c r="B36" s="350"/>
      <c r="C36" s="291"/>
      <c r="D36" s="351"/>
      <c r="E36" s="295"/>
      <c r="F36" s="295"/>
      <c r="G36" s="295"/>
      <c r="H36" s="295"/>
      <c r="I36" s="289"/>
      <c r="J36" s="289"/>
      <c r="K36" s="289"/>
      <c r="L36" s="289"/>
      <c r="P36" s="364" t="str">
        <f>Cen!A202</f>
        <v>Korpusové lišty TIP-ON, 550mm, 70kg</v>
      </c>
      <c r="Q36" s="364" t="str">
        <f>Cen!B202</f>
        <v>753.5501T</v>
      </c>
      <c r="R36" s="364" t="str">
        <f>Cen!C202</f>
        <v>ZN</v>
      </c>
      <c r="S36" s="365">
        <f>J28</f>
        <v>0</v>
      </c>
      <c r="T36" s="366">
        <f>Cen!F202</f>
        <v>37.776060000000001</v>
      </c>
      <c r="U36" s="366">
        <f t="shared" si="2"/>
        <v>0</v>
      </c>
    </row>
    <row r="37" spans="1:21" ht="14" x14ac:dyDescent="0.3">
      <c r="B37" s="315"/>
      <c r="C37" s="316"/>
      <c r="D37" s="295"/>
      <c r="E37" s="295"/>
      <c r="F37" s="295"/>
      <c r="G37" s="295"/>
      <c r="I37" s="290"/>
      <c r="J37" s="290"/>
      <c r="K37" s="290"/>
      <c r="L37" s="290"/>
      <c r="P37" s="367" t="str">
        <f>Cen!A203</f>
        <v>Korpusové lišty TIP-ON, 600mm, 40kg</v>
      </c>
      <c r="Q37" s="367" t="str">
        <f>Cen!B203</f>
        <v>750.6001T</v>
      </c>
      <c r="R37" s="367" t="str">
        <f>Cen!C203</f>
        <v>ZN</v>
      </c>
      <c r="S37" s="368">
        <f>K27</f>
        <v>0</v>
      </c>
      <c r="T37" s="369">
        <f>Cen!F203</f>
        <v>35.700530000000001</v>
      </c>
      <c r="U37" s="366">
        <f t="shared" si="2"/>
        <v>0</v>
      </c>
    </row>
    <row r="38" spans="1:21" ht="13" x14ac:dyDescent="0.3">
      <c r="B38" s="287"/>
      <c r="C38" s="287"/>
      <c r="H38" s="288"/>
      <c r="I38" s="288"/>
      <c r="J38" s="288"/>
      <c r="K38" s="288"/>
      <c r="L38" s="288"/>
      <c r="P38" s="367" t="str">
        <f>Cen!A204</f>
        <v>Korpusové lišty TIP-ON, 600mm, 70kg</v>
      </c>
      <c r="Q38" s="367" t="str">
        <f>Cen!B204</f>
        <v>753.6001T</v>
      </c>
      <c r="R38" s="367" t="str">
        <f>Cen!C204</f>
        <v>ZN</v>
      </c>
      <c r="S38" s="368">
        <f>K28</f>
        <v>0</v>
      </c>
      <c r="T38" s="369">
        <f>Cen!F204</f>
        <v>40.781829999999999</v>
      </c>
      <c r="U38" s="369">
        <f t="shared" si="2"/>
        <v>0</v>
      </c>
    </row>
    <row r="39" spans="1:21" ht="13" x14ac:dyDescent="0.3">
      <c r="B39" s="287"/>
      <c r="C39" s="287"/>
      <c r="H39" s="291"/>
      <c r="I39" s="291"/>
      <c r="J39" s="291"/>
      <c r="K39" s="291"/>
      <c r="L39" s="291"/>
      <c r="P39" s="569"/>
      <c r="Q39" s="569"/>
      <c r="R39" s="569"/>
      <c r="S39" s="570"/>
      <c r="T39" s="571"/>
      <c r="U39" s="571"/>
    </row>
    <row r="40" spans="1:21" x14ac:dyDescent="0.25">
      <c r="P40" s="144"/>
      <c r="Q40" s="144"/>
      <c r="R40" s="144"/>
      <c r="S40" s="150"/>
      <c r="T40" s="154"/>
      <c r="U40" s="154"/>
    </row>
    <row r="41" spans="1:21" x14ac:dyDescent="0.25">
      <c r="P41" s="122" t="str">
        <f>Cen!A251</f>
        <v>Držáky zadní stěny M, Orion šedé</v>
      </c>
      <c r="Q41" s="122" t="str">
        <f>Cen!B251</f>
        <v>ZB7M000S</v>
      </c>
      <c r="R41" s="122" t="str">
        <f>Cen!C251</f>
        <v>OG-M</v>
      </c>
      <c r="S41" s="123">
        <f>SUM($S$3:$S$11)</f>
        <v>0</v>
      </c>
      <c r="T41" s="118">
        <f>Cen!F251</f>
        <v>1.20011</v>
      </c>
      <c r="U41" s="118">
        <f>S41*T41</f>
        <v>0</v>
      </c>
    </row>
    <row r="42" spans="1:21" x14ac:dyDescent="0.25">
      <c r="P42" s="122" t="str">
        <f>Cen!A274</f>
        <v>Čelní kování M, EXPANDO</v>
      </c>
      <c r="Q42" s="122" t="str">
        <f>Cen!B274</f>
        <v>ZF7M70E2</v>
      </c>
      <c r="R42" s="122" t="str">
        <f>Cen!C274</f>
        <v>BL</v>
      </c>
      <c r="S42" s="123">
        <f>SUM($S$3:$S$11)*2</f>
        <v>0</v>
      </c>
      <c r="T42" s="118">
        <f>Cen!F274</f>
        <v>0.35138999999999998</v>
      </c>
      <c r="U42" s="118">
        <f>S42*T42</f>
        <v>0</v>
      </c>
    </row>
    <row r="43" spans="1:21" x14ac:dyDescent="0.25">
      <c r="P43" s="119"/>
      <c r="Q43" s="119"/>
    </row>
    <row r="44" spans="1:21" x14ac:dyDescent="0.25">
      <c r="P44" s="119"/>
      <c r="Q44" s="119"/>
      <c r="S44" s="73" t="str">
        <f>List!$B$94</f>
        <v>cena kování</v>
      </c>
      <c r="U44" s="353">
        <f>SUM(U3:U43)</f>
        <v>0</v>
      </c>
    </row>
    <row r="45" spans="1:21" x14ac:dyDescent="0.25">
      <c r="P45" s="119"/>
      <c r="Q45" s="119"/>
    </row>
    <row r="46" spans="1:21" x14ac:dyDescent="0.25">
      <c r="P46" s="119"/>
      <c r="Q46" s="119"/>
    </row>
    <row r="47" spans="1:21" x14ac:dyDescent="0.25">
      <c r="P47" s="119"/>
      <c r="Q47" s="119"/>
    </row>
    <row r="48" spans="1:21" x14ac:dyDescent="0.25">
      <c r="P48" s="119"/>
      <c r="Q48" s="119"/>
    </row>
    <row r="49" spans="16:17" x14ac:dyDescent="0.25">
      <c r="P49" s="119"/>
      <c r="Q49" s="119"/>
    </row>
    <row r="50" spans="16:17" x14ac:dyDescent="0.25">
      <c r="P50" s="119"/>
      <c r="Q50" s="119"/>
    </row>
    <row r="51" spans="16:17" x14ac:dyDescent="0.25">
      <c r="P51" s="119"/>
      <c r="Q51" s="119"/>
    </row>
    <row r="52" spans="16:17" x14ac:dyDescent="0.25">
      <c r="P52" s="119"/>
      <c r="Q52" s="119"/>
    </row>
    <row r="99" spans="1:1" x14ac:dyDescent="0.25">
      <c r="A99" s="783"/>
    </row>
    <row r="100" spans="1:1" x14ac:dyDescent="0.25">
      <c r="A100" s="783"/>
    </row>
    <row r="101" spans="1:1" x14ac:dyDescent="0.25">
      <c r="A101" s="783"/>
    </row>
    <row r="102" spans="1:1" x14ac:dyDescent="0.25">
      <c r="A102" s="783"/>
    </row>
    <row r="103" spans="1:1" x14ac:dyDescent="0.25">
      <c r="A103" s="783"/>
    </row>
    <row r="104" spans="1:1" x14ac:dyDescent="0.25">
      <c r="A104" s="783"/>
    </row>
    <row r="105" spans="1:1" x14ac:dyDescent="0.25">
      <c r="A105" s="783"/>
    </row>
    <row r="106" spans="1:1" x14ac:dyDescent="0.25">
      <c r="A106" s="783"/>
    </row>
    <row r="107" spans="1:1" x14ac:dyDescent="0.25">
      <c r="A107" s="783"/>
    </row>
    <row r="108" spans="1:1" x14ac:dyDescent="0.25">
      <c r="A108" s="783"/>
    </row>
    <row r="109" spans="1:1" x14ac:dyDescent="0.25">
      <c r="A109" s="783"/>
    </row>
    <row r="110" spans="1:1" x14ac:dyDescent="0.25">
      <c r="A110" s="783"/>
    </row>
    <row r="111" spans="1:1" x14ac:dyDescent="0.25">
      <c r="A111" s="783"/>
    </row>
    <row r="112" spans="1:1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GZwmlbMdVj5u5y2cLo0Rdmv+XwYOcsFbs5RDvCwiyie8Y9cfpm7y5om9K6eN8H3KvME1gtkA5dFoQ2+Kge7uPA==" saltValue="tKOjTmdH2bAkCa3rvAwlIg==" spinCount="100000" sheet="1" objects="1" scenarios="1"/>
  <mergeCells count="1">
    <mergeCell ref="A99:A140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indexed="22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List!$B$54&amp;" C"</f>
        <v>Dřezový výsuv C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360" t="str">
        <f>Cen!A75</f>
        <v>Bočnice C pure, 270mm, Orion šedé</v>
      </c>
      <c r="Q3" s="360" t="str">
        <f>Cen!B75</f>
        <v>770C2702S</v>
      </c>
      <c r="R3" s="360" t="str">
        <f>Cen!C75</f>
        <v>OG-M</v>
      </c>
      <c r="S3" s="361">
        <f>SUM(D21,D27)</f>
        <v>0</v>
      </c>
      <c r="T3" s="362">
        <f>Cen!F75</f>
        <v>29.004729999999999</v>
      </c>
      <c r="U3" s="363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473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360" t="str">
        <f>Cen!A79</f>
        <v>Bočnice C pure, 300mm, Orion šedé</v>
      </c>
      <c r="Q4" s="360" t="str">
        <f>Cen!B79</f>
        <v>770C3002S</v>
      </c>
      <c r="R4" s="360" t="str">
        <f>Cen!C79</f>
        <v>OG-M</v>
      </c>
      <c r="S4" s="361">
        <f>SUM(E21,E27)</f>
        <v>0</v>
      </c>
      <c r="T4" s="362">
        <f>Cen!F79</f>
        <v>29.004729999999999</v>
      </c>
      <c r="U4" s="363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360" t="str">
        <f>Cen!A83</f>
        <v>Bočnice C pure, 350mm, Orion šedé</v>
      </c>
      <c r="Q5" s="360" t="str">
        <f>Cen!B83</f>
        <v>770C3502S</v>
      </c>
      <c r="R5" s="360" t="str">
        <f>Cen!C83</f>
        <v>OG-M</v>
      </c>
      <c r="S5" s="361">
        <f>SUM(F21,F27)</f>
        <v>0</v>
      </c>
      <c r="T5" s="362">
        <f>Cen!F83</f>
        <v>29.004729999999999</v>
      </c>
      <c r="U5" s="363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951</v>
      </c>
      <c r="K6" s="122"/>
      <c r="L6" s="144"/>
      <c r="M6" s="119"/>
      <c r="N6" s="2" t="str">
        <f>List!$B$12&amp;":"</f>
        <v>Pokračovat na:</v>
      </c>
      <c r="O6" s="119"/>
      <c r="P6" s="360" t="str">
        <f>Cen!A87</f>
        <v>Bočnice C pure, 400mm, Orion šedé</v>
      </c>
      <c r="Q6" s="360" t="str">
        <f>Cen!B87</f>
        <v>770C4002S</v>
      </c>
      <c r="R6" s="360" t="str">
        <f>Cen!C87</f>
        <v>OG-M</v>
      </c>
      <c r="S6" s="361">
        <f>SUM(G21,G27)</f>
        <v>0</v>
      </c>
      <c r="T6" s="362">
        <f>Cen!F87</f>
        <v>29.360900000000001</v>
      </c>
      <c r="U6" s="3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54"/>
      <c r="M7" s="119"/>
      <c r="N7" s="151" t="str">
        <f>" "&amp;List!$B$5</f>
        <v xml:space="preserve"> Výběr doplňků</v>
      </c>
      <c r="O7" s="119"/>
      <c r="P7" s="127" t="str">
        <f>Cen!A91</f>
        <v>Bočnice C pure, 450mm, Orion šedé</v>
      </c>
      <c r="Q7" s="127" t="str">
        <f>Cen!B91</f>
        <v>770C4502S</v>
      </c>
      <c r="R7" s="127" t="str">
        <f>Cen!C91</f>
        <v>OG-M</v>
      </c>
      <c r="S7" s="262">
        <f>SUM(H21:H22)*2</f>
        <v>0</v>
      </c>
      <c r="T7" s="266">
        <f>Cen!F91</f>
        <v>31.28134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U44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Cen!A95</f>
        <v>Bočnice C pure, 500mm, Orion šedé</v>
      </c>
      <c r="Q8" s="127" t="str">
        <f>Cen!B95</f>
        <v>770C5002S</v>
      </c>
      <c r="R8" s="127" t="str">
        <f>Cen!C95</f>
        <v>OG-M</v>
      </c>
      <c r="S8" s="262">
        <f>SUM(I21:I22)*2</f>
        <v>0</v>
      </c>
      <c r="T8" s="266">
        <f>Cen!F95</f>
        <v>31.656259999999996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Cen!A99</f>
        <v>Bočnice C pure, 550mm, Orion šedé</v>
      </c>
      <c r="Q9" s="127" t="str">
        <f>Cen!B99</f>
        <v>770C5502S</v>
      </c>
      <c r="R9" s="127" t="str">
        <f>Cen!C99</f>
        <v>OG-M</v>
      </c>
      <c r="S9" s="262">
        <f>SUM(J21:J22)*2</f>
        <v>0</v>
      </c>
      <c r="T9" s="266">
        <f>Cen!F99</f>
        <v>31.853429999999999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Cen!A103</f>
        <v>Bočnice C pure, 600mm, Orion šedé</v>
      </c>
      <c r="Q10" s="127" t="str">
        <f>Cen!B103</f>
        <v>770C6002S</v>
      </c>
      <c r="R10" s="127" t="str">
        <f>Cen!C103</f>
        <v>OG-M</v>
      </c>
      <c r="S10" s="262">
        <f>SUM(K21:K22)*2</f>
        <v>0</v>
      </c>
      <c r="T10" s="266">
        <f>Cen!F103</f>
        <v>35.537379999999999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Cen!A107</f>
        <v>Bočnice C pure, 650mm, Orion šedé</v>
      </c>
      <c r="Q11" s="127" t="str">
        <f>Cen!B107</f>
        <v>770C6502S</v>
      </c>
      <c r="R11" s="127" t="str">
        <f>Cen!C107</f>
        <v>OG-M</v>
      </c>
      <c r="S11" s="262">
        <f>SUM(L21:L22)*2</f>
        <v>0</v>
      </c>
      <c r="T11" s="266">
        <f>Cen!F107</f>
        <v>36.783200000000001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291"/>
      <c r="M12" s="119"/>
      <c r="N12" s="119"/>
      <c r="O12" s="119"/>
      <c r="P12" s="126"/>
      <c r="Q12" s="126"/>
      <c r="R12" s="126"/>
      <c r="S12" s="334"/>
      <c r="T12" s="401"/>
      <c r="U12" s="335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293"/>
      <c r="M13" s="119"/>
      <c r="N13" s="119"/>
      <c r="O13" s="119"/>
      <c r="P13" s="364" t="str">
        <f>Cen!A177</f>
        <v>Korpusové lišty BLUMOTION, 270mm, 40kg</v>
      </c>
      <c r="Q13" s="364" t="str">
        <f>Cen!B177</f>
        <v>750.2701B</v>
      </c>
      <c r="R13" s="364" t="str">
        <f>Cen!C177</f>
        <v>ZN</v>
      </c>
      <c r="S13" s="365">
        <f>D21</f>
        <v>0</v>
      </c>
      <c r="T13" s="366">
        <f>Cen!F177</f>
        <v>21.845690000000001</v>
      </c>
      <c r="U13" s="366">
        <f t="shared" ref="U13:U24" si="1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290"/>
      <c r="M14" s="119"/>
      <c r="N14" s="119"/>
      <c r="O14" s="119"/>
      <c r="P14" s="364" t="str">
        <f>Cen!A178</f>
        <v>Korpusové lišty BLUMOTION, 300mm, 40kg</v>
      </c>
      <c r="Q14" s="364" t="str">
        <f>Cen!B178</f>
        <v>750.3001B</v>
      </c>
      <c r="R14" s="364" t="str">
        <f>Cen!C178</f>
        <v>ZN</v>
      </c>
      <c r="S14" s="365">
        <f>E21</f>
        <v>0</v>
      </c>
      <c r="T14" s="366">
        <f>Cen!F178</f>
        <v>21.925909999999998</v>
      </c>
      <c r="U14" s="366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288"/>
      <c r="M15" s="119"/>
      <c r="N15" s="119"/>
      <c r="O15" s="119"/>
      <c r="P15" s="364" t="str">
        <f>Cen!A179</f>
        <v>Korpusové lišty BLUMOTION, 350mm, 40kg</v>
      </c>
      <c r="Q15" s="364" t="str">
        <f>Cen!B179</f>
        <v>750.3501B</v>
      </c>
      <c r="R15" s="364" t="str">
        <f>Cen!C179</f>
        <v>ZN</v>
      </c>
      <c r="S15" s="365">
        <f>F21</f>
        <v>0</v>
      </c>
      <c r="T15" s="366">
        <f>Cen!F179</f>
        <v>21.845690000000001</v>
      </c>
      <c r="U15" s="366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364" t="str">
        <f>Cen!A180</f>
        <v>Korpusové lišty BLUMOTION, 400mm, 40kg</v>
      </c>
      <c r="Q16" s="364" t="str">
        <f>Cen!B180</f>
        <v>750.4001B</v>
      </c>
      <c r="R16" s="364" t="str">
        <f>Cen!C180</f>
        <v>ZN</v>
      </c>
      <c r="S16" s="365">
        <f>G21</f>
        <v>0</v>
      </c>
      <c r="T16" s="366">
        <f>Cen!F180</f>
        <v>22.204979999999999</v>
      </c>
      <c r="U16" s="366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5"/>
      <c r="G20" s="305"/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525</v>
      </c>
      <c r="C21" s="298" t="s">
        <v>505</v>
      </c>
      <c r="D21" s="355"/>
      <c r="E21" s="355"/>
      <c r="F21" s="355"/>
      <c r="G21" s="355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526</v>
      </c>
      <c r="C22" s="311" t="s">
        <v>506</v>
      </c>
      <c r="D22" s="370"/>
      <c r="E22" s="370"/>
      <c r="F22" s="370"/>
      <c r="G22" s="370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D23" s="51"/>
      <c r="E23" s="51"/>
      <c r="F23" s="51"/>
      <c r="G23" s="51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58"/>
      <c r="C25" s="259"/>
      <c r="D25" s="291"/>
      <c r="E25" s="291"/>
      <c r="F25" s="291"/>
      <c r="G25" s="291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58"/>
      <c r="C26" s="347"/>
      <c r="D26" s="348"/>
      <c r="E26" s="348"/>
      <c r="F26" s="348"/>
      <c r="G26" s="348"/>
      <c r="H26" s="348"/>
      <c r="I26" s="295"/>
      <c r="J26" s="348"/>
      <c r="K26" s="348"/>
      <c r="L26" s="348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5.5" x14ac:dyDescent="0.35">
      <c r="A27" s="119"/>
      <c r="B27" s="391"/>
      <c r="C27" s="347"/>
      <c r="D27" s="295"/>
      <c r="E27" s="295"/>
      <c r="F27" s="295"/>
      <c r="G27" s="295"/>
      <c r="H27" s="295"/>
      <c r="I27" s="295"/>
      <c r="J27" s="295"/>
      <c r="K27" s="295"/>
      <c r="L27" s="295"/>
      <c r="M27" s="119"/>
      <c r="N27" s="119"/>
      <c r="O27" s="119"/>
      <c r="P27" s="364" t="str">
        <f>Cen!A193</f>
        <v>Korpusové lišty TIP-ON, 270mm, 40kg</v>
      </c>
      <c r="Q27" s="364" t="str">
        <f>Cen!B193</f>
        <v>750.2701T</v>
      </c>
      <c r="R27" s="364" t="str">
        <f>Cen!C193</f>
        <v>ZN</v>
      </c>
      <c r="S27" s="365">
        <f>D27</f>
        <v>0</v>
      </c>
      <c r="T27" s="366">
        <f>Cen!F193</f>
        <v>30.366460000000004</v>
      </c>
      <c r="U27" s="366">
        <f t="shared" ref="U27:U38" si="2">S27*T27</f>
        <v>0</v>
      </c>
    </row>
    <row r="28" spans="1:21" ht="14" x14ac:dyDescent="0.3">
      <c r="A28" s="119"/>
      <c r="B28" s="315"/>
      <c r="C28" s="316"/>
      <c r="D28" s="359"/>
      <c r="E28" s="359"/>
      <c r="F28" s="359"/>
      <c r="G28" s="359"/>
      <c r="H28" s="295"/>
      <c r="I28" s="295"/>
      <c r="J28" s="295"/>
      <c r="K28" s="295"/>
      <c r="L28" s="295"/>
      <c r="M28" s="119"/>
      <c r="N28" s="119"/>
      <c r="O28" s="119"/>
      <c r="P28" s="364" t="str">
        <f>Cen!A194</f>
        <v>Korpusové lišty TIP-ON, 300mm, 40kg</v>
      </c>
      <c r="Q28" s="364" t="str">
        <f>Cen!B194</f>
        <v>750.3001T</v>
      </c>
      <c r="R28" s="364" t="str">
        <f>Cen!C194</f>
        <v>ZN</v>
      </c>
      <c r="S28" s="365">
        <f>E27</f>
        <v>0</v>
      </c>
      <c r="T28" s="366">
        <f>Cen!F194</f>
        <v>30.366460000000004</v>
      </c>
      <c r="U28" s="366">
        <f t="shared" si="2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364" t="str">
        <f>Cen!A195</f>
        <v>Korpusové lišty TIP-ON, 350mm, 40kg</v>
      </c>
      <c r="Q29" s="364" t="str">
        <f>Cen!B195</f>
        <v>750.3501T</v>
      </c>
      <c r="R29" s="364" t="str">
        <f>Cen!C195</f>
        <v>ZN</v>
      </c>
      <c r="S29" s="365">
        <f>F27</f>
        <v>0</v>
      </c>
      <c r="T29" s="366">
        <f>Cen!F195</f>
        <v>30.366460000000004</v>
      </c>
      <c r="U29" s="366">
        <f t="shared" si="2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19"/>
      <c r="N30" s="119"/>
      <c r="O30" s="119"/>
      <c r="P30" s="364" t="str">
        <f>Cen!A196</f>
        <v>Korpusové lišty TIP-ON, 400mm, 40kg</v>
      </c>
      <c r="Q30" s="364" t="str">
        <f>Cen!B196</f>
        <v>750.4001T</v>
      </c>
      <c r="R30" s="364" t="str">
        <f>Cen!C196</f>
        <v>ZN</v>
      </c>
      <c r="S30" s="365">
        <f>G27</f>
        <v>0</v>
      </c>
      <c r="T30" s="366">
        <f>Cen!F196</f>
        <v>30.645720000000001</v>
      </c>
      <c r="U30" s="366">
        <f t="shared" si="2"/>
        <v>0</v>
      </c>
    </row>
    <row r="31" spans="1:21" ht="13" x14ac:dyDescent="0.3">
      <c r="A31" s="119"/>
      <c r="B31" s="287"/>
      <c r="C31" s="287"/>
      <c r="H31" s="289"/>
      <c r="I31" s="289"/>
      <c r="J31" s="289"/>
      <c r="K31" s="289"/>
      <c r="L31" s="289"/>
      <c r="M31" s="119"/>
      <c r="N31" s="119"/>
      <c r="O31" s="119"/>
      <c r="P31" s="364" t="str">
        <f>Cen!A197</f>
        <v>Korpusové lišty TIP-ON, 450mm, 40kg</v>
      </c>
      <c r="Q31" s="364" t="str">
        <f>Cen!B197</f>
        <v>750.4501T</v>
      </c>
      <c r="R31" s="364" t="str">
        <f>Cen!C197</f>
        <v>ZN</v>
      </c>
      <c r="S31" s="365">
        <f>H27</f>
        <v>0</v>
      </c>
      <c r="T31" s="366">
        <f>Cen!F197</f>
        <v>32.552599999999998</v>
      </c>
      <c r="U31" s="366">
        <f t="shared" si="2"/>
        <v>0</v>
      </c>
    </row>
    <row r="32" spans="1:21" ht="13" x14ac:dyDescent="0.3">
      <c r="A32" s="119"/>
      <c r="B32" s="287"/>
      <c r="C32" s="287"/>
      <c r="H32" s="290"/>
      <c r="I32" s="290"/>
      <c r="J32" s="290"/>
      <c r="K32" s="290"/>
      <c r="L32" s="290"/>
      <c r="M32" s="119"/>
      <c r="N32" s="119"/>
      <c r="O32" s="119"/>
      <c r="P32" s="364" t="str">
        <f>Cen!A198</f>
        <v>Korpusové lišty TIP-ON, 450mm, 70kg</v>
      </c>
      <c r="Q32" s="364" t="str">
        <f>Cen!B198</f>
        <v>753.4501T</v>
      </c>
      <c r="R32" s="364" t="str">
        <f>Cen!C198</f>
        <v>ZN</v>
      </c>
      <c r="S32" s="365">
        <f>H28</f>
        <v>0</v>
      </c>
      <c r="T32" s="366">
        <f>Cen!F198</f>
        <v>36.006259999999997</v>
      </c>
      <c r="U32" s="366">
        <f t="shared" si="2"/>
        <v>0</v>
      </c>
    </row>
    <row r="33" spans="1:21" ht="15.5" x14ac:dyDescent="0.35">
      <c r="A33" s="119"/>
      <c r="B33" s="321"/>
      <c r="C33" s="287"/>
      <c r="H33" s="288"/>
      <c r="I33" s="288"/>
      <c r="J33" s="288"/>
      <c r="K33" s="288"/>
      <c r="L33" s="288"/>
      <c r="M33" s="119"/>
      <c r="P33" s="364" t="str">
        <f>Cen!A199</f>
        <v>Korpusové lišty TIP-ON, 500mm, 40kg</v>
      </c>
      <c r="Q33" s="364" t="str">
        <f>Cen!B199</f>
        <v>750.5001T</v>
      </c>
      <c r="R33" s="364" t="str">
        <f>Cen!C199</f>
        <v>ZN</v>
      </c>
      <c r="S33" s="365">
        <f>I27</f>
        <v>0</v>
      </c>
      <c r="T33" s="366">
        <f>Cen!F199</f>
        <v>32.846359999999997</v>
      </c>
      <c r="U33" s="366">
        <f t="shared" si="2"/>
        <v>0</v>
      </c>
    </row>
    <row r="34" spans="1:21" ht="15.5" x14ac:dyDescent="0.3">
      <c r="B34" s="346"/>
      <c r="C34" s="291"/>
      <c r="D34" s="347"/>
      <c r="E34" s="348"/>
      <c r="F34" s="349"/>
      <c r="G34" s="348"/>
      <c r="H34" s="348"/>
      <c r="I34" s="291"/>
      <c r="J34" s="291"/>
      <c r="K34" s="291"/>
      <c r="L34" s="291"/>
      <c r="P34" s="364" t="str">
        <f>Cen!A200</f>
        <v>Korpusové lišty TIP-ON, 500mm, 70kg</v>
      </c>
      <c r="Q34" s="364" t="str">
        <f>Cen!B200</f>
        <v>753.5001T</v>
      </c>
      <c r="R34" s="364" t="str">
        <f>Cen!C200</f>
        <v>ZN</v>
      </c>
      <c r="S34" s="365">
        <f>I28</f>
        <v>0</v>
      </c>
      <c r="T34" s="366">
        <f>Cen!F200</f>
        <v>36.285339999999998</v>
      </c>
      <c r="U34" s="366">
        <f t="shared" si="2"/>
        <v>0</v>
      </c>
    </row>
    <row r="35" spans="1:21" ht="14" x14ac:dyDescent="0.3">
      <c r="B35" s="350"/>
      <c r="C35" s="291"/>
      <c r="D35" s="351"/>
      <c r="E35" s="295"/>
      <c r="F35" s="295"/>
      <c r="G35" s="295"/>
      <c r="H35" s="295"/>
      <c r="I35" s="289"/>
      <c r="J35" s="289"/>
      <c r="K35" s="289"/>
      <c r="L35" s="289"/>
      <c r="P35" s="364" t="str">
        <f>Cen!A201</f>
        <v>Korpusové lišty TIP-ON, 550mm, 40kg</v>
      </c>
      <c r="Q35" s="364" t="str">
        <f>Cen!B201</f>
        <v>750.5501T</v>
      </c>
      <c r="R35" s="364" t="str">
        <f>Cen!C201</f>
        <v>ZN</v>
      </c>
      <c r="S35" s="365">
        <f>J27</f>
        <v>0</v>
      </c>
      <c r="T35" s="366">
        <f>Cen!F201</f>
        <v>32.694760000000002</v>
      </c>
      <c r="U35" s="366">
        <f t="shared" si="2"/>
        <v>0</v>
      </c>
    </row>
    <row r="36" spans="1:21" ht="14" x14ac:dyDescent="0.3">
      <c r="B36" s="350"/>
      <c r="C36" s="291"/>
      <c r="D36" s="351"/>
      <c r="E36" s="295"/>
      <c r="F36" s="295"/>
      <c r="G36" s="295"/>
      <c r="H36" s="295"/>
      <c r="I36" s="289"/>
      <c r="J36" s="289"/>
      <c r="K36" s="289"/>
      <c r="L36" s="289"/>
      <c r="P36" s="364" t="str">
        <f>Cen!A202</f>
        <v>Korpusové lišty TIP-ON, 550mm, 70kg</v>
      </c>
      <c r="Q36" s="364" t="str">
        <f>Cen!B202</f>
        <v>753.5501T</v>
      </c>
      <c r="R36" s="364" t="str">
        <f>Cen!C202</f>
        <v>ZN</v>
      </c>
      <c r="S36" s="365">
        <f>J28</f>
        <v>0</v>
      </c>
      <c r="T36" s="366">
        <f>Cen!F202</f>
        <v>37.776060000000001</v>
      </c>
      <c r="U36" s="366">
        <f t="shared" si="2"/>
        <v>0</v>
      </c>
    </row>
    <row r="37" spans="1:21" ht="14" x14ac:dyDescent="0.3">
      <c r="B37" s="315"/>
      <c r="C37" s="316"/>
      <c r="D37" s="295"/>
      <c r="E37" s="295"/>
      <c r="F37" s="295"/>
      <c r="G37" s="295"/>
      <c r="I37" s="290"/>
      <c r="J37" s="290"/>
      <c r="K37" s="290"/>
      <c r="L37" s="290"/>
      <c r="P37" s="367" t="str">
        <f>Cen!A203</f>
        <v>Korpusové lišty TIP-ON, 600mm, 40kg</v>
      </c>
      <c r="Q37" s="367" t="str">
        <f>Cen!B203</f>
        <v>750.6001T</v>
      </c>
      <c r="R37" s="367" t="str">
        <f>Cen!C203</f>
        <v>ZN</v>
      </c>
      <c r="S37" s="368">
        <f>K27</f>
        <v>0</v>
      </c>
      <c r="T37" s="369">
        <f>Cen!F203</f>
        <v>35.700530000000001</v>
      </c>
      <c r="U37" s="366">
        <f t="shared" si="2"/>
        <v>0</v>
      </c>
    </row>
    <row r="38" spans="1:21" ht="13" x14ac:dyDescent="0.3">
      <c r="B38" s="287"/>
      <c r="C38" s="287"/>
      <c r="H38" s="288"/>
      <c r="I38" s="288"/>
      <c r="J38" s="288"/>
      <c r="K38" s="288"/>
      <c r="L38" s="288"/>
      <c r="P38" s="367" t="str">
        <f>Cen!A204</f>
        <v>Korpusové lišty TIP-ON, 600mm, 70kg</v>
      </c>
      <c r="Q38" s="367" t="str">
        <f>Cen!B204</f>
        <v>753.6001T</v>
      </c>
      <c r="R38" s="367" t="str">
        <f>Cen!C204</f>
        <v>ZN</v>
      </c>
      <c r="S38" s="368">
        <f>K28</f>
        <v>0</v>
      </c>
      <c r="T38" s="369">
        <f>Cen!F204</f>
        <v>40.781829999999999</v>
      </c>
      <c r="U38" s="369">
        <f t="shared" si="2"/>
        <v>0</v>
      </c>
    </row>
    <row r="39" spans="1:21" ht="13" x14ac:dyDescent="0.3">
      <c r="B39" s="287"/>
      <c r="C39" s="287"/>
      <c r="H39" s="291"/>
      <c r="I39" s="291"/>
      <c r="J39" s="291"/>
      <c r="K39" s="291"/>
      <c r="L39" s="291"/>
      <c r="P39" s="367" t="str">
        <f>Cen!A205</f>
        <v>Korpusové lišty TIP-ON, 650mm, 70kg</v>
      </c>
      <c r="Q39" s="367" t="str">
        <f>Cen!B205</f>
        <v>753.6501T</v>
      </c>
      <c r="R39" s="367" t="str">
        <f>Cen!C205</f>
        <v>ZN</v>
      </c>
      <c r="S39" s="368">
        <f>K29</f>
        <v>0</v>
      </c>
      <c r="T39" s="369">
        <f>Cen!F205</f>
        <v>42.272550000000003</v>
      </c>
      <c r="U39" s="369">
        <f>S39*T39</f>
        <v>0</v>
      </c>
    </row>
    <row r="40" spans="1:21" x14ac:dyDescent="0.25">
      <c r="P40" s="144"/>
      <c r="Q40" s="144"/>
      <c r="R40" s="144"/>
      <c r="S40" s="150"/>
      <c r="T40" s="154"/>
      <c r="U40" s="154"/>
    </row>
    <row r="41" spans="1:21" x14ac:dyDescent="0.25">
      <c r="P41" s="122" t="str">
        <f>Cen!A259</f>
        <v>Držáky zadní stěny C, Orion šedé</v>
      </c>
      <c r="Q41" s="122" t="str">
        <f>Cen!B259</f>
        <v>ZB7C000S</v>
      </c>
      <c r="R41" s="122" t="str">
        <f>Cen!C259</f>
        <v>OG-M</v>
      </c>
      <c r="S41" s="123">
        <f>SUM($S$3:$S$11)</f>
        <v>0</v>
      </c>
      <c r="T41" s="118">
        <f>Cen!$F259</f>
        <v>1.59894</v>
      </c>
      <c r="U41" s="118">
        <f>S41*T41</f>
        <v>0</v>
      </c>
    </row>
    <row r="42" spans="1:21" x14ac:dyDescent="0.25">
      <c r="P42" s="122" t="str">
        <f>Cen!A278</f>
        <v>Čelní kování C, EXPANDO</v>
      </c>
      <c r="Q42" s="122" t="str">
        <f>Cen!B278</f>
        <v>ZF7C70E2</v>
      </c>
      <c r="R42" s="122" t="str">
        <f>Cen!C278</f>
        <v>BL</v>
      </c>
      <c r="S42" s="123">
        <f>SUM($S$3:$S$11)*2</f>
        <v>0</v>
      </c>
      <c r="T42" s="118">
        <f>Cen!F278</f>
        <v>0.76134999999999986</v>
      </c>
      <c r="U42" s="118">
        <f>S42*T42</f>
        <v>0</v>
      </c>
    </row>
    <row r="43" spans="1:21" x14ac:dyDescent="0.25">
      <c r="P43" s="119"/>
      <c r="Q43" s="119"/>
    </row>
    <row r="44" spans="1:21" x14ac:dyDescent="0.25">
      <c r="P44" s="119"/>
      <c r="Q44" s="119"/>
      <c r="S44" s="73" t="str">
        <f>List!$B$94</f>
        <v>cena kování</v>
      </c>
      <c r="U44" s="353">
        <f>SUM(U3:U43)</f>
        <v>0</v>
      </c>
    </row>
    <row r="45" spans="1:21" x14ac:dyDescent="0.25">
      <c r="P45" s="119"/>
      <c r="Q45" s="119"/>
    </row>
    <row r="46" spans="1:21" x14ac:dyDescent="0.25">
      <c r="P46" s="119"/>
      <c r="Q46" s="119"/>
    </row>
    <row r="47" spans="1:21" x14ac:dyDescent="0.25">
      <c r="P47" s="119"/>
      <c r="Q47" s="119"/>
    </row>
    <row r="48" spans="1:21" x14ac:dyDescent="0.25">
      <c r="P48" s="119"/>
      <c r="Q48" s="119"/>
    </row>
    <row r="49" spans="16:17" x14ac:dyDescent="0.25">
      <c r="P49" s="119"/>
      <c r="Q49" s="119"/>
    </row>
    <row r="50" spans="16:17" x14ac:dyDescent="0.25">
      <c r="P50" s="119"/>
      <c r="Q50" s="119"/>
    </row>
    <row r="51" spans="16:17" x14ac:dyDescent="0.25">
      <c r="P51" s="119"/>
      <c r="Q51" s="119"/>
    </row>
    <row r="52" spans="16:17" x14ac:dyDescent="0.25">
      <c r="P52" s="119"/>
      <c r="Q52" s="119"/>
    </row>
    <row r="99" spans="1:1" x14ac:dyDescent="0.25">
      <c r="A99" s="783"/>
    </row>
    <row r="100" spans="1:1" x14ac:dyDescent="0.25">
      <c r="A100" s="783"/>
    </row>
    <row r="101" spans="1:1" x14ac:dyDescent="0.25">
      <c r="A101" s="783"/>
    </row>
    <row r="102" spans="1:1" x14ac:dyDescent="0.25">
      <c r="A102" s="783"/>
    </row>
    <row r="103" spans="1:1" x14ac:dyDescent="0.25">
      <c r="A103" s="783"/>
    </row>
    <row r="104" spans="1:1" x14ac:dyDescent="0.25">
      <c r="A104" s="783"/>
    </row>
    <row r="105" spans="1:1" x14ac:dyDescent="0.25">
      <c r="A105" s="783"/>
    </row>
    <row r="106" spans="1:1" x14ac:dyDescent="0.25">
      <c r="A106" s="783"/>
    </row>
    <row r="107" spans="1:1" x14ac:dyDescent="0.25">
      <c r="A107" s="783"/>
    </row>
    <row r="108" spans="1:1" x14ac:dyDescent="0.25">
      <c r="A108" s="783"/>
    </row>
    <row r="109" spans="1:1" x14ac:dyDescent="0.25">
      <c r="A109" s="783"/>
    </row>
    <row r="110" spans="1:1" x14ac:dyDescent="0.25">
      <c r="A110" s="783"/>
    </row>
    <row r="111" spans="1:1" x14ac:dyDescent="0.25">
      <c r="A111" s="783"/>
    </row>
    <row r="112" spans="1:1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khRrA3tcBXiRQKyMGmnJLjN9HXc9zZGk4oiz7VFWEVTGpmRjRV6iT7u8MKKaPGNgSPS1utFvvtCHokc3kp9xPA==" saltValue="UQNuzjjftbEVzWv2+wCEPw==" spinCount="100000" sheet="1" objects="1" scenarios="1"/>
  <mergeCells count="1">
    <mergeCell ref="A99:A140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5" tint="0.39997558519241921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List!$B$54&amp;" C"</f>
        <v>Dřezový výsuv C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/>
      <c r="Q3" s="127"/>
      <c r="R3" s="127"/>
      <c r="S3" s="361"/>
      <c r="T3" s="266"/>
      <c r="U3" s="363"/>
    </row>
    <row r="4" spans="1:21" x14ac:dyDescent="0.25">
      <c r="A4" s="119"/>
      <c r="B4" s="119"/>
      <c r="C4" s="119"/>
      <c r="D4" s="119"/>
      <c r="E4" s="119"/>
      <c r="F4" s="119"/>
      <c r="G4" s="119"/>
      <c r="H4" s="619" t="str">
        <f>List!$B$79&amp;":"</f>
        <v>bočnice:</v>
      </c>
      <c r="I4" s="122"/>
      <c r="J4" s="122" t="s">
        <v>473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/>
      <c r="Q4" s="127"/>
      <c r="R4" s="127"/>
      <c r="S4" s="361"/>
      <c r="T4" s="266"/>
      <c r="U4" s="363"/>
    </row>
    <row r="5" spans="1:21" x14ac:dyDescent="0.25">
      <c r="A5" s="119"/>
      <c r="B5" s="119"/>
      <c r="C5" s="119"/>
      <c r="D5" s="119"/>
      <c r="E5" s="119"/>
      <c r="F5" s="119"/>
      <c r="G5" s="119"/>
      <c r="H5" s="620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/>
      <c r="Q5" s="127"/>
      <c r="R5" s="127"/>
      <c r="S5" s="361"/>
      <c r="T5" s="266"/>
      <c r="U5" s="363"/>
    </row>
    <row r="6" spans="1:21" x14ac:dyDescent="0.25">
      <c r="A6" s="119"/>
      <c r="B6" s="119"/>
      <c r="C6" s="119"/>
      <c r="D6" s="119"/>
      <c r="E6" s="119"/>
      <c r="F6" s="119"/>
      <c r="G6" s="119"/>
      <c r="H6" s="620" t="str">
        <f>List!$B$80&amp;":"</f>
        <v>provedení:</v>
      </c>
      <c r="I6" s="122"/>
      <c r="J6" s="121" t="s">
        <v>952</v>
      </c>
      <c r="K6" s="122"/>
      <c r="L6" s="144"/>
      <c r="M6" s="119"/>
      <c r="N6" s="2" t="str">
        <f>List!$B$12&amp;":"</f>
        <v>Pokračovat na:</v>
      </c>
      <c r="O6" s="119"/>
      <c r="P6" s="127"/>
      <c r="Q6" s="127"/>
      <c r="R6" s="127"/>
      <c r="S6" s="361"/>
      <c r="T6" s="266"/>
      <c r="U6" s="363"/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619" t="str">
        <f>List!$B$39&amp;":"</f>
        <v>čelní kování:</v>
      </c>
      <c r="I7" s="122"/>
      <c r="J7" s="121" t="str">
        <f>Form!$O$13</f>
        <v>EXPANDO</v>
      </c>
      <c r="K7" s="118"/>
      <c r="L7" s="154"/>
      <c r="M7" s="119"/>
      <c r="N7" s="151" t="str">
        <f>" "&amp;List!$B$5</f>
        <v xml:space="preserve"> Výběr doplňků</v>
      </c>
      <c r="O7" s="119"/>
      <c r="P7" s="127" t="str">
        <f>Cen!A127</f>
        <v>Bočnice C free, 450mm, Orion šedé</v>
      </c>
      <c r="Q7" s="127" t="str">
        <f>Cen!B127</f>
        <v>780C4502S</v>
      </c>
      <c r="R7" s="127" t="str">
        <f>Cen!C127</f>
        <v>OG-M</v>
      </c>
      <c r="S7" s="262">
        <f>SUM(H21:H22)*2</f>
        <v>0</v>
      </c>
      <c r="T7" s="266">
        <f>Cen!F127</f>
        <v>30.602429999999998</v>
      </c>
      <c r="U7" s="263">
        <f>S7*T7</f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619" t="str">
        <f>List!$B$94&amp;":"</f>
        <v>cena kování:</v>
      </c>
      <c r="I8" s="122"/>
      <c r="J8" s="122"/>
      <c r="K8" s="118">
        <f>U56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Cen!A131</f>
        <v>Bočnice C free, 500mm, Orion šedé</v>
      </c>
      <c r="Q8" s="127" t="str">
        <f>Cen!B131</f>
        <v>780C5002S</v>
      </c>
      <c r="R8" s="127" t="str">
        <f>Cen!C131</f>
        <v>OG-M</v>
      </c>
      <c r="S8" s="262">
        <f>SUM(I21:I22)*2</f>
        <v>0</v>
      </c>
      <c r="T8" s="266">
        <f>Cen!F131</f>
        <v>30.824969999999997</v>
      </c>
      <c r="U8" s="263">
        <f>S8*T8</f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Cen!A135</f>
        <v>Bočnice C free, 550mm, Orion šedé</v>
      </c>
      <c r="Q9" s="127" t="str">
        <f>Cen!B135</f>
        <v>780C5502S</v>
      </c>
      <c r="R9" s="127" t="str">
        <f>Cen!C135</f>
        <v>OG-M</v>
      </c>
      <c r="S9" s="262">
        <f>SUM(J21:J22)*2</f>
        <v>0</v>
      </c>
      <c r="T9" s="266">
        <f>Cen!F135</f>
        <v>32.604779999999998</v>
      </c>
      <c r="U9" s="263">
        <f>S9*T9</f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Cen!A139</f>
        <v>Bočnice C free, 600mm, Orion šedé</v>
      </c>
      <c r="Q10" s="127" t="str">
        <f>Cen!B139</f>
        <v>780C6002S</v>
      </c>
      <c r="R10" s="127" t="str">
        <f>Cen!C139</f>
        <v>OG-M</v>
      </c>
      <c r="S10" s="262">
        <f>SUM(K21:K22)*2</f>
        <v>0</v>
      </c>
      <c r="T10" s="266">
        <f>Cen!F139</f>
        <v>35.385860000000001</v>
      </c>
      <c r="U10" s="263">
        <f>S10*T10</f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Cen!A143</f>
        <v>Bočnice C free, 650mm, Orion šedé</v>
      </c>
      <c r="Q11" s="127" t="str">
        <f>Cen!B143</f>
        <v>780C6502S</v>
      </c>
      <c r="R11" s="127" t="str">
        <f>Cen!C143</f>
        <v>OG-M</v>
      </c>
      <c r="S11" s="262">
        <f>SUM(L21:L22)*2</f>
        <v>0</v>
      </c>
      <c r="T11" s="266">
        <f>Cen!F143</f>
        <v>36.432029999999997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291"/>
      <c r="M12" s="119"/>
      <c r="N12" s="119"/>
      <c r="O12" s="119"/>
      <c r="P12" s="126"/>
      <c r="Q12" s="126"/>
      <c r="R12" s="126"/>
      <c r="S12" s="334"/>
      <c r="T12" s="401"/>
      <c r="U12" s="335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293"/>
      <c r="M13" s="119"/>
      <c r="N13" s="119"/>
      <c r="O13" s="119"/>
      <c r="P13" s="364" t="str">
        <f>Cen!A177</f>
        <v>Korpusové lišty BLUMOTION, 270mm, 40kg</v>
      </c>
      <c r="Q13" s="364" t="str">
        <f>Cen!B177</f>
        <v>750.2701B</v>
      </c>
      <c r="R13" s="364" t="str">
        <f>Cen!C177</f>
        <v>ZN</v>
      </c>
      <c r="S13" s="365">
        <f>D21</f>
        <v>0</v>
      </c>
      <c r="T13" s="366">
        <f>Cen!F177</f>
        <v>21.845690000000001</v>
      </c>
      <c r="U13" s="366">
        <f t="shared" ref="U13:U24" si="0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290"/>
      <c r="M14" s="119"/>
      <c r="N14" s="119"/>
      <c r="O14" s="119"/>
      <c r="P14" s="364" t="str">
        <f>Cen!A178</f>
        <v>Korpusové lišty BLUMOTION, 300mm, 40kg</v>
      </c>
      <c r="Q14" s="364" t="str">
        <f>Cen!B178</f>
        <v>750.3001B</v>
      </c>
      <c r="R14" s="364" t="str">
        <f>Cen!C178</f>
        <v>ZN</v>
      </c>
      <c r="S14" s="365">
        <f>E21</f>
        <v>0</v>
      </c>
      <c r="T14" s="366">
        <f>Cen!F178</f>
        <v>21.925909999999998</v>
      </c>
      <c r="U14" s="366">
        <f t="shared" si="0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288"/>
      <c r="M15" s="119"/>
      <c r="N15" s="119"/>
      <c r="O15" s="119"/>
      <c r="P15" s="364" t="str">
        <f>Cen!A179</f>
        <v>Korpusové lišty BLUMOTION, 350mm, 40kg</v>
      </c>
      <c r="Q15" s="364" t="str">
        <f>Cen!B179</f>
        <v>750.3501B</v>
      </c>
      <c r="R15" s="364" t="str">
        <f>Cen!C179</f>
        <v>ZN</v>
      </c>
      <c r="S15" s="365">
        <f>F21</f>
        <v>0</v>
      </c>
      <c r="T15" s="366">
        <f>Cen!F179</f>
        <v>21.845690000000001</v>
      </c>
      <c r="U15" s="366">
        <f t="shared" si="0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364" t="str">
        <f>Cen!A180</f>
        <v>Korpusové lišty BLUMOTION, 400mm, 40kg</v>
      </c>
      <c r="Q16" s="364" t="str">
        <f>Cen!B180</f>
        <v>750.4001B</v>
      </c>
      <c r="R16" s="364" t="str">
        <f>Cen!C180</f>
        <v>ZN</v>
      </c>
      <c r="S16" s="365">
        <f>G21</f>
        <v>0</v>
      </c>
      <c r="T16" s="366">
        <f>Cen!F180</f>
        <v>22.204979999999999</v>
      </c>
      <c r="U16" s="366">
        <f t="shared" si="0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0"/>
        <v>0</v>
      </c>
    </row>
    <row r="18" spans="1:21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0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0"/>
        <v>0</v>
      </c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5"/>
      <c r="G20" s="305"/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0"/>
        <v>0</v>
      </c>
    </row>
    <row r="21" spans="1:21" ht="14.5" thickBot="1" x14ac:dyDescent="0.35">
      <c r="A21" s="119"/>
      <c r="B21" s="297" t="s">
        <v>525</v>
      </c>
      <c r="C21" s="298" t="s">
        <v>505</v>
      </c>
      <c r="D21" s="355"/>
      <c r="E21" s="355"/>
      <c r="F21" s="355"/>
      <c r="G21" s="355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0"/>
        <v>0</v>
      </c>
    </row>
    <row r="22" spans="1:21" ht="14" x14ac:dyDescent="0.3">
      <c r="A22" s="119"/>
      <c r="B22" s="301" t="s">
        <v>526</v>
      </c>
      <c r="C22" s="311" t="s">
        <v>506</v>
      </c>
      <c r="D22" s="370"/>
      <c r="E22" s="370"/>
      <c r="F22" s="370"/>
      <c r="G22" s="370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0"/>
        <v>0</v>
      </c>
    </row>
    <row r="23" spans="1:21" ht="13" x14ac:dyDescent="0.3">
      <c r="A23" s="119"/>
      <c r="B23" s="287"/>
      <c r="C23" s="287"/>
      <c r="D23" s="51"/>
      <c r="E23" s="51"/>
      <c r="F23" s="51"/>
      <c r="G23" s="51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0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0"/>
        <v>0</v>
      </c>
    </row>
    <row r="25" spans="1:21" ht="15.5" x14ac:dyDescent="0.35">
      <c r="A25" s="119"/>
      <c r="B25" s="358"/>
      <c r="C25" s="259"/>
      <c r="D25" s="291"/>
      <c r="E25" s="291"/>
      <c r="F25" s="291"/>
      <c r="G25" s="291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58"/>
      <c r="C26" s="347"/>
      <c r="D26" s="348"/>
      <c r="E26" s="348"/>
      <c r="F26" s="348"/>
      <c r="G26" s="348"/>
      <c r="H26" s="348"/>
      <c r="I26" s="295"/>
      <c r="J26" s="348"/>
      <c r="K26" s="348"/>
      <c r="L26" s="348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5.5" x14ac:dyDescent="0.35">
      <c r="A27" s="119"/>
      <c r="B27" s="391"/>
      <c r="C27" s="347"/>
      <c r="D27" s="295"/>
      <c r="E27" s="295"/>
      <c r="F27" s="295"/>
      <c r="G27" s="295"/>
      <c r="H27" s="295"/>
      <c r="I27" s="295"/>
      <c r="J27" s="295"/>
      <c r="K27" s="295"/>
      <c r="L27" s="295"/>
      <c r="M27" s="119"/>
      <c r="N27" s="119"/>
      <c r="O27" s="119"/>
      <c r="P27" s="364" t="str">
        <f>Cen!A193</f>
        <v>Korpusové lišty TIP-ON, 270mm, 40kg</v>
      </c>
      <c r="Q27" s="364" t="str">
        <f>Cen!B193</f>
        <v>750.2701T</v>
      </c>
      <c r="R27" s="364" t="str">
        <f>Cen!C193</f>
        <v>ZN</v>
      </c>
      <c r="S27" s="365">
        <f>D27</f>
        <v>0</v>
      </c>
      <c r="T27" s="366">
        <f>Cen!F193</f>
        <v>30.366460000000004</v>
      </c>
      <c r="U27" s="366">
        <f t="shared" ref="U27:U38" si="1">S27*T27</f>
        <v>0</v>
      </c>
    </row>
    <row r="28" spans="1:21" ht="14" x14ac:dyDescent="0.3">
      <c r="A28" s="119"/>
      <c r="B28" s="119" t="str">
        <f>"        "&amp;List!$B$169</f>
        <v xml:space="preserve">        Boční zásuvné prvky se načtou automaticky</v>
      </c>
      <c r="C28" s="316"/>
      <c r="D28" s="359"/>
      <c r="E28" s="359"/>
      <c r="F28" s="359"/>
      <c r="G28" s="359"/>
      <c r="H28" s="295"/>
      <c r="I28" s="295"/>
      <c r="J28" s="295"/>
      <c r="K28" s="295"/>
      <c r="L28" s="295"/>
      <c r="M28" s="119"/>
      <c r="N28" s="119"/>
      <c r="O28" s="119"/>
      <c r="P28" s="364" t="str">
        <f>Cen!A194</f>
        <v>Korpusové lišty TIP-ON, 300mm, 40kg</v>
      </c>
      <c r="Q28" s="364" t="str">
        <f>Cen!B194</f>
        <v>750.3001T</v>
      </c>
      <c r="R28" s="364" t="str">
        <f>Cen!C194</f>
        <v>ZN</v>
      </c>
      <c r="S28" s="365">
        <f>E27</f>
        <v>0</v>
      </c>
      <c r="T28" s="366">
        <f>Cen!F194</f>
        <v>30.366460000000004</v>
      </c>
      <c r="U28" s="366">
        <f t="shared" si="1"/>
        <v>0</v>
      </c>
    </row>
    <row r="29" spans="1:21" ht="13" x14ac:dyDescent="0.3">
      <c r="A29" s="119"/>
      <c r="B29" s="119" t="str">
        <f>"        "&amp;List!$B$173</f>
        <v xml:space="preserve">        Máte-li zásuvné prvky vlastní, upravte počty v objednávce</v>
      </c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364" t="str">
        <f>Cen!A195</f>
        <v>Korpusové lišty TIP-ON, 350mm, 40kg</v>
      </c>
      <c r="Q29" s="364" t="str">
        <f>Cen!B195</f>
        <v>750.3501T</v>
      </c>
      <c r="R29" s="364" t="str">
        <f>Cen!C195</f>
        <v>ZN</v>
      </c>
      <c r="S29" s="365">
        <f>F27</f>
        <v>0</v>
      </c>
      <c r="T29" s="366">
        <f>Cen!F195</f>
        <v>30.366460000000004</v>
      </c>
      <c r="U29" s="366">
        <f t="shared" si="1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19"/>
      <c r="N30" s="119"/>
      <c r="O30" s="119"/>
      <c r="P30" s="364" t="str">
        <f>Cen!A196</f>
        <v>Korpusové lišty TIP-ON, 400mm, 40kg</v>
      </c>
      <c r="Q30" s="364" t="str">
        <f>Cen!B196</f>
        <v>750.4001T</v>
      </c>
      <c r="R30" s="364" t="str">
        <f>Cen!C196</f>
        <v>ZN</v>
      </c>
      <c r="S30" s="365">
        <f>G27</f>
        <v>0</v>
      </c>
      <c r="T30" s="366">
        <f>Cen!F196</f>
        <v>30.645720000000001</v>
      </c>
      <c r="U30" s="366">
        <f t="shared" si="1"/>
        <v>0</v>
      </c>
    </row>
    <row r="31" spans="1:21" ht="13" x14ac:dyDescent="0.3">
      <c r="A31" s="119"/>
      <c r="B31" s="287"/>
      <c r="C31" s="287"/>
      <c r="H31" s="289"/>
      <c r="I31" s="289"/>
      <c r="J31" s="289"/>
      <c r="K31" s="289"/>
      <c r="L31" s="289"/>
      <c r="M31" s="119"/>
      <c r="N31" s="119"/>
      <c r="O31" s="119"/>
      <c r="P31" s="364" t="str">
        <f>Cen!A197</f>
        <v>Korpusové lišty TIP-ON, 450mm, 40kg</v>
      </c>
      <c r="Q31" s="364" t="str">
        <f>Cen!B197</f>
        <v>750.4501T</v>
      </c>
      <c r="R31" s="364" t="str">
        <f>Cen!C197</f>
        <v>ZN</v>
      </c>
      <c r="S31" s="365">
        <f>H27</f>
        <v>0</v>
      </c>
      <c r="T31" s="366">
        <f>Cen!F197</f>
        <v>32.552599999999998</v>
      </c>
      <c r="U31" s="366">
        <f t="shared" si="1"/>
        <v>0</v>
      </c>
    </row>
    <row r="32" spans="1:21" ht="13" x14ac:dyDescent="0.3">
      <c r="A32" s="119"/>
      <c r="B32" s="287"/>
      <c r="C32" s="287"/>
      <c r="H32" s="290"/>
      <c r="I32" s="290"/>
      <c r="J32" s="290"/>
      <c r="K32" s="290"/>
      <c r="L32" s="290"/>
      <c r="M32" s="119"/>
      <c r="N32" s="119"/>
      <c r="O32" s="119"/>
      <c r="P32" s="364" t="str">
        <f>Cen!A198</f>
        <v>Korpusové lišty TIP-ON, 450mm, 70kg</v>
      </c>
      <c r="Q32" s="364" t="str">
        <f>Cen!B198</f>
        <v>753.4501T</v>
      </c>
      <c r="R32" s="364" t="str">
        <f>Cen!C198</f>
        <v>ZN</v>
      </c>
      <c r="S32" s="365">
        <f>H28</f>
        <v>0</v>
      </c>
      <c r="T32" s="366">
        <f>Cen!F198</f>
        <v>36.006259999999997</v>
      </c>
      <c r="U32" s="366">
        <f t="shared" si="1"/>
        <v>0</v>
      </c>
    </row>
    <row r="33" spans="1:21" ht="15.5" x14ac:dyDescent="0.35">
      <c r="A33" s="119"/>
      <c r="B33" s="321"/>
      <c r="C33" s="287"/>
      <c r="H33" s="288"/>
      <c r="I33" s="288"/>
      <c r="J33" s="288"/>
      <c r="K33" s="288"/>
      <c r="L33" s="288"/>
      <c r="M33" s="119"/>
      <c r="P33" s="364" t="str">
        <f>Cen!A199</f>
        <v>Korpusové lišty TIP-ON, 500mm, 40kg</v>
      </c>
      <c r="Q33" s="364" t="str">
        <f>Cen!B199</f>
        <v>750.5001T</v>
      </c>
      <c r="R33" s="364" t="str">
        <f>Cen!C199</f>
        <v>ZN</v>
      </c>
      <c r="S33" s="365">
        <f>I27</f>
        <v>0</v>
      </c>
      <c r="T33" s="366">
        <f>Cen!F199</f>
        <v>32.846359999999997</v>
      </c>
      <c r="U33" s="366">
        <f t="shared" si="1"/>
        <v>0</v>
      </c>
    </row>
    <row r="34" spans="1:21" ht="15.5" x14ac:dyDescent="0.3">
      <c r="B34" s="346"/>
      <c r="C34" s="291"/>
      <c r="D34" s="347"/>
      <c r="E34" s="348"/>
      <c r="F34" s="349"/>
      <c r="G34" s="348"/>
      <c r="H34" s="348"/>
      <c r="I34" s="291"/>
      <c r="J34" s="291"/>
      <c r="K34" s="291"/>
      <c r="L34" s="291"/>
      <c r="P34" s="364" t="str">
        <f>Cen!A200</f>
        <v>Korpusové lišty TIP-ON, 500mm, 70kg</v>
      </c>
      <c r="Q34" s="364" t="str">
        <f>Cen!B200</f>
        <v>753.5001T</v>
      </c>
      <c r="R34" s="364" t="str">
        <f>Cen!C200</f>
        <v>ZN</v>
      </c>
      <c r="S34" s="365">
        <f>I28</f>
        <v>0</v>
      </c>
      <c r="T34" s="366">
        <f>Cen!F200</f>
        <v>36.285339999999998</v>
      </c>
      <c r="U34" s="366">
        <f t="shared" si="1"/>
        <v>0</v>
      </c>
    </row>
    <row r="35" spans="1:21" ht="14" x14ac:dyDescent="0.3">
      <c r="B35" s="350"/>
      <c r="C35" s="291"/>
      <c r="D35" s="351"/>
      <c r="E35" s="295"/>
      <c r="F35" s="295"/>
      <c r="G35" s="295"/>
      <c r="H35" s="295"/>
      <c r="I35" s="289"/>
      <c r="J35" s="289"/>
      <c r="K35" s="289"/>
      <c r="L35" s="289"/>
      <c r="P35" s="364" t="str">
        <f>Cen!A201</f>
        <v>Korpusové lišty TIP-ON, 550mm, 40kg</v>
      </c>
      <c r="Q35" s="364" t="str">
        <f>Cen!B201</f>
        <v>750.5501T</v>
      </c>
      <c r="R35" s="364" t="str">
        <f>Cen!C201</f>
        <v>ZN</v>
      </c>
      <c r="S35" s="365">
        <f>J27</f>
        <v>0</v>
      </c>
      <c r="T35" s="366">
        <f>Cen!F201</f>
        <v>32.694760000000002</v>
      </c>
      <c r="U35" s="366">
        <f t="shared" si="1"/>
        <v>0</v>
      </c>
    </row>
    <row r="36" spans="1:21" ht="14" x14ac:dyDescent="0.3">
      <c r="B36" s="350"/>
      <c r="C36" s="291"/>
      <c r="D36" s="351"/>
      <c r="E36" s="295"/>
      <c r="F36" s="295"/>
      <c r="G36" s="295"/>
      <c r="H36" s="295"/>
      <c r="I36" s="289"/>
      <c r="J36" s="289"/>
      <c r="K36" s="289"/>
      <c r="L36" s="289"/>
      <c r="P36" s="364" t="str">
        <f>Cen!A202</f>
        <v>Korpusové lišty TIP-ON, 550mm, 70kg</v>
      </c>
      <c r="Q36" s="364" t="str">
        <f>Cen!B202</f>
        <v>753.5501T</v>
      </c>
      <c r="R36" s="364" t="str">
        <f>Cen!C202</f>
        <v>ZN</v>
      </c>
      <c r="S36" s="365">
        <f>J28</f>
        <v>0</v>
      </c>
      <c r="T36" s="366">
        <f>Cen!F202</f>
        <v>37.776060000000001</v>
      </c>
      <c r="U36" s="366">
        <f t="shared" si="1"/>
        <v>0</v>
      </c>
    </row>
    <row r="37" spans="1:21" ht="14" x14ac:dyDescent="0.3">
      <c r="B37" s="315"/>
      <c r="C37" s="316"/>
      <c r="D37" s="295"/>
      <c r="E37" s="295"/>
      <c r="F37" s="295"/>
      <c r="G37" s="295"/>
      <c r="I37" s="290"/>
      <c r="J37" s="290"/>
      <c r="K37" s="290"/>
      <c r="L37" s="290"/>
      <c r="P37" s="367" t="str">
        <f>Cen!A203</f>
        <v>Korpusové lišty TIP-ON, 600mm, 40kg</v>
      </c>
      <c r="Q37" s="367" t="str">
        <f>Cen!B203</f>
        <v>750.6001T</v>
      </c>
      <c r="R37" s="367" t="str">
        <f>Cen!C203</f>
        <v>ZN</v>
      </c>
      <c r="S37" s="368">
        <f>K27</f>
        <v>0</v>
      </c>
      <c r="T37" s="369">
        <f>Cen!F203</f>
        <v>35.700530000000001</v>
      </c>
      <c r="U37" s="366">
        <f t="shared" si="1"/>
        <v>0</v>
      </c>
    </row>
    <row r="38" spans="1:21" ht="13" x14ac:dyDescent="0.3">
      <c r="B38" s="287"/>
      <c r="C38" s="287"/>
      <c r="H38" s="288"/>
      <c r="I38" s="288"/>
      <c r="J38" s="288"/>
      <c r="K38" s="288"/>
      <c r="L38" s="288"/>
      <c r="P38" s="367" t="str">
        <f>Cen!A204</f>
        <v>Korpusové lišty TIP-ON, 600mm, 70kg</v>
      </c>
      <c r="Q38" s="367" t="str">
        <f>Cen!B204</f>
        <v>753.6001T</v>
      </c>
      <c r="R38" s="367" t="str">
        <f>Cen!C204</f>
        <v>ZN</v>
      </c>
      <c r="S38" s="368">
        <f>K28</f>
        <v>0</v>
      </c>
      <c r="T38" s="369">
        <f>Cen!F204</f>
        <v>40.781829999999999</v>
      </c>
      <c r="U38" s="369">
        <f t="shared" si="1"/>
        <v>0</v>
      </c>
    </row>
    <row r="39" spans="1:21" ht="13" x14ac:dyDescent="0.3">
      <c r="B39" s="287"/>
      <c r="C39" s="287"/>
      <c r="H39" s="291"/>
      <c r="I39" s="291"/>
      <c r="J39" s="291"/>
      <c r="K39" s="291"/>
      <c r="L39" s="291"/>
      <c r="P39" s="367" t="str">
        <f>Cen!A205</f>
        <v>Korpusové lišty TIP-ON, 650mm, 70kg</v>
      </c>
      <c r="Q39" s="367" t="str">
        <f>Cen!B205</f>
        <v>753.6501T</v>
      </c>
      <c r="R39" s="367" t="str">
        <f>Cen!C205</f>
        <v>ZN</v>
      </c>
      <c r="S39" s="368">
        <f>K29</f>
        <v>0</v>
      </c>
      <c r="T39" s="369">
        <f>Cen!F205</f>
        <v>42.272550000000003</v>
      </c>
      <c r="U39" s="369">
        <f>S39*T39</f>
        <v>0</v>
      </c>
    </row>
    <row r="40" spans="1:21" x14ac:dyDescent="0.25">
      <c r="P40" s="144"/>
      <c r="Q40" s="144"/>
      <c r="R40" s="144"/>
      <c r="S40" s="150"/>
      <c r="T40" s="154"/>
      <c r="U40" s="154"/>
    </row>
    <row r="41" spans="1:21" x14ac:dyDescent="0.25">
      <c r="P41" s="122" t="str">
        <f>Cen!A259</f>
        <v>Držáky zadní stěny C, Orion šedé</v>
      </c>
      <c r="Q41" s="122" t="str">
        <f>Cen!B259</f>
        <v>ZB7C000S</v>
      </c>
      <c r="R41" s="122" t="str">
        <f>Cen!C259</f>
        <v>OG-M</v>
      </c>
      <c r="S41" s="123">
        <f>SUM($S$3:$S$11)</f>
        <v>0</v>
      </c>
      <c r="T41" s="118">
        <f>Cen!$F259</f>
        <v>1.59894</v>
      </c>
      <c r="U41" s="118">
        <f>S41*T41</f>
        <v>0</v>
      </c>
    </row>
    <row r="42" spans="1:21" x14ac:dyDescent="0.25">
      <c r="P42" s="122" t="str">
        <f>Cen!A278</f>
        <v>Čelní kování C, EXPANDO</v>
      </c>
      <c r="Q42" s="122" t="str">
        <f>Cen!B278</f>
        <v>ZF7C70E2</v>
      </c>
      <c r="R42" s="122" t="str">
        <f>Cen!C278</f>
        <v>BL</v>
      </c>
      <c r="S42" s="123">
        <f>SUM($S$3:$S$11)*2</f>
        <v>0</v>
      </c>
      <c r="T42" s="118">
        <f>Cen!F278</f>
        <v>0.76134999999999986</v>
      </c>
      <c r="U42" s="118">
        <f>S42*T42</f>
        <v>0</v>
      </c>
    </row>
    <row r="43" spans="1:21" x14ac:dyDescent="0.25">
      <c r="P43" s="119"/>
      <c r="Q43" s="119"/>
    </row>
    <row r="44" spans="1:21" x14ac:dyDescent="0.25">
      <c r="P44" s="119"/>
      <c r="Q44" s="119"/>
    </row>
    <row r="45" spans="1:21" x14ac:dyDescent="0.25">
      <c r="P45" s="119"/>
      <c r="Q45" s="119"/>
    </row>
    <row r="46" spans="1:21" x14ac:dyDescent="0.25">
      <c r="P46" s="119"/>
      <c r="Q46" s="119"/>
    </row>
    <row r="47" spans="1:21" x14ac:dyDescent="0.25">
      <c r="P47" s="621" t="str">
        <f>Cen!A168</f>
        <v>Boční zásuvné prvky, sklo, pro 350 mm</v>
      </c>
      <c r="Q47" s="621" t="str">
        <f>Cen!B168</f>
        <v>ZE7S238G</v>
      </c>
      <c r="R47" s="621" t="str">
        <f>Cen!C168</f>
        <v>KLA</v>
      </c>
      <c r="S47" s="622">
        <f>S5</f>
        <v>0</v>
      </c>
      <c r="T47" s="623">
        <f>Cen!F168</f>
        <v>20.738469999999996</v>
      </c>
      <c r="U47" s="624">
        <f>S47*T47</f>
        <v>0</v>
      </c>
    </row>
    <row r="48" spans="1:21" x14ac:dyDescent="0.25">
      <c r="P48" s="625" t="str">
        <f>Cen!A169</f>
        <v>Boční zásuvné prvky, sklo, pro 400 mm</v>
      </c>
      <c r="Q48" s="625" t="str">
        <f>Cen!B169</f>
        <v>ZE7S288G</v>
      </c>
      <c r="R48" s="625" t="str">
        <f>Cen!C169</f>
        <v>KLA</v>
      </c>
      <c r="S48" s="626">
        <f t="shared" ref="S48:S53" si="2">S6</f>
        <v>0</v>
      </c>
      <c r="T48" s="627">
        <f>Cen!F169</f>
        <v>21.912770000000002</v>
      </c>
      <c r="U48" s="628">
        <f t="shared" ref="U48:U53" si="3">S48*T48</f>
        <v>0</v>
      </c>
    </row>
    <row r="49" spans="16:21" x14ac:dyDescent="0.25">
      <c r="P49" s="127" t="str">
        <f>Cen!A170</f>
        <v>Boční zásuvné prvky, sklo, pro 450 mm</v>
      </c>
      <c r="Q49" s="127" t="str">
        <f>Cen!B170</f>
        <v>ZE7S338G</v>
      </c>
      <c r="R49" s="127" t="str">
        <f>Cen!C170</f>
        <v>KLA</v>
      </c>
      <c r="S49" s="262">
        <f t="shared" si="2"/>
        <v>0</v>
      </c>
      <c r="T49" s="266">
        <f>Cen!F170</f>
        <v>23.087060000000001</v>
      </c>
      <c r="U49" s="263">
        <f t="shared" si="3"/>
        <v>0</v>
      </c>
    </row>
    <row r="50" spans="16:21" x14ac:dyDescent="0.25">
      <c r="P50" s="127" t="str">
        <f>Cen!A171</f>
        <v>Boční zásuvné prvky, sklo, pro 500 mm</v>
      </c>
      <c r="Q50" s="127" t="str">
        <f>Cen!B171</f>
        <v>ZE7S388G</v>
      </c>
      <c r="R50" s="127" t="str">
        <f>Cen!C171</f>
        <v>KLA</v>
      </c>
      <c r="S50" s="262">
        <f t="shared" si="2"/>
        <v>0</v>
      </c>
      <c r="T50" s="266">
        <f>Cen!F171</f>
        <v>24.26136</v>
      </c>
      <c r="U50" s="263">
        <f t="shared" si="3"/>
        <v>0</v>
      </c>
    </row>
    <row r="51" spans="16:21" x14ac:dyDescent="0.25">
      <c r="P51" s="127" t="str">
        <f>Cen!A172</f>
        <v>Boční zásuvné prvky, sklo, pro 550 mm</v>
      </c>
      <c r="Q51" s="127" t="str">
        <f>Cen!B172</f>
        <v>ZE7S438G</v>
      </c>
      <c r="R51" s="127" t="str">
        <f>Cen!C172</f>
        <v>KLA</v>
      </c>
      <c r="S51" s="262">
        <f t="shared" si="2"/>
        <v>0</v>
      </c>
      <c r="T51" s="266">
        <f>Cen!F172</f>
        <v>26.609179999999995</v>
      </c>
      <c r="U51" s="263">
        <f t="shared" si="3"/>
        <v>0</v>
      </c>
    </row>
    <row r="52" spans="16:21" x14ac:dyDescent="0.25">
      <c r="P52" s="127" t="str">
        <f>Cen!A173</f>
        <v>Boční zásuvné prvky, sklo, pro 600 mm</v>
      </c>
      <c r="Q52" s="127" t="str">
        <f>Cen!B173</f>
        <v>ZE7S488G</v>
      </c>
      <c r="R52" s="127" t="str">
        <f>Cen!C173</f>
        <v>KLA</v>
      </c>
      <c r="S52" s="262">
        <f t="shared" si="2"/>
        <v>0</v>
      </c>
      <c r="T52" s="266">
        <f>Cen!F173</f>
        <v>28.957020000000004</v>
      </c>
      <c r="U52" s="263">
        <f t="shared" si="3"/>
        <v>0</v>
      </c>
    </row>
    <row r="53" spans="16:21" ht="13" thickBot="1" x14ac:dyDescent="0.3">
      <c r="P53" s="608" t="str">
        <f>Cen!A174</f>
        <v>Boční zásuvné prvky, sklo, pro 650 mm</v>
      </c>
      <c r="Q53" s="608" t="str">
        <f>Cen!B174</f>
        <v>ZE7S538G</v>
      </c>
      <c r="R53" s="608" t="str">
        <f>Cen!C174</f>
        <v>KLA</v>
      </c>
      <c r="S53" s="609">
        <f t="shared" si="2"/>
        <v>0</v>
      </c>
      <c r="T53" s="610">
        <f>Cen!F174</f>
        <v>31.304870000000001</v>
      </c>
      <c r="U53" s="611">
        <f t="shared" si="3"/>
        <v>0</v>
      </c>
    </row>
    <row r="54" spans="16:21" x14ac:dyDescent="0.25">
      <c r="P54" s="119"/>
      <c r="Q54" s="119"/>
    </row>
    <row r="55" spans="16:21" x14ac:dyDescent="0.25">
      <c r="P55" s="119"/>
      <c r="Q55" s="119"/>
    </row>
    <row r="56" spans="16:21" x14ac:dyDescent="0.25">
      <c r="P56" s="119"/>
      <c r="Q56" s="119"/>
      <c r="S56" s="73" t="str">
        <f>List!$B$94</f>
        <v>cena kování</v>
      </c>
      <c r="U56" s="353">
        <f>SUM(U3:U53)</f>
        <v>0</v>
      </c>
    </row>
    <row r="57" spans="16:21" x14ac:dyDescent="0.25">
      <c r="P57" s="119"/>
      <c r="Q57" s="119"/>
    </row>
    <row r="58" spans="16:21" x14ac:dyDescent="0.25">
      <c r="P58" s="119"/>
      <c r="Q58" s="119"/>
    </row>
    <row r="59" spans="16:21" x14ac:dyDescent="0.25">
      <c r="P59" s="119"/>
      <c r="Q59" s="119"/>
    </row>
    <row r="60" spans="16:21" x14ac:dyDescent="0.25">
      <c r="P60" s="119"/>
      <c r="Q60" s="119"/>
    </row>
    <row r="61" spans="16:21" x14ac:dyDescent="0.25">
      <c r="P61" s="119"/>
      <c r="Q61" s="119"/>
    </row>
    <row r="62" spans="16:21" x14ac:dyDescent="0.25">
      <c r="P62" s="119"/>
      <c r="Q62" s="119"/>
    </row>
    <row r="63" spans="16:21" x14ac:dyDescent="0.25">
      <c r="P63" s="119"/>
      <c r="Q63" s="119"/>
    </row>
    <row r="64" spans="16:21" x14ac:dyDescent="0.25">
      <c r="P64" s="119"/>
      <c r="Q64" s="119"/>
    </row>
    <row r="99" spans="1:1" x14ac:dyDescent="0.25">
      <c r="A99" s="783"/>
    </row>
    <row r="100" spans="1:1" x14ac:dyDescent="0.25">
      <c r="A100" s="783"/>
    </row>
    <row r="101" spans="1:1" x14ac:dyDescent="0.25">
      <c r="A101" s="783"/>
    </row>
    <row r="102" spans="1:1" x14ac:dyDescent="0.25">
      <c r="A102" s="783"/>
    </row>
    <row r="103" spans="1:1" x14ac:dyDescent="0.25">
      <c r="A103" s="783"/>
    </row>
    <row r="104" spans="1:1" x14ac:dyDescent="0.25">
      <c r="A104" s="783"/>
    </row>
    <row r="105" spans="1:1" x14ac:dyDescent="0.25">
      <c r="A105" s="783"/>
    </row>
    <row r="106" spans="1:1" x14ac:dyDescent="0.25">
      <c r="A106" s="783"/>
    </row>
    <row r="107" spans="1:1" x14ac:dyDescent="0.25">
      <c r="A107" s="783"/>
    </row>
    <row r="108" spans="1:1" x14ac:dyDescent="0.25">
      <c r="A108" s="783"/>
    </row>
    <row r="109" spans="1:1" x14ac:dyDescent="0.25">
      <c r="A109" s="783"/>
    </row>
    <row r="110" spans="1:1" x14ac:dyDescent="0.25">
      <c r="A110" s="783"/>
    </row>
    <row r="111" spans="1:1" x14ac:dyDescent="0.25">
      <c r="A111" s="783"/>
    </row>
    <row r="112" spans="1:1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LOZWUUkk7sbcGxcgQjGzQi0bA0paKChaD4WE1ay/lQBpjowO+AhABPIiGPCXDnbwtPYofoZGIcqfWtwdQTecBA==" saltValue="ZO3gVpURNqV/L7GahkQ4bw==" spinCount="100000" sheet="1" objects="1" scenarios="1"/>
  <mergeCells count="1">
    <mergeCell ref="A99:A140"/>
  </mergeCells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>
    <tabColor theme="0" tint="-0.34998626667073579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List!$B$54&amp;" C/M"</f>
        <v>Dřezový výsuv C/M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397" t="str">
        <f>Cen!A23</f>
        <v>Bočnice M 300mm, Orion šedé</v>
      </c>
      <c r="Q3" s="397" t="str">
        <f>Cen!B23</f>
        <v>770M3002S</v>
      </c>
      <c r="R3" s="397" t="str">
        <f>Cen!C23</f>
        <v>OG-M</v>
      </c>
      <c r="S3" s="424">
        <f>SUM(H21:H22, H27:H28, H33:H34)</f>
        <v>0</v>
      </c>
      <c r="T3" s="425">
        <f>Cen!F23</f>
        <v>18.533550000000002</v>
      </c>
      <c r="U3" s="398">
        <f t="shared" ref="U3:U12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1151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397" t="str">
        <f>Cen!A27</f>
        <v>Bočnice M 350mm, Orion šedé</v>
      </c>
      <c r="Q4" s="397" t="str">
        <f>Cen!B27</f>
        <v>770M3502S</v>
      </c>
      <c r="R4" s="397" t="str">
        <f>Cen!C27</f>
        <v>OG-M</v>
      </c>
      <c r="S4" s="424">
        <f>SUM(I21:I22, I27:I28, I33:I34)</f>
        <v>0</v>
      </c>
      <c r="T4" s="425">
        <f>Cen!F27</f>
        <v>18.533550000000002</v>
      </c>
      <c r="U4" s="39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397" t="str">
        <f>Cen!A31</f>
        <v>Bočnice M 400mm, Orion šedé</v>
      </c>
      <c r="Q5" s="397" t="str">
        <f>Cen!B31</f>
        <v>770M4002S</v>
      </c>
      <c r="R5" s="397" t="str">
        <f>Cen!C31</f>
        <v>OG-M</v>
      </c>
      <c r="S5" s="424">
        <f>SUM(J21:J22, J27:J28, J33:J34)</f>
        <v>0</v>
      </c>
      <c r="T5" s="425">
        <f>Cen!F31</f>
        <v>18.75609</v>
      </c>
      <c r="U5" s="39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951</v>
      </c>
      <c r="K6" s="122"/>
      <c r="L6" s="144"/>
      <c r="M6" s="119"/>
      <c r="N6" s="2" t="str">
        <f>List!$B$12&amp;":"</f>
        <v>Pokračovat na:</v>
      </c>
      <c r="O6" s="119"/>
      <c r="P6" s="397" t="str">
        <f>Cen!A35</f>
        <v>Bočnice M 450mm, Orion šedé</v>
      </c>
      <c r="Q6" s="397" t="str">
        <f>Cen!B35</f>
        <v>770M4502S</v>
      </c>
      <c r="R6" s="397" t="str">
        <f>Cen!C35</f>
        <v>OG-M</v>
      </c>
      <c r="S6" s="424">
        <f>SUM(K21:K22, K27:K28, K33:K34)</f>
        <v>0</v>
      </c>
      <c r="T6" s="425">
        <f>Cen!F35</f>
        <v>19.977319999999999</v>
      </c>
      <c r="U6" s="398">
        <f>S6*T6</f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54"/>
      <c r="M7" s="119"/>
      <c r="N7" s="151" t="str">
        <f>" "&amp;List!$B$5</f>
        <v xml:space="preserve"> Výběr doplňků</v>
      </c>
      <c r="O7" s="119"/>
      <c r="P7" s="397" t="str">
        <f>Cen!A39</f>
        <v>Bočnice M 500mm, Orion šedé</v>
      </c>
      <c r="Q7" s="397" t="str">
        <f>Cen!B39</f>
        <v>770M5002S</v>
      </c>
      <c r="R7" s="397" t="str">
        <f>Cen!C39</f>
        <v>OG-M</v>
      </c>
      <c r="S7" s="424">
        <f>SUM(L21:L22, L27:L28, L33:L34)</f>
        <v>0</v>
      </c>
      <c r="T7" s="425">
        <f>Cen!F39</f>
        <v>20.211580000000001</v>
      </c>
      <c r="U7" s="398">
        <f>S7*T7</f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U65</f>
        <v>0</v>
      </c>
      <c r="L8" s="154"/>
      <c r="M8" s="119"/>
      <c r="N8" s="151" t="str">
        <f>" "&amp;List!$B$6</f>
        <v xml:space="preserve"> Výběr SERVO-DRIVE</v>
      </c>
      <c r="O8" s="119"/>
      <c r="P8" s="397"/>
      <c r="Q8" s="397"/>
      <c r="R8" s="397"/>
      <c r="S8" s="424"/>
      <c r="T8" s="425"/>
      <c r="U8" s="398"/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Cen!A91</f>
        <v>Bočnice C pure, 450mm, Orion šedé</v>
      </c>
      <c r="Q9" s="127" t="str">
        <f>Cen!B91</f>
        <v>770C4502S</v>
      </c>
      <c r="R9" s="127" t="str">
        <f>Cen!C91</f>
        <v>OG-M</v>
      </c>
      <c r="S9" s="262">
        <f>SUM(H21:H22, H27:H28, H33:H34)</f>
        <v>0</v>
      </c>
      <c r="T9" s="266">
        <f>Cen!F91</f>
        <v>31.28134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Cen!A95</f>
        <v>Bočnice C pure, 500mm, Orion šedé</v>
      </c>
      <c r="Q10" s="127" t="str">
        <f>Cen!B95</f>
        <v>770C5002S</v>
      </c>
      <c r="R10" s="127" t="str">
        <f>Cen!C95</f>
        <v>OG-M</v>
      </c>
      <c r="S10" s="262">
        <f>SUM(I21:I22, I27:I28, I33:I34)</f>
        <v>0</v>
      </c>
      <c r="T10" s="266">
        <f>Cen!F95</f>
        <v>31.656259999999996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Cen!A99</f>
        <v>Bočnice C pure, 550mm, Orion šedé</v>
      </c>
      <c r="Q11" s="127" t="str">
        <f>Cen!B99</f>
        <v>770C5502S</v>
      </c>
      <c r="R11" s="127" t="str">
        <f>Cen!C99</f>
        <v>OG-M</v>
      </c>
      <c r="S11" s="262">
        <f>SUM(J21:J22, J27:J28, J33:J34)</f>
        <v>0</v>
      </c>
      <c r="T11" s="266">
        <f>Cen!F99</f>
        <v>31.853429999999999</v>
      </c>
      <c r="U11" s="263">
        <f t="shared" si="0"/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291"/>
      <c r="M12" s="119"/>
      <c r="N12" s="119"/>
      <c r="O12" s="119"/>
      <c r="P12" s="127" t="str">
        <f>Cen!A103</f>
        <v>Bočnice C pure, 600mm, Orion šedé</v>
      </c>
      <c r="Q12" s="127" t="str">
        <f>Cen!B103</f>
        <v>770C6002S</v>
      </c>
      <c r="R12" s="127" t="str">
        <f>Cen!C103</f>
        <v>OG-M</v>
      </c>
      <c r="S12" s="262">
        <f>SUM(K21:K22, K27:K28, K33:K34)</f>
        <v>0</v>
      </c>
      <c r="T12" s="266">
        <f>Cen!F103</f>
        <v>35.537379999999999</v>
      </c>
      <c r="U12" s="263">
        <f t="shared" si="0"/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293"/>
      <c r="M13" s="119"/>
      <c r="N13" s="119"/>
      <c r="O13" s="119"/>
      <c r="P13" s="127" t="str">
        <f>Cen!A107</f>
        <v>Bočnice C pure, 650mm, Orion šedé</v>
      </c>
      <c r="Q13" s="127" t="str">
        <f>Cen!B107</f>
        <v>770C6502S</v>
      </c>
      <c r="R13" s="127" t="str">
        <f>Cen!C107</f>
        <v>OG-M</v>
      </c>
      <c r="S13" s="262">
        <f>SUM(L21:L22, L27:L28, L33:L34)</f>
        <v>0</v>
      </c>
      <c r="T13" s="266">
        <f>Cen!F107</f>
        <v>36.783200000000001</v>
      </c>
      <c r="U13" s="263">
        <f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290"/>
      <c r="M14" s="119"/>
      <c r="N14" s="119"/>
      <c r="O14" s="119"/>
      <c r="P14" s="126"/>
      <c r="Q14" s="126"/>
      <c r="R14" s="126"/>
      <c r="S14" s="334"/>
      <c r="T14" s="401"/>
      <c r="U14" s="335"/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288"/>
      <c r="M15" s="119"/>
      <c r="N15" s="119"/>
      <c r="O15" s="119"/>
      <c r="P15" s="364" t="str">
        <f>Cen!A179</f>
        <v>Korpusové lišty BLUMOTION, 350mm, 40kg</v>
      </c>
      <c r="Q15" s="364" t="str">
        <f>Cen!B179</f>
        <v>750.3501B</v>
      </c>
      <c r="R15" s="364" t="str">
        <f>Cen!C179</f>
        <v>ZN</v>
      </c>
      <c r="S15" s="365"/>
      <c r="T15" s="366">
        <f>Cen!F179</f>
        <v>21.845690000000001</v>
      </c>
      <c r="U15" s="366">
        <f t="shared" ref="U15:U24" si="1">S15*T15</f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364" t="str">
        <f>Cen!A180</f>
        <v>Korpusové lišty BLUMOTION, 400mm, 40kg</v>
      </c>
      <c r="Q16" s="364" t="str">
        <f>Cen!B180</f>
        <v>750.4001B</v>
      </c>
      <c r="R16" s="364" t="str">
        <f>Cen!C180</f>
        <v>ZN</v>
      </c>
      <c r="S16" s="365"/>
      <c r="T16" s="366">
        <f>Cen!F180</f>
        <v>22.204979999999999</v>
      </c>
      <c r="U16" s="366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5"/>
      <c r="G20" s="305"/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1152</v>
      </c>
      <c r="C21" s="298" t="s">
        <v>505</v>
      </c>
      <c r="D21" s="355"/>
      <c r="E21" s="355"/>
      <c r="F21" s="355"/>
      <c r="G21" s="355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1152</v>
      </c>
      <c r="C22" s="311" t="s">
        <v>506</v>
      </c>
      <c r="D22" s="370"/>
      <c r="E22" s="370"/>
      <c r="F22" s="370"/>
      <c r="G22" s="370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D23" s="51"/>
      <c r="E23" s="51"/>
      <c r="F23" s="51"/>
      <c r="G23" s="51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/>
      <c r="E26" s="305"/>
      <c r="F26" s="305"/>
      <c r="G26" s="305"/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852</v>
      </c>
      <c r="C27" s="298" t="s">
        <v>505</v>
      </c>
      <c r="D27" s="355"/>
      <c r="E27" s="355"/>
      <c r="F27" s="355"/>
      <c r="G27" s="355"/>
      <c r="H27" s="299"/>
      <c r="I27" s="299"/>
      <c r="J27" s="299"/>
      <c r="K27" s="300"/>
      <c r="L27" s="572"/>
      <c r="M27" s="119"/>
      <c r="N27" s="119"/>
      <c r="O27" s="119"/>
      <c r="P27" s="364" t="str">
        <f>Cen!A195</f>
        <v>Korpusové lišty TIP-ON, 350mm, 40kg</v>
      </c>
      <c r="Q27" s="364" t="str">
        <f>Cen!B195</f>
        <v>750.3501T</v>
      </c>
      <c r="R27" s="364" t="str">
        <f>Cen!C195</f>
        <v>ZN</v>
      </c>
      <c r="S27" s="365"/>
      <c r="T27" s="366">
        <f>Cen!F195</f>
        <v>30.366460000000004</v>
      </c>
      <c r="U27" s="366">
        <f t="shared" ref="U27:U36" si="2">S27*T27</f>
        <v>0</v>
      </c>
    </row>
    <row r="28" spans="1:21" ht="14" x14ac:dyDescent="0.3">
      <c r="A28" s="119"/>
      <c r="B28" s="296" t="s">
        <v>853</v>
      </c>
      <c r="C28" s="310" t="s">
        <v>506</v>
      </c>
      <c r="D28" s="370"/>
      <c r="E28" s="370"/>
      <c r="F28" s="370"/>
      <c r="G28" s="370"/>
      <c r="H28" s="303"/>
      <c r="I28" s="303"/>
      <c r="J28" s="303"/>
      <c r="K28" s="304"/>
      <c r="L28" s="304"/>
      <c r="M28" s="119"/>
      <c r="N28" s="119"/>
      <c r="O28" s="119"/>
      <c r="P28" s="364" t="str">
        <f>Cen!A196</f>
        <v>Korpusové lišty TIP-ON, 400mm, 40kg</v>
      </c>
      <c r="Q28" s="364" t="str">
        <f>Cen!B196</f>
        <v>750.4001T</v>
      </c>
      <c r="R28" s="364" t="str">
        <f>Cen!C196</f>
        <v>ZN</v>
      </c>
      <c r="S28" s="365"/>
      <c r="T28" s="366">
        <f>Cen!F196</f>
        <v>30.645720000000001</v>
      </c>
      <c r="U28" s="366">
        <f t="shared" si="2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209" t="str">
        <f>Cen!A197</f>
        <v>Korpusové lišty TIP-ON, 450mm, 40kg</v>
      </c>
      <c r="Q29" s="209" t="str">
        <f>Cen!B197</f>
        <v>750.4501T</v>
      </c>
      <c r="R29" s="209" t="str">
        <f>Cen!C197</f>
        <v>ZN</v>
      </c>
      <c r="S29" s="260">
        <f>H27</f>
        <v>0</v>
      </c>
      <c r="T29" s="261">
        <f>Cen!F197</f>
        <v>32.552599999999998</v>
      </c>
      <c r="U29" s="261">
        <f t="shared" si="2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19"/>
      <c r="N30" s="119"/>
      <c r="O30" s="119"/>
      <c r="P30" s="209" t="str">
        <f>Cen!A198</f>
        <v>Korpusové lišty TIP-ON, 450mm, 70kg</v>
      </c>
      <c r="Q30" s="209" t="str">
        <f>Cen!B198</f>
        <v>753.4501T</v>
      </c>
      <c r="R30" s="209" t="str">
        <f>Cen!C198</f>
        <v>ZN</v>
      </c>
      <c r="S30" s="260">
        <f>H28</f>
        <v>0</v>
      </c>
      <c r="T30" s="261">
        <f>Cen!F198</f>
        <v>36.006259999999997</v>
      </c>
      <c r="U30" s="261">
        <f t="shared" si="2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Cen!A199</f>
        <v>Korpusové lišty TIP-ON, 500mm, 40kg</v>
      </c>
      <c r="Q31" s="209" t="str">
        <f>Cen!B199</f>
        <v>750.5001T</v>
      </c>
      <c r="R31" s="209" t="str">
        <f>Cen!C199</f>
        <v>ZN</v>
      </c>
      <c r="S31" s="260">
        <f>I27</f>
        <v>0</v>
      </c>
      <c r="T31" s="261">
        <f>Cen!F199</f>
        <v>32.846359999999997</v>
      </c>
      <c r="U31" s="261">
        <f t="shared" si="2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/>
      <c r="E32" s="305"/>
      <c r="F32" s="305"/>
      <c r="G32" s="305"/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Cen!A200</f>
        <v>Korpusové lišty TIP-ON, 500mm, 70kg</v>
      </c>
      <c r="Q32" s="209" t="str">
        <f>Cen!B200</f>
        <v>753.5001T</v>
      </c>
      <c r="R32" s="209" t="str">
        <f>Cen!C200</f>
        <v>ZN</v>
      </c>
      <c r="S32" s="260">
        <f>I28</f>
        <v>0</v>
      </c>
      <c r="T32" s="261">
        <f>Cen!F200</f>
        <v>36.285339999999998</v>
      </c>
      <c r="U32" s="261">
        <f t="shared" si="2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355"/>
      <c r="E33" s="355"/>
      <c r="F33" s="355"/>
      <c r="G33" s="355"/>
      <c r="H33" s="299"/>
      <c r="I33" s="299"/>
      <c r="J33" s="299"/>
      <c r="K33" s="300"/>
      <c r="L33" s="572"/>
      <c r="M33" s="119"/>
      <c r="N33" s="119"/>
      <c r="P33" s="209" t="str">
        <f>Cen!A201</f>
        <v>Korpusové lišty TIP-ON, 550mm, 40kg</v>
      </c>
      <c r="Q33" s="209" t="str">
        <f>Cen!B201</f>
        <v>750.5501T</v>
      </c>
      <c r="R33" s="209" t="str">
        <f>Cen!C201</f>
        <v>ZN</v>
      </c>
      <c r="S33" s="260">
        <f>J27</f>
        <v>0</v>
      </c>
      <c r="T33" s="261">
        <f>Cen!F201</f>
        <v>32.694760000000002</v>
      </c>
      <c r="U33" s="261">
        <f t="shared" si="2"/>
        <v>0</v>
      </c>
    </row>
    <row r="34" spans="1:21" ht="14" x14ac:dyDescent="0.3">
      <c r="B34" s="296" t="s">
        <v>1188</v>
      </c>
      <c r="C34" s="310" t="s">
        <v>506</v>
      </c>
      <c r="D34" s="370"/>
      <c r="E34" s="370"/>
      <c r="F34" s="370"/>
      <c r="G34" s="370"/>
      <c r="H34" s="303"/>
      <c r="I34" s="303"/>
      <c r="J34" s="303"/>
      <c r="K34" s="304"/>
      <c r="L34" s="304"/>
      <c r="M34" s="119"/>
      <c r="N34" s="119"/>
      <c r="P34" s="209" t="str">
        <f>Cen!A202</f>
        <v>Korpusové lišty TIP-ON, 550mm, 70kg</v>
      </c>
      <c r="Q34" s="209" t="str">
        <f>Cen!B202</f>
        <v>753.5501T</v>
      </c>
      <c r="R34" s="209" t="str">
        <f>Cen!C202</f>
        <v>ZN</v>
      </c>
      <c r="S34" s="260">
        <f>J28</f>
        <v>0</v>
      </c>
      <c r="T34" s="261">
        <f>Cen!F202</f>
        <v>37.776060000000001</v>
      </c>
      <c r="U34" s="261">
        <f t="shared" si="2"/>
        <v>0</v>
      </c>
    </row>
    <row r="35" spans="1:21" ht="15.5" x14ac:dyDescent="0.3"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P35" s="209" t="str">
        <f>Cen!A203</f>
        <v>Korpusové lišty TIP-ON, 600mm, 40kg</v>
      </c>
      <c r="Q35" s="209" t="str">
        <f>Cen!B203</f>
        <v>750.6001T</v>
      </c>
      <c r="R35" s="209" t="str">
        <f>Cen!C203</f>
        <v>ZN</v>
      </c>
      <c r="S35" s="260">
        <f>K27</f>
        <v>0</v>
      </c>
      <c r="T35" s="261">
        <f>Cen!F203</f>
        <v>35.700530000000001</v>
      </c>
      <c r="U35" s="261">
        <f t="shared" si="2"/>
        <v>0</v>
      </c>
    </row>
    <row r="36" spans="1:21" ht="13" x14ac:dyDescent="0.3"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P36" s="209" t="str">
        <f>Cen!A204</f>
        <v>Korpusové lišty TIP-ON, 600mm, 70kg</v>
      </c>
      <c r="Q36" s="209" t="str">
        <f>Cen!B204</f>
        <v>753.6001T</v>
      </c>
      <c r="R36" s="209" t="str">
        <f>Cen!C204</f>
        <v>ZN</v>
      </c>
      <c r="S36" s="260">
        <f>K28</f>
        <v>0</v>
      </c>
      <c r="T36" s="261">
        <f>Cen!F204</f>
        <v>40.781829999999999</v>
      </c>
      <c r="U36" s="261">
        <f t="shared" si="2"/>
        <v>0</v>
      </c>
    </row>
    <row r="37" spans="1:21" ht="14" x14ac:dyDescent="0.3">
      <c r="B37" s="291"/>
      <c r="C37" s="291"/>
      <c r="D37" s="305"/>
      <c r="E37" s="305"/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209" t="str">
        <f>Cen!A205</f>
        <v>Korpusové lišty TIP-ON, 650mm, 70kg</v>
      </c>
      <c r="Q37" s="209" t="str">
        <f>Cen!B205</f>
        <v>753.6501T</v>
      </c>
      <c r="R37" s="209" t="str">
        <f>Cen!C205</f>
        <v>ZN</v>
      </c>
      <c r="S37" s="260">
        <f>L28</f>
        <v>0</v>
      </c>
      <c r="T37" s="261">
        <f>Cen!F205</f>
        <v>42.272550000000003</v>
      </c>
      <c r="U37" s="261">
        <f>S37*T37</f>
        <v>0</v>
      </c>
    </row>
    <row r="38" spans="1:21" ht="14.5" thickBot="1" x14ac:dyDescent="0.35">
      <c r="B38" s="179"/>
      <c r="C38" s="291"/>
      <c r="D38" s="355"/>
      <c r="E38" s="355"/>
      <c r="F38" s="299"/>
      <c r="G38" s="300"/>
      <c r="H38" s="662" t="str">
        <f>IF(SUM(F33:K33,H34:L34)=SUM(E38:G38)," ",P82)</f>
        <v xml:space="preserve"> </v>
      </c>
      <c r="I38" s="291"/>
      <c r="M38" s="119"/>
      <c r="P38" s="144"/>
      <c r="Q38" s="144"/>
      <c r="R38" s="144"/>
      <c r="S38" s="150"/>
      <c r="T38" s="154"/>
      <c r="U38" s="154"/>
    </row>
    <row r="39" spans="1:21" ht="13" x14ac:dyDescent="0.3">
      <c r="B39" s="287"/>
      <c r="C39" s="287"/>
      <c r="H39" s="291"/>
      <c r="I39" s="291"/>
      <c r="J39" s="291"/>
      <c r="K39" s="291"/>
      <c r="L39" s="291"/>
      <c r="P39" s="144"/>
      <c r="Q39" s="144"/>
      <c r="R39" s="144"/>
      <c r="S39" s="150"/>
      <c r="T39" s="154"/>
      <c r="U39" s="154"/>
    </row>
    <row r="40" spans="1:21" x14ac:dyDescent="0.25">
      <c r="P40" s="144"/>
      <c r="Q40" s="144"/>
      <c r="R40" s="144"/>
      <c r="S40" s="150"/>
      <c r="T40" s="154"/>
      <c r="U40" s="154"/>
    </row>
    <row r="41" spans="1:21" x14ac:dyDescent="0.25">
      <c r="P41" s="364" t="str">
        <f>Cen!A209</f>
        <v>Korpusové lišty TIP-ON BLUMOTION, 270mm, 40kg</v>
      </c>
      <c r="Q41" s="364" t="str">
        <f>Cen!B209</f>
        <v>750.2700M</v>
      </c>
      <c r="R41" s="364" t="str">
        <f>Cen!C209</f>
        <v>ZN</v>
      </c>
      <c r="S41" s="365"/>
      <c r="T41" s="366">
        <f>Cen!F209</f>
        <v>21.925909999999998</v>
      </c>
      <c r="U41" s="366">
        <f>S41*T41</f>
        <v>0</v>
      </c>
    </row>
    <row r="42" spans="1:21" x14ac:dyDescent="0.25">
      <c r="P42" s="364" t="str">
        <f>Cen!A210</f>
        <v>Korpusové lišty TIP-ON BLUMOTION, 300mm, 40kg</v>
      </c>
      <c r="Q42" s="364" t="str">
        <f>Cen!B210</f>
        <v>750.3001M</v>
      </c>
      <c r="R42" s="364" t="str">
        <f>Cen!C210</f>
        <v>ZN</v>
      </c>
      <c r="S42" s="365"/>
      <c r="T42" s="366">
        <f>Cen!F210</f>
        <v>21.925909999999998</v>
      </c>
      <c r="U42" s="366">
        <f t="shared" ref="U42:U58" si="3">S42*T42</f>
        <v>0</v>
      </c>
    </row>
    <row r="43" spans="1:21" x14ac:dyDescent="0.25">
      <c r="P43" s="364" t="str">
        <f>Cen!A211</f>
        <v>Korpusové lišty TIP-ON BLUMOTION, 350mm, 40kg</v>
      </c>
      <c r="Q43" s="364" t="str">
        <f>Cen!B211</f>
        <v>750.3501M</v>
      </c>
      <c r="R43" s="364" t="str">
        <f>Cen!C211</f>
        <v>ZN</v>
      </c>
      <c r="S43" s="365"/>
      <c r="T43" s="366">
        <f>Cen!F211</f>
        <v>21.925909999999998</v>
      </c>
      <c r="U43" s="366">
        <f t="shared" si="3"/>
        <v>0</v>
      </c>
    </row>
    <row r="44" spans="1:21" x14ac:dyDescent="0.25">
      <c r="P44" s="364" t="str">
        <f>Cen!A212</f>
        <v>Korpusové lišty TIP-ON BLUMOTION, 400mm, 40kg</v>
      </c>
      <c r="Q44" s="364" t="str">
        <f>Cen!B212</f>
        <v>750.4001M</v>
      </c>
      <c r="R44" s="364" t="str">
        <f>Cen!C212</f>
        <v>ZN</v>
      </c>
      <c r="S44" s="365"/>
      <c r="T44" s="366">
        <f>Cen!F212</f>
        <v>22.204979999999999</v>
      </c>
      <c r="U44" s="366">
        <f t="shared" si="3"/>
        <v>0</v>
      </c>
    </row>
    <row r="45" spans="1:21" x14ac:dyDescent="0.25"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3"/>
        <v>0</v>
      </c>
    </row>
    <row r="46" spans="1:21" x14ac:dyDescent="0.25"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3"/>
        <v>0</v>
      </c>
    </row>
    <row r="47" spans="1:21" ht="13" x14ac:dyDescent="0.3"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3"/>
        <v>0</v>
      </c>
    </row>
    <row r="48" spans="1:21" ht="13" x14ac:dyDescent="0.3"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3"/>
        <v>0</v>
      </c>
    </row>
    <row r="49" spans="16:21" x14ac:dyDescent="0.25"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3"/>
        <v>0</v>
      </c>
    </row>
    <row r="50" spans="16:21" x14ac:dyDescent="0.25"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3"/>
        <v>0</v>
      </c>
    </row>
    <row r="51" spans="16:21" x14ac:dyDescent="0.25"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3"/>
        <v>0</v>
      </c>
    </row>
    <row r="52" spans="16:21" x14ac:dyDescent="0.25"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3"/>
        <v>0</v>
      </c>
    </row>
    <row r="53" spans="16:21" x14ac:dyDescent="0.25"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3"/>
        <v>0</v>
      </c>
    </row>
    <row r="54" spans="16:21" x14ac:dyDescent="0.25">
      <c r="P54" s="122"/>
      <c r="Q54" s="122"/>
      <c r="R54" s="122"/>
      <c r="S54" s="123"/>
      <c r="T54" s="118"/>
      <c r="U54" s="118"/>
    </row>
    <row r="55" spans="16:21" x14ac:dyDescent="0.25"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/>
      <c r="T55" s="118">
        <f>Cen!F223</f>
        <v>15.883479999999999</v>
      </c>
      <c r="U55" s="118">
        <f t="shared" si="3"/>
        <v>0</v>
      </c>
    </row>
    <row r="56" spans="16:21" x14ac:dyDescent="0.25"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/>
      <c r="T56" s="118">
        <f>Cen!F224</f>
        <v>15.883479999999999</v>
      </c>
      <c r="U56" s="118">
        <f t="shared" si="3"/>
        <v>0</v>
      </c>
    </row>
    <row r="57" spans="16:21" x14ac:dyDescent="0.25"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 t="shared" si="3"/>
        <v>0</v>
      </c>
    </row>
    <row r="58" spans="16:21" x14ac:dyDescent="0.25"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 t="shared" si="3"/>
        <v>0</v>
      </c>
    </row>
    <row r="59" spans="16:21" x14ac:dyDescent="0.25">
      <c r="P59" s="144"/>
      <c r="Q59" s="144"/>
      <c r="R59" s="144"/>
      <c r="S59" s="150"/>
      <c r="T59" s="154"/>
      <c r="U59" s="154"/>
    </row>
    <row r="60" spans="16:21" x14ac:dyDescent="0.25">
      <c r="P60" s="122" t="str">
        <f>Cen!A251</f>
        <v>Držáky zadní stěny M, Orion šedé</v>
      </c>
      <c r="Q60" s="122" t="str">
        <f>Cen!B251</f>
        <v>ZB7M000S</v>
      </c>
      <c r="R60" s="122" t="str">
        <f>Cen!C251</f>
        <v>OG-M</v>
      </c>
      <c r="S60" s="123">
        <f>SUM($S$3:$S$7)</f>
        <v>0</v>
      </c>
      <c r="T60" s="118">
        <f>Cen!$F251</f>
        <v>1.20011</v>
      </c>
      <c r="U60" s="118">
        <f>S60*T60</f>
        <v>0</v>
      </c>
    </row>
    <row r="61" spans="16:21" x14ac:dyDescent="0.25">
      <c r="P61" s="122" t="str">
        <f>Cen!A259</f>
        <v>Držáky zadní stěny C, Orion šedé</v>
      </c>
      <c r="Q61" s="122" t="str">
        <f>Cen!B259</f>
        <v>ZB7C000S</v>
      </c>
      <c r="R61" s="122" t="str">
        <f>Cen!C259</f>
        <v>OG-M</v>
      </c>
      <c r="S61" s="123">
        <f>SUM($S$9:$S$13)</f>
        <v>0</v>
      </c>
      <c r="T61" s="118">
        <f>Cen!$F259</f>
        <v>1.59894</v>
      </c>
      <c r="U61" s="118">
        <f>S61*T61</f>
        <v>0</v>
      </c>
    </row>
    <row r="62" spans="16:21" x14ac:dyDescent="0.25">
      <c r="P62" s="122" t="str">
        <f>Cen!A274</f>
        <v>Čelní kování M, EXPANDO</v>
      </c>
      <c r="Q62" s="122" t="str">
        <f>Cen!B274</f>
        <v>ZF7M70E2</v>
      </c>
      <c r="R62" s="122" t="str">
        <f>Cen!C274</f>
        <v>BL</v>
      </c>
      <c r="S62" s="123">
        <f>SUM($S$3:$S$7)*2</f>
        <v>0</v>
      </c>
      <c r="T62" s="118">
        <f>Cen!F274</f>
        <v>0.35138999999999998</v>
      </c>
      <c r="U62" s="118">
        <f>S62*T62</f>
        <v>0</v>
      </c>
    </row>
    <row r="63" spans="16:21" x14ac:dyDescent="0.25">
      <c r="P63" s="122" t="str">
        <f>Cen!A278</f>
        <v>Čelní kování C, EXPANDO</v>
      </c>
      <c r="Q63" s="122" t="str">
        <f>Cen!B278</f>
        <v>ZF7C70E2</v>
      </c>
      <c r="R63" s="122" t="str">
        <f>Cen!C278</f>
        <v>BL</v>
      </c>
      <c r="S63" s="123">
        <f>SUM($S$9:$S$13)*2</f>
        <v>0</v>
      </c>
      <c r="T63" s="118">
        <f>Cen!F278</f>
        <v>0.76134999999999986</v>
      </c>
      <c r="U63" s="118">
        <f>S63*T63</f>
        <v>0</v>
      </c>
    </row>
    <row r="64" spans="16:21" x14ac:dyDescent="0.25">
      <c r="P64" s="119"/>
      <c r="Q64" s="119"/>
    </row>
    <row r="65" spans="16:21" x14ac:dyDescent="0.25">
      <c r="P65" s="119"/>
      <c r="Q65" s="119"/>
      <c r="S65" s="73" t="str">
        <f>List!$B$94</f>
        <v>cena kování</v>
      </c>
      <c r="U65" s="353">
        <f>SUM(U3:U64)</f>
        <v>0</v>
      </c>
    </row>
    <row r="66" spans="16:21" x14ac:dyDescent="0.25">
      <c r="P66" s="119"/>
      <c r="Q66" s="119"/>
    </row>
    <row r="67" spans="16:21" x14ac:dyDescent="0.25">
      <c r="P67" s="119"/>
      <c r="Q67" s="119"/>
    </row>
    <row r="68" spans="16:21" x14ac:dyDescent="0.25">
      <c r="P68" s="119"/>
      <c r="Q68" s="119"/>
    </row>
    <row r="69" spans="16:21" x14ac:dyDescent="0.25">
      <c r="P69" s="119"/>
      <c r="Q69" s="119"/>
    </row>
    <row r="70" spans="16:21" x14ac:dyDescent="0.25">
      <c r="P70" s="119"/>
      <c r="Q70" s="119"/>
    </row>
    <row r="71" spans="16:21" x14ac:dyDescent="0.25">
      <c r="P71" s="119"/>
      <c r="Q71" s="119"/>
    </row>
    <row r="72" spans="16:21" x14ac:dyDescent="0.25">
      <c r="P72" s="119"/>
      <c r="Q72" s="119"/>
    </row>
    <row r="73" spans="16:21" x14ac:dyDescent="0.25">
      <c r="P73" s="119"/>
      <c r="Q73" s="119"/>
    </row>
    <row r="80" spans="16:21" x14ac:dyDescent="0.25">
      <c r="P80" s="119" t="str">
        <f>List!$B$305&amp;"!"</f>
        <v>S1 pouze pro jmenovitou délku 270 a 300 mm!</v>
      </c>
    </row>
    <row r="81" spans="16:16" x14ac:dyDescent="0.25">
      <c r="P81" s="119" t="str">
        <f>List!$B$306&amp;"!"</f>
        <v>Pro výsuvy délky 270 a 300 mm vyberte jednotky S1!</v>
      </c>
    </row>
    <row r="82" spans="16:16" x14ac:dyDescent="0.25">
      <c r="P82" s="119" t="str">
        <f>List!$B$307&amp;"!"</f>
        <v>Počet jednotek L neodpovídá počtu korpusových lišt!</v>
      </c>
    </row>
    <row r="83" spans="16:16" x14ac:dyDescent="0.25">
      <c r="P83" s="119" t="str">
        <f>List!$B$308&amp;"!"</f>
        <v>Počet jednotek S1 neodpovídá počtu korpusových lišt!</v>
      </c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19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FDOpQYhX00iQBPDvvdv+xCLLQCi8LbMr/YJ5tTV2tGiJYt+EFske+hyALC1Kb2SljVzw9+c/gWSWVkbOoLkrSw==" saltValue="FdFM939qMC8uFleyV4ca9Q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CM42P'!A100" tooltip=" " display="'7CM42P'!A100"/>
    <hyperlink ref="N111" location="'7CM42P'!A1" tooltip=" " display="'7CM42P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AF223"/>
  <sheetViews>
    <sheetView showGridLines="0" showRowColHeaders="0" zoomScaleNormal="100" workbookViewId="0">
      <selection activeCell="T9" sqref="T9"/>
    </sheetView>
  </sheetViews>
  <sheetFormatPr defaultColWidth="9.1796875" defaultRowHeight="12.5" x14ac:dyDescent="0.25"/>
  <cols>
    <col min="1" max="1" width="2.54296875" style="2" customWidth="1"/>
    <col min="2" max="3" width="9.1796875" style="2"/>
    <col min="4" max="4" width="7.1796875" style="2" customWidth="1"/>
    <col min="5" max="5" width="9.1796875" style="2"/>
    <col min="6" max="6" width="9.7265625" style="2" customWidth="1"/>
    <col min="7" max="7" width="2.81640625" style="2" customWidth="1"/>
    <col min="8" max="9" width="9.1796875" style="2"/>
    <col min="10" max="10" width="7.1796875" style="2" customWidth="1"/>
    <col min="11" max="11" width="9.1796875" style="2"/>
    <col min="12" max="12" width="9.7265625" style="2" customWidth="1"/>
    <col min="13" max="13" width="2.81640625" style="2" customWidth="1"/>
    <col min="14" max="15" width="9.1796875" style="2"/>
    <col min="16" max="16" width="7.1796875" style="2" customWidth="1"/>
    <col min="17" max="17" width="9.1796875" style="2"/>
    <col min="18" max="18" width="9.7265625" style="2" customWidth="1"/>
    <col min="19" max="19" width="3.54296875" style="2" customWidth="1"/>
    <col min="20" max="20" width="25.7265625" style="2" customWidth="1"/>
    <col min="21" max="16384" width="9.1796875" style="2"/>
  </cols>
  <sheetData>
    <row r="1" spans="1:26" ht="22.5" customHeight="1" x14ac:dyDescent="0.4">
      <c r="A1" s="119"/>
      <c r="B1" s="140" t="str">
        <f>List!$B$56</f>
        <v>Zásuvky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86" t="str">
        <f>List!$B$4</f>
        <v>Výběr zásuvek a výsuvů</v>
      </c>
      <c r="S1" s="119"/>
      <c r="U1" s="119"/>
    </row>
    <row r="2" spans="1:26" ht="15" customHeight="1" x14ac:dyDescent="0.35">
      <c r="A2" s="119"/>
      <c r="B2" s="119"/>
      <c r="C2" s="143"/>
      <c r="D2" s="143"/>
      <c r="E2" s="143"/>
      <c r="F2" s="149" t="str">
        <f>List!$B$49&amp;" N  "</f>
        <v xml:space="preserve">Zásuvka N  </v>
      </c>
      <c r="G2" s="119"/>
      <c r="H2" s="119"/>
      <c r="I2" s="143"/>
      <c r="J2" s="143"/>
      <c r="K2" s="143"/>
      <c r="L2" s="149" t="str">
        <f>List!$B$49&amp;" M  "</f>
        <v xml:space="preserve">Zásuvka M  </v>
      </c>
      <c r="M2" s="119"/>
      <c r="N2" s="119"/>
      <c r="O2" s="143"/>
      <c r="P2" s="143"/>
      <c r="Q2" s="143"/>
      <c r="R2" s="149" t="str">
        <f>List!$B$49&amp;" K  "</f>
        <v xml:space="preserve">Zásuvka K  </v>
      </c>
      <c r="S2" s="119"/>
      <c r="T2" s="2" t="str">
        <f>List!$B$11&amp;":"</f>
        <v>Zpět na:</v>
      </c>
      <c r="U2" s="119"/>
    </row>
    <row r="3" spans="1:26" ht="13.5" customHeight="1" x14ac:dyDescent="0.3">
      <c r="A3" s="119"/>
      <c r="B3" s="144"/>
      <c r="C3" s="144"/>
      <c r="D3" s="144"/>
      <c r="E3" s="145" t="str">
        <f>List!$B$78&amp;":"</f>
        <v>označení:</v>
      </c>
      <c r="F3" s="160" t="s">
        <v>12</v>
      </c>
      <c r="G3" s="119"/>
      <c r="H3" s="144"/>
      <c r="I3" s="144"/>
      <c r="J3" s="144"/>
      <c r="K3" s="145" t="str">
        <f>List!$B$78&amp;":"</f>
        <v>označení:</v>
      </c>
      <c r="L3" s="160" t="s">
        <v>13</v>
      </c>
      <c r="M3" s="119"/>
      <c r="N3" s="119"/>
      <c r="O3" s="119"/>
      <c r="P3" s="119"/>
      <c r="Q3" s="145" t="str">
        <f>List!$B$78&amp;":"</f>
        <v>označení:</v>
      </c>
      <c r="R3" s="160" t="s">
        <v>14</v>
      </c>
      <c r="S3" s="119"/>
      <c r="T3" s="155" t="str">
        <f>" "&amp;List!$B$13</f>
        <v xml:space="preserve"> Úvod</v>
      </c>
      <c r="U3" s="119"/>
    </row>
    <row r="4" spans="1:26" ht="13.5" customHeight="1" x14ac:dyDescent="0.25">
      <c r="A4" s="119"/>
      <c r="B4" s="144"/>
      <c r="C4" s="144"/>
      <c r="D4" s="144"/>
      <c r="E4" s="119"/>
      <c r="F4" s="146"/>
      <c r="G4" s="119"/>
      <c r="H4" s="144"/>
      <c r="I4" s="144"/>
      <c r="J4" s="144"/>
      <c r="K4" s="119"/>
      <c r="L4" s="146"/>
      <c r="M4" s="119"/>
      <c r="N4" s="119"/>
      <c r="O4" s="119"/>
      <c r="P4" s="119"/>
      <c r="Q4" s="119"/>
      <c r="R4" s="146"/>
      <c r="S4" s="119"/>
      <c r="U4" s="119"/>
    </row>
    <row r="5" spans="1:26" ht="13.5" customHeight="1" x14ac:dyDescent="0.25">
      <c r="A5" s="119"/>
      <c r="B5" s="144"/>
      <c r="C5" s="144"/>
      <c r="D5" s="144"/>
      <c r="E5" s="145" t="str">
        <f>List!$B$79&amp;":"</f>
        <v>bočnice:</v>
      </c>
      <c r="F5" s="147" t="s">
        <v>189</v>
      </c>
      <c r="G5" s="119"/>
      <c r="H5" s="144"/>
      <c r="I5" s="144"/>
      <c r="J5" s="144"/>
      <c r="K5" s="145" t="str">
        <f>List!$B$79&amp;":"</f>
        <v>bočnice:</v>
      </c>
      <c r="L5" s="147" t="s">
        <v>182</v>
      </c>
      <c r="M5" s="119"/>
      <c r="N5" s="119"/>
      <c r="O5" s="119"/>
      <c r="P5" s="119"/>
      <c r="Q5" s="145" t="str">
        <f>List!$B$79&amp;":"</f>
        <v>bočnice:</v>
      </c>
      <c r="R5" s="147" t="s">
        <v>190</v>
      </c>
      <c r="S5" s="119"/>
      <c r="T5" s="2" t="str">
        <f>List!$B$12&amp;":"</f>
        <v>Pokračovat na:</v>
      </c>
      <c r="U5" s="119"/>
    </row>
    <row r="6" spans="1:26" ht="14.25" customHeight="1" thickBot="1" x14ac:dyDescent="0.3">
      <c r="A6" s="119"/>
      <c r="B6" s="144"/>
      <c r="C6" s="144"/>
      <c r="D6" s="144"/>
      <c r="E6" s="145" t="str">
        <f>List!$B$81&amp;":"</f>
        <v>potřebný prostor:</v>
      </c>
      <c r="F6" s="147" t="s">
        <v>480</v>
      </c>
      <c r="G6" s="119"/>
      <c r="H6" s="144"/>
      <c r="I6" s="144"/>
      <c r="J6" s="144"/>
      <c r="K6" s="145" t="str">
        <f>List!$B$81&amp;":"</f>
        <v>potřebný prostor:</v>
      </c>
      <c r="L6" s="147" t="s">
        <v>192</v>
      </c>
      <c r="M6" s="119"/>
      <c r="N6" s="119"/>
      <c r="O6" s="119"/>
      <c r="P6" s="119"/>
      <c r="Q6" s="145" t="str">
        <f>List!$B$81&amp;":"</f>
        <v>potřebný prostor:</v>
      </c>
      <c r="R6" s="147" t="s">
        <v>481</v>
      </c>
      <c r="S6" s="119"/>
      <c r="T6" s="151" t="str">
        <f>" "&amp;List!$B$5</f>
        <v xml:space="preserve"> Výběr doplňků</v>
      </c>
      <c r="U6" s="119"/>
    </row>
    <row r="7" spans="1:26" ht="13.5" customHeight="1" thickBot="1" x14ac:dyDescent="0.3">
      <c r="A7" s="119"/>
      <c r="B7" s="144"/>
      <c r="C7" s="144"/>
      <c r="D7" s="144"/>
      <c r="E7" s="144"/>
      <c r="F7" s="144"/>
      <c r="G7" s="119"/>
      <c r="H7" s="144"/>
      <c r="I7" s="144"/>
      <c r="J7" s="144"/>
      <c r="K7" s="145"/>
      <c r="L7" s="150"/>
      <c r="M7" s="119"/>
      <c r="N7" s="144"/>
      <c r="O7" s="144"/>
      <c r="P7" s="144"/>
      <c r="Q7" s="145"/>
      <c r="R7" s="150"/>
      <c r="S7" s="119"/>
      <c r="T7" s="151" t="str">
        <f>" "&amp;List!$B$6</f>
        <v xml:space="preserve"> Výběr SERVO-DRIVE</v>
      </c>
      <c r="U7" s="119"/>
    </row>
    <row r="8" spans="1:26" ht="13.5" customHeight="1" thickBot="1" x14ac:dyDescent="0.35">
      <c r="A8" s="119"/>
      <c r="B8" s="7"/>
      <c r="C8" s="121"/>
      <c r="D8" s="121"/>
      <c r="E8" s="121"/>
      <c r="F8" s="121"/>
      <c r="G8" s="121"/>
      <c r="H8" s="140" t="str">
        <f>List!$B$50&amp;" M"</f>
        <v>Vnitřní zásuvka M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19"/>
      <c r="T8" s="247" t="str">
        <f>" "&amp;List!$B$7</f>
        <v xml:space="preserve"> Výběr AMBIA-LINE</v>
      </c>
      <c r="U8" s="119"/>
    </row>
    <row r="9" spans="1:26" ht="14.25" customHeight="1" x14ac:dyDescent="0.35">
      <c r="A9" s="119"/>
      <c r="B9" s="144"/>
      <c r="C9" s="144"/>
      <c r="D9" s="144"/>
      <c r="E9" s="144"/>
      <c r="F9" s="146"/>
      <c r="G9" s="119"/>
      <c r="H9" s="119"/>
      <c r="I9" s="143"/>
      <c r="J9" s="143"/>
      <c r="K9" s="143"/>
      <c r="L9" s="149" t="str">
        <f>List!$B$50&amp;" M  "</f>
        <v xml:space="preserve">Vnitřní zásuvka M  </v>
      </c>
      <c r="M9" s="119"/>
      <c r="N9" s="119"/>
      <c r="O9" s="143"/>
      <c r="P9" s="143"/>
      <c r="Q9" s="143"/>
      <c r="R9" s="149"/>
      <c r="S9" s="119"/>
      <c r="T9" s="236" t="str">
        <f>" "&amp;List!$B$18</f>
        <v xml:space="preserve"> Souhrn</v>
      </c>
      <c r="U9" s="119"/>
    </row>
    <row r="10" spans="1:26" ht="13.5" customHeight="1" x14ac:dyDescent="0.3">
      <c r="A10" s="119"/>
      <c r="B10" s="144"/>
      <c r="C10" s="144"/>
      <c r="D10" s="144"/>
      <c r="E10" s="144"/>
      <c r="F10" s="146"/>
      <c r="G10" s="119"/>
      <c r="H10" s="144"/>
      <c r="I10" s="144"/>
      <c r="J10" s="144"/>
      <c r="K10" s="145" t="str">
        <f>List!$B$78&amp;":"</f>
        <v>označení:</v>
      </c>
      <c r="L10" s="160" t="s">
        <v>15</v>
      </c>
      <c r="M10" s="119"/>
      <c r="N10" s="144"/>
      <c r="O10" s="144"/>
      <c r="P10" s="144"/>
      <c r="Q10" s="145"/>
      <c r="R10" s="146"/>
      <c r="S10" s="119"/>
      <c r="U10" s="119"/>
    </row>
    <row r="11" spans="1:26" ht="13.5" customHeight="1" x14ac:dyDescent="0.25">
      <c r="A11" s="119"/>
      <c r="B11" s="144"/>
      <c r="C11" s="144"/>
      <c r="D11" s="144"/>
      <c r="E11" s="144"/>
      <c r="F11" s="146"/>
      <c r="G11" s="119"/>
      <c r="H11" s="144"/>
      <c r="I11" s="144"/>
      <c r="J11" s="144"/>
      <c r="K11" s="119"/>
      <c r="L11" s="512"/>
      <c r="M11" s="119"/>
      <c r="N11" s="144"/>
      <c r="O11" s="144"/>
      <c r="P11" s="144"/>
      <c r="Q11" s="119"/>
      <c r="R11" s="146"/>
      <c r="S11" s="119"/>
      <c r="U11" s="119"/>
    </row>
    <row r="12" spans="1:26" ht="13.5" customHeight="1" x14ac:dyDescent="0.25">
      <c r="A12" s="119"/>
      <c r="B12" s="144"/>
      <c r="C12" s="144"/>
      <c r="D12" s="144"/>
      <c r="E12" s="144"/>
      <c r="F12" s="146"/>
      <c r="G12" s="119"/>
      <c r="H12" s="144"/>
      <c r="I12" s="144"/>
      <c r="J12" s="144"/>
      <c r="K12" s="145" t="str">
        <f>List!$B$79&amp;":"</f>
        <v>bočnice:</v>
      </c>
      <c r="L12" s="147" t="s">
        <v>182</v>
      </c>
      <c r="M12" s="119"/>
      <c r="N12" s="144"/>
      <c r="O12" s="144"/>
      <c r="P12" s="144"/>
      <c r="Q12" s="145"/>
      <c r="R12" s="147"/>
      <c r="S12" s="119"/>
      <c r="U12" s="119"/>
    </row>
    <row r="13" spans="1:26" ht="13.5" customHeight="1" x14ac:dyDescent="0.25">
      <c r="A13" s="119"/>
      <c r="B13" s="144"/>
      <c r="C13" s="144"/>
      <c r="D13" s="144"/>
      <c r="E13" s="144"/>
      <c r="F13" s="146"/>
      <c r="G13" s="119"/>
      <c r="H13" s="144"/>
      <c r="I13" s="144"/>
      <c r="J13" s="144"/>
      <c r="K13" s="145" t="str">
        <f>List!$B$81&amp;":"</f>
        <v>potřebný prostor:</v>
      </c>
      <c r="L13" s="147" t="s">
        <v>476</v>
      </c>
      <c r="M13" s="119"/>
      <c r="N13" s="144"/>
      <c r="O13" s="144"/>
      <c r="P13" s="144"/>
      <c r="Q13" s="145"/>
      <c r="R13" s="147"/>
      <c r="S13" s="119"/>
      <c r="T13" s="155" t="str">
        <f>" "&amp;List!$B$16</f>
        <v xml:space="preserve"> Nápověda</v>
      </c>
      <c r="U13" s="119"/>
    </row>
    <row r="14" spans="1:26" ht="13.5" customHeight="1" x14ac:dyDescent="0.25">
      <c r="A14" s="119"/>
      <c r="B14" s="144"/>
      <c r="C14" s="144"/>
      <c r="D14" s="144"/>
      <c r="E14" s="144"/>
      <c r="F14" s="144"/>
      <c r="G14" s="119"/>
      <c r="H14" s="144"/>
      <c r="I14" s="144"/>
      <c r="J14" s="144"/>
      <c r="K14" s="145"/>
      <c r="L14" s="150"/>
      <c r="M14" s="119"/>
      <c r="N14" s="144"/>
      <c r="O14" s="144"/>
      <c r="P14" s="144"/>
      <c r="Q14" s="145"/>
      <c r="R14" s="150"/>
      <c r="S14" s="119"/>
      <c r="T14" s="256"/>
      <c r="U14" s="119"/>
    </row>
    <row r="15" spans="1:26" ht="30" customHeight="1" x14ac:dyDescent="0.3">
      <c r="A15" s="119"/>
      <c r="B15" s="140" t="str">
        <f>List!$B$58</f>
        <v>Čelní výsuvy</v>
      </c>
      <c r="C15" s="141"/>
      <c r="D15" s="141"/>
      <c r="E15" s="141"/>
      <c r="F15" s="141"/>
      <c r="G15" s="141"/>
      <c r="H15" s="140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19"/>
      <c r="T15" s="148"/>
      <c r="U15" s="119"/>
    </row>
    <row r="16" spans="1:26" ht="13.5" customHeight="1" x14ac:dyDescent="0.35">
      <c r="A16" s="119"/>
      <c r="B16" s="143"/>
      <c r="C16" s="143"/>
      <c r="D16" s="143"/>
      <c r="E16" s="143"/>
      <c r="F16" s="142" t="str">
        <f>List!$B$51&amp;" C "</f>
        <v xml:space="preserve">Čelní výsuv C </v>
      </c>
      <c r="G16" s="119"/>
      <c r="H16" s="143"/>
      <c r="I16" s="143"/>
      <c r="J16" s="143"/>
      <c r="K16" s="143"/>
      <c r="L16" s="142" t="str">
        <f>List!$B$51&amp;" C "</f>
        <v xml:space="preserve">Čelní výsuv C </v>
      </c>
      <c r="M16" s="119"/>
      <c r="N16" s="143"/>
      <c r="O16" s="143"/>
      <c r="P16" s="143"/>
      <c r="Q16" s="143"/>
      <c r="R16" s="142" t="str">
        <f>List!$B$51&amp;" F "</f>
        <v xml:space="preserve">Čelní výsuv F </v>
      </c>
      <c r="S16" s="144"/>
      <c r="T16" s="119"/>
      <c r="U16" s="143"/>
      <c r="V16" s="143"/>
      <c r="W16" s="473"/>
      <c r="X16" s="473"/>
      <c r="Y16" s="474"/>
      <c r="Z16" s="291"/>
    </row>
    <row r="17" spans="1:26" ht="15" customHeight="1" x14ac:dyDescent="0.3">
      <c r="A17" s="119"/>
      <c r="B17" s="144"/>
      <c r="C17" s="144"/>
      <c r="D17" s="144"/>
      <c r="E17" s="145" t="str">
        <f>List!$B$78&amp;":"</f>
        <v>označení:</v>
      </c>
      <c r="F17" s="614" t="s">
        <v>16</v>
      </c>
      <c r="G17" s="119"/>
      <c r="H17" s="144"/>
      <c r="I17" s="144"/>
      <c r="J17" s="144"/>
      <c r="K17" s="145" t="str">
        <f>List!$B$78&amp;":"</f>
        <v>označení:</v>
      </c>
      <c r="L17" s="613" t="s">
        <v>953</v>
      </c>
      <c r="M17" s="119"/>
      <c r="N17" s="144"/>
      <c r="O17" s="144"/>
      <c r="P17" s="144"/>
      <c r="Q17" s="145" t="str">
        <f>List!$B$78&amp;":"</f>
        <v>označení:</v>
      </c>
      <c r="R17" s="614" t="s">
        <v>17</v>
      </c>
      <c r="S17" s="119"/>
      <c r="T17" s="119"/>
      <c r="U17" s="144"/>
      <c r="V17" s="144"/>
      <c r="W17" s="179"/>
      <c r="X17" s="475"/>
      <c r="Y17" s="232"/>
      <c r="Z17" s="291"/>
    </row>
    <row r="18" spans="1:26" ht="13.5" customHeight="1" x14ac:dyDescent="0.25">
      <c r="A18" s="119"/>
      <c r="B18" s="144"/>
      <c r="C18" s="144"/>
      <c r="D18" s="144"/>
      <c r="E18" s="145" t="str">
        <f>List!$B$80&amp;":"</f>
        <v>provedení:</v>
      </c>
      <c r="F18" s="147" t="s">
        <v>951</v>
      </c>
      <c r="G18" s="119"/>
      <c r="H18" s="144"/>
      <c r="I18" s="144"/>
      <c r="J18" s="144"/>
      <c r="K18" s="145" t="str">
        <f>List!$B$80&amp;":"</f>
        <v>provedení:</v>
      </c>
      <c r="L18" s="147" t="s">
        <v>952</v>
      </c>
      <c r="M18" s="119"/>
      <c r="N18" s="144"/>
      <c r="O18" s="144"/>
      <c r="P18" s="144"/>
      <c r="Q18" s="119"/>
      <c r="R18" s="512"/>
      <c r="S18" s="119"/>
      <c r="T18" s="119"/>
      <c r="U18" s="144"/>
      <c r="V18" s="144"/>
      <c r="W18" s="179"/>
      <c r="X18" s="179"/>
      <c r="Y18" s="179"/>
      <c r="Z18" s="291"/>
    </row>
    <row r="19" spans="1:26" ht="13.5" customHeight="1" x14ac:dyDescent="0.25">
      <c r="A19" s="119"/>
      <c r="B19" s="144"/>
      <c r="C19" s="144"/>
      <c r="D19" s="144"/>
      <c r="E19" s="145" t="str">
        <f>List!$B$79&amp;":"</f>
        <v>bočnice:</v>
      </c>
      <c r="F19" s="147" t="s">
        <v>473</v>
      </c>
      <c r="G19" s="119"/>
      <c r="H19" s="144"/>
      <c r="I19" s="144"/>
      <c r="J19" s="144"/>
      <c r="K19" s="145" t="str">
        <f>List!$B$79&amp;":"</f>
        <v>bočnice:</v>
      </c>
      <c r="L19" s="147" t="s">
        <v>473</v>
      </c>
      <c r="M19" s="119"/>
      <c r="N19" s="144"/>
      <c r="O19" s="144"/>
      <c r="P19" s="144"/>
      <c r="Q19" s="145" t="str">
        <f>List!$B$79&amp;":"</f>
        <v>bočnice:</v>
      </c>
      <c r="R19" s="147" t="s">
        <v>474</v>
      </c>
      <c r="S19" s="119"/>
      <c r="T19" s="119"/>
      <c r="U19" s="144"/>
      <c r="V19" s="144"/>
      <c r="W19" s="179"/>
      <c r="X19" s="475"/>
      <c r="Y19" s="292"/>
      <c r="Z19" s="291"/>
    </row>
    <row r="20" spans="1:26" ht="13.5" customHeight="1" x14ac:dyDescent="0.25">
      <c r="A20" s="119"/>
      <c r="B20" s="144"/>
      <c r="C20" s="144"/>
      <c r="D20" s="144"/>
      <c r="E20" s="145" t="str">
        <f>List!$B$81&amp;":"</f>
        <v>potřebný prostor:</v>
      </c>
      <c r="F20" s="147" t="s">
        <v>477</v>
      </c>
      <c r="G20" s="119"/>
      <c r="H20" s="144"/>
      <c r="I20" s="144"/>
      <c r="J20" s="144"/>
      <c r="K20" s="145" t="str">
        <f>List!$B$81&amp;":"</f>
        <v>potřebný prostor:</v>
      </c>
      <c r="L20" s="147" t="s">
        <v>477</v>
      </c>
      <c r="M20" s="119"/>
      <c r="N20" s="144"/>
      <c r="O20" s="144"/>
      <c r="P20" s="144"/>
      <c r="Q20" s="145" t="str">
        <f>List!$B$81&amp;":"</f>
        <v>potřebný prostor:</v>
      </c>
      <c r="R20" s="147" t="s">
        <v>479</v>
      </c>
      <c r="S20" s="119"/>
      <c r="T20" s="119"/>
      <c r="U20" s="144"/>
      <c r="V20" s="144"/>
      <c r="W20" s="179"/>
      <c r="X20" s="475"/>
      <c r="Y20" s="292"/>
      <c r="Z20" s="291"/>
    </row>
    <row r="21" spans="1:26" ht="15" customHeight="1" x14ac:dyDescent="0.25">
      <c r="A21" s="119"/>
      <c r="B21" s="144"/>
      <c r="C21" s="144"/>
      <c r="D21" s="144"/>
      <c r="E21" s="145"/>
      <c r="F21" s="150"/>
      <c r="G21" s="119"/>
      <c r="H21" s="144"/>
      <c r="I21" s="144"/>
      <c r="J21" s="144"/>
      <c r="K21" s="145"/>
      <c r="L21" s="150"/>
      <c r="M21" s="119"/>
      <c r="N21" s="144"/>
      <c r="O21" s="144"/>
      <c r="P21" s="144"/>
      <c r="Q21" s="145"/>
      <c r="R21" s="150"/>
      <c r="S21" s="119"/>
      <c r="T21" s="119"/>
      <c r="U21" s="144"/>
      <c r="V21" s="144"/>
      <c r="W21" s="179"/>
      <c r="X21" s="475"/>
      <c r="Y21" s="292"/>
      <c r="Z21" s="291"/>
    </row>
    <row r="22" spans="1:26" ht="22.5" customHeight="1" x14ac:dyDescent="0.3">
      <c r="A22" s="119"/>
      <c r="B22" s="140" t="str">
        <f>List!$B$59&amp;" C "</f>
        <v xml:space="preserve">Vnitřní výsuvy C 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19"/>
      <c r="T22" s="119"/>
      <c r="U22" s="119"/>
      <c r="W22" s="291"/>
      <c r="X22" s="291"/>
      <c r="Y22" s="291"/>
      <c r="Z22" s="291"/>
    </row>
    <row r="23" spans="1:26" ht="13.5" customHeight="1" x14ac:dyDescent="0.35">
      <c r="A23" s="119"/>
      <c r="B23" s="143"/>
      <c r="C23" s="143"/>
      <c r="D23" s="143"/>
      <c r="E23" s="143"/>
      <c r="F23" s="142" t="str">
        <f>List!$B$68&amp;" "&amp;List!$B$66&amp;"  "</f>
        <v xml:space="preserve">vysoký přední zásuvný prvek  </v>
      </c>
      <c r="G23" s="119"/>
      <c r="H23" s="143"/>
      <c r="I23" s="143"/>
      <c r="J23" s="143"/>
      <c r="K23" s="143"/>
      <c r="L23" s="142" t="str">
        <f>List!$B$69&amp;" "&amp;List!$B$66&amp;"  "</f>
        <v xml:space="preserve">nízký přední zásuvný prvek  </v>
      </c>
      <c r="M23" s="119"/>
      <c r="N23" s="143"/>
      <c r="O23" s="143"/>
      <c r="P23" s="143"/>
      <c r="Q23" s="143"/>
      <c r="R23" s="142" t="str">
        <f>List!$B$71&amp;"  "</f>
        <v xml:space="preserve">přední reling  </v>
      </c>
      <c r="S23" s="144"/>
      <c r="T23" s="119"/>
      <c r="U23" s="119"/>
    </row>
    <row r="24" spans="1:26" ht="13.5" customHeight="1" x14ac:dyDescent="0.3">
      <c r="A24" s="119"/>
      <c r="B24" s="144"/>
      <c r="C24" s="144"/>
      <c r="D24" s="144"/>
      <c r="E24" s="145" t="str">
        <f>List!$B$78&amp;":"</f>
        <v>označení:</v>
      </c>
      <c r="F24" s="160" t="s">
        <v>18</v>
      </c>
      <c r="G24" s="119"/>
      <c r="H24" s="144"/>
      <c r="I24" s="144"/>
      <c r="J24" s="144"/>
      <c r="K24" s="145" t="str">
        <f>List!$B$78&amp;":"</f>
        <v>označení:</v>
      </c>
      <c r="L24" s="160" t="s">
        <v>19</v>
      </c>
      <c r="M24" s="119"/>
      <c r="N24" s="144"/>
      <c r="O24" s="144"/>
      <c r="P24" s="144"/>
      <c r="Q24" s="145" t="str">
        <f>List!$B$78&amp;":"</f>
        <v>označení:</v>
      </c>
      <c r="R24" s="160" t="s">
        <v>20</v>
      </c>
      <c r="S24" s="119"/>
      <c r="T24" s="144"/>
      <c r="U24" s="119"/>
    </row>
    <row r="25" spans="1:26" ht="13.5" customHeight="1" x14ac:dyDescent="0.25">
      <c r="A25" s="119"/>
      <c r="B25" s="144"/>
      <c r="C25" s="144"/>
      <c r="D25" s="144"/>
      <c r="E25" s="145" t="str">
        <f>List!$B$80&amp;":"</f>
        <v>provedení:</v>
      </c>
      <c r="F25" s="147" t="s">
        <v>951</v>
      </c>
      <c r="G25" s="119"/>
      <c r="H25" s="144"/>
      <c r="I25" s="144"/>
      <c r="J25" s="144"/>
      <c r="K25" s="145" t="str">
        <f>List!$B$80&amp;":"</f>
        <v>provedení:</v>
      </c>
      <c r="L25" s="147" t="s">
        <v>951</v>
      </c>
      <c r="M25" s="119"/>
      <c r="N25" s="144"/>
      <c r="O25" s="144"/>
      <c r="P25" s="144"/>
      <c r="Q25" s="145" t="str">
        <f>List!$B$80&amp;":"</f>
        <v>provedení:</v>
      </c>
      <c r="R25" s="147" t="s">
        <v>951</v>
      </c>
      <c r="S25" s="119"/>
      <c r="T25" s="119"/>
      <c r="U25" s="119"/>
    </row>
    <row r="26" spans="1:26" ht="13.5" customHeight="1" x14ac:dyDescent="0.25">
      <c r="A26" s="119"/>
      <c r="B26" s="144"/>
      <c r="C26" s="144"/>
      <c r="D26" s="144"/>
      <c r="E26" s="145" t="str">
        <f>List!$B$79&amp;":"</f>
        <v>bočnice:</v>
      </c>
      <c r="F26" s="147" t="s">
        <v>473</v>
      </c>
      <c r="G26" s="119"/>
      <c r="H26" s="144"/>
      <c r="I26" s="144"/>
      <c r="J26" s="144"/>
      <c r="K26" s="145" t="str">
        <f>List!$B$79&amp;":"</f>
        <v>bočnice:</v>
      </c>
      <c r="L26" s="147" t="s">
        <v>473</v>
      </c>
      <c r="M26" s="119"/>
      <c r="N26" s="144"/>
      <c r="O26" s="144"/>
      <c r="P26" s="144"/>
      <c r="Q26" s="145" t="str">
        <f>List!$B$79&amp;":"</f>
        <v>bočnice:</v>
      </c>
      <c r="R26" s="147" t="s">
        <v>473</v>
      </c>
      <c r="S26" s="119"/>
      <c r="T26" s="119"/>
      <c r="U26" s="119"/>
    </row>
    <row r="27" spans="1:26" ht="13.5" customHeight="1" x14ac:dyDescent="0.25">
      <c r="A27" s="119"/>
      <c r="B27" s="144"/>
      <c r="C27" s="144"/>
      <c r="D27" s="144"/>
      <c r="E27" s="145" t="str">
        <f>List!$B$81&amp;":"</f>
        <v>potřebný prostor:</v>
      </c>
      <c r="F27" s="147" t="s">
        <v>478</v>
      </c>
      <c r="G27" s="119"/>
      <c r="H27" s="144"/>
      <c r="I27" s="144"/>
      <c r="J27" s="144"/>
      <c r="K27" s="145" t="str">
        <f>List!$B$81&amp;":"</f>
        <v>potřebný prostor:</v>
      </c>
      <c r="L27" s="147" t="s">
        <v>478</v>
      </c>
      <c r="M27" s="119"/>
      <c r="N27" s="144"/>
      <c r="O27" s="144"/>
      <c r="P27" s="144"/>
      <c r="Q27" s="145" t="str">
        <f>List!$B$81&amp;":"</f>
        <v>potřebný prostor:</v>
      </c>
      <c r="R27" s="147" t="s">
        <v>478</v>
      </c>
      <c r="S27" s="119"/>
      <c r="T27" s="119"/>
      <c r="U27" s="119"/>
    </row>
    <row r="28" spans="1:26" ht="13.5" customHeight="1" x14ac:dyDescent="0.25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</row>
    <row r="29" spans="1:26" ht="13.5" customHeight="1" x14ac:dyDescent="0.25">
      <c r="A29" s="119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19"/>
      <c r="U29" s="119"/>
    </row>
    <row r="30" spans="1:26" ht="22.5" customHeight="1" x14ac:dyDescent="0.3">
      <c r="A30" s="119"/>
      <c r="B30" s="14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19"/>
      <c r="T30" s="119"/>
      <c r="U30" s="119"/>
      <c r="W30" s="291"/>
      <c r="X30" s="291"/>
      <c r="Y30" s="291"/>
      <c r="Z30" s="291"/>
    </row>
    <row r="31" spans="1:26" ht="13.5" customHeight="1" x14ac:dyDescent="0.35">
      <c r="A31" s="119"/>
      <c r="B31" s="143"/>
      <c r="C31" s="143"/>
      <c r="D31" s="143"/>
      <c r="E31" s="143"/>
      <c r="F31" s="142" t="str">
        <f>List!$B$68&amp;" "&amp;List!$B$66&amp;"  "</f>
        <v xml:space="preserve">vysoký přední zásuvný prvek  </v>
      </c>
      <c r="G31" s="119"/>
      <c r="H31" s="143"/>
      <c r="I31" s="143"/>
      <c r="J31" s="143"/>
      <c r="K31" s="143"/>
      <c r="L31" s="142" t="str">
        <f>List!$B$69&amp;" "&amp;List!$B$66&amp;"  "</f>
        <v xml:space="preserve">nízký přední zásuvný prvek  </v>
      </c>
      <c r="M31" s="119"/>
      <c r="N31" s="143"/>
      <c r="O31" s="143"/>
      <c r="P31" s="143"/>
      <c r="Q31" s="143"/>
      <c r="R31" s="142" t="str">
        <f>List!$B$71&amp;"  "</f>
        <v xml:space="preserve">přední reling  </v>
      </c>
      <c r="S31" s="144"/>
      <c r="T31" s="119"/>
      <c r="U31" s="119"/>
    </row>
    <row r="32" spans="1:26" ht="13.5" customHeight="1" x14ac:dyDescent="0.25">
      <c r="A32" s="119"/>
      <c r="B32" s="144"/>
      <c r="C32" s="144"/>
      <c r="D32" s="144"/>
      <c r="E32" s="145" t="str">
        <f>List!$B$78&amp;":"</f>
        <v>označení:</v>
      </c>
      <c r="F32" s="613" t="s">
        <v>955</v>
      </c>
      <c r="G32" s="119"/>
      <c r="H32" s="144"/>
      <c r="I32" s="144"/>
      <c r="J32" s="144"/>
      <c r="K32" s="145" t="str">
        <f>List!$B$78&amp;":"</f>
        <v>označení:</v>
      </c>
      <c r="L32" s="613" t="s">
        <v>956</v>
      </c>
      <c r="M32" s="119"/>
      <c r="N32" s="144"/>
      <c r="O32" s="144"/>
      <c r="P32" s="144"/>
      <c r="Q32" s="145" t="str">
        <f>List!$B$78&amp;":"</f>
        <v>označení:</v>
      </c>
      <c r="R32" s="613" t="s">
        <v>957</v>
      </c>
      <c r="S32" s="119"/>
      <c r="T32" s="144"/>
      <c r="U32" s="119"/>
    </row>
    <row r="33" spans="1:32" ht="13.5" customHeight="1" x14ac:dyDescent="0.25">
      <c r="A33" s="119"/>
      <c r="B33" s="144"/>
      <c r="C33" s="144"/>
      <c r="D33" s="144"/>
      <c r="E33" s="145" t="str">
        <f>List!$B$80&amp;":"</f>
        <v>provedení:</v>
      </c>
      <c r="F33" s="147" t="s">
        <v>952</v>
      </c>
      <c r="G33" s="119"/>
      <c r="H33" s="144"/>
      <c r="I33" s="144"/>
      <c r="J33" s="144"/>
      <c r="K33" s="145" t="str">
        <f>List!$B$80&amp;":"</f>
        <v>provedení:</v>
      </c>
      <c r="L33" s="147" t="s">
        <v>952</v>
      </c>
      <c r="M33" s="119"/>
      <c r="N33" s="144"/>
      <c r="O33" s="144"/>
      <c r="P33" s="144"/>
      <c r="Q33" s="145" t="str">
        <f>List!$B$80&amp;":"</f>
        <v>provedení:</v>
      </c>
      <c r="R33" s="147" t="s">
        <v>952</v>
      </c>
      <c r="S33" s="119"/>
      <c r="T33" s="119"/>
      <c r="U33" s="119"/>
    </row>
    <row r="34" spans="1:32" ht="13.5" customHeight="1" x14ac:dyDescent="0.25">
      <c r="A34" s="119"/>
      <c r="B34" s="144"/>
      <c r="C34" s="144"/>
      <c r="D34" s="144"/>
      <c r="E34" s="145" t="str">
        <f>List!$B$79&amp;":"</f>
        <v>bočnice:</v>
      </c>
      <c r="F34" s="147" t="s">
        <v>473</v>
      </c>
      <c r="G34" s="119"/>
      <c r="H34" s="144"/>
      <c r="I34" s="144"/>
      <c r="J34" s="144"/>
      <c r="K34" s="145" t="str">
        <f>List!$B$79&amp;":"</f>
        <v>bočnice:</v>
      </c>
      <c r="L34" s="147" t="s">
        <v>473</v>
      </c>
      <c r="M34" s="119"/>
      <c r="N34" s="144"/>
      <c r="O34" s="144"/>
      <c r="P34" s="144"/>
      <c r="Q34" s="145" t="str">
        <f>List!$B$79&amp;":"</f>
        <v>bočnice:</v>
      </c>
      <c r="R34" s="147" t="s">
        <v>473</v>
      </c>
      <c r="S34" s="119"/>
      <c r="T34" s="119"/>
      <c r="U34" s="119"/>
    </row>
    <row r="35" spans="1:32" ht="13.5" customHeight="1" x14ac:dyDescent="0.25">
      <c r="A35" s="119"/>
      <c r="B35" s="144"/>
      <c r="C35" s="144"/>
      <c r="D35" s="144"/>
      <c r="E35" s="145" t="str">
        <f>List!$B$81&amp;":"</f>
        <v>potřebný prostor:</v>
      </c>
      <c r="F35" s="147" t="s">
        <v>478</v>
      </c>
      <c r="G35" s="119"/>
      <c r="H35" s="144"/>
      <c r="I35" s="144"/>
      <c r="J35" s="144"/>
      <c r="K35" s="145" t="str">
        <f>List!$B$81&amp;":"</f>
        <v>potřebný prostor:</v>
      </c>
      <c r="L35" s="147" t="s">
        <v>478</v>
      </c>
      <c r="M35" s="119"/>
      <c r="N35" s="144"/>
      <c r="O35" s="144"/>
      <c r="P35" s="144"/>
      <c r="Q35" s="145" t="str">
        <f>List!$B$81&amp;":"</f>
        <v>potřebný prostor:</v>
      </c>
      <c r="R35" s="147" t="s">
        <v>478</v>
      </c>
      <c r="S35" s="119"/>
      <c r="T35" s="119"/>
      <c r="U35" s="119"/>
    </row>
    <row r="36" spans="1:32" ht="13.5" customHeight="1" x14ac:dyDescent="0.25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</row>
    <row r="37" spans="1:32" ht="13.5" customHeight="1" x14ac:dyDescent="0.25">
      <c r="A37" s="119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19"/>
      <c r="U37" s="119"/>
    </row>
    <row r="38" spans="1:32" ht="30" customHeight="1" x14ac:dyDescent="0.3">
      <c r="A38" s="119"/>
      <c r="B38" s="140" t="str">
        <f>List!$B$60</f>
        <v>Dřezové zásuvky a výsuvy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40"/>
      <c r="O38" s="121"/>
      <c r="P38" s="121"/>
      <c r="Q38" s="121"/>
      <c r="R38" s="121"/>
      <c r="S38" s="119"/>
      <c r="T38" s="119"/>
      <c r="U38" s="119"/>
    </row>
    <row r="39" spans="1:32" ht="13.5" customHeight="1" x14ac:dyDescent="0.35">
      <c r="A39" s="119"/>
      <c r="B39" s="143"/>
      <c r="C39" s="143"/>
      <c r="D39" s="143"/>
      <c r="E39" s="143"/>
      <c r="F39" s="142" t="str">
        <f>List!$B$54&amp;" C "</f>
        <v xml:space="preserve">Dřezový výsuv C </v>
      </c>
      <c r="G39" s="119"/>
      <c r="H39" s="143"/>
      <c r="I39" s="143"/>
      <c r="J39" s="143"/>
      <c r="K39" s="143"/>
      <c r="L39" s="142" t="str">
        <f>List!$B$54&amp;" C "</f>
        <v xml:space="preserve">Dřezový výsuv C </v>
      </c>
      <c r="M39" s="119"/>
      <c r="N39" s="143"/>
      <c r="O39" s="143"/>
      <c r="P39" s="143"/>
      <c r="Q39" s="143"/>
      <c r="R39" s="142" t="str">
        <f>List!$B$53&amp;" M"</f>
        <v>Dřezová zásuvka M</v>
      </c>
      <c r="S39" s="119"/>
      <c r="T39" s="119"/>
      <c r="U39" s="179"/>
      <c r="V39" s="473"/>
      <c r="W39" s="473"/>
      <c r="X39" s="473"/>
      <c r="Y39" s="473"/>
      <c r="Z39" s="474"/>
      <c r="AA39" s="179"/>
      <c r="AB39" s="473"/>
      <c r="AC39" s="473"/>
      <c r="AD39" s="473"/>
      <c r="AE39" s="473"/>
      <c r="AF39" s="474"/>
    </row>
    <row r="40" spans="1:32" ht="13.5" customHeight="1" x14ac:dyDescent="0.3">
      <c r="A40" s="119"/>
      <c r="B40" s="144"/>
      <c r="C40" s="144"/>
      <c r="D40" s="144"/>
      <c r="E40" s="145" t="str">
        <f>List!$B$78&amp;":"</f>
        <v>označení:</v>
      </c>
      <c r="F40" s="160" t="s">
        <v>21</v>
      </c>
      <c r="G40" s="119"/>
      <c r="H40" s="144"/>
      <c r="I40" s="144"/>
      <c r="J40" s="144"/>
      <c r="K40" s="145" t="str">
        <f>List!$B$78&amp;":"</f>
        <v>označení:</v>
      </c>
      <c r="L40" s="613" t="s">
        <v>954</v>
      </c>
      <c r="M40" s="119"/>
      <c r="N40" s="144"/>
      <c r="O40" s="144"/>
      <c r="P40" s="144"/>
      <c r="Q40" s="145" t="str">
        <f>List!$B$78&amp;":"</f>
        <v>označení:</v>
      </c>
      <c r="R40" s="160" t="s">
        <v>3</v>
      </c>
      <c r="S40" s="119"/>
      <c r="T40" s="119"/>
      <c r="U40" s="179"/>
      <c r="V40" s="179"/>
      <c r="W40" s="179"/>
      <c r="X40" s="179"/>
      <c r="Y40" s="475"/>
      <c r="Z40" s="232"/>
      <c r="AA40" s="179"/>
      <c r="AB40" s="179"/>
      <c r="AC40" s="179"/>
      <c r="AD40" s="179"/>
      <c r="AE40" s="475"/>
      <c r="AF40" s="568"/>
    </row>
    <row r="41" spans="1:32" ht="13.5" customHeight="1" x14ac:dyDescent="0.25">
      <c r="A41" s="119"/>
      <c r="B41" s="144"/>
      <c r="C41" s="144"/>
      <c r="D41" s="144"/>
      <c r="E41" s="145" t="str">
        <f>List!$B$80&amp;":"</f>
        <v>provedení:</v>
      </c>
      <c r="F41" s="147" t="s">
        <v>951</v>
      </c>
      <c r="G41" s="119"/>
      <c r="H41" s="144"/>
      <c r="I41" s="144"/>
      <c r="J41" s="144"/>
      <c r="K41" s="145" t="str">
        <f>List!$B$80&amp;":"</f>
        <v>provedení:</v>
      </c>
      <c r="L41" s="147" t="s">
        <v>952</v>
      </c>
      <c r="M41" s="119"/>
      <c r="N41" s="144"/>
      <c r="O41" s="144"/>
      <c r="P41" s="144"/>
      <c r="Q41" s="119"/>
      <c r="R41" s="146"/>
      <c r="S41" s="119"/>
      <c r="T41" s="119"/>
      <c r="U41" s="179"/>
      <c r="V41" s="179"/>
      <c r="W41" s="179"/>
      <c r="X41" s="179"/>
      <c r="Y41" s="475"/>
      <c r="Z41" s="292"/>
      <c r="AA41" s="179"/>
      <c r="AB41" s="179"/>
      <c r="AC41" s="179"/>
      <c r="AD41" s="179"/>
      <c r="AE41" s="475"/>
      <c r="AF41" s="292"/>
    </row>
    <row r="42" spans="1:32" ht="13.5" customHeight="1" x14ac:dyDescent="0.25">
      <c r="A42" s="119"/>
      <c r="B42" s="144"/>
      <c r="C42" s="144"/>
      <c r="D42" s="144"/>
      <c r="E42" s="145" t="str">
        <f>List!$B$79&amp;":"</f>
        <v>bočnice:</v>
      </c>
      <c r="F42" s="147" t="s">
        <v>473</v>
      </c>
      <c r="G42" s="119"/>
      <c r="H42" s="144"/>
      <c r="I42" s="144"/>
      <c r="J42" s="144"/>
      <c r="K42" s="145" t="str">
        <f>List!$B$79&amp;":"</f>
        <v>bočnice:</v>
      </c>
      <c r="L42" s="147" t="s">
        <v>943</v>
      </c>
      <c r="M42" s="119"/>
      <c r="N42" s="144"/>
      <c r="O42" s="144"/>
      <c r="P42" s="144"/>
      <c r="Q42" s="145" t="str">
        <f>List!$B$79&amp;":"</f>
        <v>bočnice:</v>
      </c>
      <c r="R42" s="147" t="s">
        <v>182</v>
      </c>
      <c r="S42" s="119"/>
      <c r="T42" s="119"/>
      <c r="U42" s="179"/>
      <c r="V42" s="179"/>
      <c r="W42" s="179"/>
      <c r="X42" s="179"/>
      <c r="Y42" s="475"/>
      <c r="Z42" s="292"/>
      <c r="AA42" s="179"/>
      <c r="AB42" s="179"/>
      <c r="AC42" s="179"/>
      <c r="AD42" s="179"/>
      <c r="AE42" s="475"/>
      <c r="AF42" s="292"/>
    </row>
    <row r="43" spans="1:32" ht="13.5" customHeight="1" x14ac:dyDescent="0.25">
      <c r="A43" s="119"/>
      <c r="B43" s="144"/>
      <c r="C43" s="144"/>
      <c r="D43" s="144"/>
      <c r="E43" s="145" t="str">
        <f>List!$B$81&amp;":"</f>
        <v>potřebný prostor:</v>
      </c>
      <c r="F43" s="147" t="s">
        <v>477</v>
      </c>
      <c r="G43" s="119"/>
      <c r="H43" s="144"/>
      <c r="I43" s="144"/>
      <c r="J43" s="144"/>
      <c r="K43" s="145" t="str">
        <f>List!$B$81&amp;":"</f>
        <v>potřebný prostor:</v>
      </c>
      <c r="L43" s="147" t="s">
        <v>477</v>
      </c>
      <c r="M43" s="119"/>
      <c r="N43" s="144"/>
      <c r="O43" s="144"/>
      <c r="P43" s="144"/>
      <c r="Q43" s="145" t="str">
        <f>List!$B$81&amp;":"</f>
        <v>potřebný prostor:</v>
      </c>
      <c r="R43" s="147" t="s">
        <v>192</v>
      </c>
      <c r="S43" s="119"/>
      <c r="T43" s="119"/>
      <c r="U43" s="179"/>
      <c r="V43" s="179"/>
      <c r="W43" s="179"/>
      <c r="X43" s="179"/>
      <c r="Y43" s="475"/>
      <c r="Z43" s="292"/>
      <c r="AA43" s="179"/>
      <c r="AB43" s="179"/>
      <c r="AC43" s="179"/>
      <c r="AD43" s="179"/>
      <c r="AE43" s="475"/>
      <c r="AF43" s="292"/>
    </row>
    <row r="44" spans="1:32" ht="13.5" customHeight="1" x14ac:dyDescent="0.25">
      <c r="A44" s="119"/>
      <c r="B44" s="144"/>
      <c r="C44" s="144"/>
      <c r="D44" s="144"/>
      <c r="E44" s="145"/>
      <c r="F44" s="150"/>
      <c r="G44" s="119"/>
      <c r="H44" s="144"/>
      <c r="I44" s="144"/>
      <c r="J44" s="144"/>
      <c r="K44" s="145"/>
      <c r="L44" s="150"/>
      <c r="M44" s="119"/>
      <c r="N44" s="144"/>
      <c r="O44" s="144"/>
      <c r="P44" s="144"/>
      <c r="Q44" s="145"/>
      <c r="R44" s="150"/>
      <c r="S44" s="119"/>
      <c r="T44" s="119"/>
      <c r="U44" s="179"/>
      <c r="V44" s="179"/>
      <c r="W44" s="179"/>
      <c r="X44" s="179"/>
      <c r="Y44" s="475"/>
      <c r="Z44" s="292"/>
      <c r="AA44" s="179"/>
      <c r="AB44" s="179"/>
      <c r="AC44" s="179"/>
      <c r="AD44" s="179"/>
      <c r="AE44" s="475"/>
      <c r="AF44" s="292"/>
    </row>
    <row r="45" spans="1:32" ht="13.5" customHeight="1" x14ac:dyDescent="0.25">
      <c r="A45" s="119"/>
      <c r="B45" s="144"/>
      <c r="C45" s="144"/>
      <c r="D45" s="144"/>
      <c r="E45" s="145"/>
      <c r="F45" s="150"/>
      <c r="G45" s="119"/>
      <c r="H45" s="144"/>
      <c r="I45" s="144"/>
      <c r="J45" s="144"/>
      <c r="K45" s="145"/>
      <c r="L45" s="150"/>
      <c r="M45" s="119"/>
      <c r="N45" s="144"/>
      <c r="O45" s="144"/>
      <c r="P45" s="144"/>
      <c r="Q45" s="145"/>
      <c r="R45" s="150"/>
      <c r="S45" s="119"/>
      <c r="T45" s="119"/>
      <c r="U45" s="119"/>
      <c r="V45" s="144"/>
      <c r="W45" s="144"/>
      <c r="X45" s="144"/>
      <c r="Y45" s="145"/>
      <c r="Z45" s="150"/>
      <c r="AA45" s="119"/>
      <c r="AB45" s="144"/>
      <c r="AC45" s="144"/>
      <c r="AD45" s="144"/>
      <c r="AE45" s="145"/>
      <c r="AF45" s="150"/>
    </row>
    <row r="46" spans="1:32" ht="13.5" customHeight="1" x14ac:dyDescent="0.35">
      <c r="A46" s="119"/>
      <c r="B46" s="618"/>
      <c r="C46" s="618"/>
      <c r="D46" s="618"/>
      <c r="E46" s="618"/>
      <c r="F46" s="617" t="str">
        <f>List!$B$54&amp;" C/M "</f>
        <v xml:space="preserve">Dřezový výsuv C/M </v>
      </c>
      <c r="G46" s="178"/>
      <c r="H46" s="618"/>
      <c r="I46" s="618"/>
      <c r="J46" s="618"/>
      <c r="K46" s="618"/>
      <c r="L46" s="617" t="str">
        <f>List!$B$54&amp;" C/M "</f>
        <v xml:space="preserve">Dřezový výsuv C/M </v>
      </c>
      <c r="M46" s="119"/>
      <c r="N46" s="143"/>
      <c r="O46" s="143"/>
      <c r="P46" s="143"/>
      <c r="Q46" s="143"/>
      <c r="R46" s="143"/>
      <c r="S46" s="143"/>
      <c r="T46" s="119"/>
      <c r="U46" s="179"/>
      <c r="V46" s="473"/>
      <c r="W46" s="473"/>
      <c r="X46" s="473"/>
      <c r="Y46" s="473"/>
      <c r="Z46" s="474"/>
      <c r="AA46" s="179"/>
      <c r="AB46" s="473"/>
      <c r="AC46" s="473"/>
      <c r="AD46" s="473"/>
      <c r="AE46" s="473"/>
      <c r="AF46" s="474"/>
    </row>
    <row r="47" spans="1:32" ht="13.5" customHeight="1" x14ac:dyDescent="0.3">
      <c r="A47" s="119"/>
      <c r="B47" s="144"/>
      <c r="C47" s="144"/>
      <c r="D47" s="144"/>
      <c r="E47" s="145" t="str">
        <f>List!$B$78&amp;":"</f>
        <v>označení:</v>
      </c>
      <c r="F47" s="160" t="s">
        <v>958</v>
      </c>
      <c r="G47" s="119"/>
      <c r="H47" s="144"/>
      <c r="I47" s="144"/>
      <c r="J47" s="144"/>
      <c r="K47" s="145" t="str">
        <f>List!$B$78&amp;":"</f>
        <v>označení:</v>
      </c>
      <c r="L47" s="613" t="s">
        <v>959</v>
      </c>
      <c r="M47" s="119"/>
      <c r="N47" s="144"/>
      <c r="O47" s="144"/>
      <c r="P47" s="144"/>
      <c r="Q47" s="145"/>
      <c r="R47" s="145"/>
      <c r="S47" s="145"/>
      <c r="T47" s="119"/>
      <c r="U47" s="179"/>
      <c r="V47" s="179"/>
      <c r="W47" s="179"/>
      <c r="X47" s="179"/>
      <c r="Y47" s="475"/>
      <c r="Z47" s="232"/>
      <c r="AA47" s="179"/>
      <c r="AB47" s="179"/>
      <c r="AC47" s="179"/>
      <c r="AD47" s="179"/>
      <c r="AE47" s="475"/>
      <c r="AF47" s="568"/>
    </row>
    <row r="48" spans="1:32" ht="13.5" customHeight="1" x14ac:dyDescent="0.25">
      <c r="A48" s="119"/>
      <c r="B48" s="144"/>
      <c r="C48" s="144"/>
      <c r="D48" s="144"/>
      <c r="E48" s="145" t="str">
        <f>List!$B$80&amp;":"</f>
        <v>provedení:</v>
      </c>
      <c r="F48" s="147" t="s">
        <v>951</v>
      </c>
      <c r="G48" s="119"/>
      <c r="H48" s="144"/>
      <c r="I48" s="144"/>
      <c r="J48" s="144"/>
      <c r="K48" s="145" t="str">
        <f>List!$B$80&amp;":"</f>
        <v>provedení:</v>
      </c>
      <c r="L48" s="147" t="s">
        <v>952</v>
      </c>
      <c r="M48" s="119"/>
      <c r="N48" s="144"/>
      <c r="O48" s="144"/>
      <c r="P48" s="144"/>
      <c r="Q48" s="119"/>
      <c r="R48" s="119"/>
      <c r="S48" s="119"/>
      <c r="T48" s="119"/>
      <c r="U48" s="179"/>
      <c r="V48" s="179"/>
      <c r="W48" s="179"/>
      <c r="X48" s="179"/>
      <c r="Y48" s="475"/>
      <c r="Z48" s="292"/>
      <c r="AA48" s="179"/>
      <c r="AB48" s="179"/>
      <c r="AC48" s="179"/>
      <c r="AD48" s="179"/>
      <c r="AE48" s="475"/>
      <c r="AF48" s="292"/>
    </row>
    <row r="49" spans="1:32" ht="13.5" customHeight="1" x14ac:dyDescent="0.25">
      <c r="A49" s="119"/>
      <c r="B49" s="144"/>
      <c r="C49" s="144"/>
      <c r="D49" s="144"/>
      <c r="E49" s="145" t="str">
        <f>List!$B$79&amp;":"</f>
        <v>bočnice:</v>
      </c>
      <c r="F49" s="147" t="s">
        <v>473</v>
      </c>
      <c r="G49" s="119"/>
      <c r="H49" s="144"/>
      <c r="I49" s="144"/>
      <c r="J49" s="144"/>
      <c r="K49" s="145" t="str">
        <f>List!$B$79&amp;":"</f>
        <v>bočnice:</v>
      </c>
      <c r="L49" s="147" t="s">
        <v>943</v>
      </c>
      <c r="M49" s="119"/>
      <c r="N49" s="144"/>
      <c r="O49" s="144"/>
      <c r="P49" s="144"/>
      <c r="Q49" s="145"/>
      <c r="R49" s="145"/>
      <c r="S49" s="145"/>
      <c r="T49" s="119"/>
      <c r="U49" s="179"/>
      <c r="V49" s="179"/>
      <c r="W49" s="179"/>
      <c r="X49" s="179"/>
      <c r="Y49" s="475"/>
      <c r="Z49" s="292"/>
      <c r="AA49" s="179"/>
      <c r="AB49" s="179"/>
      <c r="AC49" s="179"/>
      <c r="AD49" s="179"/>
      <c r="AE49" s="475"/>
      <c r="AF49" s="292"/>
    </row>
    <row r="50" spans="1:32" ht="13.5" customHeight="1" x14ac:dyDescent="0.25">
      <c r="A50" s="119"/>
      <c r="B50" s="144"/>
      <c r="C50" s="144"/>
      <c r="D50" s="144"/>
      <c r="E50" s="145" t="str">
        <f>List!$B$81&amp;":"</f>
        <v>potřebný prostor:</v>
      </c>
      <c r="F50" s="147" t="s">
        <v>477</v>
      </c>
      <c r="G50" s="119"/>
      <c r="H50" s="144"/>
      <c r="I50" s="144"/>
      <c r="J50" s="144"/>
      <c r="K50" s="145" t="str">
        <f>List!$B$81&amp;":"</f>
        <v>potřebný prostor:</v>
      </c>
      <c r="L50" s="147" t="s">
        <v>477</v>
      </c>
      <c r="M50" s="119"/>
      <c r="N50" s="144"/>
      <c r="O50" s="144"/>
      <c r="P50" s="144"/>
      <c r="Q50" s="145"/>
      <c r="R50" s="145"/>
      <c r="S50" s="145"/>
      <c r="T50" s="119"/>
      <c r="U50" s="179"/>
      <c r="V50" s="179"/>
      <c r="W50" s="179"/>
      <c r="X50" s="179"/>
      <c r="Y50" s="475"/>
      <c r="Z50" s="292"/>
      <c r="AA50" s="179"/>
      <c r="AB50" s="179"/>
      <c r="AC50" s="179"/>
      <c r="AD50" s="179"/>
      <c r="AE50" s="475"/>
      <c r="AF50" s="292"/>
    </row>
    <row r="51" spans="1:32" ht="13.5" customHeight="1" x14ac:dyDescent="0.25">
      <c r="A51" s="119"/>
      <c r="B51" s="144"/>
      <c r="C51" s="144"/>
      <c r="D51" s="144"/>
      <c r="E51" s="145"/>
      <c r="F51" s="150"/>
      <c r="G51" s="119"/>
      <c r="H51" s="144"/>
      <c r="I51" s="144"/>
      <c r="J51" s="144"/>
      <c r="K51" s="145"/>
      <c r="L51" s="150"/>
      <c r="M51" s="119"/>
      <c r="N51" s="144"/>
      <c r="O51" s="144"/>
      <c r="P51" s="144"/>
      <c r="Q51" s="145"/>
      <c r="R51" s="150"/>
      <c r="S51" s="119"/>
      <c r="T51" s="119"/>
      <c r="U51" s="179"/>
      <c r="V51" s="179"/>
      <c r="W51" s="179"/>
      <c r="X51" s="179"/>
      <c r="Y51" s="475"/>
      <c r="Z51" s="292"/>
      <c r="AA51" s="179"/>
      <c r="AB51" s="179"/>
      <c r="AC51" s="179"/>
      <c r="AD51" s="179"/>
      <c r="AE51" s="475"/>
      <c r="AF51" s="292"/>
    </row>
    <row r="52" spans="1:32" ht="13.5" customHeight="1" x14ac:dyDescent="0.25">
      <c r="A52" s="119"/>
      <c r="B52" s="144"/>
      <c r="C52" s="144"/>
      <c r="D52" s="144"/>
      <c r="E52" s="145"/>
      <c r="F52" s="150"/>
      <c r="G52" s="119"/>
      <c r="H52" s="144"/>
      <c r="I52" s="144"/>
      <c r="J52" s="144"/>
      <c r="K52" s="145"/>
      <c r="L52" s="150"/>
      <c r="M52" s="119"/>
      <c r="N52" s="144"/>
      <c r="O52" s="144"/>
      <c r="P52" s="144"/>
      <c r="Q52" s="145"/>
      <c r="R52" s="150"/>
      <c r="S52" s="119"/>
      <c r="T52" s="119"/>
      <c r="U52" s="119"/>
      <c r="V52" s="144"/>
      <c r="W52" s="144"/>
      <c r="X52" s="144"/>
      <c r="Y52" s="145"/>
      <c r="Z52" s="150"/>
      <c r="AA52" s="119"/>
      <c r="AB52" s="144"/>
      <c r="AC52" s="144"/>
      <c r="AD52" s="144"/>
      <c r="AE52" s="145"/>
      <c r="AF52" s="150"/>
    </row>
    <row r="53" spans="1:32" ht="30" customHeight="1" x14ac:dyDescent="0.3">
      <c r="A53" s="119"/>
      <c r="B53" s="140" t="str">
        <f>List!$B$58&amp;" "&amp;List!$B$62</f>
        <v>Čelní výsuvy pro úzké korpusy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44"/>
      <c r="N53" s="616"/>
      <c r="O53" s="144"/>
      <c r="P53" s="144"/>
      <c r="Q53" s="144"/>
      <c r="R53" s="144"/>
      <c r="S53" s="144"/>
      <c r="T53" s="119"/>
      <c r="U53" s="119"/>
    </row>
    <row r="54" spans="1:32" ht="13.5" customHeight="1" x14ac:dyDescent="0.35">
      <c r="A54" s="119"/>
      <c r="B54" s="143"/>
      <c r="C54" s="143"/>
      <c r="D54" s="143"/>
      <c r="E54" s="143"/>
      <c r="F54" s="142"/>
      <c r="G54" s="119"/>
      <c r="H54" s="143"/>
      <c r="I54" s="143"/>
      <c r="J54" s="143"/>
      <c r="K54" s="143"/>
      <c r="L54" s="617"/>
      <c r="M54" s="144"/>
      <c r="N54" s="143"/>
      <c r="O54" s="143"/>
      <c r="P54" s="143"/>
      <c r="Q54" s="143"/>
      <c r="R54" s="615"/>
      <c r="S54" s="144"/>
      <c r="T54" s="119"/>
      <c r="U54" s="119"/>
    </row>
    <row r="55" spans="1:32" ht="13.5" customHeight="1" x14ac:dyDescent="0.3">
      <c r="A55" s="119"/>
      <c r="B55" s="144"/>
      <c r="C55" s="144"/>
      <c r="D55" s="144"/>
      <c r="E55" s="145" t="str">
        <f>List!$B$78&amp;":"</f>
        <v>označení:</v>
      </c>
      <c r="F55" s="160" t="s">
        <v>1145</v>
      </c>
      <c r="G55" s="119"/>
      <c r="H55" s="144"/>
      <c r="I55" s="144"/>
      <c r="J55" s="144"/>
      <c r="K55" s="145" t="str">
        <f>List!$B$78&amp;":"</f>
        <v>označení:</v>
      </c>
      <c r="L55" s="613" t="s">
        <v>1146</v>
      </c>
      <c r="M55" s="144"/>
      <c r="N55" s="144"/>
      <c r="O55" s="144"/>
      <c r="P55" s="144"/>
      <c r="Q55" s="145"/>
      <c r="R55" s="150"/>
      <c r="S55" s="144"/>
      <c r="T55" s="119"/>
      <c r="U55" s="119"/>
    </row>
    <row r="56" spans="1:32" ht="13.5" customHeight="1" x14ac:dyDescent="0.25">
      <c r="A56" s="119"/>
      <c r="B56" s="144"/>
      <c r="C56" s="144"/>
      <c r="D56" s="144"/>
      <c r="E56" s="145" t="str">
        <f>List!$B$80&amp;":"</f>
        <v>provedení:</v>
      </c>
      <c r="F56" s="147" t="s">
        <v>951</v>
      </c>
      <c r="G56" s="119"/>
      <c r="H56" s="144"/>
      <c r="I56" s="144"/>
      <c r="J56" s="144"/>
      <c r="K56" s="145" t="str">
        <f>List!$B$80&amp;":"</f>
        <v>provedení:</v>
      </c>
      <c r="L56" s="147" t="s">
        <v>952</v>
      </c>
      <c r="M56" s="144"/>
      <c r="N56" s="144"/>
      <c r="O56" s="144"/>
      <c r="P56" s="144"/>
      <c r="Q56" s="145"/>
      <c r="R56" s="150"/>
      <c r="S56" s="144"/>
      <c r="T56" s="119"/>
      <c r="U56" s="119"/>
    </row>
    <row r="57" spans="1:32" ht="13.5" customHeight="1" x14ac:dyDescent="0.25">
      <c r="A57" s="119"/>
      <c r="B57" s="144"/>
      <c r="C57" s="144"/>
      <c r="D57" s="144"/>
      <c r="E57" s="145" t="str">
        <f>List!$B$79&amp;":"</f>
        <v>bočnice:</v>
      </c>
      <c r="F57" s="147" t="s">
        <v>943</v>
      </c>
      <c r="G57" s="119"/>
      <c r="H57" s="144"/>
      <c r="I57" s="144"/>
      <c r="J57" s="144"/>
      <c r="K57" s="145" t="str">
        <f>List!$B$79&amp;":"</f>
        <v>bočnice:</v>
      </c>
      <c r="L57" s="147" t="s">
        <v>943</v>
      </c>
      <c r="M57" s="144"/>
      <c r="N57" s="144"/>
      <c r="O57" s="144"/>
      <c r="P57" s="144"/>
      <c r="Q57" s="145"/>
      <c r="R57" s="150"/>
      <c r="S57" s="144"/>
      <c r="T57" s="119"/>
      <c r="U57" s="119"/>
    </row>
    <row r="58" spans="1:32" ht="13.5" customHeight="1" x14ac:dyDescent="0.25">
      <c r="A58" s="119"/>
      <c r="B58" s="144"/>
      <c r="C58" s="144"/>
      <c r="D58" s="144"/>
      <c r="E58" s="145" t="str">
        <f>List!$B$81&amp;":"</f>
        <v>potřebný prostor:</v>
      </c>
      <c r="F58" s="147" t="s">
        <v>96</v>
      </c>
      <c r="G58" s="119"/>
      <c r="H58" s="144"/>
      <c r="I58" s="144"/>
      <c r="J58" s="144"/>
      <c r="K58" s="145" t="str">
        <f>List!$B$81&amp;":"</f>
        <v>potřebný prostor:</v>
      </c>
      <c r="L58" s="147" t="s">
        <v>96</v>
      </c>
      <c r="M58" s="144"/>
      <c r="N58" s="144"/>
      <c r="O58" s="144"/>
      <c r="P58" s="144"/>
      <c r="Q58" s="145"/>
      <c r="R58" s="150"/>
      <c r="S58" s="144"/>
      <c r="T58" s="119"/>
      <c r="U58" s="119"/>
    </row>
    <row r="59" spans="1:32" ht="13.5" customHeight="1" x14ac:dyDescent="0.25">
      <c r="A59" s="119"/>
      <c r="B59" s="144"/>
      <c r="C59" s="144"/>
      <c r="D59" s="144"/>
      <c r="E59" s="145"/>
      <c r="F59" s="150"/>
      <c r="G59" s="119"/>
      <c r="H59" s="144"/>
      <c r="I59" s="144"/>
      <c r="J59" s="144"/>
      <c r="K59" s="145"/>
      <c r="L59" s="147"/>
      <c r="M59" s="119"/>
      <c r="N59" s="144"/>
      <c r="O59" s="144"/>
      <c r="P59" s="144"/>
      <c r="Q59" s="145"/>
      <c r="R59" s="150"/>
      <c r="S59" s="119"/>
      <c r="T59" s="119"/>
      <c r="U59" s="119"/>
    </row>
    <row r="60" spans="1:32" ht="13.5" customHeight="1" x14ac:dyDescent="0.25">
      <c r="A60" s="119"/>
      <c r="B60" s="144"/>
      <c r="C60" s="144"/>
      <c r="D60" s="144"/>
      <c r="E60" s="145"/>
      <c r="F60" s="150"/>
      <c r="G60" s="119"/>
      <c r="H60" s="144"/>
      <c r="I60" s="144"/>
      <c r="J60" s="144"/>
      <c r="K60" s="145"/>
      <c r="L60" s="150"/>
      <c r="M60" s="119"/>
      <c r="N60" s="144"/>
      <c r="O60" s="144"/>
      <c r="P60" s="144"/>
      <c r="Q60" s="145"/>
      <c r="R60" s="150"/>
      <c r="S60" s="119"/>
      <c r="T60" s="119"/>
      <c r="U60" s="119"/>
    </row>
    <row r="61" spans="1:32" ht="28.5" customHeight="1" x14ac:dyDescent="0.3">
      <c r="A61" s="119"/>
      <c r="B61" s="140" t="str">
        <f>"SPACE-TOWER, "&amp;List!$B$63&amp;" 4xC/1xM"</f>
        <v>SPACE-TOWER, sestava 4xC/1xM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44"/>
      <c r="N61" s="144"/>
      <c r="O61" s="144"/>
      <c r="P61" s="144"/>
      <c r="Q61" s="144"/>
      <c r="R61" s="144"/>
      <c r="S61" s="144"/>
      <c r="T61" s="144"/>
      <c r="U61" s="119"/>
    </row>
    <row r="62" spans="1:32" ht="13.5" customHeight="1" x14ac:dyDescent="0.35">
      <c r="A62" s="119"/>
      <c r="B62" s="143"/>
      <c r="C62" s="143"/>
      <c r="D62" s="143"/>
      <c r="E62" s="143"/>
      <c r="F62" s="142" t="str">
        <f>List!$B$68&amp;"/"&amp;List!$B$69&amp;" "&amp;List!$B$66&amp;"  "</f>
        <v xml:space="preserve">vysoký/nízký přední zásuvný prvek  </v>
      </c>
      <c r="G62" s="119"/>
      <c r="H62" s="143"/>
      <c r="I62" s="143"/>
      <c r="J62" s="143"/>
      <c r="K62" s="143"/>
      <c r="L62" s="617" t="str">
        <f>List!$B$68&amp;"/"&amp;List!$B$69&amp;" "&amp;List!$B$66&amp;"  "</f>
        <v xml:space="preserve">vysoký/nízký přední zásuvný prvek  </v>
      </c>
      <c r="M62" s="144"/>
      <c r="N62" s="143"/>
      <c r="O62" s="143"/>
      <c r="P62" s="143"/>
      <c r="Q62" s="143"/>
      <c r="R62" s="615"/>
      <c r="S62" s="144"/>
      <c r="T62" s="144"/>
      <c r="U62" s="119"/>
    </row>
    <row r="63" spans="1:32" ht="13.5" customHeight="1" x14ac:dyDescent="0.3">
      <c r="A63" s="119"/>
      <c r="B63" s="144"/>
      <c r="C63" s="144"/>
      <c r="D63" s="144"/>
      <c r="E63" s="166" t="s">
        <v>146</v>
      </c>
      <c r="F63" s="160" t="s">
        <v>929</v>
      </c>
      <c r="G63" s="119"/>
      <c r="H63" s="144"/>
      <c r="I63" s="144"/>
      <c r="J63" s="144"/>
      <c r="K63" s="145" t="str">
        <f>List!$B$78&amp;":"</f>
        <v>označení:</v>
      </c>
      <c r="L63" s="613" t="s">
        <v>962</v>
      </c>
      <c r="M63" s="144"/>
      <c r="N63" s="144"/>
      <c r="O63" s="144"/>
      <c r="P63" s="144"/>
      <c r="Q63" s="145"/>
      <c r="R63" s="150"/>
      <c r="S63" s="144"/>
      <c r="T63" s="144"/>
      <c r="U63" s="119"/>
    </row>
    <row r="64" spans="1:32" ht="13.5" customHeight="1" x14ac:dyDescent="0.25">
      <c r="A64" s="119"/>
      <c r="B64" s="144"/>
      <c r="C64" s="144"/>
      <c r="D64" s="144"/>
      <c r="E64" s="145" t="str">
        <f>List!$B$80&amp;":"</f>
        <v>provedení:</v>
      </c>
      <c r="F64" s="147" t="s">
        <v>951</v>
      </c>
      <c r="G64" s="119"/>
      <c r="H64" s="144"/>
      <c r="I64" s="144"/>
      <c r="J64" s="144"/>
      <c r="K64" s="145" t="str">
        <f>List!$B$80&amp;":"</f>
        <v>provedení:</v>
      </c>
      <c r="L64" s="147" t="s">
        <v>952</v>
      </c>
      <c r="M64" s="144"/>
      <c r="N64" s="144"/>
      <c r="O64" s="144"/>
      <c r="P64" s="144"/>
      <c r="Q64" s="144"/>
      <c r="R64" s="144"/>
      <c r="S64" s="144"/>
      <c r="T64" s="144"/>
      <c r="U64" s="119"/>
    </row>
    <row r="65" spans="1:21" ht="13.5" customHeight="1" x14ac:dyDescent="0.25">
      <c r="A65" s="119"/>
      <c r="B65" s="144"/>
      <c r="C65" s="144"/>
      <c r="D65" s="144"/>
      <c r="E65" s="166" t="s">
        <v>147</v>
      </c>
      <c r="F65" s="147" t="s">
        <v>475</v>
      </c>
      <c r="G65" s="119"/>
      <c r="H65" s="144"/>
      <c r="I65" s="144"/>
      <c r="J65" s="144"/>
      <c r="K65" s="145" t="str">
        <f>List!$B$79&amp;":"</f>
        <v>bočnice:</v>
      </c>
      <c r="L65" s="147" t="s">
        <v>475</v>
      </c>
      <c r="M65" s="144"/>
      <c r="N65" s="144"/>
      <c r="O65" s="144"/>
      <c r="P65" s="144"/>
      <c r="Q65" s="145"/>
      <c r="R65" s="150"/>
      <c r="S65" s="144"/>
      <c r="T65" s="144"/>
      <c r="U65" s="119"/>
    </row>
    <row r="66" spans="1:21" ht="13.5" customHeight="1" x14ac:dyDescent="0.25">
      <c r="A66" s="119"/>
      <c r="B66" s="144"/>
      <c r="C66" s="144"/>
      <c r="D66" s="144"/>
      <c r="E66" s="166" t="s">
        <v>148</v>
      </c>
      <c r="F66" s="147" t="s">
        <v>98</v>
      </c>
      <c r="G66" s="119"/>
      <c r="H66" s="144"/>
      <c r="I66" s="144"/>
      <c r="J66" s="144"/>
      <c r="K66" s="145" t="str">
        <f>List!$B$81&amp;":"</f>
        <v>potřebný prostor:</v>
      </c>
      <c r="L66" s="147" t="s">
        <v>98</v>
      </c>
      <c r="M66" s="144"/>
      <c r="N66" s="144"/>
      <c r="O66" s="144"/>
      <c r="P66" s="144"/>
      <c r="Q66" s="145"/>
      <c r="R66" s="150"/>
      <c r="S66" s="144"/>
      <c r="T66" s="144"/>
      <c r="U66" s="119"/>
    </row>
    <row r="67" spans="1:21" ht="13.5" customHeight="1" x14ac:dyDescent="0.25">
      <c r="A67" s="119"/>
      <c r="B67" s="119"/>
      <c r="C67" s="119"/>
      <c r="D67" s="119"/>
      <c r="E67" s="119"/>
      <c r="F67" s="146"/>
      <c r="G67" s="119"/>
      <c r="H67" s="119"/>
      <c r="I67" s="119"/>
      <c r="J67" s="119"/>
      <c r="K67" s="119"/>
      <c r="L67" s="146"/>
      <c r="M67" s="144"/>
      <c r="N67" s="144"/>
      <c r="O67" s="144"/>
      <c r="P67" s="144"/>
      <c r="Q67" s="144"/>
      <c r="R67" s="144"/>
      <c r="S67" s="144"/>
      <c r="T67" s="144"/>
      <c r="U67" s="119"/>
    </row>
    <row r="68" spans="1:21" ht="28.5" customHeight="1" x14ac:dyDescent="0.25">
      <c r="A68" s="119"/>
      <c r="B68" s="119"/>
      <c r="C68" s="119"/>
      <c r="D68" s="119"/>
      <c r="E68" s="119"/>
      <c r="F68" s="146"/>
      <c r="G68" s="119"/>
      <c r="H68" s="119"/>
      <c r="I68" s="119"/>
      <c r="J68" s="119"/>
      <c r="K68" s="119"/>
      <c r="L68" s="146"/>
      <c r="M68" s="144"/>
      <c r="N68" s="144"/>
      <c r="O68" s="144"/>
      <c r="P68" s="144"/>
      <c r="Q68" s="144"/>
      <c r="R68" s="144"/>
      <c r="S68" s="144"/>
      <c r="T68" s="144"/>
      <c r="U68" s="119"/>
    </row>
    <row r="69" spans="1:21" ht="13.5" customHeight="1" x14ac:dyDescent="0.25">
      <c r="A69" s="119"/>
      <c r="B69" s="119"/>
      <c r="C69" s="119"/>
      <c r="D69" s="119"/>
      <c r="E69" s="119"/>
      <c r="F69" s="146"/>
      <c r="G69" s="119"/>
      <c r="H69" s="119"/>
      <c r="I69" s="119"/>
      <c r="J69" s="119"/>
      <c r="K69" s="119"/>
      <c r="L69" s="146"/>
      <c r="M69" s="144"/>
      <c r="N69" s="144"/>
      <c r="O69" s="144"/>
      <c r="P69" s="144"/>
      <c r="Q69" s="144"/>
      <c r="R69" s="144"/>
      <c r="S69" s="144"/>
      <c r="T69" s="144"/>
      <c r="U69" s="119"/>
    </row>
    <row r="70" spans="1:21" ht="28.5" customHeight="1" x14ac:dyDescent="0.3">
      <c r="A70" s="119"/>
      <c r="B70" s="140" t="str">
        <f>"SPACE-TOWER, "&amp;List!$B$63&amp;" 4xC/1xM"</f>
        <v>SPACE-TOWER, sestava 4xC/1xM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44"/>
      <c r="N70" s="144"/>
      <c r="O70" s="144"/>
      <c r="P70" s="144"/>
      <c r="Q70" s="144"/>
      <c r="R70" s="144"/>
      <c r="S70" s="144"/>
      <c r="T70" s="144"/>
      <c r="U70" s="119"/>
    </row>
    <row r="71" spans="1:21" ht="13.5" customHeight="1" x14ac:dyDescent="0.35">
      <c r="A71" s="119"/>
      <c r="B71" s="143"/>
      <c r="C71" s="143"/>
      <c r="D71" s="143"/>
      <c r="E71" s="143"/>
      <c r="F71" s="142" t="str">
        <f>List!$B$71&amp;"  "</f>
        <v xml:space="preserve">přední reling  </v>
      </c>
      <c r="G71" s="119"/>
      <c r="H71" s="143"/>
      <c r="I71" s="143"/>
      <c r="J71" s="143"/>
      <c r="K71" s="143"/>
      <c r="L71" s="617" t="str">
        <f>List!$B$71&amp;"  "</f>
        <v xml:space="preserve">přední reling  </v>
      </c>
      <c r="M71" s="144"/>
      <c r="N71" s="143"/>
      <c r="O71" s="143"/>
      <c r="P71" s="143"/>
      <c r="Q71" s="143"/>
      <c r="R71" s="615"/>
      <c r="S71" s="144"/>
      <c r="T71" s="144"/>
      <c r="U71" s="119"/>
    </row>
    <row r="72" spans="1:21" ht="13.5" customHeight="1" x14ac:dyDescent="0.3">
      <c r="A72" s="119"/>
      <c r="B72" s="144"/>
      <c r="C72" s="144"/>
      <c r="D72" s="144"/>
      <c r="E72" s="145" t="str">
        <f>List!$B$78&amp;":"</f>
        <v>označení:</v>
      </c>
      <c r="F72" s="160" t="s">
        <v>930</v>
      </c>
      <c r="G72" s="119"/>
      <c r="H72" s="144"/>
      <c r="I72" s="144"/>
      <c r="J72" s="144"/>
      <c r="K72" s="145" t="str">
        <f>List!$B$78&amp;":"</f>
        <v>označení:</v>
      </c>
      <c r="L72" s="613" t="s">
        <v>963</v>
      </c>
      <c r="M72" s="144"/>
      <c r="N72" s="144"/>
      <c r="O72" s="144"/>
      <c r="P72" s="144"/>
      <c r="Q72" s="145"/>
      <c r="R72" s="150"/>
      <c r="S72" s="144"/>
      <c r="T72" s="144"/>
      <c r="U72" s="119"/>
    </row>
    <row r="73" spans="1:21" ht="13.5" customHeight="1" x14ac:dyDescent="0.25">
      <c r="A73" s="119"/>
      <c r="B73" s="144"/>
      <c r="C73" s="144"/>
      <c r="D73" s="144"/>
      <c r="E73" s="145" t="str">
        <f>List!$B$80&amp;":"</f>
        <v>provedení:</v>
      </c>
      <c r="F73" s="147" t="s">
        <v>951</v>
      </c>
      <c r="G73" s="119"/>
      <c r="H73" s="144"/>
      <c r="I73" s="144"/>
      <c r="J73" s="144"/>
      <c r="K73" s="145" t="str">
        <f>List!$B$80&amp;":"</f>
        <v>provedení:</v>
      </c>
      <c r="L73" s="147" t="s">
        <v>952</v>
      </c>
      <c r="M73" s="144"/>
      <c r="N73" s="144"/>
      <c r="O73" s="144"/>
      <c r="P73" s="144"/>
      <c r="Q73" s="144"/>
      <c r="R73" s="144"/>
      <c r="S73" s="144"/>
      <c r="T73" s="144"/>
      <c r="U73" s="119"/>
    </row>
    <row r="74" spans="1:21" ht="13.5" customHeight="1" x14ac:dyDescent="0.25">
      <c r="A74" s="119"/>
      <c r="B74" s="144"/>
      <c r="C74" s="144"/>
      <c r="D74" s="144"/>
      <c r="E74" s="145" t="str">
        <f>List!$B$79&amp;":"</f>
        <v>bočnice:</v>
      </c>
      <c r="F74" s="147" t="s">
        <v>475</v>
      </c>
      <c r="G74" s="119"/>
      <c r="H74" s="144"/>
      <c r="I74" s="144"/>
      <c r="J74" s="144"/>
      <c r="K74" s="145" t="str">
        <f>List!$B$79&amp;":"</f>
        <v>bočnice:</v>
      </c>
      <c r="L74" s="147" t="s">
        <v>475</v>
      </c>
      <c r="M74" s="144"/>
      <c r="N74" s="144"/>
      <c r="O74" s="144"/>
      <c r="P74" s="144"/>
      <c r="Q74" s="145"/>
      <c r="R74" s="150"/>
      <c r="S74" s="144"/>
      <c r="T74" s="144"/>
      <c r="U74" s="119"/>
    </row>
    <row r="75" spans="1:21" ht="13.5" customHeight="1" x14ac:dyDescent="0.25">
      <c r="A75" s="119"/>
      <c r="B75" s="144"/>
      <c r="C75" s="144"/>
      <c r="D75" s="144"/>
      <c r="E75" s="145" t="str">
        <f>List!$B$81&amp;":"</f>
        <v>potřebný prostor:</v>
      </c>
      <c r="F75" s="147" t="s">
        <v>98</v>
      </c>
      <c r="G75" s="119"/>
      <c r="H75" s="144"/>
      <c r="I75" s="144"/>
      <c r="J75" s="144"/>
      <c r="K75" s="145" t="str">
        <f>List!$B$81&amp;":"</f>
        <v>potřebný prostor:</v>
      </c>
      <c r="L75" s="147" t="s">
        <v>98</v>
      </c>
      <c r="M75" s="144"/>
      <c r="N75" s="144"/>
      <c r="O75" s="144"/>
      <c r="P75" s="144"/>
      <c r="Q75" s="145"/>
      <c r="R75" s="150"/>
      <c r="S75" s="144"/>
      <c r="T75" s="144"/>
      <c r="U75" s="119"/>
    </row>
    <row r="76" spans="1:21" ht="13.5" customHeight="1" x14ac:dyDescent="0.25">
      <c r="A76" s="119"/>
      <c r="B76" s="119"/>
      <c r="C76" s="119"/>
      <c r="D76" s="119"/>
      <c r="E76" s="119"/>
      <c r="F76" s="146"/>
      <c r="G76" s="119"/>
      <c r="H76" s="119"/>
      <c r="I76" s="119"/>
      <c r="J76" s="119"/>
      <c r="K76" s="119"/>
      <c r="L76" s="146"/>
      <c r="M76" s="144"/>
      <c r="N76" s="144"/>
      <c r="O76" s="144"/>
      <c r="P76" s="144"/>
      <c r="Q76" s="144"/>
      <c r="R76" s="144"/>
      <c r="S76" s="144"/>
      <c r="T76" s="144"/>
      <c r="U76" s="119"/>
    </row>
    <row r="77" spans="1:21" ht="28.5" customHeight="1" x14ac:dyDescent="0.25">
      <c r="A77" s="119"/>
      <c r="B77" s="119"/>
      <c r="C77" s="119"/>
      <c r="D77" s="119"/>
      <c r="E77" s="119"/>
      <c r="F77" s="146"/>
      <c r="G77" s="119"/>
      <c r="H77" s="119"/>
      <c r="I77" s="119"/>
      <c r="J77" s="119"/>
      <c r="K77" s="119"/>
      <c r="L77" s="146"/>
      <c r="M77" s="144"/>
      <c r="N77" s="144"/>
      <c r="O77" s="144"/>
      <c r="P77" s="144"/>
      <c r="Q77" s="144"/>
      <c r="R77" s="144"/>
      <c r="S77" s="144"/>
      <c r="T77" s="144"/>
      <c r="U77" s="119"/>
    </row>
    <row r="78" spans="1:21" ht="13.5" customHeight="1" x14ac:dyDescent="0.25">
      <c r="A78" s="119"/>
      <c r="B78" s="119"/>
      <c r="C78" s="119"/>
      <c r="D78" s="119"/>
      <c r="E78" s="119"/>
      <c r="F78" s="146"/>
      <c r="G78" s="119"/>
      <c r="H78" s="119"/>
      <c r="I78" s="119"/>
      <c r="J78" s="119"/>
      <c r="K78" s="119"/>
      <c r="L78" s="146"/>
      <c r="M78" s="144"/>
      <c r="N78" s="144"/>
      <c r="O78" s="144"/>
      <c r="P78" s="144"/>
      <c r="Q78" s="144"/>
      <c r="R78" s="144"/>
      <c r="S78" s="144"/>
      <c r="T78" s="144"/>
      <c r="U78" s="119"/>
    </row>
    <row r="79" spans="1:21" ht="28.5" customHeight="1" x14ac:dyDescent="0.3">
      <c r="A79" s="119"/>
      <c r="B79" s="140" t="str">
        <f>"SPACE-TOWER, "&amp;List!$B$63&amp;" 5xC"</f>
        <v>SPACE-TOWER, sestava 5xC</v>
      </c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79"/>
      <c r="N79" s="179"/>
      <c r="O79" s="179"/>
      <c r="P79" s="179"/>
      <c r="Q79" s="179"/>
      <c r="R79" s="179"/>
      <c r="S79" s="144"/>
      <c r="T79" s="119"/>
      <c r="U79" s="119"/>
    </row>
    <row r="80" spans="1:21" ht="13.5" customHeight="1" x14ac:dyDescent="0.35">
      <c r="A80" s="119"/>
      <c r="B80" s="143"/>
      <c r="C80" s="143"/>
      <c r="D80" s="143"/>
      <c r="E80" s="143"/>
      <c r="F80" s="142" t="str">
        <f>List!$B$68&amp;"/"&amp;List!$B$69&amp;" "&amp;List!$B$66&amp;"  "</f>
        <v xml:space="preserve">vysoký/nízký přední zásuvný prvek  </v>
      </c>
      <c r="G80" s="119"/>
      <c r="H80" s="143"/>
      <c r="I80" s="143"/>
      <c r="J80" s="143"/>
      <c r="K80" s="143"/>
      <c r="L80" s="617" t="str">
        <f>List!$B$68&amp;"/"&amp;List!$B$69&amp;" "&amp;List!$B$66&amp;"  "</f>
        <v xml:space="preserve">vysoký/nízký přední zásuvný prvek  </v>
      </c>
      <c r="M80" s="144"/>
      <c r="N80" s="143"/>
      <c r="O80" s="143"/>
      <c r="P80" s="143"/>
      <c r="Q80" s="143"/>
      <c r="R80" s="615"/>
      <c r="S80" s="144"/>
      <c r="T80" s="119"/>
      <c r="U80" s="119"/>
    </row>
    <row r="81" spans="1:21" ht="13.5" customHeight="1" x14ac:dyDescent="0.3">
      <c r="A81" s="119"/>
      <c r="B81" s="144"/>
      <c r="C81" s="144"/>
      <c r="D81" s="144"/>
      <c r="E81" s="166" t="s">
        <v>146</v>
      </c>
      <c r="F81" s="160" t="s">
        <v>23</v>
      </c>
      <c r="G81" s="119"/>
      <c r="H81" s="119"/>
      <c r="I81" s="119"/>
      <c r="J81" s="119"/>
      <c r="K81" s="145" t="str">
        <f>List!$B$78&amp;":"</f>
        <v>označení:</v>
      </c>
      <c r="L81" s="613" t="s">
        <v>961</v>
      </c>
      <c r="M81" s="144"/>
      <c r="N81" s="144"/>
      <c r="O81" s="144"/>
      <c r="P81" s="144"/>
      <c r="Q81" s="145"/>
      <c r="R81" s="150"/>
      <c r="S81" s="144"/>
      <c r="T81" s="119"/>
      <c r="U81" s="119"/>
    </row>
    <row r="82" spans="1:21" ht="13.5" customHeight="1" x14ac:dyDescent="0.25">
      <c r="A82" s="119"/>
      <c r="B82" s="144"/>
      <c r="C82" s="144"/>
      <c r="D82" s="144"/>
      <c r="E82" s="145" t="str">
        <f>List!$B$80&amp;":"</f>
        <v>provedení:</v>
      </c>
      <c r="F82" s="147" t="s">
        <v>951</v>
      </c>
      <c r="G82" s="119"/>
      <c r="H82" s="119"/>
      <c r="I82" s="119"/>
      <c r="J82" s="119"/>
      <c r="K82" s="145" t="str">
        <f>List!$B$80&amp;":"</f>
        <v>provedení:</v>
      </c>
      <c r="L82" s="147" t="s">
        <v>952</v>
      </c>
      <c r="M82" s="144"/>
      <c r="N82" s="144"/>
      <c r="O82" s="144"/>
      <c r="P82" s="144"/>
      <c r="Q82" s="144"/>
      <c r="R82" s="150"/>
      <c r="S82" s="144"/>
      <c r="T82" s="119"/>
      <c r="U82" s="119"/>
    </row>
    <row r="83" spans="1:21" ht="13.5" customHeight="1" x14ac:dyDescent="0.25">
      <c r="A83" s="119"/>
      <c r="B83" s="144"/>
      <c r="C83" s="144"/>
      <c r="D83" s="144"/>
      <c r="E83" s="166" t="s">
        <v>147</v>
      </c>
      <c r="F83" s="147" t="s">
        <v>473</v>
      </c>
      <c r="G83" s="119"/>
      <c r="H83" s="119"/>
      <c r="I83" s="119"/>
      <c r="J83" s="119"/>
      <c r="K83" s="145" t="str">
        <f>List!$B$79&amp;":"</f>
        <v>bočnice:</v>
      </c>
      <c r="L83" s="147" t="s">
        <v>473</v>
      </c>
      <c r="M83" s="144"/>
      <c r="N83" s="144"/>
      <c r="O83" s="144"/>
      <c r="P83" s="144"/>
      <c r="Q83" s="145"/>
      <c r="R83" s="150"/>
      <c r="S83" s="144"/>
      <c r="T83" s="119"/>
      <c r="U83" s="119"/>
    </row>
    <row r="84" spans="1:21" ht="13.5" customHeight="1" x14ac:dyDescent="0.25">
      <c r="A84" s="119"/>
      <c r="B84" s="144"/>
      <c r="C84" s="144"/>
      <c r="D84" s="144"/>
      <c r="E84" s="166" t="s">
        <v>148</v>
      </c>
      <c r="F84" s="147" t="s">
        <v>97</v>
      </c>
      <c r="G84" s="119"/>
      <c r="H84" s="119"/>
      <c r="I84" s="119"/>
      <c r="J84" s="119"/>
      <c r="K84" s="145" t="str">
        <f>List!$B$81&amp;":"</f>
        <v>potřebný prostor:</v>
      </c>
      <c r="L84" s="147" t="s">
        <v>97</v>
      </c>
      <c r="M84" s="144"/>
      <c r="N84" s="144"/>
      <c r="O84" s="144"/>
      <c r="P84" s="144"/>
      <c r="Q84" s="145"/>
      <c r="R84" s="150"/>
      <c r="S84" s="144"/>
      <c r="T84" s="119"/>
      <c r="U84" s="119"/>
    </row>
    <row r="85" spans="1:21" ht="13.5" customHeight="1" x14ac:dyDescent="0.25">
      <c r="A85" s="119"/>
      <c r="B85" s="144"/>
      <c r="C85" s="144"/>
      <c r="D85" s="144"/>
      <c r="E85" s="166"/>
      <c r="F85" s="147"/>
      <c r="G85" s="119"/>
      <c r="H85" s="119"/>
      <c r="I85" s="119"/>
      <c r="J85" s="119"/>
      <c r="K85" s="145"/>
      <c r="L85" s="147"/>
      <c r="M85" s="144"/>
      <c r="N85" s="144"/>
      <c r="O85" s="144"/>
      <c r="P85" s="144"/>
      <c r="Q85" s="145"/>
      <c r="R85" s="150"/>
      <c r="S85" s="144"/>
      <c r="T85" s="119"/>
      <c r="U85" s="119"/>
    </row>
    <row r="86" spans="1:21" ht="28.5" customHeight="1" x14ac:dyDescent="0.25">
      <c r="A86" s="119"/>
      <c r="B86" s="144"/>
      <c r="C86" s="144"/>
      <c r="D86" s="144"/>
      <c r="E86" s="166"/>
      <c r="F86" s="147"/>
      <c r="G86" s="119"/>
      <c r="H86" s="119"/>
      <c r="I86" s="119"/>
      <c r="J86" s="119"/>
      <c r="K86" s="145"/>
      <c r="L86" s="147"/>
      <c r="M86" s="144"/>
      <c r="N86" s="144"/>
      <c r="O86" s="144"/>
      <c r="P86" s="144"/>
      <c r="Q86" s="145"/>
      <c r="R86" s="150"/>
      <c r="S86" s="144"/>
      <c r="T86" s="119"/>
      <c r="U86" s="119"/>
    </row>
    <row r="87" spans="1:21" ht="13.5" customHeight="1" x14ac:dyDescent="0.25">
      <c r="A87" s="119"/>
      <c r="B87" s="144"/>
      <c r="C87" s="144"/>
      <c r="D87" s="144"/>
      <c r="E87" s="166"/>
      <c r="F87" s="147"/>
      <c r="G87" s="119"/>
      <c r="H87" s="119"/>
      <c r="I87" s="119"/>
      <c r="J87" s="119"/>
      <c r="K87" s="145"/>
      <c r="L87" s="147"/>
      <c r="M87" s="144"/>
      <c r="N87" s="144"/>
      <c r="O87" s="144"/>
      <c r="P87" s="144"/>
      <c r="Q87" s="145"/>
      <c r="R87" s="150"/>
      <c r="S87" s="144"/>
      <c r="T87" s="119"/>
      <c r="U87" s="119"/>
    </row>
    <row r="88" spans="1:21" ht="28.5" customHeight="1" x14ac:dyDescent="0.3">
      <c r="A88" s="119"/>
      <c r="B88" s="140" t="str">
        <f>"SPACE-TOWER, "&amp;List!$B$63&amp;" 5xC"</f>
        <v>SPACE-TOWER, sestava 5xC</v>
      </c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79"/>
      <c r="N88" s="179"/>
      <c r="O88" s="179"/>
      <c r="P88" s="179"/>
      <c r="Q88" s="179"/>
      <c r="R88" s="179"/>
      <c r="S88" s="144"/>
      <c r="T88" s="144"/>
      <c r="U88" s="119"/>
    </row>
    <row r="89" spans="1:21" ht="13.5" customHeight="1" x14ac:dyDescent="0.35">
      <c r="A89" s="119"/>
      <c r="B89" s="143"/>
      <c r="C89" s="143"/>
      <c r="D89" s="143"/>
      <c r="E89" s="143"/>
      <c r="F89" s="142" t="str">
        <f>List!$B$71&amp;"  "</f>
        <v xml:space="preserve">přední reling  </v>
      </c>
      <c r="G89" s="119"/>
      <c r="H89" s="143"/>
      <c r="I89" s="143"/>
      <c r="J89" s="143"/>
      <c r="K89" s="143"/>
      <c r="L89" s="617" t="str">
        <f>List!$B$71&amp;"  "</f>
        <v xml:space="preserve">přední reling  </v>
      </c>
      <c r="M89" s="144"/>
      <c r="N89" s="143"/>
      <c r="O89" s="143"/>
      <c r="P89" s="143"/>
      <c r="Q89" s="143"/>
      <c r="R89" s="615"/>
      <c r="S89" s="144"/>
      <c r="T89" s="144"/>
      <c r="U89" s="119"/>
    </row>
    <row r="90" spans="1:21" ht="13.5" customHeight="1" x14ac:dyDescent="0.3">
      <c r="A90" s="119"/>
      <c r="B90" s="119"/>
      <c r="C90" s="119"/>
      <c r="D90" s="119"/>
      <c r="E90" s="145" t="str">
        <f>List!$B$78&amp;":"</f>
        <v>označení:</v>
      </c>
      <c r="F90" s="160" t="s">
        <v>24</v>
      </c>
      <c r="G90" s="119"/>
      <c r="H90" s="119"/>
      <c r="I90" s="119"/>
      <c r="J90" s="119"/>
      <c r="K90" s="145" t="str">
        <f>List!$B$78&amp;":"</f>
        <v>označení:</v>
      </c>
      <c r="L90" s="613" t="s">
        <v>960</v>
      </c>
      <c r="M90" s="144"/>
      <c r="N90" s="144"/>
      <c r="O90" s="144"/>
      <c r="P90" s="144"/>
      <c r="Q90" s="145"/>
      <c r="R90" s="150"/>
      <c r="S90" s="144"/>
      <c r="T90" s="144"/>
      <c r="U90" s="119"/>
    </row>
    <row r="91" spans="1:21" ht="13.5" customHeight="1" x14ac:dyDescent="0.25">
      <c r="A91" s="119"/>
      <c r="B91" s="119"/>
      <c r="C91" s="119"/>
      <c r="D91" s="119"/>
      <c r="E91" s="145" t="str">
        <f>List!$B$80&amp;":"</f>
        <v>provedení:</v>
      </c>
      <c r="F91" s="147" t="s">
        <v>951</v>
      </c>
      <c r="G91" s="119"/>
      <c r="H91" s="119"/>
      <c r="I91" s="119"/>
      <c r="J91" s="119"/>
      <c r="K91" s="145" t="str">
        <f>List!$B$80&amp;":"</f>
        <v>provedení:</v>
      </c>
      <c r="L91" s="147" t="s">
        <v>952</v>
      </c>
      <c r="M91" s="144"/>
      <c r="N91" s="144"/>
      <c r="O91" s="144"/>
      <c r="P91" s="144"/>
      <c r="Q91" s="144"/>
      <c r="R91" s="150"/>
      <c r="S91" s="144"/>
      <c r="T91" s="144"/>
      <c r="U91" s="119"/>
    </row>
    <row r="92" spans="1:21" ht="13.5" customHeight="1" x14ac:dyDescent="0.25">
      <c r="A92" s="119"/>
      <c r="B92" s="119"/>
      <c r="C92" s="119"/>
      <c r="D92" s="119"/>
      <c r="E92" s="145" t="str">
        <f>List!$B$79&amp;":"</f>
        <v>bočnice:</v>
      </c>
      <c r="F92" s="147" t="s">
        <v>473</v>
      </c>
      <c r="G92" s="119"/>
      <c r="H92" s="119"/>
      <c r="I92" s="119"/>
      <c r="J92" s="119"/>
      <c r="K92" s="145" t="str">
        <f>List!$B$79&amp;":"</f>
        <v>bočnice:</v>
      </c>
      <c r="L92" s="147" t="s">
        <v>473</v>
      </c>
      <c r="M92" s="144"/>
      <c r="N92" s="144"/>
      <c r="O92" s="144"/>
      <c r="P92" s="144"/>
      <c r="Q92" s="145"/>
      <c r="R92" s="150"/>
      <c r="S92" s="144"/>
      <c r="T92" s="144"/>
      <c r="U92" s="119"/>
    </row>
    <row r="93" spans="1:21" ht="13.5" customHeight="1" x14ac:dyDescent="0.25">
      <c r="A93" s="119"/>
      <c r="B93" s="119"/>
      <c r="C93" s="119"/>
      <c r="D93" s="119"/>
      <c r="E93" s="145" t="str">
        <f>List!$B$81&amp;":"</f>
        <v>potřebný prostor:</v>
      </c>
      <c r="F93" s="147" t="s">
        <v>97</v>
      </c>
      <c r="G93" s="119"/>
      <c r="H93" s="119"/>
      <c r="I93" s="119"/>
      <c r="J93" s="119"/>
      <c r="K93" s="145" t="str">
        <f>List!$B$81&amp;":"</f>
        <v>potřebný prostor:</v>
      </c>
      <c r="L93" s="147" t="s">
        <v>97</v>
      </c>
      <c r="M93" s="144"/>
      <c r="N93" s="144"/>
      <c r="O93" s="144"/>
      <c r="P93" s="144"/>
      <c r="Q93" s="145"/>
      <c r="R93" s="150"/>
      <c r="S93" s="144"/>
      <c r="T93" s="144"/>
      <c r="U93" s="119"/>
    </row>
    <row r="94" spans="1:21" ht="13.5" customHeight="1" x14ac:dyDescent="0.25">
      <c r="A94" s="119"/>
      <c r="B94" s="119"/>
      <c r="C94" s="119"/>
      <c r="D94" s="119"/>
      <c r="E94" s="145"/>
      <c r="F94" s="147"/>
      <c r="G94" s="119"/>
      <c r="H94" s="119"/>
      <c r="I94" s="119"/>
      <c r="J94" s="119"/>
      <c r="K94" s="145"/>
      <c r="L94" s="147"/>
      <c r="M94" s="144"/>
      <c r="N94" s="144"/>
      <c r="O94" s="144"/>
      <c r="P94" s="144"/>
      <c r="Q94" s="145"/>
      <c r="R94" s="150"/>
      <c r="S94" s="144"/>
      <c r="T94" s="144"/>
      <c r="U94" s="119"/>
    </row>
    <row r="95" spans="1:21" ht="28.5" customHeight="1" x14ac:dyDescent="0.25">
      <c r="A95" s="119"/>
      <c r="B95" s="119"/>
      <c r="C95" s="119"/>
      <c r="D95" s="119"/>
      <c r="E95" s="145"/>
      <c r="F95" s="147"/>
      <c r="G95" s="119"/>
      <c r="H95" s="119"/>
      <c r="I95" s="119"/>
      <c r="J95" s="119"/>
      <c r="K95" s="145"/>
      <c r="L95" s="147"/>
      <c r="M95" s="144"/>
      <c r="N95" s="144"/>
      <c r="O95" s="144"/>
      <c r="P95" s="144"/>
      <c r="Q95" s="145"/>
      <c r="R95" s="150"/>
      <c r="S95" s="144"/>
      <c r="T95" s="144"/>
      <c r="U95" s="119"/>
    </row>
    <row r="96" spans="1:21" ht="13.5" customHeight="1" x14ac:dyDescent="0.25">
      <c r="A96" s="119"/>
      <c r="B96" s="119"/>
      <c r="C96" s="119"/>
      <c r="D96" s="119"/>
      <c r="E96" s="145"/>
      <c r="F96" s="147"/>
      <c r="G96" s="119"/>
      <c r="H96" s="119"/>
      <c r="I96" s="119"/>
      <c r="J96" s="119"/>
      <c r="K96" s="145"/>
      <c r="L96" s="147"/>
      <c r="M96" s="144"/>
      <c r="N96" s="144"/>
      <c r="O96" s="144"/>
      <c r="P96" s="144"/>
      <c r="Q96" s="145"/>
      <c r="R96" s="150"/>
      <c r="S96" s="144"/>
      <c r="T96" s="144"/>
      <c r="U96" s="119"/>
    </row>
    <row r="97" spans="1:21" ht="13.5" customHeight="1" x14ac:dyDescent="0.25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</row>
    <row r="98" spans="1:21" ht="13.5" customHeight="1" x14ac:dyDescent="0.25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</row>
    <row r="99" spans="1:21" ht="13.5" customHeight="1" x14ac:dyDescent="0.25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</row>
    <row r="100" spans="1:21" ht="13.5" customHeight="1" x14ac:dyDescent="0.25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</row>
    <row r="101" spans="1:21" ht="13.5" customHeight="1" x14ac:dyDescent="0.25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</row>
    <row r="102" spans="1:21" ht="28.5" customHeight="1" x14ac:dyDescent="0.25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</row>
    <row r="103" spans="1:21" ht="13.5" customHeight="1" x14ac:dyDescent="0.25">
      <c r="S103" s="119"/>
      <c r="T103" s="119"/>
      <c r="U103" s="119"/>
    </row>
    <row r="104" spans="1:21" ht="13.5" customHeight="1" x14ac:dyDescent="0.25">
      <c r="S104" s="119"/>
      <c r="T104" s="119"/>
      <c r="U104" s="119"/>
    </row>
    <row r="105" spans="1:21" ht="13.5" customHeight="1" x14ac:dyDescent="0.25">
      <c r="S105" s="119"/>
      <c r="T105" s="119"/>
      <c r="U105" s="119"/>
    </row>
    <row r="106" spans="1:21" ht="13.5" customHeight="1" x14ac:dyDescent="0.25">
      <c r="S106" s="119"/>
      <c r="T106" s="119"/>
      <c r="U106" s="119"/>
    </row>
    <row r="107" spans="1:21" ht="13.5" customHeight="1" x14ac:dyDescent="0.25">
      <c r="S107" s="119"/>
      <c r="T107" s="119"/>
      <c r="U107" s="119"/>
    </row>
    <row r="108" spans="1:21" ht="13.5" customHeight="1" x14ac:dyDescent="0.25">
      <c r="S108" s="119"/>
      <c r="T108" s="119"/>
      <c r="U108" s="119"/>
    </row>
    <row r="109" spans="1:21" ht="13.5" customHeight="1" x14ac:dyDescent="0.25">
      <c r="S109" s="119"/>
      <c r="T109" s="119"/>
      <c r="U109" s="119"/>
    </row>
    <row r="110" spans="1:21" ht="13.5" customHeight="1" x14ac:dyDescent="0.25">
      <c r="S110" s="119"/>
      <c r="T110" s="119"/>
      <c r="U110" s="119"/>
    </row>
    <row r="111" spans="1:21" ht="13.5" customHeight="1" x14ac:dyDescent="0.25">
      <c r="S111" s="119"/>
      <c r="T111" s="119"/>
      <c r="U111" s="119"/>
    </row>
    <row r="112" spans="1:21" ht="13.5" customHeight="1" x14ac:dyDescent="0.25">
      <c r="S112" s="119"/>
      <c r="T112" s="119"/>
      <c r="U112" s="119"/>
    </row>
    <row r="113" spans="19:21" ht="13.5" customHeight="1" x14ac:dyDescent="0.25">
      <c r="S113" s="119"/>
      <c r="T113" s="119"/>
      <c r="U113" s="119"/>
    </row>
    <row r="114" spans="19:21" ht="13.5" customHeight="1" x14ac:dyDescent="0.25">
      <c r="S114" s="119"/>
      <c r="T114" s="119"/>
      <c r="U114" s="119"/>
    </row>
    <row r="115" spans="19:21" ht="13.5" customHeight="1" x14ac:dyDescent="0.25">
      <c r="S115" s="119"/>
      <c r="T115" s="119"/>
      <c r="U115" s="119"/>
    </row>
    <row r="116" spans="19:21" ht="13.5" customHeight="1" x14ac:dyDescent="0.25">
      <c r="S116" s="119"/>
      <c r="T116" s="119"/>
      <c r="U116" s="119"/>
    </row>
    <row r="117" spans="19:21" ht="13.5" customHeight="1" x14ac:dyDescent="0.25">
      <c r="T117" s="119"/>
    </row>
    <row r="118" spans="19:21" ht="13.5" customHeight="1" x14ac:dyDescent="0.25"/>
    <row r="119" spans="19:21" ht="13.5" customHeight="1" x14ac:dyDescent="0.25"/>
    <row r="120" spans="19:21" ht="13.5" customHeight="1" x14ac:dyDescent="0.25"/>
    <row r="121" spans="19:21" ht="13.5" customHeight="1" x14ac:dyDescent="0.25"/>
    <row r="182" spans="1:2" x14ac:dyDescent="0.25">
      <c r="A182" s="783"/>
    </row>
    <row r="183" spans="1:2" ht="15.5" x14ac:dyDescent="0.35">
      <c r="A183" s="783"/>
      <c r="B183" s="235" t="str">
        <f>"      "&amp;List!$B$16&amp;": "&amp;List!$B$4</f>
        <v xml:space="preserve">      Nápověda: Výběr zásuvek a výsuvů</v>
      </c>
    </row>
    <row r="184" spans="1:2" x14ac:dyDescent="0.25">
      <c r="A184" s="783"/>
    </row>
    <row r="185" spans="1:2" x14ac:dyDescent="0.25">
      <c r="A185" s="783"/>
      <c r="B185" s="2" t="str">
        <f>List!$B$276</f>
        <v>Kliknutím na označení vyberte požadovaný výsuv</v>
      </c>
    </row>
    <row r="186" spans="1:2" x14ac:dyDescent="0.25">
      <c r="A186" s="783"/>
    </row>
    <row r="187" spans="1:2" x14ac:dyDescent="0.25">
      <c r="A187" s="783"/>
    </row>
    <row r="188" spans="1:2" x14ac:dyDescent="0.25">
      <c r="A188" s="783"/>
    </row>
    <row r="189" spans="1:2" x14ac:dyDescent="0.25">
      <c r="A189" s="783"/>
    </row>
    <row r="190" spans="1:2" x14ac:dyDescent="0.25">
      <c r="A190" s="783"/>
    </row>
    <row r="191" spans="1:2" x14ac:dyDescent="0.25">
      <c r="A191" s="783"/>
    </row>
    <row r="192" spans="1:2" x14ac:dyDescent="0.25">
      <c r="A192" s="783"/>
    </row>
    <row r="193" spans="1:8" x14ac:dyDescent="0.25">
      <c r="A193" s="783"/>
    </row>
    <row r="194" spans="1:8" x14ac:dyDescent="0.25">
      <c r="A194" s="783"/>
    </row>
    <row r="195" spans="1:8" x14ac:dyDescent="0.25">
      <c r="A195" s="783"/>
    </row>
    <row r="196" spans="1:8" x14ac:dyDescent="0.25">
      <c r="A196" s="783"/>
    </row>
    <row r="197" spans="1:8" x14ac:dyDescent="0.25">
      <c r="A197" s="783"/>
    </row>
    <row r="198" spans="1:8" x14ac:dyDescent="0.25">
      <c r="A198" s="783"/>
    </row>
    <row r="199" spans="1:8" x14ac:dyDescent="0.25">
      <c r="A199" s="783"/>
    </row>
    <row r="200" spans="1:8" x14ac:dyDescent="0.25">
      <c r="A200" s="783"/>
    </row>
    <row r="201" spans="1:8" x14ac:dyDescent="0.25">
      <c r="A201" s="783"/>
    </row>
    <row r="202" spans="1:8" x14ac:dyDescent="0.25">
      <c r="A202" s="783"/>
      <c r="F202" s="801" t="str">
        <f>List!$B$110</f>
        <v>Zpět na úvod</v>
      </c>
      <c r="G202" s="801"/>
      <c r="H202" s="801"/>
    </row>
    <row r="203" spans="1:8" x14ac:dyDescent="0.25">
      <c r="A203" s="783"/>
    </row>
    <row r="204" spans="1:8" x14ac:dyDescent="0.25">
      <c r="A204" s="783"/>
    </row>
    <row r="205" spans="1:8" x14ac:dyDescent="0.25">
      <c r="A205" s="783"/>
    </row>
    <row r="206" spans="1:8" x14ac:dyDescent="0.25">
      <c r="A206" s="783"/>
    </row>
    <row r="207" spans="1:8" x14ac:dyDescent="0.25">
      <c r="A207" s="783"/>
    </row>
    <row r="208" spans="1:8" x14ac:dyDescent="0.25">
      <c r="A208" s="783"/>
    </row>
    <row r="209" spans="1:1" x14ac:dyDescent="0.25">
      <c r="A209" s="783"/>
    </row>
    <row r="210" spans="1:1" x14ac:dyDescent="0.25">
      <c r="A210" s="783"/>
    </row>
    <row r="211" spans="1:1" x14ac:dyDescent="0.25">
      <c r="A211" s="783"/>
    </row>
    <row r="212" spans="1:1" x14ac:dyDescent="0.25">
      <c r="A212" s="783"/>
    </row>
    <row r="213" spans="1:1" x14ac:dyDescent="0.25">
      <c r="A213" s="783"/>
    </row>
    <row r="214" spans="1:1" x14ac:dyDescent="0.25">
      <c r="A214" s="783"/>
    </row>
    <row r="215" spans="1:1" x14ac:dyDescent="0.25">
      <c r="A215" s="783"/>
    </row>
    <row r="216" spans="1:1" x14ac:dyDescent="0.25">
      <c r="A216" s="783"/>
    </row>
    <row r="217" spans="1:1" x14ac:dyDescent="0.25">
      <c r="A217" s="783"/>
    </row>
    <row r="218" spans="1:1" x14ac:dyDescent="0.25">
      <c r="A218" s="783"/>
    </row>
    <row r="219" spans="1:1" x14ac:dyDescent="0.25">
      <c r="A219" s="783"/>
    </row>
    <row r="220" spans="1:1" x14ac:dyDescent="0.25">
      <c r="A220" s="783"/>
    </row>
    <row r="221" spans="1:1" x14ac:dyDescent="0.25">
      <c r="A221" s="783"/>
    </row>
    <row r="222" spans="1:1" x14ac:dyDescent="0.25">
      <c r="A222" s="783"/>
    </row>
    <row r="223" spans="1:1" x14ac:dyDescent="0.25">
      <c r="A223" s="783"/>
    </row>
  </sheetData>
  <sheetProtection algorithmName="SHA-512" hashValue="IvyIJUdpNGkCE2LocUsX7IvEBPTNYOyYDetEz8C1LGXJP+W9koVmfR8wut9uJgAr7J0tld9VINI5H8kaPFhjWw==" saltValue="breToHRfPiBJrQUmrDIjcg==" spinCount="100000" sheet="1" objects="1" scenarios="1"/>
  <mergeCells count="2">
    <mergeCell ref="A182:A223"/>
    <mergeCell ref="F202:H202"/>
  </mergeCells>
  <phoneticPr fontId="51" type="noConversion"/>
  <hyperlinks>
    <hyperlink ref="T3" location="Form!A1" tooltip=" " display="Form!A1"/>
    <hyperlink ref="T6" location="Acs!A1" tooltip=" " display="Acs!A1"/>
    <hyperlink ref="L3" location="'7M400P'!A1" tooltip=" " display="7M 400P"/>
    <hyperlink ref="L10" location="'7M40VP'!A1" tooltip=" " display="7M 40VP"/>
    <hyperlink ref="F3" location="'7N400P'!A1" tooltip=" " display="7N 400P"/>
    <hyperlink ref="R3" location="'7K400P'!A1" tooltip=" " display="7K 400P"/>
    <hyperlink ref="L24" location="'7C41NP'!A1" tooltip=" " display="7C 41NP"/>
    <hyperlink ref="R24" location="'7C41RP'!A1" tooltip=" " display="7C 31RP"/>
    <hyperlink ref="F81" location="'7STCGP'!A1" tooltip=" " display="7ST CGP"/>
    <hyperlink ref="T13" location="Menu!A200" tooltip=" " display="Menu!A200"/>
    <hyperlink ref="F202" location="HFww!A1" tooltip=" " display="HFww!A1"/>
    <hyperlink ref="F202:H202" location="Menu!A1" tooltip=" " display="Menu!A1"/>
    <hyperlink ref="T9" location="Sum!A1" tooltip=" " display="Sum!A1"/>
    <hyperlink ref="T7" location="SD!A1" tooltip=" " display="SD!A1"/>
    <hyperlink ref="F17" location="'7C410P'!A1" tooltip=" " display="7C 410P"/>
    <hyperlink ref="F24" location="'7C41VP'!A1" tooltip=" " display="7C 41VP"/>
    <hyperlink ref="T8" location="AL!A1" tooltip=" " display="AL!A1"/>
    <hyperlink ref="R17" location="'7F410P'!A1" tooltip=" " display="7F 410P"/>
    <hyperlink ref="F63" location="'7STMGP'!A1" tooltip=" " display="7ST MGP"/>
    <hyperlink ref="F90" location="'7STCRP'!A1" tooltip=" " display="7ST CRP"/>
    <hyperlink ref="F72" location="'7STMRP'!A1" tooltip=" " display="7ST MRP"/>
    <hyperlink ref="F55" location="'7CM52P'!A1" tooltip=" " display="7C M52P"/>
    <hyperlink ref="R40" location="'7M442P'!A1" tooltip=" " display="7M 442P"/>
    <hyperlink ref="F40" location="'7C442P'!A1" tooltip=" " display="7C 442P"/>
    <hyperlink ref="L17" location="'7C410F'!A1" tooltip=" " display="7C 410F"/>
    <hyperlink ref="F32" location="'7C41VF'!A1" tooltip=" " display="7C 41VF"/>
    <hyperlink ref="L32" location="'7C41NF'!A1" tooltip=" " display="7C 41NF"/>
    <hyperlink ref="R32" location="'7C41RF'!A1" tooltip=" " display="7C 31RF"/>
    <hyperlink ref="F47" location="'7CM42P'!A1" tooltip=" " display="7C M42P"/>
    <hyperlink ref="L40" location="'7C442F'!A1" tooltip=" " display="7C 442F"/>
    <hyperlink ref="L47" location="'7CM42F'!A1" tooltip=" " display="7C M42F"/>
    <hyperlink ref="L55" location="'7CM52F'!A1" tooltip=" " display="7C M52F"/>
    <hyperlink ref="L81" location="'7STCGF'!A1" tooltip=" " display="7ST CGF"/>
    <hyperlink ref="L90" location="'7STCRF'!A1" tooltip=" " display="7ST CRF"/>
    <hyperlink ref="L63" location="'7STMGF'!A1" tooltip=" " display="7ST MGF"/>
    <hyperlink ref="L72" location="'7STMRF'!A1" tooltip=" " display="7ST MRF"/>
  </hyperlinks>
  <pageMargins left="0.39370078740157483" right="0.39370078740157483" top="0.47244094488188981" bottom="0.59055118110236227" header="0.31496062992125984" footer="0.31496062992125984"/>
  <pageSetup paperSize="9" scale="98" orientation="landscape" verticalDpi="200" r:id="rId1"/>
  <rowBreaks count="1" manualBreakCount="1">
    <brk id="21" min="1" max="17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>
    <tabColor theme="5" tint="0.39997558519241921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List!$B$54&amp;" C/M"</f>
        <v>Dřezový výsuv C/M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397" t="str">
        <f>Cen!A23</f>
        <v>Bočnice M 300mm, Orion šedé</v>
      </c>
      <c r="Q3" s="397" t="str">
        <f>Cen!B23</f>
        <v>770M3002S</v>
      </c>
      <c r="R3" s="397" t="str">
        <f>Cen!C23</f>
        <v>OG-M</v>
      </c>
      <c r="S3" s="424">
        <f>SUM(H21:H22, H27:H28, H33:H34)</f>
        <v>0</v>
      </c>
      <c r="T3" s="425">
        <f>Cen!F23</f>
        <v>18.533550000000002</v>
      </c>
      <c r="U3" s="398">
        <f t="shared" ref="U3:U5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1151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397" t="str">
        <f>Cen!A27</f>
        <v>Bočnice M 350mm, Orion šedé</v>
      </c>
      <c r="Q4" s="397" t="str">
        <f>Cen!B27</f>
        <v>770M3502S</v>
      </c>
      <c r="R4" s="397" t="str">
        <f>Cen!C27</f>
        <v>OG-M</v>
      </c>
      <c r="S4" s="424">
        <f>SUM(I21:I22, I27:I28, I33:I34)</f>
        <v>0</v>
      </c>
      <c r="T4" s="425">
        <f>Cen!F27</f>
        <v>18.533550000000002</v>
      </c>
      <c r="U4" s="39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397" t="str">
        <f>Cen!A31</f>
        <v>Bočnice M 400mm, Orion šedé</v>
      </c>
      <c r="Q5" s="397" t="str">
        <f>Cen!B31</f>
        <v>770M4002S</v>
      </c>
      <c r="R5" s="397" t="str">
        <f>Cen!C31</f>
        <v>OG-M</v>
      </c>
      <c r="S5" s="424">
        <f>SUM(J21:J22, J27:J28, J33:J34)</f>
        <v>0</v>
      </c>
      <c r="T5" s="425">
        <f>Cen!F31</f>
        <v>18.75609</v>
      </c>
      <c r="U5" s="39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952</v>
      </c>
      <c r="K6" s="122"/>
      <c r="L6" s="144"/>
      <c r="M6" s="119"/>
      <c r="N6" s="2" t="str">
        <f>List!$B$12&amp;":"</f>
        <v>Pokračovat na:</v>
      </c>
      <c r="O6" s="119"/>
      <c r="P6" s="397" t="str">
        <f>Cen!A35</f>
        <v>Bočnice M 450mm, Orion šedé</v>
      </c>
      <c r="Q6" s="397" t="str">
        <f>Cen!B35</f>
        <v>770M4502S</v>
      </c>
      <c r="R6" s="397" t="str">
        <f>Cen!C35</f>
        <v>OG-M</v>
      </c>
      <c r="S6" s="424">
        <f>SUM(K21:K22, K27:K28, K33:K34)</f>
        <v>0</v>
      </c>
      <c r="T6" s="425">
        <f>Cen!F35</f>
        <v>19.977319999999999</v>
      </c>
      <c r="U6" s="398">
        <f>S6*T6</f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54"/>
      <c r="M7" s="119"/>
      <c r="N7" s="151" t="str">
        <f>" "&amp;List!$B$5</f>
        <v xml:space="preserve"> Výběr doplňků</v>
      </c>
      <c r="O7" s="119"/>
      <c r="P7" s="397" t="str">
        <f>Cen!A39</f>
        <v>Bočnice M 500mm, Orion šedé</v>
      </c>
      <c r="Q7" s="397" t="str">
        <f>Cen!B39</f>
        <v>770M5002S</v>
      </c>
      <c r="R7" s="397" t="str">
        <f>Cen!C39</f>
        <v>OG-M</v>
      </c>
      <c r="S7" s="424">
        <f>SUM(L21:L22, L27:L28, L33:L34)</f>
        <v>0</v>
      </c>
      <c r="T7" s="425">
        <f>Cen!F39</f>
        <v>20.211580000000001</v>
      </c>
      <c r="U7" s="398">
        <f>S7*T7</f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U81</f>
        <v>0</v>
      </c>
      <c r="L8" s="154"/>
      <c r="M8" s="119"/>
      <c r="N8" s="151" t="str">
        <f>" "&amp;List!$B$6</f>
        <v xml:space="preserve"> Výběr SERVO-DRIVE</v>
      </c>
      <c r="O8" s="119"/>
      <c r="P8" s="397"/>
      <c r="Q8" s="397"/>
      <c r="R8" s="397"/>
      <c r="S8" s="424"/>
      <c r="T8" s="425"/>
      <c r="U8" s="398"/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Cen!A127</f>
        <v>Bočnice C free, 450mm, Orion šedé</v>
      </c>
      <c r="Q9" s="127" t="str">
        <f>Cen!B127</f>
        <v>780C4502S</v>
      </c>
      <c r="R9" s="127" t="str">
        <f>Cen!C127</f>
        <v>OG-M</v>
      </c>
      <c r="S9" s="262">
        <f>SUM(H21:H22, H27:H28, H33:H34)</f>
        <v>0</v>
      </c>
      <c r="T9" s="266">
        <f>Cen!F127</f>
        <v>30.602429999999998</v>
      </c>
      <c r="U9" s="263">
        <f t="shared" ref="U9:U12" si="1">S9*T9</f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Cen!A131</f>
        <v>Bočnice C free, 500mm, Orion šedé</v>
      </c>
      <c r="Q10" s="127" t="str">
        <f>Cen!B131</f>
        <v>780C5002S</v>
      </c>
      <c r="R10" s="127" t="str">
        <f>Cen!C131</f>
        <v>OG-M</v>
      </c>
      <c r="S10" s="262">
        <f>SUM(I21:I22, I27:I28, I33:I34)</f>
        <v>0</v>
      </c>
      <c r="T10" s="266">
        <f>Cen!F131</f>
        <v>30.824969999999997</v>
      </c>
      <c r="U10" s="263">
        <f t="shared" si="1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Cen!A135</f>
        <v>Bočnice C free, 550mm, Orion šedé</v>
      </c>
      <c r="Q11" s="127" t="str">
        <f>Cen!B135</f>
        <v>780C5502S</v>
      </c>
      <c r="R11" s="127" t="str">
        <f>Cen!C135</f>
        <v>OG-M</v>
      </c>
      <c r="S11" s="262">
        <f>SUM(J21:J22, J27:J28, J33:J34)</f>
        <v>0</v>
      </c>
      <c r="T11" s="266">
        <f>Cen!F135</f>
        <v>32.604779999999998</v>
      </c>
      <c r="U11" s="263">
        <f t="shared" si="1"/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291"/>
      <c r="M12" s="119"/>
      <c r="N12" s="119"/>
      <c r="O12" s="119"/>
      <c r="P12" s="127" t="str">
        <f>Cen!A139</f>
        <v>Bočnice C free, 600mm, Orion šedé</v>
      </c>
      <c r="Q12" s="127" t="str">
        <f>Cen!B139</f>
        <v>780C6002S</v>
      </c>
      <c r="R12" s="127" t="str">
        <f>Cen!C139</f>
        <v>OG-M</v>
      </c>
      <c r="S12" s="262">
        <f>SUM(K21:K22, K27:K28, K33:K34)</f>
        <v>0</v>
      </c>
      <c r="T12" s="266">
        <f>Cen!F139</f>
        <v>35.385860000000001</v>
      </c>
      <c r="U12" s="263">
        <f t="shared" si="1"/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293"/>
      <c r="M13" s="119"/>
      <c r="N13" s="119"/>
      <c r="O13" s="119"/>
      <c r="P13" s="127" t="str">
        <f>Cen!A143</f>
        <v>Bočnice C free, 650mm, Orion šedé</v>
      </c>
      <c r="Q13" s="127" t="str">
        <f>Cen!B143</f>
        <v>780C6502S</v>
      </c>
      <c r="R13" s="127" t="str">
        <f>Cen!C143</f>
        <v>OG-M</v>
      </c>
      <c r="S13" s="262">
        <f>SUM(L21:L22, L27:L28, L33:L34)</f>
        <v>0</v>
      </c>
      <c r="T13" s="266">
        <f>Cen!F143</f>
        <v>36.432029999999997</v>
      </c>
      <c r="U13" s="263">
        <f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290"/>
      <c r="M14" s="119"/>
      <c r="N14" s="119"/>
      <c r="O14" s="119"/>
      <c r="P14" s="126"/>
      <c r="Q14" s="126"/>
      <c r="R14" s="126"/>
      <c r="S14" s="334"/>
      <c r="T14" s="401"/>
      <c r="U14" s="335"/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288"/>
      <c r="M15" s="119"/>
      <c r="N15" s="119"/>
      <c r="O15" s="119"/>
      <c r="P15" s="364" t="str">
        <f>Cen!A179</f>
        <v>Korpusové lišty BLUMOTION, 350mm, 40kg</v>
      </c>
      <c r="Q15" s="364" t="str">
        <f>Cen!B179</f>
        <v>750.3501B</v>
      </c>
      <c r="R15" s="364" t="str">
        <f>Cen!C179</f>
        <v>ZN</v>
      </c>
      <c r="S15" s="365"/>
      <c r="T15" s="366">
        <f>Cen!F179</f>
        <v>21.845690000000001</v>
      </c>
      <c r="U15" s="366">
        <f t="shared" ref="U15:U24" si="2">S15*T15</f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364" t="str">
        <f>Cen!A180</f>
        <v>Korpusové lišty BLUMOTION, 400mm, 40kg</v>
      </c>
      <c r="Q16" s="364" t="str">
        <f>Cen!B180</f>
        <v>750.4001B</v>
      </c>
      <c r="R16" s="364" t="str">
        <f>Cen!C180</f>
        <v>ZN</v>
      </c>
      <c r="S16" s="365"/>
      <c r="T16" s="366">
        <f>Cen!F180</f>
        <v>22.204979999999999</v>
      </c>
      <c r="U16" s="366">
        <f t="shared" si="2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2"/>
        <v>0</v>
      </c>
    </row>
    <row r="18" spans="1:21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2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2"/>
        <v>0</v>
      </c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5"/>
      <c r="G20" s="305"/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2"/>
        <v>0</v>
      </c>
    </row>
    <row r="21" spans="1:21" ht="14.5" thickBot="1" x14ac:dyDescent="0.35">
      <c r="A21" s="119"/>
      <c r="B21" s="297" t="s">
        <v>1152</v>
      </c>
      <c r="C21" s="298" t="s">
        <v>505</v>
      </c>
      <c r="D21" s="355"/>
      <c r="E21" s="355"/>
      <c r="F21" s="355"/>
      <c r="G21" s="355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2"/>
        <v>0</v>
      </c>
    </row>
    <row r="22" spans="1:21" ht="14" x14ac:dyDescent="0.3">
      <c r="A22" s="119"/>
      <c r="B22" s="301" t="s">
        <v>1152</v>
      </c>
      <c r="C22" s="311" t="s">
        <v>506</v>
      </c>
      <c r="D22" s="370"/>
      <c r="E22" s="370"/>
      <c r="F22" s="370"/>
      <c r="G22" s="370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2"/>
        <v>0</v>
      </c>
    </row>
    <row r="23" spans="1:21" ht="13" x14ac:dyDescent="0.3">
      <c r="A23" s="119"/>
      <c r="B23" s="287"/>
      <c r="C23" s="287"/>
      <c r="D23" s="51"/>
      <c r="E23" s="51"/>
      <c r="F23" s="51"/>
      <c r="G23" s="51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2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2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/>
      <c r="E26" s="305"/>
      <c r="F26" s="305"/>
      <c r="G26" s="305"/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852</v>
      </c>
      <c r="C27" s="298" t="s">
        <v>505</v>
      </c>
      <c r="D27" s="355"/>
      <c r="E27" s="355"/>
      <c r="F27" s="355"/>
      <c r="G27" s="355"/>
      <c r="H27" s="299"/>
      <c r="I27" s="299"/>
      <c r="J27" s="299"/>
      <c r="K27" s="300"/>
      <c r="L27" s="572"/>
      <c r="M27" s="119"/>
      <c r="N27" s="119"/>
      <c r="O27" s="119"/>
      <c r="P27" s="364" t="str">
        <f>Cen!A195</f>
        <v>Korpusové lišty TIP-ON, 350mm, 40kg</v>
      </c>
      <c r="Q27" s="364" t="str">
        <f>Cen!B195</f>
        <v>750.3501T</v>
      </c>
      <c r="R27" s="364" t="str">
        <f>Cen!C195</f>
        <v>ZN</v>
      </c>
      <c r="S27" s="365"/>
      <c r="T27" s="366">
        <f>Cen!F195</f>
        <v>30.366460000000004</v>
      </c>
      <c r="U27" s="366">
        <f t="shared" ref="U27:U36" si="3">S27*T27</f>
        <v>0</v>
      </c>
    </row>
    <row r="28" spans="1:21" ht="14" x14ac:dyDescent="0.3">
      <c r="A28" s="119"/>
      <c r="B28" s="296" t="s">
        <v>853</v>
      </c>
      <c r="C28" s="310" t="s">
        <v>506</v>
      </c>
      <c r="D28" s="370"/>
      <c r="E28" s="370"/>
      <c r="F28" s="370"/>
      <c r="G28" s="370"/>
      <c r="H28" s="303"/>
      <c r="I28" s="303"/>
      <c r="J28" s="303"/>
      <c r="K28" s="304"/>
      <c r="L28" s="304"/>
      <c r="M28" s="119"/>
      <c r="N28" s="119"/>
      <c r="O28" s="119"/>
      <c r="P28" s="364" t="str">
        <f>Cen!A196</f>
        <v>Korpusové lišty TIP-ON, 400mm, 40kg</v>
      </c>
      <c r="Q28" s="364" t="str">
        <f>Cen!B196</f>
        <v>750.4001T</v>
      </c>
      <c r="R28" s="364" t="str">
        <f>Cen!C196</f>
        <v>ZN</v>
      </c>
      <c r="S28" s="365"/>
      <c r="T28" s="366">
        <f>Cen!F196</f>
        <v>30.645720000000001</v>
      </c>
      <c r="U28" s="366">
        <f t="shared" si="3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209" t="str">
        <f>Cen!A197</f>
        <v>Korpusové lišty TIP-ON, 450mm, 40kg</v>
      </c>
      <c r="Q29" s="209" t="str">
        <f>Cen!B197</f>
        <v>750.4501T</v>
      </c>
      <c r="R29" s="209" t="str">
        <f>Cen!C197</f>
        <v>ZN</v>
      </c>
      <c r="S29" s="260">
        <f>H27</f>
        <v>0</v>
      </c>
      <c r="T29" s="261">
        <f>Cen!F197</f>
        <v>32.552599999999998</v>
      </c>
      <c r="U29" s="261">
        <f t="shared" si="3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19"/>
      <c r="N30" s="119"/>
      <c r="O30" s="119"/>
      <c r="P30" s="209" t="str">
        <f>Cen!A198</f>
        <v>Korpusové lišty TIP-ON, 450mm, 70kg</v>
      </c>
      <c r="Q30" s="209" t="str">
        <f>Cen!B198</f>
        <v>753.4501T</v>
      </c>
      <c r="R30" s="209" t="str">
        <f>Cen!C198</f>
        <v>ZN</v>
      </c>
      <c r="S30" s="260">
        <f>H28</f>
        <v>0</v>
      </c>
      <c r="T30" s="261">
        <f>Cen!F198</f>
        <v>36.006259999999997</v>
      </c>
      <c r="U30" s="261">
        <f t="shared" si="3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Cen!A199</f>
        <v>Korpusové lišty TIP-ON, 500mm, 40kg</v>
      </c>
      <c r="Q31" s="209" t="str">
        <f>Cen!B199</f>
        <v>750.5001T</v>
      </c>
      <c r="R31" s="209" t="str">
        <f>Cen!C199</f>
        <v>ZN</v>
      </c>
      <c r="S31" s="260">
        <f>I27</f>
        <v>0</v>
      </c>
      <c r="T31" s="261">
        <f>Cen!F199</f>
        <v>32.846359999999997</v>
      </c>
      <c r="U31" s="261">
        <f t="shared" si="3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/>
      <c r="E32" s="305"/>
      <c r="F32" s="305"/>
      <c r="G32" s="305"/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Cen!A200</f>
        <v>Korpusové lišty TIP-ON, 500mm, 70kg</v>
      </c>
      <c r="Q32" s="209" t="str">
        <f>Cen!B200</f>
        <v>753.5001T</v>
      </c>
      <c r="R32" s="209" t="str">
        <f>Cen!C200</f>
        <v>ZN</v>
      </c>
      <c r="S32" s="260">
        <f>I28</f>
        <v>0</v>
      </c>
      <c r="T32" s="261">
        <f>Cen!F200</f>
        <v>36.285339999999998</v>
      </c>
      <c r="U32" s="261">
        <f t="shared" si="3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355"/>
      <c r="E33" s="355"/>
      <c r="F33" s="355"/>
      <c r="G33" s="355"/>
      <c r="H33" s="299"/>
      <c r="I33" s="299"/>
      <c r="J33" s="299"/>
      <c r="K33" s="300"/>
      <c r="L33" s="572"/>
      <c r="M33" s="119"/>
      <c r="N33" s="119"/>
      <c r="P33" s="209" t="str">
        <f>Cen!A201</f>
        <v>Korpusové lišty TIP-ON, 550mm, 40kg</v>
      </c>
      <c r="Q33" s="209" t="str">
        <f>Cen!B201</f>
        <v>750.5501T</v>
      </c>
      <c r="R33" s="209" t="str">
        <f>Cen!C201</f>
        <v>ZN</v>
      </c>
      <c r="S33" s="260">
        <f>J27</f>
        <v>0</v>
      </c>
      <c r="T33" s="261">
        <f>Cen!F201</f>
        <v>32.694760000000002</v>
      </c>
      <c r="U33" s="261">
        <f t="shared" si="3"/>
        <v>0</v>
      </c>
    </row>
    <row r="34" spans="1:21" ht="14" x14ac:dyDescent="0.3">
      <c r="B34" s="296" t="s">
        <v>1188</v>
      </c>
      <c r="C34" s="310" t="s">
        <v>506</v>
      </c>
      <c r="D34" s="370"/>
      <c r="E34" s="370"/>
      <c r="F34" s="370"/>
      <c r="G34" s="370"/>
      <c r="H34" s="303"/>
      <c r="I34" s="303"/>
      <c r="J34" s="303"/>
      <c r="K34" s="304"/>
      <c r="L34" s="304"/>
      <c r="M34" s="119"/>
      <c r="N34" s="119"/>
      <c r="P34" s="209" t="str">
        <f>Cen!A202</f>
        <v>Korpusové lišty TIP-ON, 550mm, 70kg</v>
      </c>
      <c r="Q34" s="209" t="str">
        <f>Cen!B202</f>
        <v>753.5501T</v>
      </c>
      <c r="R34" s="209" t="str">
        <f>Cen!C202</f>
        <v>ZN</v>
      </c>
      <c r="S34" s="260">
        <f>J28</f>
        <v>0</v>
      </c>
      <c r="T34" s="261">
        <f>Cen!F202</f>
        <v>37.776060000000001</v>
      </c>
      <c r="U34" s="261">
        <f t="shared" si="3"/>
        <v>0</v>
      </c>
    </row>
    <row r="35" spans="1:21" ht="15.5" x14ac:dyDescent="0.3"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P35" s="209" t="str">
        <f>Cen!A203</f>
        <v>Korpusové lišty TIP-ON, 600mm, 40kg</v>
      </c>
      <c r="Q35" s="209" t="str">
        <f>Cen!B203</f>
        <v>750.6001T</v>
      </c>
      <c r="R35" s="209" t="str">
        <f>Cen!C203</f>
        <v>ZN</v>
      </c>
      <c r="S35" s="260">
        <f>K27</f>
        <v>0</v>
      </c>
      <c r="T35" s="261">
        <f>Cen!F203</f>
        <v>35.700530000000001</v>
      </c>
      <c r="U35" s="261">
        <f t="shared" si="3"/>
        <v>0</v>
      </c>
    </row>
    <row r="36" spans="1:21" ht="13" x14ac:dyDescent="0.3"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P36" s="209" t="str">
        <f>Cen!A204</f>
        <v>Korpusové lišty TIP-ON, 600mm, 70kg</v>
      </c>
      <c r="Q36" s="209" t="str">
        <f>Cen!B204</f>
        <v>753.6001T</v>
      </c>
      <c r="R36" s="209" t="str">
        <f>Cen!C204</f>
        <v>ZN</v>
      </c>
      <c r="S36" s="260">
        <f>K28</f>
        <v>0</v>
      </c>
      <c r="T36" s="261">
        <f>Cen!F204</f>
        <v>40.781829999999999</v>
      </c>
      <c r="U36" s="261">
        <f t="shared" si="3"/>
        <v>0</v>
      </c>
    </row>
    <row r="37" spans="1:21" ht="14" x14ac:dyDescent="0.3">
      <c r="B37" s="291"/>
      <c r="C37" s="291"/>
      <c r="D37" s="305"/>
      <c r="E37" s="305"/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209" t="str">
        <f>Cen!A205</f>
        <v>Korpusové lišty TIP-ON, 650mm, 70kg</v>
      </c>
      <c r="Q37" s="209" t="str">
        <f>Cen!B205</f>
        <v>753.6501T</v>
      </c>
      <c r="R37" s="209" t="str">
        <f>Cen!C205</f>
        <v>ZN</v>
      </c>
      <c r="S37" s="260">
        <f>L28</f>
        <v>0</v>
      </c>
      <c r="T37" s="261">
        <f>Cen!F205</f>
        <v>42.272550000000003</v>
      </c>
      <c r="U37" s="261">
        <f>S37*T37</f>
        <v>0</v>
      </c>
    </row>
    <row r="38" spans="1:21" ht="14.5" thickBot="1" x14ac:dyDescent="0.35">
      <c r="B38" s="179"/>
      <c r="C38" s="291"/>
      <c r="D38" s="355"/>
      <c r="E38" s="355"/>
      <c r="F38" s="299"/>
      <c r="G38" s="300"/>
      <c r="H38" s="662" t="str">
        <f>IF(SUM(F33:K33,H34:L34)=SUM(E38:G38)," ",P82)</f>
        <v xml:space="preserve"> </v>
      </c>
      <c r="I38" s="291"/>
      <c r="M38" s="119"/>
      <c r="P38" s="144"/>
      <c r="Q38" s="144"/>
      <c r="R38" s="144"/>
      <c r="S38" s="150"/>
      <c r="T38" s="154"/>
      <c r="U38" s="154"/>
    </row>
    <row r="39" spans="1:21" ht="13" x14ac:dyDescent="0.3">
      <c r="B39" s="287"/>
      <c r="C39" s="287"/>
      <c r="H39" s="291"/>
      <c r="I39" s="291"/>
      <c r="J39" s="291"/>
      <c r="K39" s="291"/>
      <c r="L39" s="291"/>
      <c r="P39" s="144"/>
      <c r="Q39" s="144"/>
      <c r="R39" s="144"/>
      <c r="S39" s="150"/>
      <c r="T39" s="154"/>
      <c r="U39" s="154"/>
    </row>
    <row r="40" spans="1:21" x14ac:dyDescent="0.25">
      <c r="P40" s="144"/>
      <c r="Q40" s="144"/>
      <c r="R40" s="144"/>
      <c r="S40" s="150"/>
      <c r="T40" s="154"/>
      <c r="U40" s="154"/>
    </row>
    <row r="41" spans="1:21" x14ac:dyDescent="0.25">
      <c r="B41" s="119" t="str">
        <f>"        "&amp;List!$B$169</f>
        <v xml:space="preserve">        Boční zásuvné prvky se načtou automaticky</v>
      </c>
      <c r="P41" s="364" t="str">
        <f>Cen!A209</f>
        <v>Korpusové lišty TIP-ON BLUMOTION, 270mm, 40kg</v>
      </c>
      <c r="Q41" s="364" t="str">
        <f>Cen!B209</f>
        <v>750.2700M</v>
      </c>
      <c r="R41" s="364" t="str">
        <f>Cen!C209</f>
        <v>ZN</v>
      </c>
      <c r="S41" s="365"/>
      <c r="T41" s="366">
        <f>Cen!F209</f>
        <v>21.925909999999998</v>
      </c>
      <c r="U41" s="366">
        <f>S41*T41</f>
        <v>0</v>
      </c>
    </row>
    <row r="42" spans="1:21" x14ac:dyDescent="0.25">
      <c r="B42" s="119" t="str">
        <f>"        "&amp;List!$B$173</f>
        <v xml:space="preserve">        Máte-li zásuvné prvky vlastní, upravte počty v objednávce</v>
      </c>
      <c r="P42" s="364" t="str">
        <f>Cen!A210</f>
        <v>Korpusové lišty TIP-ON BLUMOTION, 300mm, 40kg</v>
      </c>
      <c r="Q42" s="364" t="str">
        <f>Cen!B210</f>
        <v>750.3001M</v>
      </c>
      <c r="R42" s="364" t="str">
        <f>Cen!C210</f>
        <v>ZN</v>
      </c>
      <c r="S42" s="365"/>
      <c r="T42" s="366">
        <f>Cen!F210</f>
        <v>21.925909999999998</v>
      </c>
      <c r="U42" s="366">
        <f t="shared" ref="U42:U58" si="4">S42*T42</f>
        <v>0</v>
      </c>
    </row>
    <row r="43" spans="1:21" x14ac:dyDescent="0.25">
      <c r="P43" s="364" t="str">
        <f>Cen!A211</f>
        <v>Korpusové lišty TIP-ON BLUMOTION, 350mm, 40kg</v>
      </c>
      <c r="Q43" s="364" t="str">
        <f>Cen!B211</f>
        <v>750.3501M</v>
      </c>
      <c r="R43" s="364" t="str">
        <f>Cen!C211</f>
        <v>ZN</v>
      </c>
      <c r="S43" s="365"/>
      <c r="T43" s="366">
        <f>Cen!F211</f>
        <v>21.925909999999998</v>
      </c>
      <c r="U43" s="366">
        <f t="shared" si="4"/>
        <v>0</v>
      </c>
    </row>
    <row r="44" spans="1:21" x14ac:dyDescent="0.25">
      <c r="P44" s="364" t="str">
        <f>Cen!A212</f>
        <v>Korpusové lišty TIP-ON BLUMOTION, 400mm, 40kg</v>
      </c>
      <c r="Q44" s="364" t="str">
        <f>Cen!B212</f>
        <v>750.4001M</v>
      </c>
      <c r="R44" s="364" t="str">
        <f>Cen!C212</f>
        <v>ZN</v>
      </c>
      <c r="S44" s="365"/>
      <c r="T44" s="366">
        <f>Cen!F212</f>
        <v>22.204979999999999</v>
      </c>
      <c r="U44" s="366">
        <f t="shared" si="4"/>
        <v>0</v>
      </c>
    </row>
    <row r="45" spans="1:21" x14ac:dyDescent="0.25"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4"/>
        <v>0</v>
      </c>
    </row>
    <row r="46" spans="1:21" x14ac:dyDescent="0.25"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4"/>
        <v>0</v>
      </c>
    </row>
    <row r="47" spans="1:21" ht="13" x14ac:dyDescent="0.3"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4"/>
        <v>0</v>
      </c>
    </row>
    <row r="48" spans="1:21" ht="13" x14ac:dyDescent="0.3"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4"/>
        <v>0</v>
      </c>
    </row>
    <row r="49" spans="16:21" x14ac:dyDescent="0.25"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4"/>
        <v>0</v>
      </c>
    </row>
    <row r="50" spans="16:21" x14ac:dyDescent="0.25"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4"/>
        <v>0</v>
      </c>
    </row>
    <row r="51" spans="16:21" x14ac:dyDescent="0.25"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4"/>
        <v>0</v>
      </c>
    </row>
    <row r="52" spans="16:21" x14ac:dyDescent="0.25"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4"/>
        <v>0</v>
      </c>
    </row>
    <row r="53" spans="16:21" x14ac:dyDescent="0.25"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4"/>
        <v>0</v>
      </c>
    </row>
    <row r="54" spans="16:21" x14ac:dyDescent="0.25">
      <c r="P54" s="122"/>
      <c r="Q54" s="122"/>
      <c r="R54" s="122"/>
      <c r="S54" s="123"/>
      <c r="T54" s="118"/>
      <c r="U54" s="118"/>
    </row>
    <row r="55" spans="16:21" x14ac:dyDescent="0.25"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/>
      <c r="T55" s="118">
        <f>Cen!F223</f>
        <v>15.883479999999999</v>
      </c>
      <c r="U55" s="118">
        <f t="shared" si="4"/>
        <v>0</v>
      </c>
    </row>
    <row r="56" spans="16:21" x14ac:dyDescent="0.25"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/>
      <c r="T56" s="118">
        <f>Cen!F224</f>
        <v>15.883479999999999</v>
      </c>
      <c r="U56" s="118">
        <f t="shared" si="4"/>
        <v>0</v>
      </c>
    </row>
    <row r="57" spans="16:21" x14ac:dyDescent="0.25"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 t="shared" si="4"/>
        <v>0</v>
      </c>
    </row>
    <row r="58" spans="16:21" x14ac:dyDescent="0.25"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 t="shared" si="4"/>
        <v>0</v>
      </c>
    </row>
    <row r="59" spans="16:21" x14ac:dyDescent="0.25">
      <c r="P59" s="144"/>
      <c r="Q59" s="144"/>
      <c r="R59" s="144"/>
      <c r="S59" s="150"/>
      <c r="T59" s="154"/>
      <c r="U59" s="154"/>
    </row>
    <row r="60" spans="16:21" x14ac:dyDescent="0.25">
      <c r="P60" s="122" t="str">
        <f>Cen!A251</f>
        <v>Držáky zadní stěny M, Orion šedé</v>
      </c>
      <c r="Q60" s="122" t="str">
        <f>Cen!B251</f>
        <v>ZB7M000S</v>
      </c>
      <c r="R60" s="122" t="str">
        <f>Cen!C251</f>
        <v>OG-M</v>
      </c>
      <c r="S60" s="123">
        <f>SUM($S$3:$S$7)</f>
        <v>0</v>
      </c>
      <c r="T60" s="118">
        <f>Cen!$F251</f>
        <v>1.20011</v>
      </c>
      <c r="U60" s="118">
        <f>S60*T60</f>
        <v>0</v>
      </c>
    </row>
    <row r="61" spans="16:21" x14ac:dyDescent="0.25">
      <c r="P61" s="122" t="str">
        <f>Cen!A259</f>
        <v>Držáky zadní stěny C, Orion šedé</v>
      </c>
      <c r="Q61" s="122" t="str">
        <f>Cen!B259</f>
        <v>ZB7C000S</v>
      </c>
      <c r="R61" s="122" t="str">
        <f>Cen!C259</f>
        <v>OG-M</v>
      </c>
      <c r="S61" s="123">
        <f>SUM($S$9:$S$13)</f>
        <v>0</v>
      </c>
      <c r="T61" s="118">
        <f>Cen!$F259</f>
        <v>1.59894</v>
      </c>
      <c r="U61" s="118">
        <f>S61*T61</f>
        <v>0</v>
      </c>
    </row>
    <row r="62" spans="16:21" x14ac:dyDescent="0.25">
      <c r="P62" s="122" t="str">
        <f>Cen!A274</f>
        <v>Čelní kování M, EXPANDO</v>
      </c>
      <c r="Q62" s="122" t="str">
        <f>Cen!B274</f>
        <v>ZF7M70E2</v>
      </c>
      <c r="R62" s="122" t="str">
        <f>Cen!C274</f>
        <v>BL</v>
      </c>
      <c r="S62" s="123">
        <f>SUM($S$3:$S$7)*2</f>
        <v>0</v>
      </c>
      <c r="T62" s="118">
        <f>Cen!F274</f>
        <v>0.35138999999999998</v>
      </c>
      <c r="U62" s="118">
        <f>S62*T62</f>
        <v>0</v>
      </c>
    </row>
    <row r="63" spans="16:21" x14ac:dyDescent="0.25">
      <c r="P63" s="122" t="str">
        <f>Cen!A278</f>
        <v>Čelní kování C, EXPANDO</v>
      </c>
      <c r="Q63" s="122" t="str">
        <f>Cen!B278</f>
        <v>ZF7C70E2</v>
      </c>
      <c r="R63" s="122" t="str">
        <f>Cen!C278</f>
        <v>BL</v>
      </c>
      <c r="S63" s="123">
        <f>SUM($S$9:$S$13)*2</f>
        <v>0</v>
      </c>
      <c r="T63" s="118">
        <f>Cen!F278</f>
        <v>0.76134999999999986</v>
      </c>
      <c r="U63" s="118">
        <f>S63*T63</f>
        <v>0</v>
      </c>
    </row>
    <row r="64" spans="16:21" x14ac:dyDescent="0.25">
      <c r="P64" s="119"/>
      <c r="Q64" s="119"/>
    </row>
    <row r="65" spans="3:21" x14ac:dyDescent="0.25">
      <c r="P65" s="119"/>
      <c r="Q65" s="119"/>
    </row>
    <row r="66" spans="3:21" x14ac:dyDescent="0.25">
      <c r="P66" s="119"/>
      <c r="Q66" s="119"/>
    </row>
    <row r="67" spans="3:21" x14ac:dyDescent="0.25">
      <c r="P67" s="119"/>
      <c r="Q67" s="119"/>
    </row>
    <row r="68" spans="3:21" x14ac:dyDescent="0.25">
      <c r="P68" s="119"/>
      <c r="Q68" s="119"/>
    </row>
    <row r="69" spans="3:21" x14ac:dyDescent="0.25">
      <c r="P69" s="119"/>
      <c r="Q69" s="119"/>
    </row>
    <row r="70" spans="3:21" x14ac:dyDescent="0.25">
      <c r="P70" s="119"/>
      <c r="Q70" s="119"/>
    </row>
    <row r="71" spans="3:21" x14ac:dyDescent="0.25">
      <c r="P71" s="119"/>
      <c r="Q71" s="119"/>
    </row>
    <row r="72" spans="3:21" x14ac:dyDescent="0.25">
      <c r="P72" s="119"/>
      <c r="Q72" s="119"/>
    </row>
    <row r="73" spans="3:21" x14ac:dyDescent="0.25">
      <c r="P73" s="629" t="str">
        <f>Cen!A168</f>
        <v>Boční zásuvné prvky, sklo, pro 350 mm</v>
      </c>
      <c r="Q73" s="629" t="str">
        <f>Cen!B168</f>
        <v>ZE7S238G</v>
      </c>
      <c r="R73" s="629" t="str">
        <f>Cen!C168</f>
        <v>KLA</v>
      </c>
      <c r="S73" s="630"/>
      <c r="T73" s="631">
        <f>Cen!F168</f>
        <v>20.738469999999996</v>
      </c>
      <c r="U73" s="632">
        <f>S73*T73</f>
        <v>0</v>
      </c>
    </row>
    <row r="74" spans="3:21" x14ac:dyDescent="0.25">
      <c r="P74" s="633" t="str">
        <f>Cen!A169</f>
        <v>Boční zásuvné prvky, sklo, pro 400 mm</v>
      </c>
      <c r="Q74" s="633" t="str">
        <f>Cen!B169</f>
        <v>ZE7S288G</v>
      </c>
      <c r="R74" s="633" t="str">
        <f>Cen!C169</f>
        <v>KLA</v>
      </c>
      <c r="S74" s="634"/>
      <c r="T74" s="635">
        <f>Cen!F169</f>
        <v>21.912770000000002</v>
      </c>
      <c r="U74" s="636">
        <f t="shared" ref="U74:U79" si="5">S74*T74</f>
        <v>0</v>
      </c>
    </row>
    <row r="75" spans="3:21" x14ac:dyDescent="0.25">
      <c r="P75" s="127" t="str">
        <f>Cen!A170</f>
        <v>Boční zásuvné prvky, sklo, pro 450 mm</v>
      </c>
      <c r="Q75" s="127" t="str">
        <f>Cen!B170</f>
        <v>ZE7S338G</v>
      </c>
      <c r="R75" s="127" t="str">
        <f>Cen!C170</f>
        <v>KLA</v>
      </c>
      <c r="S75" s="262">
        <f>S9</f>
        <v>0</v>
      </c>
      <c r="T75" s="266">
        <f>Cen!F170</f>
        <v>23.087060000000001</v>
      </c>
      <c r="U75" s="263">
        <f t="shared" si="5"/>
        <v>0</v>
      </c>
    </row>
    <row r="76" spans="3:21" ht="13" x14ac:dyDescent="0.3">
      <c r="C76" s="287"/>
      <c r="G76" s="291"/>
      <c r="I76" s="288"/>
      <c r="J76" s="288"/>
      <c r="K76" s="288"/>
      <c r="L76" s="288"/>
      <c r="P76" s="127" t="str">
        <f>Cen!A171</f>
        <v>Boční zásuvné prvky, sklo, pro 500 mm</v>
      </c>
      <c r="Q76" s="127" t="str">
        <f>Cen!B171</f>
        <v>ZE7S388G</v>
      </c>
      <c r="R76" s="127" t="str">
        <f>Cen!C171</f>
        <v>KLA</v>
      </c>
      <c r="S76" s="262">
        <f>S10</f>
        <v>0</v>
      </c>
      <c r="T76" s="266">
        <f>Cen!F171</f>
        <v>24.26136</v>
      </c>
      <c r="U76" s="263">
        <f t="shared" si="5"/>
        <v>0</v>
      </c>
    </row>
    <row r="77" spans="3:21" x14ac:dyDescent="0.25">
      <c r="P77" s="127" t="str">
        <f>Cen!A172</f>
        <v>Boční zásuvné prvky, sklo, pro 550 mm</v>
      </c>
      <c r="Q77" s="127" t="str">
        <f>Cen!B172</f>
        <v>ZE7S438G</v>
      </c>
      <c r="R77" s="127" t="str">
        <f>Cen!C172</f>
        <v>KLA</v>
      </c>
      <c r="S77" s="262">
        <f>S11</f>
        <v>0</v>
      </c>
      <c r="T77" s="266">
        <f>Cen!F172</f>
        <v>26.609179999999995</v>
      </c>
      <c r="U77" s="263">
        <f t="shared" si="5"/>
        <v>0</v>
      </c>
    </row>
    <row r="78" spans="3:21" x14ac:dyDescent="0.25">
      <c r="P78" s="127" t="str">
        <f>Cen!A173</f>
        <v>Boční zásuvné prvky, sklo, pro 600 mm</v>
      </c>
      <c r="Q78" s="127" t="str">
        <f>Cen!B173</f>
        <v>ZE7S488G</v>
      </c>
      <c r="R78" s="127" t="str">
        <f>Cen!C173</f>
        <v>KLA</v>
      </c>
      <c r="S78" s="262">
        <f>S12</f>
        <v>0</v>
      </c>
      <c r="T78" s="266">
        <f>Cen!F173</f>
        <v>28.957020000000004</v>
      </c>
      <c r="U78" s="263">
        <f t="shared" si="5"/>
        <v>0</v>
      </c>
    </row>
    <row r="79" spans="3:21" ht="13" thickBot="1" x14ac:dyDescent="0.3">
      <c r="P79" s="608" t="str">
        <f>Cen!A174</f>
        <v>Boční zásuvné prvky, sklo, pro 650 mm</v>
      </c>
      <c r="Q79" s="608" t="str">
        <f>Cen!B174</f>
        <v>ZE7S538G</v>
      </c>
      <c r="R79" s="608" t="str">
        <f>Cen!C174</f>
        <v>KLA</v>
      </c>
      <c r="S79" s="609">
        <f>S13</f>
        <v>0</v>
      </c>
      <c r="T79" s="610">
        <f>Cen!F174</f>
        <v>31.304870000000001</v>
      </c>
      <c r="U79" s="611">
        <f t="shared" si="5"/>
        <v>0</v>
      </c>
    </row>
    <row r="80" spans="3:21" x14ac:dyDescent="0.25">
      <c r="P80" s="119" t="str">
        <f>List!$B$305&amp;"!"</f>
        <v>S1 pouze pro jmenovitou délku 270 a 300 mm!</v>
      </c>
      <c r="Q80" s="119"/>
    </row>
    <row r="81" spans="16:21" x14ac:dyDescent="0.25">
      <c r="P81" s="119" t="str">
        <f>List!$B$306&amp;"!"</f>
        <v>Pro výsuvy délky 270 a 300 mm vyberte jednotky S1!</v>
      </c>
      <c r="Q81" s="119"/>
      <c r="S81" s="73" t="str">
        <f>List!$B$94</f>
        <v>cena kování</v>
      </c>
      <c r="U81" s="353">
        <f>SUM(U3:U79)</f>
        <v>0</v>
      </c>
    </row>
    <row r="82" spans="16:21" x14ac:dyDescent="0.25">
      <c r="P82" s="119" t="str">
        <f>List!$B$307&amp;"!"</f>
        <v>Počet jednotek L neodpovídá počtu korpusových lišt!</v>
      </c>
    </row>
    <row r="83" spans="16:21" x14ac:dyDescent="0.25">
      <c r="P83" s="119" t="str">
        <f>List!$B$308&amp;"!"</f>
        <v>Počet jednotek S1 neodpovídá počtu korpusových lišt!</v>
      </c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19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WPvoLJMmr1TeWcQzY0QX/lUFyMrbFv6ti/QBpgvZ8Tvi26EwkVTrL+m9bY/HvHCIxz8sv80X0HCST9IPe+MVmg==" saltValue="QOx2ozMr3qExxeQQ14cZVg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CM42F'!A100" tooltip=" " display="'7CM42F'!A100"/>
    <hyperlink ref="N111" location="'7CM42F'!A1" tooltip=" " display="'7CM42F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0" tint="-0.249977111117893"/>
  </sheetPr>
  <dimension ref="A1:U52"/>
  <sheetViews>
    <sheetView showGridLines="0" showRowColHeaders="0" workbookViewId="0">
      <selection activeCell="A99" sqref="A99:A140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5" width="10.5429687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22" width="9.1796875" style="2" customWidth="1"/>
    <col min="23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List!$B$51&amp;" "&amp;List!$B$62</f>
        <v>Čelní výsuv pro úzké korpusy</v>
      </c>
      <c r="L2" s="119"/>
      <c r="M2" s="2" t="str">
        <f>List!$B$11&amp;":"</f>
        <v>Zpět na:</v>
      </c>
      <c r="N2" s="119"/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19"/>
      <c r="M3" s="151" t="str">
        <f>" "&amp;List!$B$13</f>
        <v xml:space="preserve"> Úvod</v>
      </c>
      <c r="N3" s="119"/>
      <c r="O3" s="119"/>
      <c r="P3" s="397" t="str">
        <f>Cen!A35</f>
        <v>Bočnice M 450mm, Orion šedé</v>
      </c>
      <c r="Q3" s="397" t="str">
        <f>Cen!B35</f>
        <v>770M4502S</v>
      </c>
      <c r="R3" s="397" t="str">
        <f>Cen!C35</f>
        <v>OG-M</v>
      </c>
      <c r="S3" s="262">
        <f>SUM(IF($F$23="m",$F$21,0),IF($F$24="m",$F$21,0))</f>
        <v>0</v>
      </c>
      <c r="T3" s="421">
        <f>Cen!F35</f>
        <v>19.977319999999999</v>
      </c>
      <c r="U3" s="398">
        <f t="shared" ref="U3:U15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892</v>
      </c>
      <c r="K4" s="122"/>
      <c r="L4" s="119"/>
      <c r="M4" s="152" t="str">
        <f>" "&amp;List!$B$4</f>
        <v xml:space="preserve"> Výběr zásuvek a výsuvů</v>
      </c>
      <c r="N4" s="119"/>
      <c r="O4" s="119"/>
      <c r="P4" s="397" t="str">
        <f>Cen!A39</f>
        <v>Bočnice M 500mm, Orion šedé</v>
      </c>
      <c r="Q4" s="397" t="str">
        <f>Cen!B39</f>
        <v>770M5002S</v>
      </c>
      <c r="R4" s="397" t="str">
        <f>Cen!C39</f>
        <v>OG-M</v>
      </c>
      <c r="S4" s="262">
        <f>SUM(IF($G$23="m",$G$21,0),IF($G$24="m",$G$21,0))</f>
        <v>0</v>
      </c>
      <c r="T4" s="421">
        <f>Cen!F39</f>
        <v>20.211580000000001</v>
      </c>
      <c r="U4" s="39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19"/>
      <c r="N5" s="119"/>
      <c r="O5" s="119"/>
      <c r="P5" s="397" t="str">
        <f>Cen!A43</f>
        <v>Bočnice M 550mm, Orion šedé</v>
      </c>
      <c r="Q5" s="397" t="str">
        <f>Cen!B43</f>
        <v>770M5502S</v>
      </c>
      <c r="R5" s="397" t="str">
        <f>Cen!C43</f>
        <v>OG-M</v>
      </c>
      <c r="S5" s="262">
        <f>SUM(IF($H$23="m",$H$21,0),IF($H$24="m",$H$21,0))</f>
        <v>0</v>
      </c>
      <c r="T5" s="421">
        <f>Cen!F43</f>
        <v>20.980989999999998</v>
      </c>
      <c r="U5" s="39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951</v>
      </c>
      <c r="K6" s="122"/>
      <c r="L6" s="119"/>
      <c r="M6" s="2" t="str">
        <f>List!$B$12&amp;":"</f>
        <v>Pokračovat na:</v>
      </c>
      <c r="N6" s="119"/>
      <c r="O6" s="119"/>
      <c r="P6" s="397" t="str">
        <f>Cen!A47</f>
        <v>Bočnice M 600mm, Orion šedé</v>
      </c>
      <c r="Q6" s="397" t="str">
        <f>Cen!B47</f>
        <v>770M6002S</v>
      </c>
      <c r="R6" s="397" t="str">
        <f>Cen!C47</f>
        <v>OG-M</v>
      </c>
      <c r="S6" s="262">
        <f>SUM(IF($I$23="m",$I$21,0),IF($I$24="m",$I$21,0))</f>
        <v>0</v>
      </c>
      <c r="T6" s="421">
        <f>Cen!F47</f>
        <v>23.762070000000005</v>
      </c>
      <c r="U6" s="398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19"/>
      <c r="M7" s="151" t="str">
        <f>" "&amp;List!$B$5</f>
        <v xml:space="preserve"> Výběr doplňků</v>
      </c>
      <c r="N7" s="119"/>
      <c r="O7" s="119"/>
      <c r="P7" s="399" t="str">
        <f>Cen!A51</f>
        <v>Bočnice M 650mm, Orion šedé</v>
      </c>
      <c r="Q7" s="399" t="str">
        <f>Cen!B51</f>
        <v>770M6502S</v>
      </c>
      <c r="R7" s="399" t="str">
        <f>Cen!C51</f>
        <v>OG-M</v>
      </c>
      <c r="S7" s="264">
        <f>SUM(IF($J$23="m",$J$21,0),IF($J$24="m",$J$21,0))</f>
        <v>0</v>
      </c>
      <c r="T7" s="573">
        <f>Cen!F51</f>
        <v>24.808240000000001</v>
      </c>
      <c r="U7" s="400">
        <f>S7*T7</f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$U$44</f>
        <v>0</v>
      </c>
      <c r="L8" s="119"/>
      <c r="M8" s="151" t="str">
        <f>" "&amp;List!$B$6</f>
        <v xml:space="preserve"> Výběr SERVO-DRIVE</v>
      </c>
      <c r="N8" s="119"/>
      <c r="O8" s="119"/>
      <c r="P8" s="397" t="str">
        <f>Cen!A63</f>
        <v>Bočnice K 450mm, Orion šedé</v>
      </c>
      <c r="Q8" s="397" t="str">
        <f>Cen!B63</f>
        <v>770K4502S</v>
      </c>
      <c r="R8" s="397" t="str">
        <f>Cen!C63</f>
        <v>OG-M</v>
      </c>
      <c r="S8" s="262">
        <f>SUM(IF($F$23="k",$F$21,0),IF($F$24="k",$F$21,0))</f>
        <v>0</v>
      </c>
      <c r="T8" s="421">
        <f>Cen!F63</f>
        <v>23.688369999999999</v>
      </c>
      <c r="U8" s="398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247" t="str">
        <f>" "&amp;List!$B$7</f>
        <v xml:space="preserve"> Výběr AMBIA-LINE</v>
      </c>
      <c r="N9" s="119"/>
      <c r="O9" s="119"/>
      <c r="P9" s="397" t="str">
        <f>Cen!A67</f>
        <v>Bočnice K 500mm, Orion šedé</v>
      </c>
      <c r="Q9" s="397" t="str">
        <f>Cen!B67</f>
        <v>770K5002S</v>
      </c>
      <c r="R9" s="397" t="str">
        <f>Cen!C67</f>
        <v>OG-M</v>
      </c>
      <c r="S9" s="262">
        <f>SUM(IF($G$23="k",$G$21,0),IF($G$24="k",$G$21,0))</f>
        <v>0</v>
      </c>
      <c r="T9" s="421">
        <f>Cen!F67</f>
        <v>24.013059999999999</v>
      </c>
      <c r="U9" s="398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119"/>
      <c r="M10" s="152" t="str">
        <f>" "&amp;List!$B$18</f>
        <v xml:space="preserve"> Souhrn</v>
      </c>
      <c r="N10" s="119"/>
      <c r="O10" s="119"/>
      <c r="P10" s="397" t="str">
        <f>Cen!A71</f>
        <v>Bočnice K 550mm, Orion šedé</v>
      </c>
      <c r="Q10" s="397" t="str">
        <f>Cen!B71</f>
        <v>770K5502S</v>
      </c>
      <c r="R10" s="397" t="str">
        <f>Cen!C71</f>
        <v>OG-M</v>
      </c>
      <c r="S10" s="262">
        <f>SUM(IF($H$23="k",$H$21,0),IF($H$24="k",$H$21,0))</f>
        <v>0</v>
      </c>
      <c r="T10" s="421">
        <f>Cen!F71</f>
        <v>26.612380000000002</v>
      </c>
      <c r="U10" s="398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119"/>
      <c r="M11" s="152" t="str">
        <f>" "&amp;List!$B$20</f>
        <v xml:space="preserve"> Objednávka</v>
      </c>
      <c r="N11" s="119"/>
      <c r="O11" s="119"/>
      <c r="P11" s="399"/>
      <c r="Q11" s="399"/>
      <c r="R11" s="399"/>
      <c r="S11" s="264"/>
      <c r="T11" s="399"/>
      <c r="U11" s="400"/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119"/>
      <c r="M12" s="119"/>
      <c r="N12" s="119"/>
      <c r="O12" s="119"/>
      <c r="P12" s="126" t="str">
        <f>Cen!A91</f>
        <v>Bočnice C pure, 450mm, Orion šedé</v>
      </c>
      <c r="Q12" s="126" t="str">
        <f>Cen!B91</f>
        <v>770C4502S</v>
      </c>
      <c r="R12" s="126" t="str">
        <f>Cen!C91</f>
        <v>OG-M</v>
      </c>
      <c r="S12" s="262">
        <f>SUM(IF($F$23="c",$F$21,0),IF($F$24="c",$F$21,0))</f>
        <v>0</v>
      </c>
      <c r="T12" s="401">
        <f>Cen!F91</f>
        <v>31.28134</v>
      </c>
      <c r="U12" s="335">
        <f t="shared" si="0"/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119"/>
      <c r="M13" s="119"/>
      <c r="N13" s="119"/>
      <c r="O13" s="119"/>
      <c r="P13" s="127" t="str">
        <f>Cen!A95</f>
        <v>Bočnice C pure, 500mm, Orion šedé</v>
      </c>
      <c r="Q13" s="127" t="str">
        <f>Cen!B95</f>
        <v>770C5002S</v>
      </c>
      <c r="R13" s="127" t="str">
        <f>Cen!C95</f>
        <v>OG-M</v>
      </c>
      <c r="S13" s="262">
        <f>SUM(IF($G$23="c",$G$21,0),IF($G$24="c",$G$21,0))</f>
        <v>0</v>
      </c>
      <c r="T13" s="266">
        <f>Cen!F95</f>
        <v>31.656259999999996</v>
      </c>
      <c r="U13" s="263">
        <f t="shared" si="0"/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119"/>
      <c r="M14" s="119"/>
      <c r="N14" s="119"/>
      <c r="O14" s="119"/>
      <c r="P14" s="127" t="str">
        <f>Cen!A99</f>
        <v>Bočnice C pure, 550mm, Orion šedé</v>
      </c>
      <c r="Q14" s="127" t="str">
        <f>Cen!B99</f>
        <v>770C5502S</v>
      </c>
      <c r="R14" s="127" t="str">
        <f>Cen!C99</f>
        <v>OG-M</v>
      </c>
      <c r="S14" s="262">
        <f>SUM(IF($H$23="c",$H$21,0),IF($H$24="c",$H$21,0))</f>
        <v>0</v>
      </c>
      <c r="T14" s="266">
        <f>Cen!F99</f>
        <v>31.853429999999999</v>
      </c>
      <c r="U14" s="263">
        <f t="shared" si="0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119"/>
      <c r="M15" s="119"/>
      <c r="N15" s="119"/>
      <c r="O15" s="119"/>
      <c r="P15" s="127" t="str">
        <f>Cen!A103</f>
        <v>Bočnice C pure, 600mm, Orion šedé</v>
      </c>
      <c r="Q15" s="127" t="str">
        <f>Cen!B103</f>
        <v>770C6002S</v>
      </c>
      <c r="R15" s="127" t="str">
        <f>Cen!C103</f>
        <v>OG-M</v>
      </c>
      <c r="S15" s="262">
        <f>SUM(IF($I$23="c",$I$21,0),IF($I$24="c",$I$21,0))</f>
        <v>0</v>
      </c>
      <c r="T15" s="266">
        <f>Cen!F103</f>
        <v>35.537379999999999</v>
      </c>
      <c r="U15" s="263">
        <f t="shared" si="0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19"/>
      <c r="M16" s="119"/>
      <c r="N16" s="119"/>
      <c r="O16" s="119"/>
      <c r="P16" s="206" t="str">
        <f>Cen!A107</f>
        <v>Bočnice C pure, 650mm, Orion šedé</v>
      </c>
      <c r="Q16" s="206" t="str">
        <f>Cen!B107</f>
        <v>770C6502S</v>
      </c>
      <c r="R16" s="206" t="str">
        <f>Cen!C107</f>
        <v>OG-M</v>
      </c>
      <c r="S16" s="264">
        <f>SUM(IF($J$23="c",$J$21,0),IF($J$24="c",$J$21,0))</f>
        <v>0</v>
      </c>
      <c r="T16" s="267">
        <f>Cen!F107</f>
        <v>36.783200000000001</v>
      </c>
      <c r="U16" s="265">
        <f>S16*T16</f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119"/>
      <c r="M17" s="119"/>
      <c r="N17" s="119"/>
      <c r="O17" s="119"/>
      <c r="P17" s="416" t="str">
        <f>Cen!A147</f>
        <v>Bočnice F 450mm, Orion šedé</v>
      </c>
      <c r="Q17" s="416" t="str">
        <f>Cen!B147</f>
        <v>770F4502S</v>
      </c>
      <c r="R17" s="416" t="str">
        <f>Cen!C147</f>
        <v>OG-M</v>
      </c>
      <c r="S17" s="361">
        <f>SUM(IF($F$23="f",$F$21,0),IF($F$24="f",$F$21,0))</f>
        <v>0</v>
      </c>
      <c r="T17" s="419">
        <f>Cen!F147</f>
        <v>49.551900000000003</v>
      </c>
      <c r="U17" s="417">
        <f>S17*T17</f>
        <v>0</v>
      </c>
    </row>
    <row r="18" spans="1:21" ht="15.5" x14ac:dyDescent="0.25">
      <c r="A18" s="119"/>
      <c r="C18" s="119"/>
      <c r="D18" s="119"/>
      <c r="E18" s="119"/>
      <c r="F18" s="119"/>
      <c r="G18" s="478" t="str">
        <f>IF(AND(Form!$N$2=3,OR($F$23="k",$G$23="k",$H$23="k")),List!$B$184&amp;"!"," ")</f>
        <v xml:space="preserve"> </v>
      </c>
      <c r="H18" s="290"/>
      <c r="I18" s="290"/>
      <c r="J18" s="290"/>
      <c r="K18" s="290"/>
      <c r="L18" s="119"/>
      <c r="M18" s="119"/>
      <c r="N18" s="119"/>
      <c r="O18" s="119"/>
      <c r="P18" s="360" t="str">
        <f>Cen!A151</f>
        <v>Bočnice F 500mm, Orion šedé</v>
      </c>
      <c r="Q18" s="360" t="str">
        <f>Cen!B151</f>
        <v>770F5002S</v>
      </c>
      <c r="R18" s="360" t="str">
        <f>Cen!C151</f>
        <v>OG-M</v>
      </c>
      <c r="S18" s="361">
        <f>SUM(IF($G$23="F",$G$21,0),IF($G$24="f",$G$21,0))</f>
        <v>0</v>
      </c>
      <c r="T18" s="420">
        <f>Cen!F151</f>
        <v>49.984830000000002</v>
      </c>
      <c r="U18" s="363">
        <f>S18*T18</f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119"/>
      <c r="M19" s="119"/>
      <c r="N19" s="119"/>
      <c r="O19" s="119"/>
      <c r="P19" s="360" t="str">
        <f>Cen!A155</f>
        <v>Bočnice F 550mm, Orion šedé</v>
      </c>
      <c r="Q19" s="360" t="str">
        <f>Cen!B155</f>
        <v>770F5502S</v>
      </c>
      <c r="R19" s="360" t="str">
        <f>Cen!C155</f>
        <v>OG-M</v>
      </c>
      <c r="S19" s="361">
        <f>SUM(IF($H$23="f",$H$21,0),IF($H$24="f",$H$21,0))</f>
        <v>0</v>
      </c>
      <c r="T19" s="420">
        <f>Cen!F155</f>
        <v>51.93262</v>
      </c>
      <c r="U19" s="363">
        <f>S19*T19</f>
        <v>0</v>
      </c>
    </row>
    <row r="20" spans="1:21" ht="14" x14ac:dyDescent="0.3">
      <c r="A20" s="119"/>
      <c r="B20" s="6"/>
      <c r="C20" s="320" t="str">
        <f>List!$B$115&amp;":"</f>
        <v>Jmenovitá délka:</v>
      </c>
      <c r="D20" s="308"/>
      <c r="E20" s="305"/>
      <c r="F20" s="305" t="s">
        <v>122</v>
      </c>
      <c r="G20" s="306" t="s">
        <v>617</v>
      </c>
      <c r="H20" s="305" t="s">
        <v>618</v>
      </c>
      <c r="I20" s="307" t="s">
        <v>123</v>
      </c>
      <c r="J20" s="307" t="s">
        <v>950</v>
      </c>
      <c r="K20" s="290"/>
      <c r="L20" s="119"/>
      <c r="M20" s="119"/>
      <c r="N20" s="119"/>
      <c r="O20" s="119"/>
      <c r="P20" s="360" t="str">
        <f>Cen!A159</f>
        <v>Bočnice F 600mm, Orion šedé</v>
      </c>
      <c r="Q20" s="360" t="str">
        <f>Cen!B159</f>
        <v>770F6002S</v>
      </c>
      <c r="R20" s="360" t="str">
        <f>Cen!C159</f>
        <v>OG-M</v>
      </c>
      <c r="S20" s="418">
        <f>SUM(IF($I$23="f",$I$21,0),IF($I$24="f",$I$21,0))</f>
        <v>0</v>
      </c>
      <c r="T20" s="420">
        <f>Cen!F159</f>
        <v>56.477589999999999</v>
      </c>
      <c r="U20" s="363">
        <f>S20*T20</f>
        <v>0</v>
      </c>
    </row>
    <row r="21" spans="1:21" ht="15" thickBot="1" x14ac:dyDescent="0.4">
      <c r="A21" s="119"/>
      <c r="B21" s="408"/>
      <c r="C21" s="320" t="str">
        <f>List!$B$99&amp;":"</f>
        <v>Počet skříní:</v>
      </c>
      <c r="D21" s="409"/>
      <c r="E21" s="410"/>
      <c r="F21" s="299"/>
      <c r="G21" s="299"/>
      <c r="H21" s="299"/>
      <c r="I21" s="300"/>
      <c r="J21" s="300"/>
      <c r="K21"/>
      <c r="L21" s="119"/>
      <c r="M21" s="119"/>
      <c r="N21" s="119"/>
      <c r="O21" s="119"/>
      <c r="P21" s="122"/>
      <c r="Q21" s="122"/>
      <c r="R21" s="122"/>
      <c r="S21" s="123"/>
      <c r="T21" s="117"/>
      <c r="U21" s="118"/>
    </row>
    <row r="22" spans="1:21" ht="14.5" x14ac:dyDescent="0.35">
      <c r="A22" s="119"/>
      <c r="B22"/>
      <c r="C22"/>
      <c r="D22"/>
      <c r="E22"/>
      <c r="F22" s="402"/>
      <c r="G22" s="403"/>
      <c r="H22" s="403"/>
      <c r="I22" s="404"/>
      <c r="J22" s="404"/>
      <c r="K22"/>
      <c r="L22" s="119"/>
      <c r="M22" s="119"/>
      <c r="N22" s="119"/>
      <c r="O22" s="119"/>
      <c r="P22" s="364" t="str">
        <f>Cen!A177</f>
        <v>Korpusové lišty BLUMOTION, 270mm, 40kg</v>
      </c>
      <c r="Q22" s="364" t="str">
        <f>Cen!B177</f>
        <v>750.2701B</v>
      </c>
      <c r="R22" s="364" t="str">
        <f>Cen!C177</f>
        <v>ZN</v>
      </c>
      <c r="S22" s="365">
        <f>D23</f>
        <v>0</v>
      </c>
      <c r="T22" s="366">
        <f>Cen!F177</f>
        <v>21.845690000000001</v>
      </c>
      <c r="U22" s="366">
        <f t="shared" ref="U22:U33" si="1">S22*T22</f>
        <v>0</v>
      </c>
    </row>
    <row r="23" spans="1:21" ht="15" thickBot="1" x14ac:dyDescent="0.4">
      <c r="A23" s="119"/>
      <c r="B23" s="393" t="str">
        <f>"       "&amp;List!$B$127</f>
        <v xml:space="preserve">       Bočnice nahoře</v>
      </c>
      <c r="C23" s="298"/>
      <c r="D23" s="355"/>
      <c r="E23" s="355"/>
      <c r="F23" s="483" t="s">
        <v>182</v>
      </c>
      <c r="G23" s="484" t="s">
        <v>182</v>
      </c>
      <c r="H23" s="484" t="s">
        <v>182</v>
      </c>
      <c r="I23" s="485" t="s">
        <v>182</v>
      </c>
      <c r="J23" s="485" t="s">
        <v>182</v>
      </c>
      <c r="K23" t="str">
        <f>IF(I23="k"," "&amp;List!$B$179," ")</f>
        <v xml:space="preserve"> </v>
      </c>
      <c r="L23" s="119"/>
      <c r="M23" s="119"/>
      <c r="N23" s="119"/>
      <c r="O23" s="119"/>
      <c r="P23" s="364" t="str">
        <f>Cen!A178</f>
        <v>Korpusové lišty BLUMOTION, 300mm, 40kg</v>
      </c>
      <c r="Q23" s="364" t="str">
        <f>Cen!B178</f>
        <v>750.3001B</v>
      </c>
      <c r="R23" s="364" t="str">
        <f>Cen!C178</f>
        <v>ZN</v>
      </c>
      <c r="S23" s="365">
        <f>E23</f>
        <v>0</v>
      </c>
      <c r="T23" s="366">
        <f>Cen!F178</f>
        <v>21.925909999999998</v>
      </c>
      <c r="U23" s="366">
        <f t="shared" si="1"/>
        <v>0</v>
      </c>
    </row>
    <row r="24" spans="1:21" ht="15" thickBot="1" x14ac:dyDescent="0.4">
      <c r="A24" s="119"/>
      <c r="B24" s="394" t="str">
        <f>"       "&amp;List!$B$128</f>
        <v xml:space="preserve">       Bočnice dole</v>
      </c>
      <c r="C24" s="395"/>
      <c r="D24" s="302"/>
      <c r="E24" s="302"/>
      <c r="F24" s="480" t="s">
        <v>473</v>
      </c>
      <c r="G24" s="481" t="s">
        <v>473</v>
      </c>
      <c r="H24" s="481" t="s">
        <v>473</v>
      </c>
      <c r="I24" s="482" t="s">
        <v>473</v>
      </c>
      <c r="J24" s="482" t="s">
        <v>473</v>
      </c>
      <c r="K24" t="str">
        <f>IF(I24="k"," "&amp;List!$B$179," ")</f>
        <v xml:space="preserve"> </v>
      </c>
      <c r="L24" s="119"/>
      <c r="M24" s="119"/>
      <c r="N24" s="119"/>
      <c r="O24" s="119"/>
      <c r="P24" s="364" t="str">
        <f>Cen!A179</f>
        <v>Korpusové lišty BLUMOTION, 350mm, 40kg</v>
      </c>
      <c r="Q24" s="364" t="str">
        <f>Cen!B179</f>
        <v>750.3501B</v>
      </c>
      <c r="R24" s="364" t="str">
        <f>Cen!C179</f>
        <v>ZN</v>
      </c>
      <c r="S24" s="365"/>
      <c r="T24" s="366">
        <f>Cen!F179</f>
        <v>21.845690000000001</v>
      </c>
      <c r="U24" s="366">
        <f t="shared" si="1"/>
        <v>0</v>
      </c>
    </row>
    <row r="25" spans="1:21" ht="6.75" customHeight="1" x14ac:dyDescent="0.35">
      <c r="A25" s="119"/>
      <c r="B25" s="396"/>
      <c r="C25" s="396"/>
      <c r="F25" s="405"/>
      <c r="G25" s="406"/>
      <c r="H25" s="406"/>
      <c r="I25" s="407"/>
      <c r="J25" s="407"/>
      <c r="K25"/>
      <c r="L25" s="119"/>
      <c r="M25" s="119"/>
      <c r="N25" s="119"/>
      <c r="O25" s="119"/>
      <c r="P25" s="364" t="str">
        <f>Cen!A180</f>
        <v>Korpusové lišty BLUMOTION, 400mm, 40kg</v>
      </c>
      <c r="Q25" s="364" t="str">
        <f>Cen!B180</f>
        <v>750.4001B</v>
      </c>
      <c r="R25" s="364" t="str">
        <f>Cen!C180</f>
        <v>ZN</v>
      </c>
      <c r="S25" s="365"/>
      <c r="T25" s="366">
        <f>Cen!F180</f>
        <v>22.204979999999999</v>
      </c>
      <c r="U25" s="366">
        <f t="shared" si="1"/>
        <v>0</v>
      </c>
    </row>
    <row r="26" spans="1:21" ht="13" x14ac:dyDescent="0.3">
      <c r="A26" s="119"/>
      <c r="B26" s="287"/>
      <c r="C26" s="287"/>
      <c r="E26" s="486" t="str">
        <f>List!$B$127&amp;" - "&amp;List!$B$176&amp;": "</f>
        <v xml:space="preserve">Bočnice nahoře - možnosti: </v>
      </c>
      <c r="F26" s="612" t="str">
        <f>$R$48</f>
        <v>M,K,C</v>
      </c>
      <c r="G26" s="612" t="str">
        <f>$R$48</f>
        <v>M,K,C</v>
      </c>
      <c r="H26" s="612" t="str">
        <f>$R$48</f>
        <v>M,K,C</v>
      </c>
      <c r="I26" s="612" t="str">
        <f>$S$48</f>
        <v>M,C</v>
      </c>
      <c r="J26" s="612"/>
      <c r="K26" s="290"/>
      <c r="L26" s="119"/>
      <c r="M26" s="119"/>
      <c r="N26" s="119"/>
      <c r="O26" s="119"/>
      <c r="P26" s="209" t="str">
        <f>Cen!A181</f>
        <v>Korpusové lišty BLUMOTION, 450mm, 40kg</v>
      </c>
      <c r="Q26" s="209" t="str">
        <f>Cen!B181</f>
        <v>750.4501B</v>
      </c>
      <c r="R26" s="209" t="str">
        <f>Cen!C181</f>
        <v>ZN</v>
      </c>
      <c r="S26" s="260">
        <f>F21</f>
        <v>0</v>
      </c>
      <c r="T26" s="261">
        <f>Cen!F181</f>
        <v>23.667639999999995</v>
      </c>
      <c r="U26" s="261">
        <f t="shared" si="1"/>
        <v>0</v>
      </c>
    </row>
    <row r="27" spans="1:21" ht="12.75" customHeight="1" x14ac:dyDescent="0.35">
      <c r="A27" s="119"/>
      <c r="B27" s="358"/>
      <c r="C27" s="259"/>
      <c r="D27" s="291"/>
      <c r="E27" s="291"/>
      <c r="F27" s="291"/>
      <c r="G27" s="291"/>
      <c r="H27" s="288"/>
      <c r="I27" s="288"/>
      <c r="J27" s="288"/>
      <c r="K27" s="288"/>
      <c r="L27" s="119"/>
      <c r="M27" s="119"/>
      <c r="N27" s="119"/>
      <c r="O27" s="119"/>
      <c r="P27" s="364" t="str">
        <f>Cen!A182</f>
        <v>Korpusové lišty BLUMOTION, 450mm, 70kg</v>
      </c>
      <c r="Q27" s="364" t="str">
        <f>Cen!B182</f>
        <v>753.4501B</v>
      </c>
      <c r="R27" s="364" t="str">
        <f>Cen!C182</f>
        <v>ZN</v>
      </c>
      <c r="S27" s="365"/>
      <c r="T27" s="366">
        <f>Cen!F182</f>
        <v>27.780560000000001</v>
      </c>
      <c r="U27" s="366">
        <f t="shared" si="1"/>
        <v>0</v>
      </c>
    </row>
    <row r="28" spans="1:21" ht="15.5" x14ac:dyDescent="0.35">
      <c r="A28" s="119"/>
      <c r="B28" s="391"/>
      <c r="C28" s="347"/>
      <c r="D28" s="348"/>
      <c r="E28" s="348"/>
      <c r="F28" s="423" t="str">
        <f>IF(F21&gt;0,IF(OR(F23="m",F23="k",F23="c")," ",List!$B$182)," ")</f>
        <v xml:space="preserve"> </v>
      </c>
      <c r="G28" s="348"/>
      <c r="H28" s="422" t="str">
        <f>IF(H21&gt;0,IF(OR(H23="m",H23="k",H23="c")," ",List!$B$182)," ")</f>
        <v xml:space="preserve"> </v>
      </c>
      <c r="I28" s="295"/>
      <c r="J28" s="348"/>
      <c r="K28" s="348"/>
      <c r="L28" s="119"/>
      <c r="M28" s="119"/>
      <c r="N28" s="119"/>
      <c r="O28" s="119"/>
      <c r="P28" s="209" t="str">
        <f>Cen!A183</f>
        <v>Korpusové lišty BLUMOTION, 500mm, 40kg</v>
      </c>
      <c r="Q28" s="209" t="str">
        <f>Cen!B183</f>
        <v>750.5001B</v>
      </c>
      <c r="R28" s="209" t="str">
        <f>Cen!C183</f>
        <v>ZN</v>
      </c>
      <c r="S28" s="260">
        <f>G21</f>
        <v>0</v>
      </c>
      <c r="T28" s="261">
        <f>Cen!F183</f>
        <v>22.680199999999999</v>
      </c>
      <c r="U28" s="261">
        <f t="shared" si="1"/>
        <v>0</v>
      </c>
    </row>
    <row r="29" spans="1:21" ht="15.5" x14ac:dyDescent="0.35">
      <c r="A29" s="119"/>
      <c r="B29" s="411"/>
      <c r="C29" s="348"/>
      <c r="D29" s="392"/>
      <c r="E29" s="392"/>
      <c r="F29" s="392"/>
      <c r="G29" s="423" t="str">
        <f>IF(G21&gt;0,IF(OR(G23="m",G23="k",G23="c")," ",List!$B$182)," ")</f>
        <v xml:space="preserve"> </v>
      </c>
      <c r="H29" s="295"/>
      <c r="I29" s="422" t="str">
        <f>IF(I21&gt;0,IF(OR(I23="m",I23="k",I23="c")," ",List!$B$182)," ")</f>
        <v xml:space="preserve"> </v>
      </c>
      <c r="J29" s="295"/>
      <c r="K29" s="295"/>
      <c r="L29" s="119"/>
      <c r="M29" s="119"/>
      <c r="N29" s="119"/>
      <c r="O29" s="119"/>
      <c r="P29" s="364" t="str">
        <f>Cen!A184</f>
        <v>Korpusové lišty BLUMOTION, 500mm, 70kg</v>
      </c>
      <c r="Q29" s="364" t="str">
        <f>Cen!B184</f>
        <v>753.5001B</v>
      </c>
      <c r="R29" s="364" t="str">
        <f>Cen!C184</f>
        <v>ZN</v>
      </c>
      <c r="S29" s="365"/>
      <c r="T29" s="366">
        <f>Cen!F184</f>
        <v>28.059809999999999</v>
      </c>
      <c r="U29" s="366">
        <f t="shared" si="1"/>
        <v>0</v>
      </c>
    </row>
    <row r="30" spans="1:21" ht="14" x14ac:dyDescent="0.3">
      <c r="A30" s="119"/>
      <c r="B30" s="315"/>
      <c r="D30" s="359"/>
      <c r="E30" s="359"/>
      <c r="F30" s="359"/>
      <c r="G30" s="359"/>
      <c r="H30" s="295"/>
      <c r="I30" s="295"/>
      <c r="J30" s="295"/>
      <c r="K30" s="295"/>
      <c r="L30" s="119"/>
      <c r="M30" s="119"/>
      <c r="N30" s="119"/>
      <c r="O30" s="119"/>
      <c r="P30" s="209" t="str">
        <f>Cen!A185</f>
        <v>Korpusové lišty BLUMOTION, 550mm, 40kg</v>
      </c>
      <c r="Q30" s="209" t="str">
        <f>Cen!B185</f>
        <v>750.5501B</v>
      </c>
      <c r="R30" s="209" t="str">
        <f>Cen!C185</f>
        <v>ZN</v>
      </c>
      <c r="S30" s="260">
        <f>H21</f>
        <v>0</v>
      </c>
      <c r="T30" s="261">
        <f>Cen!F185</f>
        <v>24.254210000000004</v>
      </c>
      <c r="U30" s="261">
        <f t="shared" si="1"/>
        <v>0</v>
      </c>
    </row>
    <row r="31" spans="1:21" ht="13" x14ac:dyDescent="0.3">
      <c r="A31" s="119"/>
      <c r="B31" s="294"/>
      <c r="C31" s="294"/>
      <c r="D31" s="179"/>
      <c r="E31" s="179"/>
      <c r="F31" s="179"/>
      <c r="G31" s="179"/>
      <c r="H31" s="288"/>
      <c r="I31" s="288"/>
      <c r="J31" s="288"/>
      <c r="K31" s="288"/>
      <c r="L31" s="119"/>
      <c r="M31" s="119"/>
      <c r="N31" s="119"/>
      <c r="O31" s="119"/>
      <c r="P31" s="364" t="str">
        <f>Cen!A186</f>
        <v>Korpusové lišty BLUMOTION, 550mm, 70kg</v>
      </c>
      <c r="Q31" s="364" t="str">
        <f>Cen!B186</f>
        <v>753.5501B</v>
      </c>
      <c r="R31" s="364" t="str">
        <f>Cen!C186</f>
        <v>ZN</v>
      </c>
      <c r="S31" s="365"/>
      <c r="T31" s="366">
        <f>Cen!F186</f>
        <v>29.550529999999998</v>
      </c>
      <c r="U31" s="366">
        <f t="shared" si="1"/>
        <v>0</v>
      </c>
    </row>
    <row r="32" spans="1:21" ht="14" x14ac:dyDescent="0.3">
      <c r="A32" s="119"/>
      <c r="B32" s="287"/>
      <c r="C32" s="487" t="str">
        <f>"* "&amp;List!$B$183</f>
        <v>* Výšku bočnic pro horní zásuvku lze změnit</v>
      </c>
      <c r="D32" s="119"/>
      <c r="E32" s="119"/>
      <c r="F32" s="119"/>
      <c r="G32" s="119"/>
      <c r="H32" s="144"/>
      <c r="I32" s="144"/>
      <c r="J32" s="119"/>
      <c r="K32" s="119"/>
      <c r="L32" s="119"/>
      <c r="M32" s="119"/>
      <c r="N32" s="119"/>
      <c r="O32" s="119"/>
      <c r="P32" s="209" t="str">
        <f>Cen!A187</f>
        <v>Korpusové lišty BLUMOTION, 600mm, 40kg</v>
      </c>
      <c r="Q32" s="209" t="str">
        <f>Cen!B187</f>
        <v>750.6001B</v>
      </c>
      <c r="R32" s="209" t="str">
        <f>Cen!C187</f>
        <v>ZN</v>
      </c>
      <c r="S32" s="260">
        <f>I21</f>
        <v>0</v>
      </c>
      <c r="T32" s="261">
        <f>Cen!F187</f>
        <v>27.259979999999999</v>
      </c>
      <c r="U32" s="261">
        <f t="shared" si="1"/>
        <v>0</v>
      </c>
    </row>
    <row r="33" spans="1:21" ht="13" x14ac:dyDescent="0.3">
      <c r="A33" s="119"/>
      <c r="B33" s="287"/>
      <c r="C33" s="287"/>
      <c r="H33" s="289"/>
      <c r="I33" s="289"/>
      <c r="J33" s="289"/>
      <c r="K33" s="289"/>
      <c r="L33" s="119"/>
      <c r="P33" s="364" t="str">
        <f>Cen!A188</f>
        <v>Korpusové lišty BLUMOTION, 600mm, 70kg</v>
      </c>
      <c r="Q33" s="364" t="str">
        <f>Cen!B188</f>
        <v>753.6001B</v>
      </c>
      <c r="R33" s="364" t="str">
        <f>Cen!C188</f>
        <v>ZN</v>
      </c>
      <c r="S33" s="365"/>
      <c r="T33" s="366">
        <f>Cen!F188</f>
        <v>32.5563</v>
      </c>
      <c r="U33" s="366">
        <f t="shared" si="1"/>
        <v>0</v>
      </c>
    </row>
    <row r="34" spans="1:21" ht="13" x14ac:dyDescent="0.3">
      <c r="A34" s="119"/>
      <c r="B34" s="287"/>
      <c r="C34" s="287"/>
      <c r="H34" s="289"/>
      <c r="I34" s="289"/>
      <c r="J34" s="289"/>
      <c r="K34" s="289"/>
      <c r="L34" s="119"/>
      <c r="P34" s="209" t="str">
        <f>Cen!A189</f>
        <v>Korpusové lišty BLUMOTION, 650mm, 70kg</v>
      </c>
      <c r="Q34" s="209" t="str">
        <f>Cen!B189</f>
        <v>753.6501B</v>
      </c>
      <c r="R34" s="209" t="str">
        <f>Cen!C189</f>
        <v>ZN</v>
      </c>
      <c r="S34" s="260">
        <f>J21</f>
        <v>0</v>
      </c>
      <c r="T34" s="261">
        <f>Cen!F189</f>
        <v>34.047020000000003</v>
      </c>
      <c r="U34" s="261">
        <f>S34*T34</f>
        <v>0</v>
      </c>
    </row>
    <row r="35" spans="1:21" ht="13" x14ac:dyDescent="0.3">
      <c r="B35" s="287"/>
      <c r="C35" s="287"/>
      <c r="H35" s="290"/>
      <c r="I35" s="290"/>
      <c r="J35" s="290"/>
      <c r="K35" s="290"/>
      <c r="P35" s="122"/>
      <c r="Q35" s="122"/>
      <c r="R35" s="122"/>
      <c r="S35" s="123"/>
      <c r="T35" s="118"/>
      <c r="U35" s="118"/>
    </row>
    <row r="36" spans="1:21" ht="12.75" customHeight="1" x14ac:dyDescent="0.35">
      <c r="B36" s="321"/>
      <c r="C36" s="287"/>
      <c r="H36" s="288"/>
      <c r="I36" s="288"/>
      <c r="J36" s="288"/>
      <c r="K36" s="288"/>
      <c r="P36" s="126" t="str">
        <f>Cen!A251</f>
        <v>Držáky zadní stěny M, Orion šedé</v>
      </c>
      <c r="Q36" s="126" t="str">
        <f>Cen!B251</f>
        <v>ZB7M000S</v>
      </c>
      <c r="R36" s="126" t="str">
        <f>Cen!C251</f>
        <v>OG-M</v>
      </c>
      <c r="S36" s="262">
        <f>SUM(S3:S6)</f>
        <v>0</v>
      </c>
      <c r="T36" s="126">
        <f>Cen!F251</f>
        <v>1.20011</v>
      </c>
      <c r="U36" s="335">
        <f t="shared" ref="U36:U42" si="2">S36*T36</f>
        <v>0</v>
      </c>
    </row>
    <row r="37" spans="1:21" ht="13.5" customHeight="1" x14ac:dyDescent="0.3">
      <c r="B37" s="346"/>
      <c r="C37" s="291"/>
      <c r="D37" s="347"/>
      <c r="E37" s="348"/>
      <c r="F37" s="349"/>
      <c r="G37" s="348"/>
      <c r="H37" s="348"/>
      <c r="I37" s="291"/>
      <c r="J37" s="291"/>
      <c r="K37" s="291"/>
      <c r="P37" s="127" t="str">
        <f>Cen!A255</f>
        <v>Držáky zadní stěny K, Orion šedé</v>
      </c>
      <c r="Q37" s="127" t="str">
        <f>Cen!B255</f>
        <v>ZB7K000S</v>
      </c>
      <c r="R37" s="127" t="str">
        <f>Cen!C255</f>
        <v>OG-M</v>
      </c>
      <c r="S37" s="262">
        <f>SUM(S8:S11)</f>
        <v>0</v>
      </c>
      <c r="T37" s="127">
        <f>Cen!F255</f>
        <v>1.4279500000000001</v>
      </c>
      <c r="U37" s="263">
        <f t="shared" si="2"/>
        <v>0</v>
      </c>
    </row>
    <row r="38" spans="1:21" ht="14" x14ac:dyDescent="0.3">
      <c r="B38" s="350"/>
      <c r="C38" s="291"/>
      <c r="D38" s="351"/>
      <c r="E38" s="295"/>
      <c r="F38" s="295"/>
      <c r="G38" s="295"/>
      <c r="H38" s="295"/>
      <c r="I38" s="289"/>
      <c r="J38" s="289"/>
      <c r="K38" s="289"/>
      <c r="P38" s="127" t="str">
        <f>Cen!A259</f>
        <v>Držáky zadní stěny C, Orion šedé</v>
      </c>
      <c r="Q38" s="127" t="str">
        <f>Cen!B259</f>
        <v>ZB7C000S</v>
      </c>
      <c r="R38" s="127" t="str">
        <f>Cen!C259</f>
        <v>OG-M</v>
      </c>
      <c r="S38" s="262">
        <f>SUM(S12:S15)</f>
        <v>0</v>
      </c>
      <c r="T38" s="127">
        <f>Cen!F259</f>
        <v>1.59894</v>
      </c>
      <c r="U38" s="263">
        <f t="shared" si="2"/>
        <v>0</v>
      </c>
    </row>
    <row r="39" spans="1:21" ht="14" x14ac:dyDescent="0.3">
      <c r="B39" s="350"/>
      <c r="C39" s="291"/>
      <c r="D39" s="351"/>
      <c r="E39" s="295"/>
      <c r="F39" s="295"/>
      <c r="G39" s="295"/>
      <c r="H39" s="295"/>
      <c r="I39" s="289"/>
      <c r="J39" s="289"/>
      <c r="K39" s="289"/>
      <c r="P39" s="464" t="str">
        <f>Cen!A263</f>
        <v>Držáky zadní stěny F, Orion šedé</v>
      </c>
      <c r="Q39" s="464" t="str">
        <f>Cen!B263</f>
        <v>ZB7F000S</v>
      </c>
      <c r="R39" s="464" t="str">
        <f>Cen!C263</f>
        <v>OG-M</v>
      </c>
      <c r="S39" s="465">
        <f>SUM(S17:S20)</f>
        <v>0</v>
      </c>
      <c r="T39" s="464">
        <f>Cen!F263</f>
        <v>3.3417300000000001</v>
      </c>
      <c r="U39" s="466">
        <f t="shared" si="2"/>
        <v>0</v>
      </c>
    </row>
    <row r="40" spans="1:21" ht="14" x14ac:dyDescent="0.3">
      <c r="B40" s="315"/>
      <c r="C40" s="316"/>
      <c r="D40" s="295"/>
      <c r="E40" s="295"/>
      <c r="F40" s="295"/>
      <c r="G40" s="295"/>
      <c r="I40" s="290"/>
      <c r="J40" s="290"/>
      <c r="K40" s="290"/>
      <c r="P40" s="126" t="str">
        <f>Cen!A274</f>
        <v>Čelní kování M, EXPANDO</v>
      </c>
      <c r="Q40" s="126" t="str">
        <f>Cen!B274</f>
        <v>ZF7M70E2</v>
      </c>
      <c r="R40" s="126" t="str">
        <f>Cen!C274</f>
        <v>BL</v>
      </c>
      <c r="S40" s="334">
        <f>SUM(S3:S6,S17:S20)*2</f>
        <v>0</v>
      </c>
      <c r="T40" s="126">
        <f>Cen!F274</f>
        <v>0.35138999999999998</v>
      </c>
      <c r="U40" s="335">
        <f t="shared" si="2"/>
        <v>0</v>
      </c>
    </row>
    <row r="41" spans="1:21" ht="13" x14ac:dyDescent="0.3">
      <c r="B41" s="287"/>
      <c r="C41" s="287"/>
      <c r="H41" s="288"/>
      <c r="I41" s="288"/>
      <c r="J41" s="288"/>
      <c r="K41" s="288"/>
      <c r="P41" s="127" t="str">
        <f>Cen!A276</f>
        <v>Čelní kování K, EXPANDO</v>
      </c>
      <c r="Q41" s="127" t="str">
        <f>Cen!B276</f>
        <v>ZF7K70E2</v>
      </c>
      <c r="R41" s="127" t="str">
        <f>Cen!C276</f>
        <v>BL</v>
      </c>
      <c r="S41" s="262">
        <f>SUM(S8:S11)*2</f>
        <v>0</v>
      </c>
      <c r="T41" s="127">
        <f>Cen!F276</f>
        <v>0.59467999999999999</v>
      </c>
      <c r="U41" s="263">
        <f t="shared" si="2"/>
        <v>0</v>
      </c>
    </row>
    <row r="42" spans="1:21" ht="13" x14ac:dyDescent="0.3">
      <c r="B42" s="287"/>
      <c r="C42" s="287"/>
      <c r="H42" s="291"/>
      <c r="I42" s="291"/>
      <c r="J42" s="291"/>
      <c r="K42" s="291"/>
      <c r="P42" s="206" t="str">
        <f>Cen!A278</f>
        <v>Čelní kování C, EXPANDO</v>
      </c>
      <c r="Q42" s="206" t="str">
        <f>Cen!B278</f>
        <v>ZF7C70E2</v>
      </c>
      <c r="R42" s="206" t="str">
        <f>Cen!C278</f>
        <v>BL</v>
      </c>
      <c r="S42" s="264">
        <f>SUM(S12:S15,S17:S20)*2</f>
        <v>0</v>
      </c>
      <c r="T42" s="206">
        <f>Cen!F278</f>
        <v>0.76134999999999986</v>
      </c>
      <c r="U42" s="265">
        <f t="shared" si="2"/>
        <v>0</v>
      </c>
    </row>
    <row r="43" spans="1:21" x14ac:dyDescent="0.25">
      <c r="P43" s="119"/>
      <c r="Q43" s="119"/>
    </row>
    <row r="44" spans="1:21" x14ac:dyDescent="0.25">
      <c r="P44" s="119"/>
      <c r="Q44" s="119"/>
      <c r="S44" s="73" t="str">
        <f>List!$B$94</f>
        <v>cena kování</v>
      </c>
      <c r="U44" s="353">
        <f>SUM(U3:U43)</f>
        <v>0</v>
      </c>
    </row>
    <row r="45" spans="1:21" x14ac:dyDescent="0.25">
      <c r="P45" s="119"/>
      <c r="Q45" s="119"/>
    </row>
    <row r="46" spans="1:21" x14ac:dyDescent="0.25">
      <c r="P46" s="119"/>
      <c r="Q46" s="119"/>
    </row>
    <row r="47" spans="1:21" x14ac:dyDescent="0.25">
      <c r="P47" s="119"/>
      <c r="Q47" s="119"/>
    </row>
    <row r="48" spans="1:21" x14ac:dyDescent="0.25">
      <c r="P48" s="119"/>
      <c r="Q48" s="119"/>
      <c r="R48" s="2" t="s">
        <v>891</v>
      </c>
      <c r="S48" s="2" t="s">
        <v>892</v>
      </c>
    </row>
    <row r="49" spans="16:17" x14ac:dyDescent="0.25">
      <c r="P49" s="119"/>
      <c r="Q49" s="119"/>
    </row>
    <row r="50" spans="16:17" x14ac:dyDescent="0.25">
      <c r="P50" s="119"/>
      <c r="Q50" s="119"/>
    </row>
    <row r="51" spans="16:17" x14ac:dyDescent="0.25">
      <c r="P51" s="119"/>
      <c r="Q51" s="119"/>
    </row>
    <row r="52" spans="16:17" x14ac:dyDescent="0.25">
      <c r="P52" s="119"/>
      <c r="Q52" s="119"/>
    </row>
  </sheetData>
  <sheetProtection password="CF3A" sheet="1" objects="1" scenarios="1"/>
  <phoneticPr fontId="51" type="noConversion"/>
  <hyperlinks>
    <hyperlink ref="M3" location="Form!A1" tooltip=" " display="Form!A1"/>
    <hyperlink ref="M4" location="Menu!A1" tooltip=" " display="Menu!A1"/>
    <hyperlink ref="M7" location="Acs!A1" tooltip=" " display="Acs!A1"/>
    <hyperlink ref="M8" location="SD!A1" tooltip=" " display="SD!A1"/>
    <hyperlink ref="M10" location="Sum!A1" tooltip=" " display="Sum!A1"/>
    <hyperlink ref="M11" location="Ord!A1" tooltip=" " display="Ord!A1"/>
    <hyperlink ref="M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>
    <tabColor theme="5" tint="0.39997558519241921"/>
  </sheetPr>
  <dimension ref="A1:U60"/>
  <sheetViews>
    <sheetView showGridLines="0" showRowColHeaders="0" workbookViewId="0">
      <selection activeCell="M13" sqref="M13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5" width="10.5429687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22" width="9.1796875" style="2" customWidth="1"/>
    <col min="23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List!$B$51&amp;" "&amp;List!$B$62</f>
        <v>Čelní výsuv pro úzké korpusy</v>
      </c>
      <c r="L2" s="119"/>
      <c r="M2" s="2" t="str">
        <f>List!$B$11&amp;":"</f>
        <v>Zpět na:</v>
      </c>
      <c r="N2" s="119"/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19"/>
      <c r="M3" s="151" t="str">
        <f>" "&amp;List!$B$13</f>
        <v xml:space="preserve"> Úvod</v>
      </c>
      <c r="N3" s="119"/>
      <c r="O3" s="119"/>
      <c r="P3" s="397" t="str">
        <f>Cen!A35</f>
        <v>Bočnice M 450mm, Orion šedé</v>
      </c>
      <c r="Q3" s="397" t="str">
        <f>Cen!B35</f>
        <v>770M4502S</v>
      </c>
      <c r="R3" s="397" t="str">
        <f>Cen!C35</f>
        <v>OG-M</v>
      </c>
      <c r="S3" s="262">
        <f>SUM(IF($F$23="m",$F$21,0),IF($F$24="m",$F$21,0))</f>
        <v>0</v>
      </c>
      <c r="T3" s="397">
        <f>Cen!F35</f>
        <v>19.977319999999999</v>
      </c>
      <c r="U3" s="398">
        <f t="shared" ref="U3:U15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892</v>
      </c>
      <c r="K4" s="122"/>
      <c r="L4" s="119"/>
      <c r="M4" s="152" t="str">
        <f>" "&amp;List!$B$4</f>
        <v xml:space="preserve"> Výběr zásuvek a výsuvů</v>
      </c>
      <c r="N4" s="119"/>
      <c r="O4" s="119"/>
      <c r="P4" s="397" t="str">
        <f>Cen!A39</f>
        <v>Bočnice M 500mm, Orion šedé</v>
      </c>
      <c r="Q4" s="397" t="str">
        <f>Cen!B39</f>
        <v>770M5002S</v>
      </c>
      <c r="R4" s="397" t="str">
        <f>Cen!C39</f>
        <v>OG-M</v>
      </c>
      <c r="S4" s="262">
        <f>SUM(IF($G$23="m",$G$21,0),IF($G$24="m",$G$21,0))</f>
        <v>0</v>
      </c>
      <c r="T4" s="397">
        <f>Cen!F39</f>
        <v>20.211580000000001</v>
      </c>
      <c r="U4" s="39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19"/>
      <c r="N5" s="119"/>
      <c r="O5" s="119"/>
      <c r="P5" s="397" t="str">
        <f>Cen!A43</f>
        <v>Bočnice M 550mm, Orion šedé</v>
      </c>
      <c r="Q5" s="397" t="str">
        <f>Cen!B43</f>
        <v>770M5502S</v>
      </c>
      <c r="R5" s="397" t="str">
        <f>Cen!C43</f>
        <v>OG-M</v>
      </c>
      <c r="S5" s="262">
        <f>SUM(IF($H$23="m",$H$21,0),IF($H$24="m",$H$21,0))</f>
        <v>0</v>
      </c>
      <c r="T5" s="397">
        <f>Cen!F43</f>
        <v>20.980989999999998</v>
      </c>
      <c r="U5" s="39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952</v>
      </c>
      <c r="K6" s="122"/>
      <c r="L6" s="119"/>
      <c r="M6" s="2" t="str">
        <f>List!$B$12&amp;":"</f>
        <v>Pokračovat na:</v>
      </c>
      <c r="N6" s="119"/>
      <c r="O6" s="119"/>
      <c r="P6" s="397" t="str">
        <f>Cen!A47</f>
        <v>Bočnice M 600mm, Orion šedé</v>
      </c>
      <c r="Q6" s="397" t="str">
        <f>Cen!B47</f>
        <v>770M6002S</v>
      </c>
      <c r="R6" s="397" t="str">
        <f>Cen!C47</f>
        <v>OG-M</v>
      </c>
      <c r="S6" s="262">
        <f>SUM(IF($I$23="m",$I$21,0),IF($I$24="m",$I$21,0))</f>
        <v>0</v>
      </c>
      <c r="T6" s="397">
        <f>Cen!F47</f>
        <v>23.762070000000005</v>
      </c>
      <c r="U6" s="398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19"/>
      <c r="M7" s="151" t="str">
        <f>" "&amp;List!$B$5</f>
        <v xml:space="preserve"> Výběr doplňků</v>
      </c>
      <c r="N7" s="119"/>
      <c r="O7" s="119"/>
      <c r="P7" s="399" t="str">
        <f>Cen!A51</f>
        <v>Bočnice M 650mm, Orion šedé</v>
      </c>
      <c r="Q7" s="399" t="str">
        <f>Cen!B51</f>
        <v>770M6502S</v>
      </c>
      <c r="R7" s="399" t="str">
        <f>Cen!C51</f>
        <v>OG-M</v>
      </c>
      <c r="S7" s="264">
        <f>SUM(IF($J$23="m",$J$21,0),IF($J$24="m",$J$21,0))</f>
        <v>0</v>
      </c>
      <c r="T7" s="573">
        <f>Cen!F51</f>
        <v>24.808240000000001</v>
      </c>
      <c r="U7" s="400">
        <f>S7*T7</f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$U$55</f>
        <v>0</v>
      </c>
      <c r="L8" s="119"/>
      <c r="M8" s="151" t="str">
        <f>" "&amp;List!$B$6</f>
        <v xml:space="preserve"> Výběr SERVO-DRIVE</v>
      </c>
      <c r="N8" s="119"/>
      <c r="O8" s="119"/>
      <c r="P8" s="397" t="str">
        <f>Cen!A63</f>
        <v>Bočnice K 450mm, Orion šedé</v>
      </c>
      <c r="Q8" s="397" t="str">
        <f>Cen!B63</f>
        <v>770K4502S</v>
      </c>
      <c r="R8" s="397" t="str">
        <f>Cen!C63</f>
        <v>OG-M</v>
      </c>
      <c r="S8" s="262">
        <f>SUM(IF($F$23="k",$F$21,0),IF($F$24="k",$F$21,0))</f>
        <v>0</v>
      </c>
      <c r="T8" s="421">
        <f>Cen!F63</f>
        <v>23.688369999999999</v>
      </c>
      <c r="U8" s="398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247" t="str">
        <f>" "&amp;List!$B$7</f>
        <v xml:space="preserve"> Výběr AMBIA-LINE</v>
      </c>
      <c r="N9" s="119"/>
      <c r="O9" s="119"/>
      <c r="P9" s="397" t="str">
        <f>Cen!A67</f>
        <v>Bočnice K 500mm, Orion šedé</v>
      </c>
      <c r="Q9" s="397" t="str">
        <f>Cen!B67</f>
        <v>770K5002S</v>
      </c>
      <c r="R9" s="397" t="str">
        <f>Cen!C67</f>
        <v>OG-M</v>
      </c>
      <c r="S9" s="262">
        <f>SUM(IF($G$23="k",$G$21,0),IF($G$24="k",$G$21,0))</f>
        <v>0</v>
      </c>
      <c r="T9" s="421">
        <f>Cen!F67</f>
        <v>24.013059999999999</v>
      </c>
      <c r="U9" s="398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119"/>
      <c r="M10" s="152" t="str">
        <f>" "&amp;List!$B$18</f>
        <v xml:space="preserve"> Souhrn</v>
      </c>
      <c r="N10" s="119"/>
      <c r="O10" s="119"/>
      <c r="P10" s="397" t="str">
        <f>Cen!A71</f>
        <v>Bočnice K 550mm, Orion šedé</v>
      </c>
      <c r="Q10" s="397" t="str">
        <f>Cen!B71</f>
        <v>770K5502S</v>
      </c>
      <c r="R10" s="397" t="str">
        <f>Cen!C71</f>
        <v>OG-M</v>
      </c>
      <c r="S10" s="262">
        <f>SUM(IF($H$23="k",$H$21,0),IF($H$24="k",$H$21,0))</f>
        <v>0</v>
      </c>
      <c r="T10" s="421">
        <f>Cen!F71</f>
        <v>26.612380000000002</v>
      </c>
      <c r="U10" s="398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119"/>
      <c r="M11" s="152" t="str">
        <f>" "&amp;List!$B$20</f>
        <v xml:space="preserve"> Objednávka</v>
      </c>
      <c r="N11" s="119"/>
      <c r="O11" s="119"/>
      <c r="P11" s="399"/>
      <c r="Q11" s="399"/>
      <c r="R11" s="399"/>
      <c r="S11" s="264"/>
      <c r="T11" s="399"/>
      <c r="U11" s="400"/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119"/>
      <c r="M12" s="119"/>
      <c r="N12" s="119"/>
      <c r="O12" s="119"/>
      <c r="P12" s="126" t="str">
        <f>Cen!A127</f>
        <v>Bočnice C free, 450mm, Orion šedé</v>
      </c>
      <c r="Q12" s="126" t="str">
        <f>Cen!B127</f>
        <v>780C4502S</v>
      </c>
      <c r="R12" s="126" t="str">
        <f>Cen!C127</f>
        <v>OG-M</v>
      </c>
      <c r="S12" s="262">
        <f>SUM(IF($F$23="c",$F$21,0),IF($F$24="c",$F$21,0))</f>
        <v>0</v>
      </c>
      <c r="T12" s="401">
        <f>Cen!F127</f>
        <v>30.602429999999998</v>
      </c>
      <c r="U12" s="335">
        <f t="shared" si="0"/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119"/>
      <c r="M13" s="119"/>
      <c r="N13" s="119"/>
      <c r="O13" s="119"/>
      <c r="P13" s="127" t="str">
        <f>Cen!A131</f>
        <v>Bočnice C free, 500mm, Orion šedé</v>
      </c>
      <c r="Q13" s="127" t="str">
        <f>Cen!B131</f>
        <v>780C5002S</v>
      </c>
      <c r="R13" s="127" t="str">
        <f>Cen!C131</f>
        <v>OG-M</v>
      </c>
      <c r="S13" s="262">
        <f>SUM(IF($G$23="c",$G$21,0),IF($G$24="c",$G$21,0))</f>
        <v>0</v>
      </c>
      <c r="T13" s="266">
        <f>Cen!F131</f>
        <v>30.824969999999997</v>
      </c>
      <c r="U13" s="263">
        <f t="shared" si="0"/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119"/>
      <c r="M14" s="119"/>
      <c r="N14" s="119"/>
      <c r="O14" s="119"/>
      <c r="P14" s="127" t="str">
        <f>Cen!A135</f>
        <v>Bočnice C free, 550mm, Orion šedé</v>
      </c>
      <c r="Q14" s="127" t="str">
        <f>Cen!B135</f>
        <v>780C5502S</v>
      </c>
      <c r="R14" s="127" t="str">
        <f>Cen!C135</f>
        <v>OG-M</v>
      </c>
      <c r="S14" s="262">
        <f>SUM(IF($H$23="c",$H$21,0),IF($H$24="c",$H$21,0))</f>
        <v>0</v>
      </c>
      <c r="T14" s="266">
        <f>Cen!F135</f>
        <v>32.604779999999998</v>
      </c>
      <c r="U14" s="263">
        <f t="shared" si="0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119"/>
      <c r="M15" s="119"/>
      <c r="N15" s="119"/>
      <c r="O15" s="119"/>
      <c r="P15" s="127" t="str">
        <f>Cen!A139</f>
        <v>Bočnice C free, 600mm, Orion šedé</v>
      </c>
      <c r="Q15" s="127" t="str">
        <f>Cen!B139</f>
        <v>780C6002S</v>
      </c>
      <c r="R15" s="127" t="str">
        <f>Cen!C139</f>
        <v>OG-M</v>
      </c>
      <c r="S15" s="262">
        <f>SUM(IF($I$23="c",$I$21,0),IF($I$24="c",$I$21,0))</f>
        <v>0</v>
      </c>
      <c r="T15" s="266">
        <f>Cen!F139</f>
        <v>35.385860000000001</v>
      </c>
      <c r="U15" s="263">
        <f t="shared" si="0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19"/>
      <c r="M16" s="119"/>
      <c r="N16" s="119"/>
      <c r="O16" s="119"/>
      <c r="P16" s="206" t="str">
        <f>Cen!A143</f>
        <v>Bočnice C free, 650mm, Orion šedé</v>
      </c>
      <c r="Q16" s="206" t="str">
        <f>Cen!B143</f>
        <v>780C6502S</v>
      </c>
      <c r="R16" s="206" t="str">
        <f>Cen!C143</f>
        <v>OG-M</v>
      </c>
      <c r="S16" s="264">
        <f>SUM(IF($J$23="c",$J$21,0),IF($J$24="c",$J$21,0))</f>
        <v>0</v>
      </c>
      <c r="T16" s="267">
        <f>Cen!F143</f>
        <v>36.432029999999997</v>
      </c>
      <c r="U16" s="265">
        <f>S16*T16</f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119"/>
      <c r="M17" s="119"/>
      <c r="N17" s="119"/>
      <c r="O17" s="119"/>
      <c r="P17" s="416" t="str">
        <f>Cen!A147</f>
        <v>Bočnice F 450mm, Orion šedé</v>
      </c>
      <c r="Q17" s="416" t="str">
        <f>Cen!B147</f>
        <v>770F4502S</v>
      </c>
      <c r="R17" s="416" t="str">
        <f>Cen!C147</f>
        <v>OG-M</v>
      </c>
      <c r="S17" s="361">
        <f>SUM(IF($F$23="f",$F$21,0),IF($F$24="f",$F$21,0))</f>
        <v>0</v>
      </c>
      <c r="T17" s="419">
        <f>Cen!F147</f>
        <v>49.551900000000003</v>
      </c>
      <c r="U17" s="417">
        <f>S17*T17</f>
        <v>0</v>
      </c>
    </row>
    <row r="18" spans="1:21" ht="15.5" x14ac:dyDescent="0.25">
      <c r="A18" s="119"/>
      <c r="C18" s="119"/>
      <c r="D18" s="119"/>
      <c r="E18" s="119"/>
      <c r="F18" s="119"/>
      <c r="G18" s="478" t="str">
        <f>IF(AND(Form!$N$2=3,OR($F$23="k",$G$23="k",$H$23="k")),List!$B$184&amp;"!"," ")</f>
        <v xml:space="preserve"> </v>
      </c>
      <c r="H18" s="290"/>
      <c r="I18" s="290"/>
      <c r="J18" s="290"/>
      <c r="K18" s="290"/>
      <c r="L18" s="119"/>
      <c r="M18" s="119"/>
      <c r="N18" s="119"/>
      <c r="O18" s="119"/>
      <c r="P18" s="360" t="str">
        <f>Cen!A151</f>
        <v>Bočnice F 500mm, Orion šedé</v>
      </c>
      <c r="Q18" s="360" t="str">
        <f>Cen!B151</f>
        <v>770F5002S</v>
      </c>
      <c r="R18" s="360" t="str">
        <f>Cen!C151</f>
        <v>OG-M</v>
      </c>
      <c r="S18" s="361">
        <f>SUM(IF($G$23="F",$G$21,0),IF($G$24="f",$G$21,0))</f>
        <v>0</v>
      </c>
      <c r="T18" s="420">
        <f>Cen!F151</f>
        <v>49.984830000000002</v>
      </c>
      <c r="U18" s="363">
        <f>S18*T18</f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119"/>
      <c r="M19" s="119"/>
      <c r="N19" s="119"/>
      <c r="O19" s="119"/>
      <c r="P19" s="360" t="str">
        <f>Cen!A155</f>
        <v>Bočnice F 550mm, Orion šedé</v>
      </c>
      <c r="Q19" s="360" t="str">
        <f>Cen!B155</f>
        <v>770F5502S</v>
      </c>
      <c r="R19" s="360" t="str">
        <f>Cen!C155</f>
        <v>OG-M</v>
      </c>
      <c r="S19" s="361">
        <f>SUM(IF($H$23="f",$H$21,0),IF($H$24="f",$H$21,0))</f>
        <v>0</v>
      </c>
      <c r="T19" s="420">
        <f>Cen!F155</f>
        <v>51.93262</v>
      </c>
      <c r="U19" s="363">
        <f>S19*T19</f>
        <v>0</v>
      </c>
    </row>
    <row r="20" spans="1:21" ht="14" x14ac:dyDescent="0.3">
      <c r="A20" s="119"/>
      <c r="B20" s="6"/>
      <c r="C20" s="320" t="str">
        <f>List!$B$115&amp;":"</f>
        <v>Jmenovitá délka:</v>
      </c>
      <c r="D20" s="308"/>
      <c r="E20" s="305"/>
      <c r="F20" s="305" t="s">
        <v>122</v>
      </c>
      <c r="G20" s="306" t="s">
        <v>617</v>
      </c>
      <c r="H20" s="305" t="s">
        <v>618</v>
      </c>
      <c r="I20" s="307" t="s">
        <v>123</v>
      </c>
      <c r="J20" s="307" t="s">
        <v>950</v>
      </c>
      <c r="K20" s="290"/>
      <c r="L20" s="119"/>
      <c r="M20" s="119"/>
      <c r="N20" s="119"/>
      <c r="O20" s="119"/>
      <c r="P20" s="360" t="str">
        <f>Cen!A159</f>
        <v>Bočnice F 600mm, Orion šedé</v>
      </c>
      <c r="Q20" s="360" t="str">
        <f>Cen!B159</f>
        <v>770F6002S</v>
      </c>
      <c r="R20" s="360" t="str">
        <f>Cen!C159</f>
        <v>OG-M</v>
      </c>
      <c r="S20" s="418">
        <f>SUM(IF($I$23="f",$I$21,0),IF($I$24="f",$I$21,0))</f>
        <v>0</v>
      </c>
      <c r="T20" s="420">
        <f>Cen!F159</f>
        <v>56.477589999999999</v>
      </c>
      <c r="U20" s="363">
        <f>S20*T20</f>
        <v>0</v>
      </c>
    </row>
    <row r="21" spans="1:21" ht="15" thickBot="1" x14ac:dyDescent="0.4">
      <c r="A21" s="119"/>
      <c r="B21" s="408"/>
      <c r="C21" s="320" t="str">
        <f>List!$B$99&amp;":"</f>
        <v>Počet skříní:</v>
      </c>
      <c r="D21" s="410"/>
      <c r="E21" s="410"/>
      <c r="F21" s="299"/>
      <c r="G21" s="299"/>
      <c r="H21" s="299"/>
      <c r="I21" s="300"/>
      <c r="J21" s="300"/>
      <c r="K21"/>
      <c r="L21" s="119"/>
      <c r="M21" s="119"/>
      <c r="N21" s="119"/>
      <c r="O21" s="119"/>
      <c r="P21" s="122"/>
      <c r="Q21" s="122"/>
      <c r="R21" s="122"/>
      <c r="S21" s="123"/>
      <c r="T21" s="117"/>
      <c r="U21" s="118"/>
    </row>
    <row r="22" spans="1:21" ht="14.5" x14ac:dyDescent="0.35">
      <c r="A22" s="119"/>
      <c r="B22"/>
      <c r="C22"/>
      <c r="D22"/>
      <c r="E22"/>
      <c r="F22" s="402"/>
      <c r="G22" s="403"/>
      <c r="H22" s="403"/>
      <c r="I22" s="404"/>
      <c r="J22" s="404"/>
      <c r="K22"/>
      <c r="L22" s="119"/>
      <c r="M22" s="119"/>
      <c r="N22" s="119"/>
      <c r="O22" s="119"/>
      <c r="P22" s="364" t="str">
        <f>Cen!A177</f>
        <v>Korpusové lišty BLUMOTION, 270mm, 40kg</v>
      </c>
      <c r="Q22" s="364" t="str">
        <f>Cen!B177</f>
        <v>750.2701B</v>
      </c>
      <c r="R22" s="364" t="str">
        <f>Cen!C177</f>
        <v>ZN</v>
      </c>
      <c r="S22" s="365">
        <f>D23</f>
        <v>0</v>
      </c>
      <c r="T22" s="366">
        <f>Cen!F177</f>
        <v>21.845690000000001</v>
      </c>
      <c r="U22" s="366">
        <f t="shared" ref="U22:U33" si="1">S22*T22</f>
        <v>0</v>
      </c>
    </row>
    <row r="23" spans="1:21" ht="15" thickBot="1" x14ac:dyDescent="0.4">
      <c r="A23" s="119"/>
      <c r="B23" s="393" t="str">
        <f>"       "&amp;List!$B$127</f>
        <v xml:space="preserve">       Bočnice nahoře</v>
      </c>
      <c r="C23" s="298"/>
      <c r="D23" s="355"/>
      <c r="E23" s="355"/>
      <c r="F23" s="483" t="s">
        <v>182</v>
      </c>
      <c r="G23" s="484" t="s">
        <v>182</v>
      </c>
      <c r="H23" s="484" t="s">
        <v>182</v>
      </c>
      <c r="I23" s="485" t="s">
        <v>182</v>
      </c>
      <c r="J23" s="485" t="s">
        <v>182</v>
      </c>
      <c r="K23" t="str">
        <f>IF(I23="k"," "&amp;List!$B$179," ")</f>
        <v xml:space="preserve"> </v>
      </c>
      <c r="L23" s="119"/>
      <c r="M23" s="119"/>
      <c r="N23" s="119"/>
      <c r="O23" s="119"/>
      <c r="P23" s="364" t="str">
        <f>Cen!A178</f>
        <v>Korpusové lišty BLUMOTION, 300mm, 40kg</v>
      </c>
      <c r="Q23" s="364" t="str">
        <f>Cen!B178</f>
        <v>750.3001B</v>
      </c>
      <c r="R23" s="364" t="str">
        <f>Cen!C178</f>
        <v>ZN</v>
      </c>
      <c r="S23" s="365">
        <f>E23</f>
        <v>0</v>
      </c>
      <c r="T23" s="366">
        <f>Cen!F178</f>
        <v>21.925909999999998</v>
      </c>
      <c r="U23" s="366">
        <f t="shared" si="1"/>
        <v>0</v>
      </c>
    </row>
    <row r="24" spans="1:21" ht="15" thickBot="1" x14ac:dyDescent="0.4">
      <c r="A24" s="119"/>
      <c r="B24" s="394" t="str">
        <f>"       "&amp;List!$B$128</f>
        <v xml:space="preserve">       Bočnice dole</v>
      </c>
      <c r="C24" s="395"/>
      <c r="D24" s="302"/>
      <c r="E24" s="302"/>
      <c r="F24" s="480" t="s">
        <v>473</v>
      </c>
      <c r="G24" s="481" t="s">
        <v>473</v>
      </c>
      <c r="H24" s="481" t="s">
        <v>473</v>
      </c>
      <c r="I24" s="482" t="s">
        <v>473</v>
      </c>
      <c r="J24" s="482" t="s">
        <v>473</v>
      </c>
      <c r="K24" t="str">
        <f>IF(I24="k"," "&amp;List!$B$179," ")</f>
        <v xml:space="preserve"> </v>
      </c>
      <c r="L24" s="119"/>
      <c r="M24" s="119"/>
      <c r="N24" s="119"/>
      <c r="O24" s="119"/>
      <c r="P24" s="364" t="str">
        <f>Cen!A179</f>
        <v>Korpusové lišty BLUMOTION, 350mm, 40kg</v>
      </c>
      <c r="Q24" s="364" t="str">
        <f>Cen!B179</f>
        <v>750.3501B</v>
      </c>
      <c r="R24" s="364" t="str">
        <f>Cen!C179</f>
        <v>ZN</v>
      </c>
      <c r="S24" s="365"/>
      <c r="T24" s="366">
        <f>Cen!F179</f>
        <v>21.845690000000001</v>
      </c>
      <c r="U24" s="366">
        <f t="shared" si="1"/>
        <v>0</v>
      </c>
    </row>
    <row r="25" spans="1:21" ht="6.75" customHeight="1" x14ac:dyDescent="0.35">
      <c r="A25" s="119"/>
      <c r="B25" s="396"/>
      <c r="C25" s="396"/>
      <c r="F25" s="405"/>
      <c r="G25" s="406"/>
      <c r="H25" s="406"/>
      <c r="I25" s="407"/>
      <c r="J25" s="407"/>
      <c r="K25"/>
      <c r="L25" s="119"/>
      <c r="M25" s="119"/>
      <c r="N25" s="119"/>
      <c r="O25" s="119"/>
      <c r="P25" s="364" t="str">
        <f>Cen!A180</f>
        <v>Korpusové lišty BLUMOTION, 400mm, 40kg</v>
      </c>
      <c r="Q25" s="364" t="str">
        <f>Cen!B180</f>
        <v>750.4001B</v>
      </c>
      <c r="R25" s="364" t="str">
        <f>Cen!C180</f>
        <v>ZN</v>
      </c>
      <c r="S25" s="365"/>
      <c r="T25" s="366">
        <f>Cen!F180</f>
        <v>22.204979999999999</v>
      </c>
      <c r="U25" s="366">
        <f t="shared" si="1"/>
        <v>0</v>
      </c>
    </row>
    <row r="26" spans="1:21" ht="13" x14ac:dyDescent="0.3">
      <c r="A26" s="119"/>
      <c r="B26" s="287"/>
      <c r="C26" s="287"/>
      <c r="E26" s="486" t="str">
        <f>List!$B$127&amp;" - "&amp;List!$B$176&amp;": "</f>
        <v xml:space="preserve">Bočnice nahoře - možnosti: </v>
      </c>
      <c r="F26" s="612" t="str">
        <f>$R$57</f>
        <v>M,K,C</v>
      </c>
      <c r="G26" s="612" t="str">
        <f>$R$57</f>
        <v>M,K,C</v>
      </c>
      <c r="H26" s="612" t="str">
        <f>$R$57</f>
        <v>M,K,C</v>
      </c>
      <c r="I26" s="612" t="str">
        <f>$S$57</f>
        <v>M,C</v>
      </c>
      <c r="J26" s="612"/>
      <c r="K26" s="290"/>
      <c r="L26" s="119"/>
      <c r="M26" s="119"/>
      <c r="N26" s="119"/>
      <c r="O26" s="119"/>
      <c r="P26" s="209" t="str">
        <f>Cen!A181</f>
        <v>Korpusové lišty BLUMOTION, 450mm, 40kg</v>
      </c>
      <c r="Q26" s="209" t="str">
        <f>Cen!B181</f>
        <v>750.4501B</v>
      </c>
      <c r="R26" s="209" t="str">
        <f>Cen!C181</f>
        <v>ZN</v>
      </c>
      <c r="S26" s="260">
        <f>F21</f>
        <v>0</v>
      </c>
      <c r="T26" s="261">
        <f>Cen!F181</f>
        <v>23.667639999999995</v>
      </c>
      <c r="U26" s="261">
        <f t="shared" si="1"/>
        <v>0</v>
      </c>
    </row>
    <row r="27" spans="1:21" ht="12.75" customHeight="1" x14ac:dyDescent="0.35">
      <c r="A27" s="119"/>
      <c r="B27" s="358"/>
      <c r="C27" s="259"/>
      <c r="D27" s="291"/>
      <c r="E27" s="291"/>
      <c r="F27" s="291"/>
      <c r="G27" s="291"/>
      <c r="H27" s="288"/>
      <c r="I27" s="288"/>
      <c r="J27" s="288"/>
      <c r="K27" s="288"/>
      <c r="L27" s="119"/>
      <c r="M27" s="119"/>
      <c r="N27" s="119"/>
      <c r="O27" s="119"/>
      <c r="P27" s="364" t="str">
        <f>Cen!A182</f>
        <v>Korpusové lišty BLUMOTION, 450mm, 70kg</v>
      </c>
      <c r="Q27" s="364" t="str">
        <f>Cen!B182</f>
        <v>753.4501B</v>
      </c>
      <c r="R27" s="364" t="str">
        <f>Cen!C182</f>
        <v>ZN</v>
      </c>
      <c r="S27" s="365"/>
      <c r="T27" s="366">
        <f>Cen!F182</f>
        <v>27.780560000000001</v>
      </c>
      <c r="U27" s="366">
        <f t="shared" si="1"/>
        <v>0</v>
      </c>
    </row>
    <row r="28" spans="1:21" ht="14" x14ac:dyDescent="0.3">
      <c r="A28" s="119"/>
      <c r="B28" s="119" t="str">
        <f>"        "&amp;List!$B$169</f>
        <v xml:space="preserve">        Boční zásuvné prvky se načtou automaticky</v>
      </c>
      <c r="C28" s="347"/>
      <c r="D28" s="348"/>
      <c r="E28" s="348"/>
      <c r="F28" s="423" t="str">
        <f>IF(F21&gt;0,IF(OR(F23="m",F23="k",F23="c")," ",List!$B$182)," ")</f>
        <v xml:space="preserve"> </v>
      </c>
      <c r="G28" s="348"/>
      <c r="H28" s="422" t="str">
        <f>IF(H21&gt;0,IF(OR(H23="m",H23="k",H23="c")," ",List!$B$182)," ")</f>
        <v xml:space="preserve"> </v>
      </c>
      <c r="I28" s="295"/>
      <c r="J28" s="348"/>
      <c r="K28" s="348"/>
      <c r="L28" s="119"/>
      <c r="M28" s="119"/>
      <c r="N28" s="119"/>
      <c r="O28" s="119"/>
      <c r="P28" s="209" t="str">
        <f>Cen!A183</f>
        <v>Korpusové lišty BLUMOTION, 500mm, 40kg</v>
      </c>
      <c r="Q28" s="209" t="str">
        <f>Cen!B183</f>
        <v>750.5001B</v>
      </c>
      <c r="R28" s="209" t="str">
        <f>Cen!C183</f>
        <v>ZN</v>
      </c>
      <c r="S28" s="260">
        <f>G21</f>
        <v>0</v>
      </c>
      <c r="T28" s="261">
        <f>Cen!F183</f>
        <v>22.680199999999999</v>
      </c>
      <c r="U28" s="261">
        <f t="shared" si="1"/>
        <v>0</v>
      </c>
    </row>
    <row r="29" spans="1:21" ht="14" x14ac:dyDescent="0.3">
      <c r="A29" s="119"/>
      <c r="B29" s="119" t="str">
        <f>"        "&amp;List!$B$173</f>
        <v xml:space="preserve">        Máte-li zásuvné prvky vlastní, upravte počty v objednávce</v>
      </c>
      <c r="C29" s="348"/>
      <c r="D29" s="392"/>
      <c r="E29" s="392"/>
      <c r="F29" s="392"/>
      <c r="G29" s="423" t="str">
        <f>IF(G21&gt;0,IF(OR(G23="m",G23="k",G23="c")," ",List!$B$182)," ")</f>
        <v xml:space="preserve"> </v>
      </c>
      <c r="H29" s="295"/>
      <c r="I29" s="422" t="str">
        <f>IF(I21&gt;0,IF(OR(I23="m",I23="k",I23="c")," ",List!$B$182)," ")</f>
        <v xml:space="preserve"> </v>
      </c>
      <c r="J29" s="295"/>
      <c r="K29" s="295"/>
      <c r="L29" s="119"/>
      <c r="M29" s="119"/>
      <c r="N29" s="119"/>
      <c r="O29" s="119"/>
      <c r="P29" s="364" t="str">
        <f>Cen!A184</f>
        <v>Korpusové lišty BLUMOTION, 500mm, 70kg</v>
      </c>
      <c r="Q29" s="364" t="str">
        <f>Cen!B184</f>
        <v>753.5001B</v>
      </c>
      <c r="R29" s="364" t="str">
        <f>Cen!C184</f>
        <v>ZN</v>
      </c>
      <c r="S29" s="365"/>
      <c r="T29" s="366">
        <f>Cen!F184</f>
        <v>28.059809999999999</v>
      </c>
      <c r="U29" s="366">
        <f t="shared" si="1"/>
        <v>0</v>
      </c>
    </row>
    <row r="30" spans="1:21" ht="14" x14ac:dyDescent="0.3">
      <c r="A30" s="119"/>
      <c r="B30" s="315"/>
      <c r="D30" s="359"/>
      <c r="E30" s="359"/>
      <c r="F30" s="359"/>
      <c r="G30" s="359"/>
      <c r="H30" s="295"/>
      <c r="I30" s="295"/>
      <c r="J30" s="295"/>
      <c r="K30" s="295"/>
      <c r="L30" s="119"/>
      <c r="M30" s="119"/>
      <c r="N30" s="119"/>
      <c r="O30" s="119"/>
      <c r="P30" s="209" t="str">
        <f>Cen!A185</f>
        <v>Korpusové lišty BLUMOTION, 550mm, 40kg</v>
      </c>
      <c r="Q30" s="209" t="str">
        <f>Cen!B185</f>
        <v>750.5501B</v>
      </c>
      <c r="R30" s="209" t="str">
        <f>Cen!C185</f>
        <v>ZN</v>
      </c>
      <c r="S30" s="260">
        <f>H21</f>
        <v>0</v>
      </c>
      <c r="T30" s="261">
        <f>Cen!F185</f>
        <v>24.254210000000004</v>
      </c>
      <c r="U30" s="261">
        <f t="shared" si="1"/>
        <v>0</v>
      </c>
    </row>
    <row r="31" spans="1:21" ht="13" x14ac:dyDescent="0.3">
      <c r="A31" s="119"/>
      <c r="B31" s="294"/>
      <c r="C31" s="294"/>
      <c r="D31" s="179"/>
      <c r="E31" s="179"/>
      <c r="F31" s="179"/>
      <c r="G31" s="179"/>
      <c r="H31" s="288"/>
      <c r="I31" s="288"/>
      <c r="J31" s="288"/>
      <c r="K31" s="288"/>
      <c r="L31" s="119"/>
      <c r="M31" s="119"/>
      <c r="N31" s="119"/>
      <c r="O31" s="119"/>
      <c r="P31" s="364" t="str">
        <f>Cen!A186</f>
        <v>Korpusové lišty BLUMOTION, 550mm, 70kg</v>
      </c>
      <c r="Q31" s="364" t="str">
        <f>Cen!B186</f>
        <v>753.5501B</v>
      </c>
      <c r="R31" s="364" t="str">
        <f>Cen!C186</f>
        <v>ZN</v>
      </c>
      <c r="S31" s="365"/>
      <c r="T31" s="366">
        <f>Cen!F186</f>
        <v>29.550529999999998</v>
      </c>
      <c r="U31" s="366">
        <f t="shared" si="1"/>
        <v>0</v>
      </c>
    </row>
    <row r="32" spans="1:21" ht="14" x14ac:dyDescent="0.3">
      <c r="A32" s="119"/>
      <c r="B32" s="287"/>
      <c r="C32" s="487" t="str">
        <f>"* "&amp;List!$B$183</f>
        <v>* Výšku bočnic pro horní zásuvku lze změnit</v>
      </c>
      <c r="D32" s="119"/>
      <c r="E32" s="119"/>
      <c r="F32" s="119"/>
      <c r="G32" s="119"/>
      <c r="H32" s="144"/>
      <c r="I32" s="144"/>
      <c r="J32" s="119"/>
      <c r="K32" s="119"/>
      <c r="L32" s="119"/>
      <c r="M32" s="119"/>
      <c r="N32" s="119"/>
      <c r="O32" s="119"/>
      <c r="P32" s="209" t="str">
        <f>Cen!A187</f>
        <v>Korpusové lišty BLUMOTION, 600mm, 40kg</v>
      </c>
      <c r="Q32" s="209" t="str">
        <f>Cen!B187</f>
        <v>750.6001B</v>
      </c>
      <c r="R32" s="209" t="str">
        <f>Cen!C187</f>
        <v>ZN</v>
      </c>
      <c r="S32" s="260">
        <f>I21</f>
        <v>0</v>
      </c>
      <c r="T32" s="261">
        <f>Cen!F187</f>
        <v>27.259979999999999</v>
      </c>
      <c r="U32" s="261">
        <f t="shared" si="1"/>
        <v>0</v>
      </c>
    </row>
    <row r="33" spans="1:21" ht="13" x14ac:dyDescent="0.3">
      <c r="A33" s="119"/>
      <c r="B33" s="287"/>
      <c r="C33" s="287"/>
      <c r="H33" s="289"/>
      <c r="I33" s="289"/>
      <c r="J33" s="289"/>
      <c r="K33" s="289"/>
      <c r="L33" s="119"/>
      <c r="P33" s="364" t="str">
        <f>Cen!A188</f>
        <v>Korpusové lišty BLUMOTION, 600mm, 70kg</v>
      </c>
      <c r="Q33" s="364" t="str">
        <f>Cen!B188</f>
        <v>753.6001B</v>
      </c>
      <c r="R33" s="364" t="str">
        <f>Cen!C188</f>
        <v>ZN</v>
      </c>
      <c r="S33" s="365"/>
      <c r="T33" s="366">
        <f>Cen!F188</f>
        <v>32.5563</v>
      </c>
      <c r="U33" s="366">
        <f t="shared" si="1"/>
        <v>0</v>
      </c>
    </row>
    <row r="34" spans="1:21" ht="13" x14ac:dyDescent="0.3">
      <c r="A34" s="119"/>
      <c r="B34" s="287"/>
      <c r="C34" s="287"/>
      <c r="H34" s="289"/>
      <c r="I34" s="289"/>
      <c r="J34" s="289"/>
      <c r="K34" s="289"/>
      <c r="L34" s="119"/>
      <c r="P34" s="209" t="str">
        <f>Cen!A189</f>
        <v>Korpusové lišty BLUMOTION, 650mm, 70kg</v>
      </c>
      <c r="Q34" s="209" t="str">
        <f>Cen!B189</f>
        <v>753.6501B</v>
      </c>
      <c r="R34" s="209" t="str">
        <f>Cen!C189</f>
        <v>ZN</v>
      </c>
      <c r="S34" s="260">
        <f>J21</f>
        <v>0</v>
      </c>
      <c r="T34" s="261">
        <f>Cen!F189</f>
        <v>34.047020000000003</v>
      </c>
      <c r="U34" s="261">
        <f>S34*T34</f>
        <v>0</v>
      </c>
    </row>
    <row r="35" spans="1:21" ht="13" x14ac:dyDescent="0.3">
      <c r="B35" s="287"/>
      <c r="C35" s="287"/>
      <c r="H35" s="290"/>
      <c r="I35" s="290"/>
      <c r="J35" s="290"/>
      <c r="K35" s="290"/>
      <c r="P35" s="122"/>
      <c r="Q35" s="122"/>
      <c r="R35" s="122"/>
      <c r="S35" s="123"/>
      <c r="T35" s="118"/>
      <c r="U35" s="118"/>
    </row>
    <row r="36" spans="1:21" ht="12.75" customHeight="1" x14ac:dyDescent="0.35">
      <c r="B36" s="321"/>
      <c r="C36" s="287"/>
      <c r="H36" s="288"/>
      <c r="I36" s="288"/>
      <c r="J36" s="288"/>
      <c r="K36" s="288"/>
      <c r="P36" s="126" t="str">
        <f>Cen!A251</f>
        <v>Držáky zadní stěny M, Orion šedé</v>
      </c>
      <c r="Q36" s="126" t="str">
        <f>Cen!B251</f>
        <v>ZB7M000S</v>
      </c>
      <c r="R36" s="126" t="str">
        <f>Cen!C251</f>
        <v>OG-M</v>
      </c>
      <c r="S36" s="262">
        <f>SUM(S3:S6)</f>
        <v>0</v>
      </c>
      <c r="T36" s="126">
        <f>Cen!F251</f>
        <v>1.20011</v>
      </c>
      <c r="U36" s="335">
        <f t="shared" ref="U36:U42" si="2">S36*T36</f>
        <v>0</v>
      </c>
    </row>
    <row r="37" spans="1:21" ht="13.5" customHeight="1" x14ac:dyDescent="0.3">
      <c r="B37" s="346"/>
      <c r="C37" s="291"/>
      <c r="D37" s="347"/>
      <c r="E37" s="348"/>
      <c r="F37" s="349"/>
      <c r="G37" s="348"/>
      <c r="H37" s="348"/>
      <c r="I37" s="291"/>
      <c r="J37" s="291"/>
      <c r="K37" s="291"/>
      <c r="P37" s="127" t="str">
        <f>Cen!A255</f>
        <v>Držáky zadní stěny K, Orion šedé</v>
      </c>
      <c r="Q37" s="127" t="str">
        <f>Cen!B255</f>
        <v>ZB7K000S</v>
      </c>
      <c r="R37" s="127" t="str">
        <f>Cen!C255</f>
        <v>OG-M</v>
      </c>
      <c r="S37" s="262">
        <f>SUM(S8:S11)</f>
        <v>0</v>
      </c>
      <c r="T37" s="127">
        <f>Cen!F255</f>
        <v>1.4279500000000001</v>
      </c>
      <c r="U37" s="263">
        <f t="shared" si="2"/>
        <v>0</v>
      </c>
    </row>
    <row r="38" spans="1:21" ht="14" x14ac:dyDescent="0.3">
      <c r="B38" s="350"/>
      <c r="C38" s="291"/>
      <c r="D38" s="351"/>
      <c r="E38" s="295"/>
      <c r="F38" s="295"/>
      <c r="G38" s="295"/>
      <c r="H38" s="295"/>
      <c r="I38" s="289"/>
      <c r="J38" s="289"/>
      <c r="K38" s="289"/>
      <c r="P38" s="127" t="str">
        <f>Cen!A259</f>
        <v>Držáky zadní stěny C, Orion šedé</v>
      </c>
      <c r="Q38" s="127" t="str">
        <f>Cen!B259</f>
        <v>ZB7C000S</v>
      </c>
      <c r="R38" s="127" t="str">
        <f>Cen!C259</f>
        <v>OG-M</v>
      </c>
      <c r="S38" s="262">
        <f>SUM(S12:S15)</f>
        <v>0</v>
      </c>
      <c r="T38" s="127">
        <f>Cen!F259</f>
        <v>1.59894</v>
      </c>
      <c r="U38" s="263">
        <f t="shared" si="2"/>
        <v>0</v>
      </c>
    </row>
    <row r="39" spans="1:21" ht="14" x14ac:dyDescent="0.3">
      <c r="B39" s="350"/>
      <c r="C39" s="291"/>
      <c r="D39" s="351"/>
      <c r="E39" s="295"/>
      <c r="F39" s="295"/>
      <c r="G39" s="295"/>
      <c r="H39" s="295"/>
      <c r="I39" s="289"/>
      <c r="J39" s="289"/>
      <c r="K39" s="289"/>
      <c r="P39" s="464" t="str">
        <f>Cen!A263</f>
        <v>Držáky zadní stěny F, Orion šedé</v>
      </c>
      <c r="Q39" s="464" t="str">
        <f>Cen!B263</f>
        <v>ZB7F000S</v>
      </c>
      <c r="R39" s="464" t="str">
        <f>Cen!C263</f>
        <v>OG-M</v>
      </c>
      <c r="S39" s="465">
        <f>SUM(S17:S20)</f>
        <v>0</v>
      </c>
      <c r="T39" s="464">
        <f>Cen!F263</f>
        <v>3.3417300000000001</v>
      </c>
      <c r="U39" s="466">
        <f t="shared" si="2"/>
        <v>0</v>
      </c>
    </row>
    <row r="40" spans="1:21" ht="14" x14ac:dyDescent="0.3">
      <c r="B40" s="315"/>
      <c r="C40" s="316"/>
      <c r="D40" s="295"/>
      <c r="E40" s="295"/>
      <c r="F40" s="295"/>
      <c r="G40" s="295"/>
      <c r="I40" s="290"/>
      <c r="J40" s="290"/>
      <c r="K40" s="290"/>
      <c r="P40" s="126" t="str">
        <f>Cen!A274</f>
        <v>Čelní kování M, EXPANDO</v>
      </c>
      <c r="Q40" s="126" t="str">
        <f>Cen!B274</f>
        <v>ZF7M70E2</v>
      </c>
      <c r="R40" s="126" t="str">
        <f>Cen!C274</f>
        <v>BL</v>
      </c>
      <c r="S40" s="334">
        <f>SUM(S3:S6,S17:S20)*2</f>
        <v>0</v>
      </c>
      <c r="T40" s="126">
        <f>Cen!F274</f>
        <v>0.35138999999999998</v>
      </c>
      <c r="U40" s="335">
        <f t="shared" si="2"/>
        <v>0</v>
      </c>
    </row>
    <row r="41" spans="1:21" ht="13" x14ac:dyDescent="0.3">
      <c r="B41" s="287"/>
      <c r="C41" s="287"/>
      <c r="H41" s="288"/>
      <c r="I41" s="288"/>
      <c r="J41" s="288"/>
      <c r="K41" s="288"/>
      <c r="P41" s="127" t="str">
        <f>Cen!A276</f>
        <v>Čelní kování K, EXPANDO</v>
      </c>
      <c r="Q41" s="127" t="str">
        <f>Cen!B276</f>
        <v>ZF7K70E2</v>
      </c>
      <c r="R41" s="127" t="str">
        <f>Cen!C276</f>
        <v>BL</v>
      </c>
      <c r="S41" s="262">
        <f>SUM(S8:S11)*2</f>
        <v>0</v>
      </c>
      <c r="T41" s="127">
        <f>Cen!F276</f>
        <v>0.59467999999999999</v>
      </c>
      <c r="U41" s="263">
        <f t="shared" si="2"/>
        <v>0</v>
      </c>
    </row>
    <row r="42" spans="1:21" ht="13" x14ac:dyDescent="0.3">
      <c r="B42" s="287"/>
      <c r="C42" s="287"/>
      <c r="H42" s="291"/>
      <c r="I42" s="291"/>
      <c r="J42" s="291"/>
      <c r="K42" s="291"/>
      <c r="P42" s="206" t="str">
        <f>Cen!A278</f>
        <v>Čelní kování C, EXPANDO</v>
      </c>
      <c r="Q42" s="206" t="str">
        <f>Cen!B278</f>
        <v>ZF7C70E2</v>
      </c>
      <c r="R42" s="206" t="str">
        <f>Cen!C278</f>
        <v>BL</v>
      </c>
      <c r="S42" s="264">
        <f>SUM(S12:S15,S17:S20)*2</f>
        <v>0</v>
      </c>
      <c r="T42" s="206">
        <f>Cen!F278</f>
        <v>0.76134999999999986</v>
      </c>
      <c r="U42" s="265">
        <f t="shared" si="2"/>
        <v>0</v>
      </c>
    </row>
    <row r="43" spans="1:21" x14ac:dyDescent="0.25">
      <c r="P43" s="119"/>
      <c r="Q43" s="119"/>
    </row>
    <row r="44" spans="1:21" x14ac:dyDescent="0.25">
      <c r="P44" s="119"/>
      <c r="Q44" s="119"/>
    </row>
    <row r="45" spans="1:21" x14ac:dyDescent="0.25">
      <c r="P45" s="119"/>
      <c r="Q45" s="119"/>
    </row>
    <row r="46" spans="1:21" x14ac:dyDescent="0.25">
      <c r="Q46" s="119"/>
      <c r="R46" s="119"/>
    </row>
    <row r="47" spans="1:21" x14ac:dyDescent="0.25">
      <c r="P47" s="621" t="str">
        <f>Cen!A168</f>
        <v>Boční zásuvné prvky, sklo, pro 350 mm</v>
      </c>
      <c r="Q47" s="621" t="str">
        <f>Cen!B168</f>
        <v>ZE7S238G</v>
      </c>
      <c r="R47" s="621" t="str">
        <f>Cen!C168</f>
        <v>KLA</v>
      </c>
      <c r="S47" s="622"/>
      <c r="T47" s="623">
        <f>Cen!F168</f>
        <v>20.738469999999996</v>
      </c>
      <c r="U47" s="624">
        <f>S47*T47</f>
        <v>0</v>
      </c>
    </row>
    <row r="48" spans="1:21" x14ac:dyDescent="0.25">
      <c r="P48" s="625" t="str">
        <f>Cen!A169</f>
        <v>Boční zásuvné prvky, sklo, pro 400 mm</v>
      </c>
      <c r="Q48" s="625" t="str">
        <f>Cen!B169</f>
        <v>ZE7S288G</v>
      </c>
      <c r="R48" s="625" t="str">
        <f>Cen!C169</f>
        <v>KLA</v>
      </c>
      <c r="S48" s="626"/>
      <c r="T48" s="627">
        <f>Cen!F169</f>
        <v>21.912770000000002</v>
      </c>
      <c r="U48" s="628">
        <f t="shared" ref="U48:U53" si="3">S48*T48</f>
        <v>0</v>
      </c>
    </row>
    <row r="49" spans="16:21" x14ac:dyDescent="0.25">
      <c r="P49" s="127" t="str">
        <f>Cen!A170</f>
        <v>Boční zásuvné prvky, sklo, pro 450 mm</v>
      </c>
      <c r="Q49" s="127" t="str">
        <f>Cen!B170</f>
        <v>ZE7S338G</v>
      </c>
      <c r="R49" s="127" t="str">
        <f>Cen!C170</f>
        <v>KLA</v>
      </c>
      <c r="S49" s="262">
        <f>S12</f>
        <v>0</v>
      </c>
      <c r="T49" s="266">
        <f>Cen!F170</f>
        <v>23.087060000000001</v>
      </c>
      <c r="U49" s="263">
        <f t="shared" si="3"/>
        <v>0</v>
      </c>
    </row>
    <row r="50" spans="16:21" x14ac:dyDescent="0.25">
      <c r="P50" s="127" t="str">
        <f>Cen!A171</f>
        <v>Boční zásuvné prvky, sklo, pro 500 mm</v>
      </c>
      <c r="Q50" s="127" t="str">
        <f>Cen!B171</f>
        <v>ZE7S388G</v>
      </c>
      <c r="R50" s="127" t="str">
        <f>Cen!C171</f>
        <v>KLA</v>
      </c>
      <c r="S50" s="262">
        <f>S13</f>
        <v>0</v>
      </c>
      <c r="T50" s="266">
        <f>Cen!F171</f>
        <v>24.26136</v>
      </c>
      <c r="U50" s="263">
        <f t="shared" si="3"/>
        <v>0</v>
      </c>
    </row>
    <row r="51" spans="16:21" x14ac:dyDescent="0.25">
      <c r="P51" s="127" t="str">
        <f>Cen!A172</f>
        <v>Boční zásuvné prvky, sklo, pro 550 mm</v>
      </c>
      <c r="Q51" s="127" t="str">
        <f>Cen!B172</f>
        <v>ZE7S438G</v>
      </c>
      <c r="R51" s="127" t="str">
        <f>Cen!C172</f>
        <v>KLA</v>
      </c>
      <c r="S51" s="262">
        <f>S14</f>
        <v>0</v>
      </c>
      <c r="T51" s="266">
        <f>Cen!F172</f>
        <v>26.609179999999995</v>
      </c>
      <c r="U51" s="263">
        <f t="shared" si="3"/>
        <v>0</v>
      </c>
    </row>
    <row r="52" spans="16:21" x14ac:dyDescent="0.25">
      <c r="P52" s="127" t="str">
        <f>Cen!A173</f>
        <v>Boční zásuvné prvky, sklo, pro 600 mm</v>
      </c>
      <c r="Q52" s="127" t="str">
        <f>Cen!B173</f>
        <v>ZE7S488G</v>
      </c>
      <c r="R52" s="127" t="str">
        <f>Cen!C173</f>
        <v>KLA</v>
      </c>
      <c r="S52" s="262">
        <f>S15</f>
        <v>0</v>
      </c>
      <c r="T52" s="266">
        <f>Cen!F173</f>
        <v>28.957020000000004</v>
      </c>
      <c r="U52" s="263">
        <f t="shared" si="3"/>
        <v>0</v>
      </c>
    </row>
    <row r="53" spans="16:21" ht="13" thickBot="1" x14ac:dyDescent="0.3">
      <c r="P53" s="608" t="str">
        <f>Cen!A174</f>
        <v>Boční zásuvné prvky, sklo, pro 650 mm</v>
      </c>
      <c r="Q53" s="608" t="str">
        <f>Cen!B174</f>
        <v>ZE7S538G</v>
      </c>
      <c r="R53" s="608" t="str">
        <f>Cen!C174</f>
        <v>KLA</v>
      </c>
      <c r="S53" s="609">
        <f>S16</f>
        <v>0</v>
      </c>
      <c r="T53" s="610">
        <f>Cen!F174</f>
        <v>31.304870000000001</v>
      </c>
      <c r="U53" s="611">
        <f t="shared" si="3"/>
        <v>0</v>
      </c>
    </row>
    <row r="54" spans="16:21" x14ac:dyDescent="0.25">
      <c r="P54" s="119"/>
      <c r="Q54" s="119"/>
    </row>
    <row r="55" spans="16:21" x14ac:dyDescent="0.25">
      <c r="P55" s="119"/>
      <c r="Q55" s="119"/>
      <c r="S55" s="73" t="str">
        <f>List!$B$94</f>
        <v>cena kování</v>
      </c>
      <c r="U55" s="353">
        <f>SUM(U3:U53)</f>
        <v>0</v>
      </c>
    </row>
    <row r="56" spans="16:21" x14ac:dyDescent="0.25">
      <c r="P56" s="119"/>
      <c r="Q56" s="119"/>
    </row>
    <row r="57" spans="16:21" x14ac:dyDescent="0.25">
      <c r="P57" s="119"/>
      <c r="Q57" s="119"/>
      <c r="R57" s="2" t="s">
        <v>891</v>
      </c>
      <c r="S57" s="2" t="s">
        <v>892</v>
      </c>
    </row>
    <row r="58" spans="16:21" x14ac:dyDescent="0.25">
      <c r="P58" s="119"/>
      <c r="Q58" s="119"/>
    </row>
    <row r="59" spans="16:21" x14ac:dyDescent="0.25">
      <c r="P59" s="119"/>
      <c r="Q59" s="119"/>
    </row>
    <row r="60" spans="16:21" x14ac:dyDescent="0.25">
      <c r="P60" s="119"/>
      <c r="Q60" s="119"/>
    </row>
  </sheetData>
  <sheetProtection password="CF3A" sheet="1" objects="1" scenarios="1"/>
  <hyperlinks>
    <hyperlink ref="M3" location="Form!A1" tooltip=" " display="Form!A1"/>
    <hyperlink ref="M4" location="Menu!A1" tooltip=" " display="Menu!A1"/>
    <hyperlink ref="M7" location="Acs!A1" tooltip=" " display="Acs!A1"/>
    <hyperlink ref="M8" location="SD!A1" tooltip=" " display="SD!A1"/>
    <hyperlink ref="M10" location="Sum!A1" tooltip=" " display="Sum!A1"/>
    <hyperlink ref="M11" location="Ord!A1" tooltip=" " display="Ord!A1"/>
    <hyperlink ref="M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2" tint="-0.499984740745262"/>
  </sheetPr>
  <dimension ref="A1:V289"/>
  <sheetViews>
    <sheetView showGridLines="0" showRowColHeaders="0" showZeros="0" workbookViewId="0">
      <selection activeCell="K26" sqref="K26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91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8164062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1.4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7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79"/>
      <c r="H2" s="119"/>
      <c r="I2" s="119"/>
      <c r="J2" s="119"/>
      <c r="K2" s="119"/>
      <c r="L2" s="120" t="str">
        <f>"SPACE-TOWER, "&amp;List!$B$63&amp;" 5xC"</f>
        <v>SPACE-TOWER, sestava 5xC</v>
      </c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8" thickBot="1" x14ac:dyDescent="0.4">
      <c r="A3" s="119"/>
      <c r="B3" s="119"/>
      <c r="C3" s="119"/>
      <c r="D3" s="119"/>
      <c r="E3" s="119"/>
      <c r="F3" s="119"/>
      <c r="G3" s="179"/>
      <c r="H3" s="119"/>
      <c r="I3" s="121"/>
      <c r="J3" s="121"/>
      <c r="K3" s="121"/>
      <c r="L3" s="159" t="str">
        <f>List!$B$68&amp;" / "&amp;List!$B$69&amp;" "&amp;List!$B$66&amp;"*** "</f>
        <v xml:space="preserve">vysoký / nízký přední zásuvný prvek*** </v>
      </c>
      <c r="M3" s="119"/>
      <c r="N3" s="151" t="str">
        <f>" "&amp;List!$B$13</f>
        <v xml:space="preserve"> Úvod</v>
      </c>
      <c r="O3" s="119"/>
      <c r="P3" s="375" t="str">
        <f>Cen!A75</f>
        <v>Bočnice C pure, 270mm, Orion šedé</v>
      </c>
      <c r="Q3" s="375" t="str">
        <f>Cen!B75</f>
        <v>770C2702S</v>
      </c>
      <c r="R3" s="375" t="str">
        <f>Cen!C75</f>
        <v>OG-M</v>
      </c>
      <c r="S3" s="376"/>
      <c r="T3" s="377">
        <f>Cen!F75</f>
        <v>29.004729999999999</v>
      </c>
      <c r="U3" s="378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79"/>
      <c r="H4" s="119"/>
      <c r="I4" s="122" t="str">
        <f>List!$B$79&amp;":"</f>
        <v>bočnice:</v>
      </c>
      <c r="J4" s="122"/>
      <c r="K4" s="122" t="s">
        <v>473</v>
      </c>
      <c r="L4" s="122"/>
      <c r="M4" s="119"/>
      <c r="N4" s="152" t="str">
        <f>" "&amp;List!$B$4</f>
        <v xml:space="preserve"> Výběr zásuvek a výsuvů</v>
      </c>
      <c r="O4" s="119"/>
      <c r="P4" s="375" t="str">
        <f>Cen!A79</f>
        <v>Bočnice C pure, 300mm, Orion šedé</v>
      </c>
      <c r="Q4" s="375" t="str">
        <f>Cen!B79</f>
        <v>770C3002S</v>
      </c>
      <c r="R4" s="375" t="str">
        <f>Cen!C79</f>
        <v>OG-M</v>
      </c>
      <c r="S4" s="376"/>
      <c r="T4" s="377">
        <f>Cen!F79</f>
        <v>29.004729999999999</v>
      </c>
      <c r="U4" s="37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79"/>
      <c r="H5" s="119"/>
      <c r="I5" s="121" t="str">
        <f>List!$B$27&amp;":"</f>
        <v>barva:</v>
      </c>
      <c r="J5" s="121"/>
      <c r="K5" s="121" t="str">
        <f>Form!$O$2</f>
        <v>Orion šedá (OG-M)</v>
      </c>
      <c r="L5" s="121"/>
      <c r="M5" s="119"/>
      <c r="O5" s="119"/>
      <c r="P5" s="375" t="str">
        <f>Cen!A83</f>
        <v>Bočnice C pure, 350mm, Orion šedé</v>
      </c>
      <c r="Q5" s="375" t="str">
        <f>Cen!B83</f>
        <v>770C3502S</v>
      </c>
      <c r="R5" s="375" t="str">
        <f>Cen!C83</f>
        <v>OG-M</v>
      </c>
      <c r="S5" s="376"/>
      <c r="T5" s="377">
        <f>Cen!F83</f>
        <v>29.004729999999999</v>
      </c>
      <c r="U5" s="37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79"/>
      <c r="H6" s="119"/>
      <c r="I6" s="620" t="str">
        <f>List!$B$80&amp;":"</f>
        <v>provedení:</v>
      </c>
      <c r="J6" s="122"/>
      <c r="K6" s="121" t="s">
        <v>951</v>
      </c>
      <c r="L6" s="122"/>
      <c r="M6" s="119"/>
      <c r="N6" s="2" t="str">
        <f>List!$B$12&amp;":"</f>
        <v>Pokračovat na:</v>
      </c>
      <c r="O6" s="119"/>
      <c r="P6" s="375" t="str">
        <f>Cen!A87</f>
        <v>Bočnice C pure, 400mm, Orion šedé</v>
      </c>
      <c r="Q6" s="375" t="str">
        <f>Cen!B87</f>
        <v>770C4002S</v>
      </c>
      <c r="R6" s="375" t="str">
        <f>Cen!C87</f>
        <v>OG-M</v>
      </c>
      <c r="S6" s="376"/>
      <c r="T6" s="377">
        <f>Cen!F87</f>
        <v>29.360900000000001</v>
      </c>
      <c r="U6" s="378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79"/>
      <c r="H7" s="119"/>
      <c r="I7" s="121" t="str">
        <f>List!$B$35&amp;":"</f>
        <v>sklo:</v>
      </c>
      <c r="J7" s="122"/>
      <c r="K7" s="121" t="str">
        <f>Form!$O$8</f>
        <v>čiré</v>
      </c>
      <c r="L7" s="122"/>
      <c r="M7" s="119"/>
      <c r="N7" s="151" t="str">
        <f>" "&amp;List!$B$5</f>
        <v xml:space="preserve"> Výběr doplňků</v>
      </c>
      <c r="O7" s="119"/>
      <c r="P7" s="397" t="str">
        <f>Cen!A91</f>
        <v>Bočnice C pure, 450mm, Orion šedé</v>
      </c>
      <c r="Q7" s="397" t="str">
        <f>Cen!B91</f>
        <v>770C4502S</v>
      </c>
      <c r="R7" s="397" t="str">
        <f>Cen!C91</f>
        <v>OG-M</v>
      </c>
      <c r="S7" s="424">
        <f>SUM(D26, J26, D34, J34)*5</f>
        <v>0</v>
      </c>
      <c r="T7" s="425">
        <f>Cen!F91</f>
        <v>31.28134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79"/>
      <c r="H8" s="119"/>
      <c r="I8" s="122" t="str">
        <f>List!$B$94&amp;":"</f>
        <v>cena kování:</v>
      </c>
      <c r="J8" s="122"/>
      <c r="K8" s="122"/>
      <c r="L8" s="118">
        <f>$U$80</f>
        <v>0</v>
      </c>
      <c r="M8" s="119"/>
      <c r="N8" s="151" t="str">
        <f>" "&amp;List!$B$6</f>
        <v xml:space="preserve"> Výběr SERVO-DRIVE</v>
      </c>
      <c r="O8" s="119"/>
      <c r="P8" s="127" t="str">
        <f>Cen!A95</f>
        <v>Bočnice C pure, 500mm, Orion šedé</v>
      </c>
      <c r="Q8" s="127" t="str">
        <f>Cen!B95</f>
        <v>770C5002S</v>
      </c>
      <c r="R8" s="127" t="str">
        <f>Cen!C95</f>
        <v>OG-M</v>
      </c>
      <c r="S8" s="424">
        <f>SUM(E26, K26, E34, K34)*5</f>
        <v>0</v>
      </c>
      <c r="T8" s="266">
        <f>Cen!F95</f>
        <v>31.656259999999996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7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Cen!A99</f>
        <v>Bočnice C pure, 550mm, Orion šedé</v>
      </c>
      <c r="Q9" s="127" t="str">
        <f>Cen!B99</f>
        <v>770C5502S</v>
      </c>
      <c r="R9" s="127" t="str">
        <f>Cen!C99</f>
        <v>OG-M</v>
      </c>
      <c r="S9" s="424">
        <f>SUM(F26, L26, F34, L34)*5</f>
        <v>0</v>
      </c>
      <c r="T9" s="266">
        <f>Cen!F99</f>
        <v>31.853429999999999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79"/>
      <c r="H10" s="119"/>
      <c r="I10" s="259"/>
      <c r="J10" s="259"/>
      <c r="K10" s="292"/>
      <c r="L10" s="292"/>
      <c r="M10" s="119"/>
      <c r="N10" s="152" t="str">
        <f>" "&amp;List!$B$18</f>
        <v xml:space="preserve"> Souhrn</v>
      </c>
      <c r="O10" s="119"/>
      <c r="P10" s="360" t="str">
        <f>Cen!A103</f>
        <v>Bočnice C pure, 600mm, Orion šedé</v>
      </c>
      <c r="Q10" s="360" t="str">
        <f>Cen!B103</f>
        <v>770C6002S</v>
      </c>
      <c r="R10" s="360" t="str">
        <f>Cen!C103</f>
        <v>OG-M</v>
      </c>
      <c r="S10" s="361"/>
      <c r="T10" s="362">
        <f>Cen!F103</f>
        <v>35.537379999999999</v>
      </c>
      <c r="U10" s="3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79"/>
      <c r="H11" s="119"/>
      <c r="I11" s="119" t="str">
        <f>"  "&amp;List!$B$146&amp;":"</f>
        <v xml:space="preserve">  Přířezy prvků:</v>
      </c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2"/>
      <c r="Q11" s="122"/>
      <c r="R11" s="122"/>
      <c r="S11" s="123"/>
      <c r="T11" s="117"/>
      <c r="U11" s="118"/>
    </row>
    <row r="12" spans="1:21" x14ac:dyDescent="0.25">
      <c r="A12" s="119"/>
      <c r="B12" s="119"/>
      <c r="C12" s="119"/>
      <c r="D12" s="119"/>
      <c r="E12" s="119"/>
      <c r="F12" s="119"/>
      <c r="G12" s="179"/>
      <c r="H12" s="119"/>
      <c r="I12" s="119" t="str">
        <f>List!$C$150&amp;":   LW - 126"</f>
        <v>Přední díl:   LW - 126</v>
      </c>
      <c r="J12" s="291"/>
      <c r="K12" s="291"/>
      <c r="L12" s="291"/>
      <c r="M12" s="119"/>
      <c r="N12" s="119"/>
      <c r="O12" s="119"/>
      <c r="P12" s="379" t="str">
        <f>Cen!A177</f>
        <v>Korpusové lišty BLUMOTION, 270mm, 40kg</v>
      </c>
      <c r="Q12" s="379" t="str">
        <f>Cen!B177</f>
        <v>750.2701B</v>
      </c>
      <c r="R12" s="379" t="str">
        <f>Cen!C177</f>
        <v>ZN</v>
      </c>
      <c r="S12" s="380"/>
      <c r="T12" s="381">
        <f>Cen!F177</f>
        <v>21.845690000000001</v>
      </c>
      <c r="U12" s="381">
        <f t="shared" ref="U12:U23" si="1">S12*T12</f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79"/>
      <c r="H13" s="119"/>
      <c r="I13" s="119" t="str">
        <f>List!$C$65&amp;":   LW - 80"</f>
        <v>Přední zásuvné prvky:   LW - 80</v>
      </c>
      <c r="J13" s="293"/>
      <c r="K13" s="293"/>
      <c r="L13" s="293"/>
      <c r="M13" s="119"/>
      <c r="N13" s="119"/>
      <c r="O13" s="119"/>
      <c r="P13" s="379" t="str">
        <f>Cen!A178</f>
        <v>Korpusové lišty BLUMOTION, 300mm, 40kg</v>
      </c>
      <c r="Q13" s="379" t="str">
        <f>Cen!B178</f>
        <v>750.3001B</v>
      </c>
      <c r="R13" s="379" t="str">
        <f>Cen!C178</f>
        <v>ZN</v>
      </c>
      <c r="S13" s="380"/>
      <c r="T13" s="381">
        <f>Cen!F178</f>
        <v>21.925909999999998</v>
      </c>
      <c r="U13" s="381">
        <f t="shared" si="1"/>
        <v>0</v>
      </c>
    </row>
    <row r="14" spans="1:21" x14ac:dyDescent="0.25">
      <c r="A14" s="119"/>
      <c r="B14" s="119"/>
      <c r="C14" s="119"/>
      <c r="D14" s="119"/>
      <c r="E14" s="119"/>
      <c r="F14" s="119"/>
      <c r="G14" s="179"/>
      <c r="H14" s="119"/>
      <c r="I14" s="119"/>
      <c r="J14" s="290"/>
      <c r="K14" s="290"/>
      <c r="L14" s="290"/>
      <c r="M14" s="119"/>
      <c r="N14" s="119"/>
      <c r="O14" s="119"/>
      <c r="P14" s="379" t="str">
        <f>Cen!A179</f>
        <v>Korpusové lišty BLUMOTION, 350mm, 40kg</v>
      </c>
      <c r="Q14" s="379" t="str">
        <f>Cen!B179</f>
        <v>750.3501B</v>
      </c>
      <c r="R14" s="379" t="str">
        <f>Cen!C179</f>
        <v>ZN</v>
      </c>
      <c r="S14" s="380"/>
      <c r="T14" s="381">
        <f>Cen!F179</f>
        <v>21.845690000000001</v>
      </c>
      <c r="U14" s="38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79"/>
      <c r="H15" s="119"/>
      <c r="I15" s="119"/>
      <c r="J15" s="288"/>
      <c r="K15" s="288"/>
      <c r="L15" s="288"/>
      <c r="M15" s="119"/>
      <c r="N15" s="119"/>
      <c r="O15" s="119"/>
      <c r="P15" s="379" t="str">
        <f>Cen!A180</f>
        <v>Korpusové lišty BLUMOTION, 400mm, 40kg</v>
      </c>
      <c r="Q15" s="379" t="str">
        <f>Cen!B180</f>
        <v>750.4001B</v>
      </c>
      <c r="R15" s="379" t="str">
        <f>Cen!C180</f>
        <v>ZN</v>
      </c>
      <c r="S15" s="380"/>
      <c r="T15" s="381">
        <f>Cen!F180</f>
        <v>22.204979999999999</v>
      </c>
      <c r="U15" s="38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79"/>
      <c r="H16" s="119"/>
      <c r="I16" s="179"/>
      <c r="J16" s="179"/>
      <c r="K16" s="179"/>
      <c r="L16" s="179"/>
      <c r="M16" s="119"/>
      <c r="N16" s="119"/>
      <c r="O16" s="119"/>
      <c r="P16" s="426" t="str">
        <f>Cen!A181</f>
        <v>Korpusové lišty BLUMOTION, 450mm, 40kg</v>
      </c>
      <c r="Q16" s="426" t="str">
        <f>Cen!B181</f>
        <v>750.4501B</v>
      </c>
      <c r="R16" s="426" t="str">
        <f>Cen!C181</f>
        <v>ZN</v>
      </c>
      <c r="S16" s="385">
        <f>IF($D$28&gt;0, $D$28*$D$26, 4*$D$26)+IF($J$28&gt;0, $J$28*$J$26, 2*$J$26)</f>
        <v>0</v>
      </c>
      <c r="T16" s="427">
        <f>Cen!F181</f>
        <v>23.667639999999995</v>
      </c>
      <c r="U16" s="427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79"/>
      <c r="H17" s="119"/>
      <c r="I17" s="294"/>
      <c r="J17" s="294"/>
      <c r="K17" s="294"/>
      <c r="L17" s="294"/>
      <c r="M17" s="119"/>
      <c r="N17" s="119"/>
      <c r="O17" s="119"/>
      <c r="P17" s="426" t="str">
        <f>Cen!A182</f>
        <v>Korpusové lišty BLUMOTION, 450mm, 70kg</v>
      </c>
      <c r="Q17" s="426" t="str">
        <f>Cen!B182</f>
        <v>753.4501B</v>
      </c>
      <c r="R17" s="426" t="str">
        <f>Cen!C182</f>
        <v>ZN</v>
      </c>
      <c r="S17" s="385">
        <f>IF($D$28&gt;0, $D$29*$D$26, 1*$D$26)+IF($J$28&gt;0, $J$29*$J$26, 3*$J$26)</f>
        <v>0</v>
      </c>
      <c r="T17" s="427">
        <f>Cen!F182</f>
        <v>27.780560000000001</v>
      </c>
      <c r="U17" s="427">
        <f t="shared" si="1"/>
        <v>0</v>
      </c>
    </row>
    <row r="18" spans="1:21" ht="12" customHeight="1" x14ac:dyDescent="0.25">
      <c r="A18" s="119"/>
      <c r="C18" s="119"/>
      <c r="D18" s="119"/>
      <c r="E18" s="119"/>
      <c r="F18" s="119"/>
      <c r="G18" s="478"/>
      <c r="H18" s="119"/>
      <c r="I18" s="290"/>
      <c r="J18" s="290"/>
      <c r="K18" s="290"/>
      <c r="L18" s="290"/>
      <c r="M18" s="119"/>
      <c r="N18" s="119"/>
      <c r="O18" s="119"/>
      <c r="P18" s="209" t="str">
        <f>Cen!A183</f>
        <v>Korpusové lišty BLUMOTION, 500mm, 40kg</v>
      </c>
      <c r="Q18" s="209" t="str">
        <f>Cen!B183</f>
        <v>750.5001B</v>
      </c>
      <c r="R18" s="209" t="str">
        <f>Cen!C183</f>
        <v>ZN</v>
      </c>
      <c r="S18" s="385">
        <f>IF($E$28&gt;0, $E$28*$E$26, 4*$E$26)+IF($K$28&gt;0, $K$28*$K$26, 2*$K$26)</f>
        <v>0</v>
      </c>
      <c r="T18" s="261">
        <f>Cen!F183</f>
        <v>22.680199999999999</v>
      </c>
      <c r="U18" s="261">
        <f t="shared" si="1"/>
        <v>0</v>
      </c>
    </row>
    <row r="19" spans="1:21" ht="14.5" x14ac:dyDescent="0.35">
      <c r="A19" s="119"/>
      <c r="B19" s="701" t="str">
        <f>"   "&amp;List!B295</f>
        <v xml:space="preserve">   Zadejte počty skříní podle šířky korpusu a délky výsuvů</v>
      </c>
      <c r="C19" s="714"/>
      <c r="D19" s="715"/>
      <c r="E19" s="715"/>
      <c r="F19" s="715"/>
      <c r="G19" s="714"/>
      <c r="H19" s="714"/>
      <c r="I19" s="714"/>
      <c r="J19" s="715"/>
      <c r="K19" s="715"/>
      <c r="L19" s="715"/>
      <c r="M19" s="119"/>
      <c r="N19" s="119"/>
      <c r="O19" s="119"/>
      <c r="P19" s="209" t="str">
        <f>Cen!A184</f>
        <v>Korpusové lišty BLUMOTION, 500mm, 70kg</v>
      </c>
      <c r="Q19" s="209" t="str">
        <f>Cen!B184</f>
        <v>753.5001B</v>
      </c>
      <c r="R19" s="209" t="str">
        <f>Cen!C184</f>
        <v>ZN</v>
      </c>
      <c r="S19" s="385">
        <f>IF($E$28&gt;0, $E$29*$E$26, 1*$E$26)+IF($K$28&gt;0, $K$29*$K$26, 3*$K$26)</f>
        <v>0</v>
      </c>
      <c r="T19" s="261">
        <f>Cen!F184</f>
        <v>28.059809999999999</v>
      </c>
      <c r="U19" s="261">
        <f t="shared" si="1"/>
        <v>0</v>
      </c>
    </row>
    <row r="20" spans="1:21" ht="14.5" x14ac:dyDescent="0.35">
      <c r="A20" s="119"/>
      <c r="B20" s="701" t="str">
        <f>"   "&amp;List!B299</f>
        <v xml:space="preserve">   Zadejte počet korpusových lišt, pokud chcete jiné, než přednastavené složení</v>
      </c>
      <c r="C20" s="714"/>
      <c r="D20" s="715"/>
      <c r="E20" s="715"/>
      <c r="F20" s="715"/>
      <c r="G20" s="714"/>
      <c r="H20" s="714"/>
      <c r="I20" s="714"/>
      <c r="J20" s="715"/>
      <c r="K20" s="715"/>
      <c r="L20" s="715"/>
      <c r="M20" s="119"/>
      <c r="N20" s="119"/>
      <c r="O20" s="119"/>
      <c r="P20" s="209" t="str">
        <f>Cen!A185</f>
        <v>Korpusové lišty BLUMOTION, 550mm, 40kg</v>
      </c>
      <c r="Q20" s="209" t="str">
        <f>Cen!B185</f>
        <v>750.5501B</v>
      </c>
      <c r="R20" s="209" t="str">
        <f>Cen!C185</f>
        <v>ZN</v>
      </c>
      <c r="S20" s="385">
        <f>IF($F$28&gt;0, $F$28*$F$26, 4*$F$26)+IF($L$28&gt;0, $L$28*$L$26, 2*$L$26)</f>
        <v>0</v>
      </c>
      <c r="T20" s="261">
        <f>Cen!F185</f>
        <v>24.254210000000004</v>
      </c>
      <c r="U20" s="261">
        <f t="shared" si="1"/>
        <v>0</v>
      </c>
    </row>
    <row r="21" spans="1:21" ht="15" customHeight="1" x14ac:dyDescent="0.35">
      <c r="A21" s="119"/>
      <c r="B21" s="701" t="str">
        <f>"         "&amp;List!B297</f>
        <v xml:space="preserve">         Zadejte počty 40kg korpusových lišt, 70kg lišty se dopočítají</v>
      </c>
      <c r="C21" s="714"/>
      <c r="D21" s="715"/>
      <c r="E21" s="715"/>
      <c r="F21" s="715"/>
      <c r="G21" s="714"/>
      <c r="H21" s="714"/>
      <c r="I21" s="714"/>
      <c r="J21" s="715"/>
      <c r="K21" s="715"/>
      <c r="L21" s="715"/>
      <c r="M21" s="119"/>
      <c r="N21" s="119"/>
      <c r="O21" s="119"/>
      <c r="P21" s="209" t="str">
        <f>Cen!A186</f>
        <v>Korpusové lišty BLUMOTION, 550mm, 70kg</v>
      </c>
      <c r="Q21" s="209" t="str">
        <f>Cen!B186</f>
        <v>753.5501B</v>
      </c>
      <c r="R21" s="209" t="str">
        <f>Cen!C186</f>
        <v>ZN</v>
      </c>
      <c r="S21" s="385">
        <f>IF($F$28&gt;0, $F$29*$F$26, 1*$F$26)+IF($L$28&gt;0, $L$29*$L$26, 3*$L$26)</f>
        <v>0</v>
      </c>
      <c r="T21" s="261">
        <f>Cen!F186</f>
        <v>29.550529999999998</v>
      </c>
      <c r="U21" s="261">
        <f t="shared" si="1"/>
        <v>0</v>
      </c>
    </row>
    <row r="22" spans="1:21" ht="9" customHeight="1" x14ac:dyDescent="0.35">
      <c r="A22" s="119"/>
      <c r="B22" s="24"/>
      <c r="C22" s="24"/>
      <c r="D22"/>
      <c r="E22"/>
      <c r="F22"/>
      <c r="G22" s="27"/>
      <c r="H22" s="24"/>
      <c r="I22" s="24"/>
      <c r="J22"/>
      <c r="K22"/>
      <c r="L22"/>
      <c r="M22" s="119"/>
      <c r="N22" s="119"/>
      <c r="O22" s="119"/>
      <c r="P22" s="364" t="str">
        <f>Cen!A187</f>
        <v>Korpusové lišty BLUMOTION, 600mm, 40kg</v>
      </c>
      <c r="Q22" s="364" t="str">
        <f>Cen!B187</f>
        <v>750.6001B</v>
      </c>
      <c r="R22" s="364" t="str">
        <f>Cen!C187</f>
        <v>ZN</v>
      </c>
      <c r="S22" s="428"/>
      <c r="T22" s="366">
        <f>Cen!F187</f>
        <v>27.259979999999999</v>
      </c>
      <c r="U22" s="366">
        <f t="shared" si="1"/>
        <v>0</v>
      </c>
    </row>
    <row r="23" spans="1:21" ht="19.5" customHeight="1" x14ac:dyDescent="0.35">
      <c r="A23"/>
      <c r="B23" s="346" t="str">
        <f>"▼   "&amp;List!$B$112&amp;" KB 450 mm"</f>
        <v>▼   Šířka korpusu KB 450 mm</v>
      </c>
      <c r="C23" s="51"/>
      <c r="H23" s="346" t="str">
        <f>"▼   "&amp;List!$B$112&amp;" KB 600 mm"</f>
        <v>▼   Šířka korpusu KB 600 mm</v>
      </c>
      <c r="I23" s="290"/>
      <c r="J23" s="290"/>
      <c r="K23" s="290"/>
      <c r="L23" s="290"/>
      <c r="M23"/>
      <c r="N23"/>
      <c r="O23" s="119"/>
      <c r="P23" s="364" t="str">
        <f>Cen!A188</f>
        <v>Korpusové lišty BLUMOTION, 600mm, 70kg</v>
      </c>
      <c r="Q23" s="364" t="str">
        <f>Cen!B188</f>
        <v>753.6001B</v>
      </c>
      <c r="R23" s="364" t="str">
        <f>Cen!C188</f>
        <v>ZN</v>
      </c>
      <c r="S23" s="428"/>
      <c r="T23" s="366">
        <f>Cen!F188</f>
        <v>32.5563</v>
      </c>
      <c r="U23" s="366">
        <f t="shared" si="1"/>
        <v>0</v>
      </c>
    </row>
    <row r="24" spans="1:21" ht="22.5" customHeight="1" x14ac:dyDescent="0.35">
      <c r="A24"/>
      <c r="B24" s="717" t="s">
        <v>1253</v>
      </c>
      <c r="C24" s="7"/>
      <c r="H24" s="717" t="s">
        <v>1253</v>
      </c>
      <c r="I24" s="290"/>
      <c r="J24" s="290"/>
      <c r="K24" s="290"/>
      <c r="L24" s="290"/>
      <c r="M24"/>
      <c r="N24"/>
      <c r="O24" s="119"/>
      <c r="P24" s="209"/>
      <c r="Q24" s="209"/>
      <c r="R24" s="209"/>
      <c r="S24" s="260"/>
      <c r="T24" s="261"/>
      <c r="U24" s="261"/>
    </row>
    <row r="25" spans="1:21" ht="14.5" x14ac:dyDescent="0.35">
      <c r="A25"/>
      <c r="B25" s="6"/>
      <c r="C25" s="320" t="str">
        <f>List!$B$115&amp;":"</f>
        <v>Jmenovitá délka:</v>
      </c>
      <c r="D25" s="308">
        <v>450</v>
      </c>
      <c r="E25" s="429">
        <v>500</v>
      </c>
      <c r="F25" s="307">
        <v>550</v>
      </c>
      <c r="G25" s="348"/>
      <c r="H25" s="6"/>
      <c r="I25" s="373" t="str">
        <f>List!$B$115&amp;":"</f>
        <v>Jmenovitá délka:</v>
      </c>
      <c r="J25" s="314">
        <v>450</v>
      </c>
      <c r="K25" s="429">
        <v>500</v>
      </c>
      <c r="L25" s="307">
        <v>550</v>
      </c>
      <c r="M25"/>
      <c r="N25"/>
      <c r="O25" s="119"/>
      <c r="P25" s="364" t="str">
        <f>Cen!A193</f>
        <v>Korpusové lišty TIP-ON, 270mm, 40kg</v>
      </c>
      <c r="Q25" s="364" t="str">
        <f>Cen!B193</f>
        <v>750.2701T</v>
      </c>
      <c r="R25" s="364" t="str">
        <f>Cen!C193</f>
        <v>ZN</v>
      </c>
      <c r="S25" s="365"/>
      <c r="T25" s="366">
        <f>Cen!F193</f>
        <v>30.366460000000004</v>
      </c>
      <c r="U25" s="366">
        <f>S25*T25</f>
        <v>0</v>
      </c>
    </row>
    <row r="26" spans="1:21" ht="15" customHeight="1" x14ac:dyDescent="0.3">
      <c r="A26" s="119"/>
      <c r="B26" s="374"/>
      <c r="C26" s="320" t="str">
        <f>List!$B$99&amp;":"</f>
        <v>Počet skříní:</v>
      </c>
      <c r="D26" s="317"/>
      <c r="E26" s="317"/>
      <c r="F26" s="371"/>
      <c r="G26" s="295"/>
      <c r="H26" s="374"/>
      <c r="I26" s="320" t="str">
        <f>List!$B$99&amp;":"</f>
        <v>Počet skříní:</v>
      </c>
      <c r="J26" s="317"/>
      <c r="K26" s="317"/>
      <c r="L26" s="318"/>
      <c r="M26" s="119"/>
      <c r="N26" s="119"/>
      <c r="O26" s="119"/>
      <c r="P26" s="364" t="str">
        <f>Cen!A194</f>
        <v>Korpusové lišty TIP-ON, 300mm, 40kg</v>
      </c>
      <c r="Q26" s="364" t="str">
        <f>Cen!B194</f>
        <v>750.3001T</v>
      </c>
      <c r="R26" s="364" t="str">
        <f>Cen!C194</f>
        <v>ZN</v>
      </c>
      <c r="S26" s="365"/>
      <c r="T26" s="366">
        <f>Cen!F194</f>
        <v>30.366460000000004</v>
      </c>
      <c r="U26" s="366">
        <f t="shared" ref="U26:U37" si="2">S26*T26</f>
        <v>0</v>
      </c>
    </row>
    <row r="27" spans="1:21" ht="19.5" customHeight="1" x14ac:dyDescent="0.35">
      <c r="A27" s="119"/>
      <c r="B27" s="372" t="str">
        <f>List!$B$126</f>
        <v>Korpusové lišty</v>
      </c>
      <c r="C27" s="320"/>
      <c r="D27" s="24"/>
      <c r="E27" s="24"/>
      <c r="F27" s="24"/>
      <c r="G27" s="27"/>
      <c r="H27" s="372" t="str">
        <f>List!$B$126</f>
        <v>Korpusové lišty</v>
      </c>
      <c r="I27" s="320"/>
      <c r="J27"/>
      <c r="K27"/>
      <c r="L27"/>
      <c r="M27" s="119"/>
      <c r="N27" s="119"/>
      <c r="O27" s="119"/>
      <c r="P27" s="364" t="str">
        <f>Cen!A195</f>
        <v>Korpusové lišty TIP-ON, 350mm, 40kg</v>
      </c>
      <c r="Q27" s="364" t="str">
        <f>Cen!B195</f>
        <v>750.3501T</v>
      </c>
      <c r="R27" s="364" t="str">
        <f>Cen!C195</f>
        <v>ZN</v>
      </c>
      <c r="S27" s="365"/>
      <c r="T27" s="366">
        <f>Cen!F195</f>
        <v>30.366460000000004</v>
      </c>
      <c r="U27" s="366">
        <f t="shared" si="2"/>
        <v>0</v>
      </c>
    </row>
    <row r="28" spans="1:21" ht="15" customHeight="1" thickBot="1" x14ac:dyDescent="0.35">
      <c r="A28" s="119"/>
      <c r="B28" s="297" t="s">
        <v>505</v>
      </c>
      <c r="C28" s="384" t="s">
        <v>887</v>
      </c>
      <c r="D28" s="387"/>
      <c r="E28" s="387"/>
      <c r="F28" s="388"/>
      <c r="G28" s="295"/>
      <c r="H28" s="297" t="s">
        <v>505</v>
      </c>
      <c r="I28" s="298" t="str">
        <f>"2 ks*"</f>
        <v>2 ks*</v>
      </c>
      <c r="J28" s="389"/>
      <c r="K28" s="389"/>
      <c r="L28" s="390"/>
      <c r="M28" s="119"/>
      <c r="N28" s="119"/>
      <c r="O28" s="119"/>
      <c r="P28" s="364" t="str">
        <f>Cen!A196</f>
        <v>Korpusové lišty TIP-ON, 400mm, 40kg</v>
      </c>
      <c r="Q28" s="364" t="str">
        <f>Cen!B196</f>
        <v>750.4001T</v>
      </c>
      <c r="R28" s="364" t="str">
        <f>Cen!C196</f>
        <v>ZN</v>
      </c>
      <c r="S28" s="365"/>
      <c r="T28" s="366">
        <f>Cen!F196</f>
        <v>30.645720000000001</v>
      </c>
      <c r="U28" s="366">
        <f t="shared" si="2"/>
        <v>0</v>
      </c>
    </row>
    <row r="29" spans="1:21" ht="15" customHeight="1" x14ac:dyDescent="0.3">
      <c r="A29" s="119"/>
      <c r="B29" s="301" t="s">
        <v>506</v>
      </c>
      <c r="C29" s="382" t="s">
        <v>888</v>
      </c>
      <c r="D29" s="386">
        <f>IF(D28&gt;0, IF(D28&gt;5,0, 5-D28),0)</f>
        <v>0</v>
      </c>
      <c r="E29" s="386">
        <f t="shared" ref="E29:F29" si="3">IF(E28&gt;0, IF(E28&gt;5,0, 5-E28),0)</f>
        <v>0</v>
      </c>
      <c r="F29" s="712">
        <f t="shared" si="3"/>
        <v>0</v>
      </c>
      <c r="G29" s="295"/>
      <c r="H29" s="301" t="s">
        <v>506</v>
      </c>
      <c r="I29" s="382" t="str">
        <f>"3 ks*"</f>
        <v>3 ks*</v>
      </c>
      <c r="J29" s="386">
        <f>IF(J28&gt;0, IF(J28&gt;5,0, 5-J28),0)</f>
        <v>0</v>
      </c>
      <c r="K29" s="386">
        <f t="shared" ref="K29:L29" si="4">IF(K28&gt;0, IF(K28&gt;5,0, 5-K28),0)</f>
        <v>0</v>
      </c>
      <c r="L29" s="712">
        <f t="shared" si="4"/>
        <v>0</v>
      </c>
      <c r="M29" s="119"/>
      <c r="N29" s="119"/>
      <c r="O29" s="119"/>
      <c r="P29" s="364" t="str">
        <f>Cen!A197</f>
        <v>Korpusové lišty TIP-ON, 450mm, 40kg</v>
      </c>
      <c r="Q29" s="364" t="str">
        <f>Cen!B197</f>
        <v>750.4501T</v>
      </c>
      <c r="R29" s="364" t="str">
        <f>Cen!C197</f>
        <v>ZN</v>
      </c>
      <c r="S29" s="365">
        <f>H17</f>
        <v>0</v>
      </c>
      <c r="T29" s="366">
        <f>Cen!F197</f>
        <v>32.552599999999998</v>
      </c>
      <c r="U29" s="366">
        <f t="shared" si="2"/>
        <v>0</v>
      </c>
    </row>
    <row r="30" spans="1:21" ht="15.75" customHeight="1" x14ac:dyDescent="0.35">
      <c r="A30" s="119"/>
      <c r="C30"/>
      <c r="D30" s="711" t="str">
        <f>IF(D28&gt;5,"Max. 5!"," ")</f>
        <v xml:space="preserve"> </v>
      </c>
      <c r="E30" s="711" t="str">
        <f t="shared" ref="E30:F30" si="5">IF(E28&gt;5,"Max. 5!"," ")</f>
        <v xml:space="preserve"> </v>
      </c>
      <c r="F30" s="711" t="str">
        <f t="shared" si="5"/>
        <v xml:space="preserve"> </v>
      </c>
      <c r="G30" s="27"/>
      <c r="H30"/>
      <c r="I30"/>
      <c r="J30" s="711" t="str">
        <f>IF(J28&gt;5,"Max. 5!"," ")</f>
        <v xml:space="preserve"> </v>
      </c>
      <c r="K30" s="711" t="str">
        <f t="shared" ref="K30:L30" si="6">IF(K28&gt;5,"Max. 5!"," ")</f>
        <v xml:space="preserve"> </v>
      </c>
      <c r="L30" s="711" t="str">
        <f t="shared" si="6"/>
        <v xml:space="preserve"> </v>
      </c>
      <c r="M30"/>
      <c r="N30" s="119"/>
      <c r="O30" s="119"/>
      <c r="P30" s="364" t="str">
        <f>Cen!A198</f>
        <v>Korpusové lišty TIP-ON, 450mm, 70kg</v>
      </c>
      <c r="Q30" s="364" t="str">
        <f>Cen!B198</f>
        <v>753.4501T</v>
      </c>
      <c r="R30" s="364" t="str">
        <f>Cen!C198</f>
        <v>ZN</v>
      </c>
      <c r="S30" s="365">
        <f>H18</f>
        <v>0</v>
      </c>
      <c r="T30" s="366">
        <f>Cen!F198</f>
        <v>36.006259999999997</v>
      </c>
      <c r="U30" s="366">
        <f t="shared" si="2"/>
        <v>0</v>
      </c>
    </row>
    <row r="31" spans="1:21" ht="8.25" customHeight="1" x14ac:dyDescent="0.35">
      <c r="A31" s="119"/>
      <c r="G31" s="27"/>
      <c r="H31" s="716"/>
      <c r="I31" s="716"/>
      <c r="J31" s="716"/>
      <c r="K31" s="716"/>
      <c r="L31" s="716"/>
      <c r="M31"/>
      <c r="N31" s="119"/>
      <c r="O31" s="119"/>
      <c r="P31" s="364" t="str">
        <f>Cen!A199</f>
        <v>Korpusové lišty TIP-ON, 500mm, 40kg</v>
      </c>
      <c r="Q31" s="364" t="str">
        <f>Cen!B199</f>
        <v>750.5001T</v>
      </c>
      <c r="R31" s="364" t="str">
        <f>Cen!C199</f>
        <v>ZN</v>
      </c>
      <c r="S31" s="365">
        <f>I17</f>
        <v>0</v>
      </c>
      <c r="T31" s="366">
        <f>Cen!F199</f>
        <v>32.846359999999997</v>
      </c>
      <c r="U31" s="366">
        <f t="shared" si="2"/>
        <v>0</v>
      </c>
    </row>
    <row r="32" spans="1:21" ht="15" customHeight="1" x14ac:dyDescent="0.35">
      <c r="A32" s="119"/>
      <c r="B32" s="312" t="s">
        <v>1254</v>
      </c>
      <c r="C32" s="7"/>
      <c r="H32" s="312" t="s">
        <v>1254</v>
      </c>
      <c r="I32" s="290"/>
      <c r="J32" s="290"/>
      <c r="K32" s="290"/>
      <c r="L32" s="290"/>
      <c r="M32"/>
      <c r="N32" s="119"/>
      <c r="O32" s="119"/>
      <c r="P32" s="364" t="str">
        <f>Cen!A200</f>
        <v>Korpusové lišty TIP-ON, 500mm, 70kg</v>
      </c>
      <c r="Q32" s="364" t="str">
        <f>Cen!B200</f>
        <v>753.5001T</v>
      </c>
      <c r="R32" s="364" t="str">
        <f>Cen!C200</f>
        <v>ZN</v>
      </c>
      <c r="S32" s="365">
        <f>I18</f>
        <v>0</v>
      </c>
      <c r="T32" s="366">
        <f>Cen!F200</f>
        <v>36.285339999999998</v>
      </c>
      <c r="U32" s="366">
        <f t="shared" si="2"/>
        <v>0</v>
      </c>
    </row>
    <row r="33" spans="1:21" ht="15" customHeight="1" x14ac:dyDescent="0.3">
      <c r="A33" s="179"/>
      <c r="B33" s="6"/>
      <c r="C33" s="320" t="str">
        <f>List!$B$115&amp;":"</f>
        <v>Jmenovitá délka:</v>
      </c>
      <c r="D33" s="308">
        <v>450</v>
      </c>
      <c r="E33" s="429">
        <v>500</v>
      </c>
      <c r="F33" s="307">
        <v>550</v>
      </c>
      <c r="G33" s="348"/>
      <c r="H33" s="6"/>
      <c r="I33" s="373" t="str">
        <f>List!$B$115&amp;":"</f>
        <v>Jmenovitá délka:</v>
      </c>
      <c r="J33" s="314">
        <v>450</v>
      </c>
      <c r="K33" s="429">
        <v>500</v>
      </c>
      <c r="L33" s="307">
        <v>550</v>
      </c>
      <c r="M33" s="119"/>
      <c r="N33" s="119"/>
      <c r="O33" s="119"/>
      <c r="P33" s="364" t="str">
        <f>Cen!A201</f>
        <v>Korpusové lišty TIP-ON, 550mm, 40kg</v>
      </c>
      <c r="Q33" s="364" t="str">
        <f>Cen!B201</f>
        <v>750.5501T</v>
      </c>
      <c r="R33" s="364" t="str">
        <f>Cen!C201</f>
        <v>ZN</v>
      </c>
      <c r="S33" s="365">
        <f>J17</f>
        <v>0</v>
      </c>
      <c r="T33" s="366">
        <f>Cen!F201</f>
        <v>32.694760000000002</v>
      </c>
      <c r="U33" s="366">
        <f t="shared" si="2"/>
        <v>0</v>
      </c>
    </row>
    <row r="34" spans="1:21" ht="15.75" customHeight="1" x14ac:dyDescent="0.3">
      <c r="A34" s="179"/>
      <c r="B34" s="374"/>
      <c r="C34" s="320" t="str">
        <f>List!$B$99&amp;":"</f>
        <v>Počet skříní:</v>
      </c>
      <c r="D34" s="317"/>
      <c r="E34" s="317"/>
      <c r="F34" s="371"/>
      <c r="G34" s="295"/>
      <c r="H34" s="374"/>
      <c r="I34" s="320" t="str">
        <f>List!$B$99&amp;":"</f>
        <v>Počet skříní:</v>
      </c>
      <c r="J34" s="317"/>
      <c r="K34" s="317"/>
      <c r="L34" s="318"/>
      <c r="M34" s="119"/>
      <c r="N34" s="119"/>
      <c r="O34" s="119"/>
      <c r="P34" s="364" t="str">
        <f>Cen!A202</f>
        <v>Korpusové lišty TIP-ON, 550mm, 70kg</v>
      </c>
      <c r="Q34" s="364" t="str">
        <f>Cen!B202</f>
        <v>753.5501T</v>
      </c>
      <c r="R34" s="364" t="str">
        <f>Cen!C202</f>
        <v>ZN</v>
      </c>
      <c r="S34" s="365">
        <f>J18</f>
        <v>0</v>
      </c>
      <c r="T34" s="366">
        <f>Cen!F202</f>
        <v>37.776060000000001</v>
      </c>
      <c r="U34" s="366">
        <f t="shared" si="2"/>
        <v>0</v>
      </c>
    </row>
    <row r="35" spans="1:21" ht="19.5" customHeight="1" x14ac:dyDescent="0.35">
      <c r="A35" s="179"/>
      <c r="B35" s="372" t="str">
        <f>List!$B$126&amp;"**"</f>
        <v>Korpusové lišty**</v>
      </c>
      <c r="C35" s="320"/>
      <c r="D35" s="24"/>
      <c r="E35" s="24"/>
      <c r="F35" s="24"/>
      <c r="G35" s="27"/>
      <c r="H35" s="372" t="str">
        <f>List!$B$126&amp;"**"</f>
        <v>Korpusové lišty**</v>
      </c>
      <c r="I35" s="320"/>
      <c r="J35"/>
      <c r="K35"/>
      <c r="L35"/>
      <c r="M35" s="119"/>
      <c r="N35" s="119"/>
      <c r="O35" s="119"/>
      <c r="P35" s="364" t="str">
        <f>Cen!A203</f>
        <v>Korpusové lišty TIP-ON, 600mm, 40kg</v>
      </c>
      <c r="Q35" s="364" t="str">
        <f>Cen!B203</f>
        <v>750.6001T</v>
      </c>
      <c r="R35" s="364" t="str">
        <f>Cen!C203</f>
        <v>ZN</v>
      </c>
      <c r="S35" s="365">
        <f>K17</f>
        <v>0</v>
      </c>
      <c r="T35" s="366">
        <f>Cen!F203</f>
        <v>35.700530000000001</v>
      </c>
      <c r="U35" s="366">
        <f t="shared" si="2"/>
        <v>0</v>
      </c>
    </row>
    <row r="36" spans="1:21" ht="15" customHeight="1" thickBot="1" x14ac:dyDescent="0.35">
      <c r="A36" s="179"/>
      <c r="B36" s="297" t="s">
        <v>505</v>
      </c>
      <c r="C36" s="384" t="s">
        <v>887</v>
      </c>
      <c r="D36" s="387"/>
      <c r="E36" s="387"/>
      <c r="F36" s="388"/>
      <c r="G36" s="295"/>
      <c r="H36" s="297" t="s">
        <v>505</v>
      </c>
      <c r="I36" s="298" t="str">
        <f>"2 ks*"</f>
        <v>2 ks*</v>
      </c>
      <c r="J36" s="389"/>
      <c r="K36" s="389"/>
      <c r="L36" s="390"/>
      <c r="M36" s="144"/>
      <c r="N36" s="144"/>
      <c r="O36" s="119"/>
      <c r="P36" s="364" t="str">
        <f>Cen!A204</f>
        <v>Korpusové lišty TIP-ON, 600mm, 70kg</v>
      </c>
      <c r="Q36" s="364" t="str">
        <f>Cen!B204</f>
        <v>753.6001T</v>
      </c>
      <c r="R36" s="364" t="str">
        <f>Cen!C204</f>
        <v>ZN</v>
      </c>
      <c r="S36" s="365">
        <f>K18</f>
        <v>0</v>
      </c>
      <c r="T36" s="366">
        <f>Cen!F204</f>
        <v>40.781829999999999</v>
      </c>
      <c r="U36" s="366">
        <f t="shared" si="2"/>
        <v>0</v>
      </c>
    </row>
    <row r="37" spans="1:21" ht="15" customHeight="1" x14ac:dyDescent="0.3">
      <c r="A37" s="179"/>
      <c r="B37" s="301" t="s">
        <v>506</v>
      </c>
      <c r="C37" s="382" t="s">
        <v>888</v>
      </c>
      <c r="D37" s="386">
        <f>IF(D36&gt;0,IF(D36&gt;5,0,5-D36),0)</f>
        <v>0</v>
      </c>
      <c r="E37" s="386">
        <f t="shared" ref="E37:F37" si="7">IF(E36&gt;0,IF(E36&gt;5,0,5-E36),0)</f>
        <v>0</v>
      </c>
      <c r="F37" s="712">
        <f t="shared" si="7"/>
        <v>0</v>
      </c>
      <c r="G37" s="295"/>
      <c r="H37" s="301" t="s">
        <v>506</v>
      </c>
      <c r="I37" s="382" t="str">
        <f>"3 ks*"</f>
        <v>3 ks*</v>
      </c>
      <c r="J37" s="386">
        <f>IF(J36&gt;0,IF(J36&gt;5,0,5-J36),0)</f>
        <v>0</v>
      </c>
      <c r="K37" s="386">
        <f t="shared" ref="K37:L37" si="8">IF(K36&gt;0,IF(K36&gt;5,0,5-K36),0)</f>
        <v>0</v>
      </c>
      <c r="L37" s="712">
        <f t="shared" si="8"/>
        <v>0</v>
      </c>
      <c r="M37" s="144"/>
      <c r="N37" s="144"/>
      <c r="P37" s="364" t="str">
        <f>Cen!A205</f>
        <v>Korpusové lišty TIP-ON, 650mm, 70kg</v>
      </c>
      <c r="Q37" s="364" t="str">
        <f>Cen!B205</f>
        <v>753.6501T</v>
      </c>
      <c r="R37" s="364" t="str">
        <f>Cen!C205</f>
        <v>ZN</v>
      </c>
      <c r="S37" s="365">
        <f>L18</f>
        <v>0</v>
      </c>
      <c r="T37" s="366">
        <f>Cen!F205</f>
        <v>42.272550000000003</v>
      </c>
      <c r="U37" s="366">
        <f t="shared" si="2"/>
        <v>0</v>
      </c>
    </row>
    <row r="38" spans="1:21" ht="16.5" customHeight="1" x14ac:dyDescent="0.3">
      <c r="A38" s="179"/>
      <c r="C38" s="316"/>
      <c r="D38" s="711" t="str">
        <f>IF(D36&gt;5,"Max. 5!"," ")</f>
        <v xml:space="preserve"> </v>
      </c>
      <c r="E38" s="711" t="str">
        <f t="shared" ref="E38:F38" si="9">IF(E36&gt;5,"Max. 5!"," ")</f>
        <v xml:space="preserve"> </v>
      </c>
      <c r="F38" s="711" t="str">
        <f t="shared" si="9"/>
        <v xml:space="preserve"> </v>
      </c>
      <c r="G38" s="295"/>
      <c r="H38" s="383"/>
      <c r="I38" s="316"/>
      <c r="J38" s="711" t="str">
        <f>IF(J36&gt;5,"Max. 5!"," ")</f>
        <v xml:space="preserve"> </v>
      </c>
      <c r="K38" s="711" t="str">
        <f t="shared" ref="K38:L38" si="10">IF(K36&gt;5,"Max. 5!"," ")</f>
        <v xml:space="preserve"> </v>
      </c>
      <c r="L38" s="711" t="str">
        <f t="shared" si="10"/>
        <v xml:space="preserve"> </v>
      </c>
      <c r="M38" s="144"/>
      <c r="N38" s="144"/>
      <c r="P38" s="122"/>
      <c r="Q38" s="122"/>
      <c r="R38" s="122"/>
      <c r="S38" s="123"/>
      <c r="T38" s="118"/>
      <c r="U38" s="118"/>
    </row>
    <row r="39" spans="1:21" ht="13.5" customHeight="1" x14ac:dyDescent="0.3">
      <c r="A39" s="179"/>
      <c r="B39" s="713"/>
      <c r="C39" s="716"/>
      <c r="D39" s="716"/>
      <c r="E39" s="716"/>
      <c r="F39" s="716"/>
      <c r="G39" s="348"/>
      <c r="H39" s="348"/>
      <c r="I39" s="348"/>
      <c r="J39" s="295"/>
      <c r="K39" s="348"/>
      <c r="L39" s="348"/>
      <c r="M39" s="144"/>
      <c r="N39" s="144"/>
      <c r="P39" s="122"/>
      <c r="Q39" s="122"/>
      <c r="R39" s="122"/>
      <c r="S39" s="123"/>
      <c r="T39" s="118"/>
      <c r="U39" s="118"/>
    </row>
    <row r="40" spans="1:21" ht="13.5" customHeight="1" x14ac:dyDescent="0.3">
      <c r="A40" s="179"/>
      <c r="B40" s="119" t="str">
        <f>"       * "&amp;List!$B$162</f>
        <v xml:space="preserve">       * Nastavené počty korpusových lišt</v>
      </c>
      <c r="C40" s="347"/>
      <c r="D40" s="348"/>
      <c r="E40" s="348"/>
      <c r="F40" s="348"/>
      <c r="G40" s="348"/>
      <c r="H40" s="348"/>
      <c r="I40" s="348"/>
      <c r="J40" s="295"/>
      <c r="K40" s="348"/>
      <c r="L40" s="348"/>
      <c r="M40" s="144"/>
      <c r="N40" s="144"/>
      <c r="P40" s="122"/>
      <c r="Q40" s="122"/>
      <c r="R40" s="122"/>
      <c r="S40" s="123"/>
      <c r="T40" s="118"/>
      <c r="U40" s="118"/>
    </row>
    <row r="41" spans="1:21" ht="13.5" customHeight="1" x14ac:dyDescent="0.3">
      <c r="A41" s="179"/>
      <c r="B41" s="119" t="str">
        <f>"     ** "&amp;List!$B$313</f>
        <v xml:space="preserve">     ** Jednotky TIP-ON BLUMOTION budou přidány automaticky</v>
      </c>
      <c r="C41" s="347"/>
      <c r="D41" s="348"/>
      <c r="E41" s="348"/>
      <c r="F41" s="348"/>
      <c r="G41" s="348"/>
      <c r="H41" s="348"/>
      <c r="I41" s="348"/>
      <c r="J41" s="295"/>
      <c r="K41" s="348"/>
      <c r="L41" s="348"/>
      <c r="M41" s="144"/>
      <c r="N41" s="144"/>
      <c r="P41" s="364" t="str">
        <f>Cen!A209</f>
        <v>Korpusové lišty TIP-ON BLUMOTION, 270mm, 40kg</v>
      </c>
      <c r="Q41" s="364" t="str">
        <f>Cen!B209</f>
        <v>750.2700M</v>
      </c>
      <c r="R41" s="364" t="str">
        <f>Cen!C209</f>
        <v>ZN</v>
      </c>
      <c r="S41" s="365"/>
      <c r="T41" s="366">
        <f>Cen!F209</f>
        <v>21.925909999999998</v>
      </c>
      <c r="U41" s="366">
        <f>S41*T41</f>
        <v>0</v>
      </c>
    </row>
    <row r="42" spans="1:21" ht="13.5" customHeight="1" x14ac:dyDescent="0.3">
      <c r="A42" s="179"/>
      <c r="B42" s="2" t="str">
        <f>"         "&amp;List!B303</f>
        <v xml:space="preserve">         Synchronizaci vyberte v sekci "Výběr doplňků"</v>
      </c>
      <c r="C42" s="347"/>
      <c r="D42" s="348"/>
      <c r="E42" s="348"/>
      <c r="F42" s="348"/>
      <c r="G42" s="348"/>
      <c r="H42" s="348"/>
      <c r="I42" s="348"/>
      <c r="J42" s="295"/>
      <c r="K42" s="348"/>
      <c r="L42" s="348"/>
      <c r="M42" s="144"/>
      <c r="N42" s="144"/>
      <c r="P42" s="364" t="str">
        <f>Cen!A210</f>
        <v>Korpusové lišty TIP-ON BLUMOTION, 300mm, 40kg</v>
      </c>
      <c r="Q42" s="364" t="str">
        <f>Cen!B210</f>
        <v>750.3001M</v>
      </c>
      <c r="R42" s="364" t="str">
        <f>Cen!C210</f>
        <v>ZN</v>
      </c>
      <c r="S42" s="365"/>
      <c r="T42" s="366">
        <f>Cen!F210</f>
        <v>21.925909999999998</v>
      </c>
      <c r="U42" s="366">
        <f t="shared" ref="U42:U58" si="11">S42*T42</f>
        <v>0</v>
      </c>
    </row>
    <row r="43" spans="1:21" ht="13.5" customHeight="1" x14ac:dyDescent="0.3">
      <c r="A43" s="179"/>
      <c r="B43" s="119" t="str">
        <f>"    *** "&amp;List!$B$170&amp;": "&amp;List!$C$68&amp;" 3x, "&amp;List!$C$69&amp;" 2x"</f>
        <v xml:space="preserve">    *** Složení čelních zásuvných prvků: vysoký 3x, nízký 2x</v>
      </c>
      <c r="C43" s="347"/>
      <c r="D43" s="348"/>
      <c r="E43" s="348"/>
      <c r="F43" s="348"/>
      <c r="G43" s="348"/>
      <c r="H43" s="348"/>
      <c r="I43" s="348"/>
      <c r="J43" s="295"/>
      <c r="K43" s="348"/>
      <c r="L43" s="348"/>
      <c r="M43" s="144"/>
      <c r="N43" s="144"/>
      <c r="P43" s="364" t="str">
        <f>Cen!A211</f>
        <v>Korpusové lišty TIP-ON BLUMOTION, 350mm, 40kg</v>
      </c>
      <c r="Q43" s="364" t="str">
        <f>Cen!B211</f>
        <v>750.3501M</v>
      </c>
      <c r="R43" s="364" t="str">
        <f>Cen!C211</f>
        <v>ZN</v>
      </c>
      <c r="S43" s="365"/>
      <c r="T43" s="366">
        <f>Cen!F211</f>
        <v>21.925909999999998</v>
      </c>
      <c r="U43" s="366">
        <f t="shared" si="11"/>
        <v>0</v>
      </c>
    </row>
    <row r="44" spans="1:21" ht="14" x14ac:dyDescent="0.3">
      <c r="A44" s="179"/>
      <c r="B44" s="119" t="str">
        <f>"         "&amp;List!$B$171</f>
        <v xml:space="preserve">         Chcete-li jiné složení zásuvných prvků, upravte počty v objednávce</v>
      </c>
      <c r="C44" s="347"/>
      <c r="D44" s="348"/>
      <c r="E44" s="348"/>
      <c r="F44" s="348"/>
      <c r="G44" s="348"/>
      <c r="H44" s="348"/>
      <c r="I44" s="348"/>
      <c r="J44" s="295"/>
      <c r="K44" s="348"/>
      <c r="L44" s="348"/>
      <c r="M44" s="144"/>
      <c r="N44" s="144"/>
      <c r="P44" s="364" t="str">
        <f>Cen!A212</f>
        <v>Korpusové lišty TIP-ON BLUMOTION, 400mm, 40kg</v>
      </c>
      <c r="Q44" s="364" t="str">
        <f>Cen!B212</f>
        <v>750.4001M</v>
      </c>
      <c r="R44" s="364" t="str">
        <f>Cen!C212</f>
        <v>ZN</v>
      </c>
      <c r="S44" s="365"/>
      <c r="T44" s="366">
        <f>Cen!F212</f>
        <v>22.204979999999999</v>
      </c>
      <c r="U44" s="366">
        <f t="shared" si="11"/>
        <v>0</v>
      </c>
    </row>
    <row r="45" spans="1:21" ht="14" x14ac:dyDescent="0.3">
      <c r="A45" s="179"/>
      <c r="B45" s="119" t="str">
        <f>"         "&amp;List!$B$173</f>
        <v xml:space="preserve">         Máte-li zásuvné prvky vlastní, upravte počty v objednávce</v>
      </c>
      <c r="C45" s="347"/>
      <c r="D45" s="348"/>
      <c r="E45" s="348"/>
      <c r="F45" s="348"/>
      <c r="G45" s="348"/>
      <c r="H45" s="348"/>
      <c r="I45" s="348"/>
      <c r="J45" s="295"/>
      <c r="K45" s="348"/>
      <c r="L45" s="348"/>
      <c r="M45" s="119"/>
      <c r="N45" s="119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385">
        <f>IF($D$36&gt;0, $D$36*$D$34, 4*$D$34)+IF($J$36&gt;0, $J$36*$J$34, 2*$J$34)</f>
        <v>0</v>
      </c>
      <c r="T45" s="118">
        <f>Cen!F213</f>
        <v>23.667639999999995</v>
      </c>
      <c r="U45" s="118">
        <f>S45*T45</f>
        <v>0</v>
      </c>
    </row>
    <row r="46" spans="1:21" ht="14" x14ac:dyDescent="0.3">
      <c r="A46" s="179"/>
      <c r="C46" s="347"/>
      <c r="D46" s="348"/>
      <c r="E46" s="348"/>
      <c r="F46" s="348"/>
      <c r="G46" s="348"/>
      <c r="H46" s="348"/>
      <c r="I46" s="348"/>
      <c r="J46" s="295"/>
      <c r="K46" s="348"/>
      <c r="L46" s="348"/>
      <c r="M46" s="119"/>
      <c r="N46" s="119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385">
        <f>IF($D$36&gt;0, $D$37*$D$34, 1*$D$34)+IF($J$36&gt;0, $J$37*$J$34, 3*$J$34)</f>
        <v>0</v>
      </c>
      <c r="T46" s="118">
        <f>Cen!F214</f>
        <v>27.780560000000001</v>
      </c>
      <c r="U46" s="118">
        <f>S46*T46</f>
        <v>0</v>
      </c>
    </row>
    <row r="47" spans="1:21" ht="14" x14ac:dyDescent="0.3">
      <c r="A47" s="179"/>
      <c r="C47" s="348"/>
      <c r="D47" s="295"/>
      <c r="E47" s="295"/>
      <c r="F47" s="295"/>
      <c r="G47" s="295"/>
      <c r="H47" s="295"/>
      <c r="I47" s="295"/>
      <c r="J47" s="295"/>
      <c r="K47" s="295"/>
      <c r="L47" s="295"/>
      <c r="M47" s="119"/>
      <c r="N47" s="11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385">
        <f>IF($E$36&gt;0, $E$36*$E$34, 4*$E$34)+IF($K$36&gt;0, $K$36*$K$34, 2*$K$34)</f>
        <v>0</v>
      </c>
      <c r="T47" s="696">
        <f>Cen!F215</f>
        <v>23.961559999999999</v>
      </c>
      <c r="U47" s="696">
        <f>S47*T47</f>
        <v>0</v>
      </c>
    </row>
    <row r="48" spans="1:21" ht="14" x14ac:dyDescent="0.3">
      <c r="A48" s="179"/>
      <c r="C48" s="348"/>
      <c r="D48" s="295"/>
      <c r="E48" s="295"/>
      <c r="F48" s="295"/>
      <c r="G48" s="295"/>
      <c r="H48" s="295"/>
      <c r="I48" s="295"/>
      <c r="J48" s="295"/>
      <c r="K48" s="295"/>
      <c r="L48" s="295"/>
      <c r="M48" s="119"/>
      <c r="N48" s="11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385">
        <f>IF($E$36&gt;0, $E$37*$E$34, 1*$E$34)+IF($K$36&gt;0, $K$37*$K$34, 3*$K$34)</f>
        <v>0</v>
      </c>
      <c r="T48" s="696">
        <f>Cen!F216</f>
        <v>28.059809999999999</v>
      </c>
      <c r="U48" s="696">
        <f>S48*T48</f>
        <v>0</v>
      </c>
    </row>
    <row r="49" spans="1:21" ht="14" x14ac:dyDescent="0.3">
      <c r="A49" s="179"/>
      <c r="C49" s="348"/>
      <c r="D49" s="295"/>
      <c r="E49" s="295"/>
      <c r="F49" s="295"/>
      <c r="G49" s="295"/>
      <c r="H49" s="295"/>
      <c r="I49" s="295"/>
      <c r="J49" s="295"/>
      <c r="K49" s="295"/>
      <c r="L49" s="295"/>
      <c r="M49" s="119"/>
      <c r="N49" s="119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385">
        <f>IF($F$36&gt;0, $F$36*$F$34, 4*$F$34)+IF($L$36&gt;0, $L$36*$L$34, 2*$L$34)</f>
        <v>0</v>
      </c>
      <c r="T49" s="118">
        <f>Cen!F217</f>
        <v>24.254210000000004</v>
      </c>
      <c r="U49" s="118">
        <f t="shared" si="11"/>
        <v>0</v>
      </c>
    </row>
    <row r="50" spans="1:21" ht="14" x14ac:dyDescent="0.3">
      <c r="A50" s="179"/>
      <c r="C50" s="348"/>
      <c r="D50" s="295"/>
      <c r="E50" s="295"/>
      <c r="F50" s="295"/>
      <c r="G50" s="295"/>
      <c r="H50" s="295"/>
      <c r="I50" s="295"/>
      <c r="J50" s="295"/>
      <c r="K50" s="295"/>
      <c r="L50" s="295"/>
      <c r="M50" s="119"/>
      <c r="N50" s="119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385">
        <f>IF($F$36&gt;0, $F$37*$F$34, 1*$F$34)+IF($L$36&gt;0, $L$37*$L$34, 3*$L$34)</f>
        <v>0</v>
      </c>
      <c r="T50" s="118">
        <f>Cen!F218</f>
        <v>29.550529999999998</v>
      </c>
      <c r="U50" s="118">
        <f t="shared" si="11"/>
        <v>0</v>
      </c>
    </row>
    <row r="51" spans="1:21" ht="14" x14ac:dyDescent="0.3">
      <c r="A51" s="179"/>
      <c r="C51" s="348"/>
      <c r="D51" s="295"/>
      <c r="E51" s="295"/>
      <c r="F51" s="295"/>
      <c r="G51" s="295"/>
      <c r="H51" s="295"/>
      <c r="I51" s="295"/>
      <c r="J51" s="295"/>
      <c r="K51" s="295"/>
      <c r="L51" s="295"/>
      <c r="M51" s="119"/>
      <c r="N51" s="119"/>
      <c r="P51" s="364" t="str">
        <f>Cen!A219</f>
        <v>Korpusové lišty TIP-ON BLUMOTION, 600mm, 40kg</v>
      </c>
      <c r="Q51" s="364" t="str">
        <f>Cen!B219</f>
        <v>750.6001M</v>
      </c>
      <c r="R51" s="364" t="str">
        <f>Cen!C219</f>
        <v>ZN</v>
      </c>
      <c r="S51" s="365"/>
      <c r="T51" s="366">
        <f>Cen!F219</f>
        <v>27.259979999999999</v>
      </c>
      <c r="U51" s="366">
        <f t="shared" si="11"/>
        <v>0</v>
      </c>
    </row>
    <row r="52" spans="1:21" ht="14" x14ac:dyDescent="0.3">
      <c r="A52" s="179"/>
      <c r="C52" s="348"/>
      <c r="D52" s="295"/>
      <c r="E52" s="295"/>
      <c r="F52" s="295"/>
      <c r="G52" s="295"/>
      <c r="H52" s="295"/>
      <c r="I52" s="295"/>
      <c r="J52" s="295"/>
      <c r="K52" s="295"/>
      <c r="L52" s="295"/>
      <c r="M52" s="119"/>
      <c r="N52" s="119"/>
      <c r="P52" s="364" t="str">
        <f>Cen!A220</f>
        <v>Korpusové lišty TIP-ON BLUMOTION, 600mm, 70kg</v>
      </c>
      <c r="Q52" s="364" t="str">
        <f>Cen!B220</f>
        <v>753.6001M</v>
      </c>
      <c r="R52" s="364" t="str">
        <f>Cen!C220</f>
        <v>ZN</v>
      </c>
      <c r="S52" s="365"/>
      <c r="T52" s="366">
        <f>Cen!F220</f>
        <v>32.5563</v>
      </c>
      <c r="U52" s="366">
        <f t="shared" si="11"/>
        <v>0</v>
      </c>
    </row>
    <row r="53" spans="1:21" ht="14" x14ac:dyDescent="0.3">
      <c r="A53" s="179"/>
      <c r="C53" s="348"/>
      <c r="D53" s="295"/>
      <c r="E53" s="295"/>
      <c r="F53" s="295"/>
      <c r="G53" s="295"/>
      <c r="H53" s="295"/>
      <c r="I53" s="295"/>
      <c r="J53" s="295"/>
      <c r="K53" s="295"/>
      <c r="L53" s="295"/>
      <c r="M53" s="119"/>
      <c r="N53" s="119"/>
      <c r="P53" s="364" t="str">
        <f>Cen!A221</f>
        <v>Korpusové lišty TIP-ON BLUMOTION, 650mm, 70kg</v>
      </c>
      <c r="Q53" s="364" t="str">
        <f>Cen!B221</f>
        <v>753.6501M</v>
      </c>
      <c r="R53" s="364" t="str">
        <f>Cen!C221</f>
        <v>ZN</v>
      </c>
      <c r="S53" s="365"/>
      <c r="T53" s="366">
        <f>Cen!F221</f>
        <v>34.047020000000003</v>
      </c>
      <c r="U53" s="366">
        <f t="shared" si="11"/>
        <v>0</v>
      </c>
    </row>
    <row r="54" spans="1:21" ht="14" x14ac:dyDescent="0.3">
      <c r="A54" s="179"/>
      <c r="C54" s="348"/>
      <c r="D54" s="295"/>
      <c r="E54" s="295"/>
      <c r="F54" s="295"/>
      <c r="G54" s="295"/>
      <c r="H54" s="295"/>
      <c r="I54" s="295"/>
      <c r="J54" s="295"/>
      <c r="K54" s="295"/>
      <c r="L54" s="295"/>
      <c r="M54" s="119"/>
      <c r="N54" s="119"/>
      <c r="P54" s="122"/>
      <c r="Q54" s="122"/>
      <c r="R54" s="122"/>
      <c r="S54" s="123"/>
      <c r="T54" s="118"/>
      <c r="U54" s="118"/>
    </row>
    <row r="55" spans="1:21" ht="14" x14ac:dyDescent="0.3">
      <c r="A55" s="179"/>
      <c r="C55" s="348"/>
      <c r="D55" s="295"/>
      <c r="E55" s="295"/>
      <c r="F55" s="295"/>
      <c r="G55" s="295"/>
      <c r="H55" s="295"/>
      <c r="I55" s="295"/>
      <c r="J55" s="295"/>
      <c r="K55" s="295"/>
      <c r="L55" s="295"/>
      <c r="M55" s="119"/>
      <c r="N55" s="11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/>
      <c r="T55" s="118">
        <f>Cen!F223</f>
        <v>15.883479999999999</v>
      </c>
      <c r="U55" s="118">
        <f t="shared" si="11"/>
        <v>0</v>
      </c>
    </row>
    <row r="56" spans="1:21" ht="14" x14ac:dyDescent="0.3">
      <c r="A56" s="179"/>
      <c r="C56" s="348"/>
      <c r="D56" s="295"/>
      <c r="E56" s="295"/>
      <c r="F56" s="295"/>
      <c r="G56" s="295"/>
      <c r="H56" s="295"/>
      <c r="I56" s="295"/>
      <c r="J56" s="295"/>
      <c r="K56" s="295"/>
      <c r="L56" s="295"/>
      <c r="M56" s="119"/>
      <c r="N56" s="11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/>
      <c r="T56" s="118">
        <f>Cen!F224</f>
        <v>15.883479999999999</v>
      </c>
      <c r="U56" s="118">
        <f t="shared" si="11"/>
        <v>0</v>
      </c>
    </row>
    <row r="57" spans="1:21" ht="14" x14ac:dyDescent="0.3">
      <c r="A57" s="179"/>
      <c r="C57" s="348"/>
      <c r="D57" s="295"/>
      <c r="E57" s="295"/>
      <c r="F57" s="295"/>
      <c r="G57" s="295"/>
      <c r="H57" s="295"/>
      <c r="I57" s="295"/>
      <c r="J57" s="295"/>
      <c r="K57" s="295"/>
      <c r="L57" s="295"/>
      <c r="M57" s="119"/>
      <c r="N57" s="11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SUM(S45,S47,S49)</f>
        <v>0</v>
      </c>
      <c r="T57" s="118">
        <f>Cen!F225</f>
        <v>15.883479999999999</v>
      </c>
      <c r="U57" s="118">
        <f t="shared" si="11"/>
        <v>0</v>
      </c>
    </row>
    <row r="58" spans="1:21" ht="14" x14ac:dyDescent="0.3">
      <c r="A58" s="179"/>
      <c r="C58" s="348"/>
      <c r="D58" s="295"/>
      <c r="E58" s="295"/>
      <c r="F58" s="295"/>
      <c r="G58" s="295"/>
      <c r="H58" s="295"/>
      <c r="I58" s="295"/>
      <c r="J58" s="295"/>
      <c r="K58" s="295"/>
      <c r="L58" s="295"/>
      <c r="M58" s="119"/>
      <c r="N58" s="11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SUM(S46,S48,S50)</f>
        <v>0</v>
      </c>
      <c r="T58" s="118">
        <f>Cen!F226</f>
        <v>15.883479999999999</v>
      </c>
      <c r="U58" s="118">
        <f t="shared" si="11"/>
        <v>0</v>
      </c>
    </row>
    <row r="59" spans="1:21" ht="14" x14ac:dyDescent="0.3">
      <c r="A59" s="179"/>
      <c r="C59" s="348"/>
      <c r="D59" s="295"/>
      <c r="E59" s="295"/>
      <c r="F59" s="295"/>
      <c r="G59" s="295"/>
      <c r="H59" s="295"/>
      <c r="I59" s="295"/>
      <c r="J59" s="295"/>
      <c r="K59" s="295"/>
      <c r="L59" s="295"/>
      <c r="M59" s="119"/>
      <c r="N59" s="119"/>
      <c r="P59" s="144"/>
      <c r="Q59" s="144"/>
      <c r="R59" s="144"/>
      <c r="S59" s="150"/>
      <c r="T59" s="154"/>
      <c r="U59" s="154"/>
    </row>
    <row r="60" spans="1:21" ht="14" x14ac:dyDescent="0.3">
      <c r="A60" s="179"/>
      <c r="C60" s="348"/>
      <c r="D60" s="295"/>
      <c r="E60" s="295"/>
      <c r="F60" s="295"/>
      <c r="G60" s="295"/>
      <c r="H60" s="295"/>
      <c r="I60" s="295"/>
      <c r="J60" s="295"/>
      <c r="K60" s="295"/>
      <c r="L60" s="295"/>
      <c r="M60" s="119"/>
      <c r="N60" s="119"/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SUM(S3:S10)</f>
        <v>0</v>
      </c>
      <c r="T60" s="118">
        <f>Cen!$F259</f>
        <v>1.59894</v>
      </c>
      <c r="U60" s="118">
        <f>S60*T60</f>
        <v>0</v>
      </c>
    </row>
    <row r="61" spans="1:21" ht="14" x14ac:dyDescent="0.3">
      <c r="A61" s="179"/>
      <c r="C61" s="348"/>
      <c r="D61" s="295"/>
      <c r="E61" s="295"/>
      <c r="F61" s="295"/>
      <c r="G61" s="295"/>
      <c r="H61" s="295"/>
      <c r="I61" s="295"/>
      <c r="J61" s="295"/>
      <c r="K61" s="295"/>
      <c r="L61" s="295"/>
      <c r="M61" s="119"/>
      <c r="N61" s="119"/>
      <c r="P61" s="122" t="str">
        <f>Cen!A293</f>
        <v>Sada kování vnitř.výs. C, se zás.prvkem, Orion šedá</v>
      </c>
      <c r="Q61" s="122" t="str">
        <f>Cen!B293</f>
        <v>ZI7.2CS0</v>
      </c>
      <c r="R61" s="122" t="str">
        <f>Cen!C293</f>
        <v>OG-M</v>
      </c>
      <c r="S61" s="123">
        <f>SUM(S3:S10)</f>
        <v>0</v>
      </c>
      <c r="T61" s="118">
        <f>Cen!F293</f>
        <v>19.402619999999999</v>
      </c>
      <c r="U61" s="118">
        <f>S61*T61</f>
        <v>0</v>
      </c>
    </row>
    <row r="62" spans="1:21" ht="14" x14ac:dyDescent="0.3">
      <c r="A62" s="179"/>
      <c r="C62" s="348"/>
      <c r="D62" s="295"/>
      <c r="E62" s="295"/>
      <c r="F62" s="295"/>
      <c r="G62" s="295"/>
      <c r="H62" s="295"/>
      <c r="I62" s="295"/>
      <c r="J62" s="295"/>
      <c r="K62" s="295"/>
      <c r="L62" s="295"/>
      <c r="M62" s="119"/>
      <c r="P62" s="122"/>
      <c r="Q62" s="122"/>
      <c r="R62" s="122"/>
      <c r="S62" s="123"/>
      <c r="T62" s="118"/>
      <c r="U62" s="118"/>
    </row>
    <row r="63" spans="1:21" ht="14" x14ac:dyDescent="0.3">
      <c r="C63" s="348"/>
      <c r="D63" s="295"/>
      <c r="E63" s="295"/>
      <c r="F63" s="295"/>
      <c r="G63" s="295"/>
      <c r="H63" s="295"/>
      <c r="I63" s="295"/>
      <c r="J63" s="295"/>
      <c r="K63" s="295"/>
      <c r="L63" s="295"/>
      <c r="M63" s="119"/>
      <c r="P63" s="122" t="str">
        <f>Cen!A306</f>
        <v>Přední díl vnitřní zásuvky, s drážkou, Orion šedý</v>
      </c>
      <c r="Q63" s="122" t="str">
        <f>Cen!B306</f>
        <v>ZV7.1043MN1</v>
      </c>
      <c r="R63" s="122" t="str">
        <f>Cen!C306</f>
        <v>OG-M</v>
      </c>
      <c r="S63" s="336">
        <f>ROUNDUP(SUM($D$26/3*5, $E$26/3*5, $F$26/3*5, $D$34/3*5, $E$34/3*5, $F$34/3*5),0)+ROUNDUP(SUM($J$26/2*5, $K$26/2*5, $L$26/2*5, $J$34/2*5, $K$34/2*5, $L$34/2*5),0)</f>
        <v>0</v>
      </c>
      <c r="T63" s="118">
        <f>Cen!F306</f>
        <v>14.808439999999997</v>
      </c>
      <c r="U63" s="118">
        <f>S63*T63</f>
        <v>0</v>
      </c>
    </row>
    <row r="64" spans="1:21" ht="13" x14ac:dyDescent="0.3">
      <c r="C64" s="294"/>
      <c r="D64" s="179"/>
      <c r="E64" s="179"/>
      <c r="F64" s="179"/>
      <c r="G64" s="179"/>
      <c r="H64" s="179"/>
      <c r="I64" s="288"/>
      <c r="J64" s="288"/>
      <c r="K64" s="288"/>
      <c r="L64" s="288"/>
      <c r="M64" s="119"/>
      <c r="P64" s="122"/>
      <c r="Q64" s="122"/>
      <c r="R64" s="122"/>
      <c r="S64" s="123"/>
      <c r="T64" s="118"/>
      <c r="U64" s="118"/>
    </row>
    <row r="65" spans="1:21" ht="13" x14ac:dyDescent="0.3">
      <c r="C65" s="294"/>
      <c r="D65" s="179"/>
      <c r="E65" s="179"/>
      <c r="F65" s="179"/>
      <c r="G65" s="179"/>
      <c r="H65" s="179"/>
      <c r="I65" s="179"/>
      <c r="J65" s="179"/>
      <c r="K65" s="179"/>
      <c r="L65" s="179"/>
      <c r="P65" s="126" t="str">
        <f>Cen!A322</f>
        <v>Přední zásuvný prvek vysoký, sklo, KB 450mm</v>
      </c>
      <c r="Q65" s="126" t="str">
        <f>Cen!B322</f>
        <v>ZE7W332G</v>
      </c>
      <c r="R65" s="126" t="str">
        <f>Cen!C322</f>
        <v>KLA</v>
      </c>
      <c r="S65" s="334">
        <f>SUM($D$26:$F$26, $D$34:$F$34)*3</f>
        <v>0</v>
      </c>
      <c r="T65" s="335">
        <f>Cen!F322</f>
        <v>12.912559999999999</v>
      </c>
      <c r="U65" s="335">
        <f>S65*T65</f>
        <v>0</v>
      </c>
    </row>
    <row r="66" spans="1:21" ht="13" x14ac:dyDescent="0.3">
      <c r="B66" s="119"/>
      <c r="C66" s="287"/>
      <c r="I66" s="289"/>
      <c r="J66" s="289"/>
      <c r="K66" s="289"/>
      <c r="L66" s="289"/>
      <c r="P66" s="127" t="str">
        <f>Cen!A323</f>
        <v>Přední zásuvný prvek vysoký, sklo, KB 600mm</v>
      </c>
      <c r="Q66" s="127" t="str">
        <f>Cen!B323</f>
        <v>ZE7W482G</v>
      </c>
      <c r="R66" s="127" t="str">
        <f>Cen!C323</f>
        <v>KLA</v>
      </c>
      <c r="S66" s="262">
        <f>SUM($J$26:$L$26, $J$34:$L$34)*3</f>
        <v>0</v>
      </c>
      <c r="T66" s="263">
        <f>Cen!F323</f>
        <v>14.673980000000002</v>
      </c>
      <c r="U66" s="263">
        <f>S66*T66</f>
        <v>0</v>
      </c>
    </row>
    <row r="67" spans="1:21" ht="14.5" x14ac:dyDescent="0.35">
      <c r="B67" s="24"/>
      <c r="C67" s="287"/>
      <c r="I67" s="290"/>
      <c r="J67" s="290"/>
      <c r="K67" s="290"/>
      <c r="L67" s="290"/>
      <c r="P67" s="360" t="str">
        <f>Cen!A324</f>
        <v>Přední zásuvný prvek vysoký, sklo, KB 900mm</v>
      </c>
      <c r="Q67" s="360" t="str">
        <f>Cen!B324</f>
        <v>ZE7W782G</v>
      </c>
      <c r="R67" s="360" t="str">
        <f>Cen!C324</f>
        <v>KLA</v>
      </c>
      <c r="S67" s="361"/>
      <c r="T67" s="363">
        <f>Cen!F324</f>
        <v>24.45665</v>
      </c>
      <c r="U67" s="363">
        <f>S67*T67</f>
        <v>0</v>
      </c>
    </row>
    <row r="68" spans="1:21" ht="13" x14ac:dyDescent="0.3">
      <c r="C68" s="287"/>
      <c r="I68" s="288"/>
      <c r="J68" s="288"/>
      <c r="K68" s="288"/>
      <c r="L68" s="288"/>
      <c r="P68" s="430" t="str">
        <f>Cen!A325</f>
        <v>Přední zásuvný prvek vysoký, sklo, KB 1200mm</v>
      </c>
      <c r="Q68" s="430" t="str">
        <f>Cen!B325</f>
        <v>ZE7W1082G</v>
      </c>
      <c r="R68" s="430" t="str">
        <f>Cen!C325</f>
        <v>KLA</v>
      </c>
      <c r="S68" s="418"/>
      <c r="T68" s="431">
        <f>Cen!F325</f>
        <v>31.500150000000005</v>
      </c>
      <c r="U68" s="431">
        <f>S68*T68</f>
        <v>0</v>
      </c>
    </row>
    <row r="69" spans="1:21" ht="14" x14ac:dyDescent="0.3">
      <c r="C69" s="291"/>
      <c r="D69" s="347"/>
      <c r="E69" s="348"/>
      <c r="F69" s="349"/>
      <c r="G69" s="349"/>
      <c r="H69" s="348"/>
      <c r="I69" s="348"/>
      <c r="J69" s="291"/>
      <c r="K69" s="291"/>
      <c r="L69" s="291"/>
      <c r="P69" s="122"/>
      <c r="Q69" s="122"/>
      <c r="R69" s="122"/>
      <c r="S69" s="123"/>
      <c r="T69" s="118"/>
      <c r="U69" s="118"/>
    </row>
    <row r="70" spans="1:21" ht="14" x14ac:dyDescent="0.3">
      <c r="C70" s="291"/>
      <c r="D70" s="351"/>
      <c r="E70" s="295"/>
      <c r="F70" s="295"/>
      <c r="G70" s="295"/>
      <c r="H70" s="295"/>
      <c r="I70" s="295"/>
      <c r="J70" s="289"/>
      <c r="K70" s="289"/>
      <c r="L70" s="289"/>
      <c r="P70" s="126" t="str">
        <f>Cen!A330</f>
        <v>Přední zásuvný prvek nízký, sklo, KB 450mm</v>
      </c>
      <c r="Q70" s="126" t="str">
        <f>Cen!B330</f>
        <v>ZE7V332G</v>
      </c>
      <c r="R70" s="126" t="str">
        <f>Cen!C330</f>
        <v>KLA</v>
      </c>
      <c r="S70" s="334">
        <f>SUM($D$26:$F$26, $D$34:$F$34)*2</f>
        <v>0</v>
      </c>
      <c r="T70" s="335">
        <f>Cen!F330</f>
        <v>8.02196</v>
      </c>
      <c r="U70" s="335">
        <f>S70*T70</f>
        <v>0</v>
      </c>
    </row>
    <row r="71" spans="1:21" ht="14" x14ac:dyDescent="0.3">
      <c r="B71" s="383"/>
      <c r="C71" s="291"/>
      <c r="D71" s="351"/>
      <c r="E71" s="295"/>
      <c r="F71" s="295"/>
      <c r="G71" s="295"/>
      <c r="H71" s="295"/>
      <c r="I71" s="295"/>
      <c r="J71" s="289"/>
      <c r="K71" s="289"/>
      <c r="L71" s="289"/>
      <c r="P71" s="127" t="str">
        <f>Cen!A331</f>
        <v>Přední zásuvný prvek nízký, sklo, KB 600mm</v>
      </c>
      <c r="Q71" s="127" t="str">
        <f>Cen!B331</f>
        <v>ZE7V482G</v>
      </c>
      <c r="R71" s="127" t="str">
        <f>Cen!C331</f>
        <v>KLA</v>
      </c>
      <c r="S71" s="262">
        <f>SUM($J$26:$L$26, $J$34:$L$34)*2</f>
        <v>0</v>
      </c>
      <c r="T71" s="263">
        <f>Cen!F331</f>
        <v>9.1958699999999993</v>
      </c>
      <c r="U71" s="263">
        <f>S71*T71</f>
        <v>0</v>
      </c>
    </row>
    <row r="72" spans="1:21" ht="14" x14ac:dyDescent="0.3">
      <c r="B72" s="179"/>
      <c r="C72" s="316"/>
      <c r="D72" s="295"/>
      <c r="E72" s="295"/>
      <c r="F72" s="295"/>
      <c r="G72" s="295"/>
      <c r="H72" s="295"/>
      <c r="J72" s="290"/>
      <c r="K72" s="290"/>
      <c r="L72" s="290"/>
      <c r="P72" s="360" t="str">
        <f>Cen!A332</f>
        <v>Přední zásuvný prvek nízký, sklo, KB 900mm</v>
      </c>
      <c r="Q72" s="360" t="str">
        <f>Cen!B332</f>
        <v>ZE7V782G</v>
      </c>
      <c r="R72" s="360" t="str">
        <f>Cen!C332</f>
        <v>KLA</v>
      </c>
      <c r="S72" s="361"/>
      <c r="T72" s="363">
        <f>Cen!F332</f>
        <v>16.2394</v>
      </c>
      <c r="U72" s="363">
        <f>S72*T72</f>
        <v>0</v>
      </c>
    </row>
    <row r="73" spans="1:21" ht="13" x14ac:dyDescent="0.3">
      <c r="B73" s="179"/>
      <c r="C73" s="287"/>
      <c r="I73" s="288"/>
      <c r="J73" s="288"/>
      <c r="K73" s="288"/>
      <c r="L73" s="288"/>
      <c r="P73" s="430" t="str">
        <f>Cen!A333</f>
        <v>Přední zásuvný prvek nízký, sklo, KB 1200mm</v>
      </c>
      <c r="Q73" s="430" t="str">
        <f>Cen!B333</f>
        <v>ZE7V1082G</v>
      </c>
      <c r="R73" s="430" t="str">
        <f>Cen!C333</f>
        <v>KLA</v>
      </c>
      <c r="S73" s="418"/>
      <c r="T73" s="431">
        <f>Cen!F333</f>
        <v>20.93506</v>
      </c>
      <c r="U73" s="431">
        <f>S73*T73</f>
        <v>0</v>
      </c>
    </row>
    <row r="74" spans="1:21" ht="14" x14ac:dyDescent="0.3">
      <c r="A74" s="179"/>
      <c r="C74" s="348"/>
      <c r="D74" s="295"/>
      <c r="E74" s="295"/>
      <c r="F74" s="295"/>
      <c r="G74" s="295"/>
      <c r="H74" s="295"/>
      <c r="I74" s="295"/>
      <c r="J74" s="295"/>
      <c r="K74" s="295"/>
      <c r="L74" s="295"/>
      <c r="M74" s="119"/>
      <c r="N74" s="119"/>
      <c r="P74" s="122"/>
      <c r="Q74" s="122"/>
      <c r="R74" s="122"/>
      <c r="S74" s="123"/>
      <c r="T74" s="118"/>
      <c r="U74" s="118"/>
    </row>
    <row r="75" spans="1:21" ht="14" x14ac:dyDescent="0.3">
      <c r="A75" s="179"/>
      <c r="C75" s="348"/>
      <c r="D75" s="295"/>
      <c r="E75" s="295"/>
      <c r="F75" s="295"/>
      <c r="G75" s="295"/>
      <c r="H75" s="295"/>
      <c r="I75" s="295"/>
      <c r="J75" s="295"/>
      <c r="K75" s="295"/>
      <c r="L75" s="295"/>
      <c r="M75" s="119"/>
      <c r="N75" s="119"/>
      <c r="P75" s="122" t="str">
        <f>Cen!A621</f>
        <v>CLIP top 155° s nulovým přesahem, EXPANDO</v>
      </c>
      <c r="Q75" s="122" t="str">
        <f>Cen!B621</f>
        <v>71T753EN</v>
      </c>
      <c r="R75" s="122" t="str">
        <f>Cen!C621</f>
        <v>NI</v>
      </c>
      <c r="S75" s="123">
        <f>SUM($D$26:$F$26, $J$26:$L$26, $D$34:$F$34, $J$34:$L$34)*4</f>
        <v>0</v>
      </c>
      <c r="T75" s="118">
        <f>Cen!F621</f>
        <v>4.42394</v>
      </c>
      <c r="U75" s="118">
        <f t="shared" ref="U75:U78" si="12">S75*T75</f>
        <v>0</v>
      </c>
    </row>
    <row r="76" spans="1:21" ht="14" x14ac:dyDescent="0.3">
      <c r="A76" s="179"/>
      <c r="C76" s="348"/>
      <c r="D76" s="295"/>
      <c r="E76" s="295"/>
      <c r="F76" s="295"/>
      <c r="G76" s="295"/>
      <c r="H76" s="295"/>
      <c r="I76" s="295"/>
      <c r="J76" s="295"/>
      <c r="K76" s="295"/>
      <c r="L76" s="295"/>
      <c r="M76" s="119"/>
      <c r="N76" s="119"/>
      <c r="P76" s="122" t="str">
        <f>Cen!A630</f>
        <v>Podložka CLIP top přímá, EXPANDO</v>
      </c>
      <c r="Q76" s="122" t="str">
        <f>Cen!B630</f>
        <v>177H5400E</v>
      </c>
      <c r="R76" s="122" t="str">
        <f>Cen!C630</f>
        <v>NI</v>
      </c>
      <c r="S76" s="123">
        <f>$S$75</f>
        <v>0</v>
      </c>
      <c r="T76" s="118">
        <f>Cen!F630</f>
        <v>0.81311999999999995</v>
      </c>
      <c r="U76" s="118">
        <f t="shared" si="12"/>
        <v>0</v>
      </c>
    </row>
    <row r="77" spans="1:21" ht="14" x14ac:dyDescent="0.3">
      <c r="A77" s="179"/>
      <c r="C77" s="348"/>
      <c r="D77" s="295"/>
      <c r="E77" s="295"/>
      <c r="F77" s="295"/>
      <c r="G77" s="295"/>
      <c r="H77" s="295"/>
      <c r="I77" s="295"/>
      <c r="J77" s="295"/>
      <c r="K77" s="295"/>
      <c r="L77" s="295"/>
      <c r="M77" s="119"/>
      <c r="N77" s="119"/>
      <c r="P77" s="122" t="str">
        <f>Cen!A633</f>
        <v>BLUMOTION pro nasazení na závěs 155° a 125°</v>
      </c>
      <c r="Q77" s="122" t="str">
        <f>Cen!B633</f>
        <v>973A7000</v>
      </c>
      <c r="R77" s="122" t="str">
        <f>Cen!C633</f>
        <v>NI</v>
      </c>
      <c r="S77" s="123">
        <f>$S$75/4*2</f>
        <v>0</v>
      </c>
      <c r="T77" s="118">
        <f>Cen!F633</f>
        <v>1.5222899999999999</v>
      </c>
      <c r="U77" s="118">
        <f t="shared" si="12"/>
        <v>0</v>
      </c>
    </row>
    <row r="78" spans="1:21" ht="14" x14ac:dyDescent="0.3">
      <c r="A78" s="179"/>
      <c r="C78" s="348"/>
      <c r="D78" s="295"/>
      <c r="E78" s="295"/>
      <c r="F78" s="295"/>
      <c r="G78" s="295"/>
      <c r="H78" s="295"/>
      <c r="I78" s="295"/>
      <c r="J78" s="295"/>
      <c r="K78" s="295"/>
      <c r="L78" s="295"/>
      <c r="M78" s="119"/>
      <c r="N78" s="119"/>
      <c r="P78" s="122">
        <f>Cen!A246</f>
        <v>0</v>
      </c>
      <c r="Q78" s="122">
        <f>Cen!B246</f>
        <v>0</v>
      </c>
      <c r="R78" s="122">
        <f>Cen!C246</f>
        <v>0</v>
      </c>
      <c r="S78" s="123"/>
      <c r="T78" s="118">
        <f>Cen!F246</f>
        <v>0</v>
      </c>
      <c r="U78" s="118">
        <f t="shared" si="12"/>
        <v>0</v>
      </c>
    </row>
    <row r="79" spans="1:21" ht="14" x14ac:dyDescent="0.3">
      <c r="B79" s="291"/>
      <c r="C79" s="291"/>
      <c r="D79" s="347"/>
      <c r="E79" s="348"/>
      <c r="F79" s="349"/>
      <c r="G79" s="349"/>
      <c r="H79" s="348"/>
      <c r="I79" s="348"/>
      <c r="J79" s="291"/>
      <c r="K79" s="291"/>
      <c r="L79" s="291"/>
      <c r="P79" s="119"/>
      <c r="Q79" s="119"/>
    </row>
    <row r="80" spans="1:21" ht="14" x14ac:dyDescent="0.3">
      <c r="B80" s="294"/>
      <c r="C80" s="291"/>
      <c r="D80" s="351"/>
      <c r="E80" s="295"/>
      <c r="F80" s="295"/>
      <c r="G80" s="295"/>
      <c r="H80" s="295"/>
      <c r="I80" s="295"/>
      <c r="J80" s="289"/>
      <c r="K80" s="289"/>
      <c r="L80" s="289"/>
      <c r="P80" s="119"/>
      <c r="Q80" s="119"/>
      <c r="S80" s="73" t="str">
        <f>List!$B$94</f>
        <v>cena kování</v>
      </c>
      <c r="U80" s="353">
        <f>SUM(U3:U79)</f>
        <v>0</v>
      </c>
    </row>
    <row r="81" spans="1:22" ht="14" x14ac:dyDescent="0.3">
      <c r="B81" s="350"/>
      <c r="C81" s="291"/>
      <c r="D81" s="351"/>
      <c r="E81" s="295"/>
      <c r="F81" s="295"/>
      <c r="G81" s="295"/>
      <c r="H81" s="295"/>
      <c r="I81" s="295"/>
      <c r="J81" s="289"/>
      <c r="K81" s="289"/>
      <c r="L81" s="289"/>
      <c r="P81" s="119"/>
      <c r="Q81" s="119"/>
    </row>
    <row r="82" spans="1:22" ht="14" x14ac:dyDescent="0.3">
      <c r="B82" s="315"/>
      <c r="C82" s="316"/>
      <c r="D82" s="295"/>
      <c r="E82" s="295"/>
      <c r="F82" s="295"/>
      <c r="G82" s="295"/>
      <c r="H82" s="295"/>
      <c r="J82" s="290"/>
      <c r="K82" s="290"/>
      <c r="L82" s="290"/>
      <c r="P82" s="119"/>
      <c r="Q82" s="119"/>
    </row>
    <row r="83" spans="1:22" ht="13" x14ac:dyDescent="0.3">
      <c r="C83" s="287"/>
      <c r="I83" s="288"/>
      <c r="J83" s="288"/>
      <c r="K83" s="288"/>
      <c r="L83" s="288"/>
      <c r="P83" s="119"/>
      <c r="Q83" s="119"/>
    </row>
    <row r="84" spans="1:22" ht="13" x14ac:dyDescent="0.3">
      <c r="C84" s="287"/>
      <c r="I84" s="291"/>
      <c r="J84" s="291"/>
      <c r="K84" s="291"/>
      <c r="L84" s="291"/>
      <c r="P84" s="119"/>
      <c r="Q84" s="119"/>
    </row>
    <row r="85" spans="1:22" ht="13" x14ac:dyDescent="0.3">
      <c r="B85" s="119"/>
      <c r="C85" s="287"/>
      <c r="I85" s="291"/>
      <c r="J85" s="291"/>
      <c r="K85" s="291"/>
      <c r="L85" s="291"/>
      <c r="P85" s="2" t="str">
        <f>List!B294&amp;"!"</f>
        <v>0!</v>
      </c>
    </row>
    <row r="86" spans="1:22" ht="13" x14ac:dyDescent="0.3">
      <c r="B86" s="119"/>
      <c r="C86" s="287"/>
      <c r="I86" s="289"/>
      <c r="J86" s="289"/>
      <c r="K86" s="289"/>
      <c r="L86" s="289"/>
      <c r="P86" s="2" t="str">
        <f>List!B298&amp;"!"</f>
        <v>0!</v>
      </c>
    </row>
    <row r="87" spans="1:22" x14ac:dyDescent="0.25">
      <c r="B87" s="119"/>
      <c r="I87" s="290"/>
      <c r="J87" s="290"/>
      <c r="K87" s="290"/>
      <c r="L87" s="290"/>
      <c r="P87" s="2" t="s">
        <v>1252</v>
      </c>
    </row>
    <row r="88" spans="1:22" ht="13" x14ac:dyDescent="0.3">
      <c r="I88" s="288"/>
      <c r="J88" s="288"/>
      <c r="K88" s="288"/>
      <c r="L88" s="288"/>
    </row>
    <row r="96" spans="1:22" x14ac:dyDescent="0.25">
      <c r="A96" s="291"/>
      <c r="B96" s="291"/>
      <c r="C96" s="291"/>
      <c r="D96" s="291"/>
      <c r="E96" s="291"/>
      <c r="F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</row>
    <row r="97" spans="1:22" x14ac:dyDescent="0.25">
      <c r="A97" s="291"/>
      <c r="B97" s="291"/>
      <c r="C97" s="291"/>
      <c r="D97" s="291"/>
      <c r="E97" s="291"/>
      <c r="F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</row>
    <row r="98" spans="1:22" x14ac:dyDescent="0.25">
      <c r="A98" s="291"/>
      <c r="B98" s="291"/>
      <c r="C98" s="291"/>
      <c r="D98" s="291"/>
      <c r="E98" s="291"/>
      <c r="F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</row>
    <row r="99" spans="1:22" x14ac:dyDescent="0.25">
      <c r="A99" s="291"/>
      <c r="B99" s="291"/>
      <c r="C99" s="291"/>
      <c r="D99" s="291"/>
      <c r="E99" s="291"/>
      <c r="F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</row>
    <row r="100" spans="1:22" x14ac:dyDescent="0.25">
      <c r="A100" s="291"/>
      <c r="B100" s="291"/>
      <c r="C100" s="291"/>
      <c r="D100" s="291"/>
      <c r="E100" s="291"/>
      <c r="F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</row>
    <row r="101" spans="1:22" x14ac:dyDescent="0.25">
      <c r="A101" s="291"/>
      <c r="B101" s="291"/>
      <c r="C101" s="291"/>
      <c r="D101" s="291"/>
      <c r="E101" s="291"/>
      <c r="F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</row>
    <row r="102" spans="1:22" x14ac:dyDescent="0.25">
      <c r="A102" s="291"/>
      <c r="B102" s="291"/>
      <c r="C102" s="291"/>
      <c r="D102" s="291"/>
      <c r="E102" s="291"/>
      <c r="F102" s="291"/>
      <c r="H102" s="291"/>
      <c r="I102" s="291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</row>
    <row r="103" spans="1:22" x14ac:dyDescent="0.25">
      <c r="A103" s="291"/>
      <c r="B103" s="291"/>
      <c r="C103" s="291"/>
      <c r="D103" s="291"/>
      <c r="E103" s="291"/>
      <c r="F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</row>
    <row r="104" spans="1:22" x14ac:dyDescent="0.25">
      <c r="A104" s="834"/>
      <c r="B104" s="291"/>
      <c r="C104" s="291"/>
      <c r="D104" s="291"/>
      <c r="E104" s="291"/>
      <c r="F104" s="291"/>
      <c r="H104" s="291"/>
      <c r="I104" s="291"/>
      <c r="J104" s="291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</row>
    <row r="105" spans="1:22" x14ac:dyDescent="0.25">
      <c r="A105" s="834"/>
      <c r="B105" s="291"/>
      <c r="C105" s="291"/>
      <c r="D105" s="291"/>
      <c r="E105" s="291"/>
      <c r="F105" s="291"/>
      <c r="H105" s="291"/>
      <c r="I105" s="291"/>
      <c r="J105" s="291"/>
      <c r="K105" s="291"/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</row>
    <row r="106" spans="1:22" x14ac:dyDescent="0.25">
      <c r="A106" s="834"/>
      <c r="B106" s="291"/>
      <c r="C106" s="291"/>
      <c r="D106" s="291"/>
      <c r="E106" s="291"/>
      <c r="F106" s="291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</row>
    <row r="107" spans="1:22" x14ac:dyDescent="0.25">
      <c r="A107" s="834"/>
      <c r="B107" s="291"/>
      <c r="C107" s="291"/>
      <c r="D107" s="291"/>
      <c r="E107" s="291"/>
      <c r="F107" s="291"/>
      <c r="H107" s="291"/>
      <c r="I107" s="291"/>
      <c r="J107" s="291"/>
      <c r="K107" s="291"/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</row>
    <row r="108" spans="1:22" x14ac:dyDescent="0.25">
      <c r="A108" s="834"/>
      <c r="B108" s="291"/>
      <c r="C108" s="291"/>
      <c r="D108" s="291"/>
      <c r="E108" s="291"/>
      <c r="F108" s="291"/>
      <c r="H108" s="291"/>
      <c r="I108" s="291"/>
      <c r="J108" s="291"/>
      <c r="K108" s="291"/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</row>
    <row r="109" spans="1:22" x14ac:dyDescent="0.25">
      <c r="A109" s="834"/>
      <c r="B109" s="291"/>
      <c r="C109" s="291"/>
      <c r="D109" s="291"/>
      <c r="E109" s="291"/>
      <c r="F109" s="291"/>
      <c r="H109" s="291"/>
      <c r="I109" s="291"/>
      <c r="J109" s="291"/>
      <c r="K109" s="291"/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</row>
    <row r="110" spans="1:22" x14ac:dyDescent="0.25">
      <c r="A110" s="834"/>
      <c r="B110" s="291"/>
      <c r="C110" s="291"/>
      <c r="D110" s="291"/>
      <c r="E110" s="291"/>
      <c r="F110" s="291"/>
      <c r="H110" s="291"/>
      <c r="I110" s="291"/>
      <c r="J110" s="291"/>
      <c r="K110" s="291"/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</row>
    <row r="111" spans="1:22" x14ac:dyDescent="0.25">
      <c r="A111" s="834"/>
      <c r="B111" s="291"/>
      <c r="C111" s="291"/>
      <c r="D111" s="291"/>
      <c r="E111" s="291"/>
      <c r="F111" s="291"/>
      <c r="H111" s="291"/>
      <c r="I111" s="291"/>
      <c r="J111" s="291"/>
      <c r="K111" s="291"/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</row>
    <row r="112" spans="1:22" x14ac:dyDescent="0.25">
      <c r="A112" s="834"/>
      <c r="B112" s="291"/>
      <c r="C112" s="291"/>
      <c r="D112" s="291"/>
      <c r="E112" s="291"/>
      <c r="F112" s="291"/>
      <c r="H112" s="291"/>
      <c r="I112" s="291"/>
      <c r="J112" s="291"/>
      <c r="K112" s="291"/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</row>
    <row r="113" spans="1:22" x14ac:dyDescent="0.25">
      <c r="A113" s="834"/>
      <c r="B113" s="291"/>
      <c r="C113" s="291"/>
      <c r="D113" s="291"/>
      <c r="E113" s="291"/>
      <c r="F113" s="291"/>
      <c r="H113" s="291"/>
      <c r="I113" s="291"/>
      <c r="J113" s="291"/>
      <c r="K113" s="291"/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</row>
    <row r="114" spans="1:22" x14ac:dyDescent="0.25">
      <c r="A114" s="834"/>
      <c r="B114" s="291"/>
      <c r="C114" s="291"/>
      <c r="D114" s="291"/>
      <c r="E114" s="291"/>
      <c r="F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</row>
    <row r="115" spans="1:22" x14ac:dyDescent="0.25">
      <c r="A115" s="834"/>
      <c r="B115" s="291"/>
      <c r="C115" s="291"/>
      <c r="D115" s="291"/>
      <c r="E115" s="291"/>
      <c r="F115" s="291"/>
      <c r="H115" s="291"/>
      <c r="I115" s="291"/>
      <c r="J115" s="291"/>
      <c r="K115" s="291"/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</row>
    <row r="116" spans="1:22" x14ac:dyDescent="0.25">
      <c r="A116" s="834"/>
      <c r="B116" s="291"/>
      <c r="C116" s="291"/>
      <c r="D116" s="291"/>
      <c r="E116" s="291"/>
      <c r="F116" s="291"/>
      <c r="H116" s="291"/>
      <c r="I116" s="291"/>
      <c r="J116" s="291"/>
      <c r="K116" s="291"/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</row>
    <row r="117" spans="1:22" x14ac:dyDescent="0.25">
      <c r="A117" s="834"/>
      <c r="B117" s="291"/>
      <c r="C117" s="291"/>
      <c r="D117" s="291"/>
      <c r="E117" s="291"/>
      <c r="F117" s="291"/>
      <c r="H117" s="291"/>
      <c r="I117" s="291"/>
      <c r="J117" s="291"/>
      <c r="K117" s="291"/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</row>
    <row r="118" spans="1:22" x14ac:dyDescent="0.25">
      <c r="A118" s="834"/>
      <c r="B118" s="291"/>
      <c r="C118" s="291"/>
      <c r="D118" s="291"/>
      <c r="E118" s="291"/>
      <c r="F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</row>
    <row r="119" spans="1:22" x14ac:dyDescent="0.25">
      <c r="A119" s="834"/>
      <c r="B119" s="291"/>
      <c r="C119" s="291"/>
      <c r="D119" s="291"/>
      <c r="E119" s="291"/>
      <c r="F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</row>
    <row r="120" spans="1:22" x14ac:dyDescent="0.25">
      <c r="A120" s="834"/>
      <c r="B120" s="291"/>
      <c r="C120" s="291"/>
      <c r="D120" s="291"/>
      <c r="E120" s="291"/>
      <c r="F120" s="291"/>
      <c r="H120" s="291"/>
      <c r="I120" s="291"/>
      <c r="J120" s="291"/>
      <c r="K120" s="291"/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</row>
    <row r="121" spans="1:22" x14ac:dyDescent="0.25">
      <c r="A121" s="834"/>
      <c r="B121" s="291"/>
      <c r="C121" s="291"/>
      <c r="D121" s="291"/>
      <c r="E121" s="291"/>
      <c r="F121" s="291"/>
      <c r="H121" s="291"/>
      <c r="I121" s="291"/>
      <c r="J121" s="291"/>
      <c r="K121" s="291"/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</row>
    <row r="122" spans="1:22" x14ac:dyDescent="0.25">
      <c r="A122" s="834"/>
      <c r="B122" s="291"/>
      <c r="C122" s="291"/>
      <c r="D122" s="291"/>
      <c r="E122" s="291"/>
      <c r="F122" s="291"/>
      <c r="H122" s="291"/>
      <c r="I122" s="291"/>
      <c r="J122" s="291"/>
      <c r="K122" s="291"/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</row>
    <row r="123" spans="1:22" x14ac:dyDescent="0.25">
      <c r="A123" s="834"/>
      <c r="B123" s="291"/>
      <c r="C123" s="291"/>
      <c r="D123" s="291"/>
      <c r="E123" s="291"/>
      <c r="F123" s="291"/>
      <c r="H123" s="291"/>
      <c r="I123" s="291"/>
      <c r="J123" s="291"/>
      <c r="K123" s="291"/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</row>
    <row r="124" spans="1:22" x14ac:dyDescent="0.25">
      <c r="A124" s="834"/>
      <c r="B124" s="291"/>
      <c r="C124" s="291"/>
      <c r="D124" s="291"/>
      <c r="E124" s="291"/>
      <c r="F124" s="291"/>
      <c r="H124" s="291"/>
      <c r="I124" s="291"/>
      <c r="J124" s="291"/>
      <c r="K124" s="291"/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</row>
    <row r="125" spans="1:22" x14ac:dyDescent="0.25">
      <c r="A125" s="834"/>
      <c r="B125" s="291"/>
      <c r="C125" s="291"/>
      <c r="D125" s="291"/>
      <c r="E125" s="291"/>
      <c r="F125" s="291"/>
      <c r="H125" s="291"/>
      <c r="I125" s="291"/>
      <c r="J125" s="291"/>
      <c r="K125" s="291"/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</row>
    <row r="126" spans="1:22" x14ac:dyDescent="0.25">
      <c r="A126" s="834"/>
      <c r="B126" s="291"/>
      <c r="C126" s="291"/>
      <c r="D126" s="291"/>
      <c r="E126" s="291"/>
      <c r="F126" s="291"/>
      <c r="H126" s="291"/>
      <c r="I126" s="291"/>
      <c r="J126" s="291"/>
      <c r="K126" s="291"/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</row>
    <row r="127" spans="1:22" x14ac:dyDescent="0.25">
      <c r="A127" s="834"/>
      <c r="B127" s="291"/>
      <c r="C127" s="291"/>
      <c r="D127" s="291"/>
      <c r="E127" s="291"/>
      <c r="F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</row>
    <row r="128" spans="1:22" x14ac:dyDescent="0.25">
      <c r="A128" s="834"/>
      <c r="B128" s="291"/>
      <c r="C128" s="291"/>
      <c r="D128" s="291"/>
      <c r="E128" s="291"/>
      <c r="F128" s="291"/>
      <c r="H128" s="291"/>
      <c r="I128" s="291"/>
      <c r="J128" s="291"/>
      <c r="K128" s="291"/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</row>
    <row r="129" spans="1:22" x14ac:dyDescent="0.25">
      <c r="A129" s="834"/>
      <c r="B129" s="291"/>
      <c r="C129" s="291"/>
      <c r="D129" s="291"/>
      <c r="E129" s="291"/>
      <c r="F129" s="291"/>
      <c r="H129" s="291"/>
      <c r="I129" s="291"/>
      <c r="J129" s="291"/>
      <c r="K129" s="291"/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</row>
    <row r="130" spans="1:22" x14ac:dyDescent="0.25">
      <c r="A130" s="834"/>
      <c r="B130" s="291"/>
      <c r="C130" s="291"/>
      <c r="D130" s="291"/>
      <c r="E130" s="291"/>
      <c r="F130" s="291"/>
      <c r="H130" s="291"/>
      <c r="I130" s="291"/>
      <c r="J130" s="291"/>
      <c r="K130" s="291"/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</row>
    <row r="131" spans="1:22" x14ac:dyDescent="0.25">
      <c r="A131" s="834"/>
      <c r="B131" s="291"/>
      <c r="C131" s="291"/>
      <c r="D131" s="291"/>
      <c r="E131" s="291"/>
      <c r="F131" s="291"/>
      <c r="H131" s="291"/>
      <c r="I131" s="291"/>
      <c r="J131" s="291"/>
      <c r="K131" s="291"/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</row>
    <row r="132" spans="1:22" x14ac:dyDescent="0.25">
      <c r="A132" s="834"/>
      <c r="B132" s="291"/>
      <c r="C132" s="291"/>
      <c r="D132" s="291"/>
      <c r="E132" s="291"/>
      <c r="F132" s="291"/>
      <c r="H132" s="291"/>
      <c r="I132" s="291"/>
      <c r="J132" s="291"/>
      <c r="K132" s="291"/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</row>
    <row r="133" spans="1:22" x14ac:dyDescent="0.25">
      <c r="A133" s="834"/>
      <c r="B133" s="291"/>
      <c r="C133" s="291"/>
      <c r="D133" s="291"/>
      <c r="E133" s="291"/>
      <c r="F133" s="291"/>
      <c r="H133" s="291"/>
      <c r="I133" s="291"/>
      <c r="J133" s="291"/>
      <c r="K133" s="291"/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</row>
    <row r="134" spans="1:22" x14ac:dyDescent="0.25">
      <c r="A134" s="834"/>
      <c r="B134" s="291"/>
      <c r="C134" s="291"/>
      <c r="D134" s="291"/>
      <c r="E134" s="291"/>
      <c r="F134" s="291"/>
      <c r="H134" s="291"/>
      <c r="I134" s="291"/>
      <c r="J134" s="291"/>
      <c r="K134" s="291"/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</row>
    <row r="135" spans="1:22" x14ac:dyDescent="0.25">
      <c r="A135" s="834"/>
      <c r="B135" s="291"/>
      <c r="C135" s="291"/>
      <c r="D135" s="291"/>
      <c r="E135" s="291"/>
      <c r="F135" s="291"/>
      <c r="H135" s="291"/>
      <c r="I135" s="291"/>
      <c r="J135" s="291"/>
      <c r="K135" s="291"/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</row>
    <row r="136" spans="1:22" x14ac:dyDescent="0.25">
      <c r="A136" s="834"/>
      <c r="B136" s="291"/>
      <c r="C136" s="291"/>
      <c r="D136" s="291"/>
      <c r="E136" s="291"/>
      <c r="F136" s="291"/>
      <c r="H136" s="291"/>
      <c r="I136" s="291"/>
      <c r="J136" s="291"/>
      <c r="K136" s="291"/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</row>
    <row r="137" spans="1:22" x14ac:dyDescent="0.25">
      <c r="A137" s="834"/>
      <c r="B137" s="291"/>
      <c r="C137" s="291"/>
      <c r="D137" s="291"/>
      <c r="E137" s="291"/>
      <c r="F137" s="291"/>
      <c r="H137" s="291"/>
      <c r="I137" s="291"/>
      <c r="J137" s="291"/>
      <c r="K137" s="291"/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</row>
    <row r="138" spans="1:22" x14ac:dyDescent="0.25">
      <c r="A138" s="834"/>
      <c r="B138" s="291"/>
      <c r="C138" s="291"/>
      <c r="D138" s="291"/>
      <c r="E138" s="291"/>
      <c r="F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</row>
    <row r="139" spans="1:22" x14ac:dyDescent="0.25">
      <c r="A139" s="834"/>
      <c r="B139" s="291"/>
      <c r="C139" s="291"/>
      <c r="D139" s="291"/>
      <c r="E139" s="291"/>
      <c r="F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</row>
    <row r="140" spans="1:22" x14ac:dyDescent="0.25">
      <c r="A140" s="834"/>
      <c r="B140" s="291"/>
      <c r="C140" s="291"/>
      <c r="D140" s="291"/>
      <c r="E140" s="291"/>
      <c r="F140" s="291"/>
      <c r="H140" s="291"/>
      <c r="I140" s="291"/>
      <c r="J140" s="291"/>
      <c r="K140" s="291"/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</row>
    <row r="141" spans="1:22" x14ac:dyDescent="0.25">
      <c r="A141" s="834"/>
      <c r="B141" s="291"/>
      <c r="C141" s="291"/>
      <c r="D141" s="291"/>
      <c r="E141" s="291"/>
      <c r="F141" s="291"/>
      <c r="H141" s="291"/>
      <c r="I141" s="291"/>
      <c r="J141" s="291"/>
      <c r="K141" s="291"/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</row>
    <row r="142" spans="1:22" x14ac:dyDescent="0.25">
      <c r="A142" s="834"/>
      <c r="B142" s="291"/>
      <c r="C142" s="291"/>
      <c r="D142" s="291"/>
      <c r="E142" s="291"/>
      <c r="F142" s="291"/>
      <c r="H142" s="291"/>
      <c r="I142" s="291"/>
      <c r="J142" s="291"/>
      <c r="K142" s="291"/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</row>
    <row r="143" spans="1:22" x14ac:dyDescent="0.25">
      <c r="A143" s="834"/>
      <c r="B143" s="291"/>
      <c r="C143" s="291"/>
      <c r="D143" s="291"/>
      <c r="E143" s="291"/>
      <c r="F143" s="291"/>
      <c r="H143" s="291"/>
      <c r="I143" s="291"/>
      <c r="J143" s="291"/>
      <c r="K143" s="291"/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</row>
    <row r="144" spans="1:22" x14ac:dyDescent="0.25">
      <c r="A144" s="834"/>
      <c r="B144" s="291"/>
      <c r="C144" s="291"/>
      <c r="D144" s="291"/>
      <c r="E144" s="291"/>
      <c r="F144" s="291"/>
      <c r="H144" s="291"/>
      <c r="I144" s="291"/>
      <c r="J144" s="291"/>
      <c r="K144" s="291"/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</row>
    <row r="145" spans="1:22" x14ac:dyDescent="0.25">
      <c r="A145" s="834"/>
      <c r="B145" s="291"/>
      <c r="C145" s="291"/>
      <c r="D145" s="291"/>
      <c r="E145" s="291"/>
      <c r="F145" s="291"/>
      <c r="H145" s="291"/>
      <c r="I145" s="291"/>
      <c r="J145" s="291"/>
      <c r="K145" s="291"/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</row>
    <row r="146" spans="1:22" x14ac:dyDescent="0.25">
      <c r="A146" s="291"/>
      <c r="B146" s="291"/>
      <c r="C146" s="291"/>
      <c r="D146" s="291"/>
      <c r="E146" s="291"/>
      <c r="F146" s="291"/>
      <c r="H146" s="291"/>
      <c r="I146" s="291"/>
      <c r="J146" s="291"/>
      <c r="K146" s="291"/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</row>
    <row r="147" spans="1:22" x14ac:dyDescent="0.25">
      <c r="A147" s="291"/>
      <c r="B147" s="291"/>
      <c r="C147" s="291"/>
      <c r="D147" s="291"/>
      <c r="E147" s="291"/>
      <c r="F147" s="291"/>
      <c r="H147" s="291"/>
      <c r="I147" s="291"/>
      <c r="J147" s="291"/>
      <c r="K147" s="291"/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</row>
    <row r="148" spans="1:22" x14ac:dyDescent="0.25">
      <c r="A148" s="291"/>
      <c r="B148" s="291"/>
      <c r="C148" s="291"/>
      <c r="D148" s="291"/>
      <c r="E148" s="291"/>
      <c r="F148" s="291"/>
      <c r="H148" s="291"/>
      <c r="I148" s="291"/>
      <c r="J148" s="291"/>
      <c r="K148" s="291"/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</row>
    <row r="149" spans="1:22" x14ac:dyDescent="0.25">
      <c r="A149" s="291"/>
      <c r="B149" s="291"/>
      <c r="C149" s="291"/>
      <c r="D149" s="291"/>
      <c r="E149" s="291"/>
      <c r="F149" s="291"/>
      <c r="H149" s="291"/>
      <c r="I149" s="291"/>
      <c r="J149" s="291"/>
      <c r="K149" s="291"/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</row>
    <row r="150" spans="1:22" x14ac:dyDescent="0.25">
      <c r="A150" s="291"/>
      <c r="B150" s="291"/>
      <c r="C150" s="291"/>
      <c r="D150" s="291"/>
      <c r="E150" s="291"/>
      <c r="F150" s="291"/>
      <c r="H150" s="291"/>
      <c r="I150" s="291"/>
      <c r="J150" s="291"/>
      <c r="K150" s="291"/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</row>
    <row r="151" spans="1:22" x14ac:dyDescent="0.25">
      <c r="A151" s="291"/>
      <c r="B151" s="291"/>
      <c r="C151" s="291"/>
      <c r="D151" s="291"/>
      <c r="E151" s="291"/>
      <c r="F151" s="291"/>
      <c r="H151" s="291"/>
      <c r="I151" s="291"/>
      <c r="J151" s="291"/>
      <c r="K151" s="291"/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</row>
    <row r="152" spans="1:22" x14ac:dyDescent="0.25">
      <c r="A152" s="291"/>
      <c r="B152" s="291"/>
      <c r="C152" s="291"/>
      <c r="D152" s="291"/>
      <c r="E152" s="291"/>
      <c r="F152" s="291"/>
      <c r="H152" s="291"/>
      <c r="I152" s="291"/>
      <c r="J152" s="291"/>
      <c r="K152" s="291"/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</row>
    <row r="153" spans="1:22" x14ac:dyDescent="0.25">
      <c r="A153" s="291"/>
      <c r="B153" s="291"/>
      <c r="C153" s="291"/>
      <c r="D153" s="291"/>
      <c r="E153" s="291"/>
      <c r="F153" s="291"/>
      <c r="H153" s="291"/>
      <c r="I153" s="291"/>
      <c r="J153" s="291"/>
      <c r="K153" s="291"/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</row>
    <row r="154" spans="1:22" x14ac:dyDescent="0.25">
      <c r="A154" s="291"/>
      <c r="B154" s="291"/>
      <c r="C154" s="291"/>
      <c r="D154" s="291"/>
      <c r="E154" s="291"/>
      <c r="F154" s="291"/>
      <c r="H154" s="291"/>
      <c r="I154" s="291"/>
      <c r="J154" s="291"/>
      <c r="K154" s="291"/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</row>
    <row r="155" spans="1:22" x14ac:dyDescent="0.25">
      <c r="A155" s="291"/>
      <c r="B155" s="291"/>
      <c r="C155" s="291"/>
      <c r="D155" s="291"/>
      <c r="E155" s="291"/>
      <c r="F155" s="291"/>
      <c r="H155" s="291"/>
      <c r="I155" s="291"/>
      <c r="J155" s="291"/>
      <c r="K155" s="291"/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</row>
    <row r="156" spans="1:22" x14ac:dyDescent="0.25">
      <c r="A156" s="291"/>
      <c r="B156" s="291"/>
      <c r="C156" s="291"/>
      <c r="D156" s="291"/>
      <c r="E156" s="291"/>
      <c r="F156" s="291"/>
      <c r="H156" s="291"/>
      <c r="I156" s="291"/>
      <c r="J156" s="291"/>
      <c r="K156" s="291"/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</row>
    <row r="157" spans="1:22" x14ac:dyDescent="0.25">
      <c r="A157" s="291"/>
      <c r="B157" s="291"/>
      <c r="C157" s="291"/>
      <c r="D157" s="291"/>
      <c r="E157" s="291"/>
      <c r="F157" s="291"/>
      <c r="H157" s="291"/>
      <c r="I157" s="291"/>
      <c r="J157" s="291"/>
      <c r="K157" s="291"/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</row>
    <row r="158" spans="1:22" x14ac:dyDescent="0.25">
      <c r="A158" s="291"/>
      <c r="B158" s="291"/>
      <c r="C158" s="291"/>
      <c r="D158" s="291"/>
      <c r="E158" s="291"/>
      <c r="F158" s="291"/>
      <c r="H158" s="291"/>
      <c r="I158" s="291"/>
      <c r="J158" s="291"/>
      <c r="K158" s="291"/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</row>
    <row r="159" spans="1:22" x14ac:dyDescent="0.25">
      <c r="A159" s="291"/>
      <c r="B159" s="291"/>
      <c r="C159" s="291"/>
      <c r="D159" s="291"/>
      <c r="E159" s="291"/>
      <c r="F159" s="291"/>
      <c r="H159" s="291"/>
      <c r="I159" s="291"/>
      <c r="J159" s="291"/>
      <c r="K159" s="291"/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</row>
    <row r="160" spans="1:22" x14ac:dyDescent="0.25">
      <c r="A160" s="291"/>
      <c r="B160" s="291"/>
      <c r="C160" s="291"/>
      <c r="D160" s="291"/>
      <c r="E160" s="291"/>
      <c r="F160" s="291"/>
      <c r="H160" s="291"/>
      <c r="I160" s="291"/>
      <c r="J160" s="291"/>
      <c r="K160" s="291"/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</row>
    <row r="161" spans="1:22" x14ac:dyDescent="0.25">
      <c r="A161" s="291"/>
      <c r="B161" s="291"/>
      <c r="C161" s="291"/>
      <c r="D161" s="291"/>
      <c r="E161" s="291"/>
      <c r="F161" s="291"/>
      <c r="H161" s="291"/>
      <c r="I161" s="291"/>
      <c r="J161" s="291"/>
      <c r="K161" s="291"/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</row>
    <row r="162" spans="1:22" x14ac:dyDescent="0.25">
      <c r="A162" s="291"/>
      <c r="B162" s="291"/>
      <c r="C162" s="291"/>
      <c r="D162" s="291"/>
      <c r="E162" s="291"/>
      <c r="F162" s="291"/>
      <c r="H162" s="291"/>
      <c r="I162" s="291"/>
      <c r="J162" s="291"/>
      <c r="K162" s="291"/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</row>
    <row r="163" spans="1:22" x14ac:dyDescent="0.25">
      <c r="A163" s="291"/>
      <c r="B163" s="291"/>
      <c r="C163" s="291"/>
      <c r="D163" s="291"/>
      <c r="E163" s="291"/>
      <c r="F163" s="291"/>
      <c r="H163" s="291"/>
      <c r="I163" s="291"/>
      <c r="J163" s="291"/>
      <c r="K163" s="291"/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</row>
    <row r="164" spans="1:22" x14ac:dyDescent="0.25">
      <c r="A164" s="291"/>
      <c r="B164" s="291"/>
      <c r="C164" s="291"/>
      <c r="D164" s="291"/>
      <c r="E164" s="291"/>
      <c r="F164" s="291"/>
      <c r="H164" s="291"/>
      <c r="I164" s="291"/>
      <c r="J164" s="291"/>
      <c r="K164" s="291"/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</row>
    <row r="165" spans="1:22" x14ac:dyDescent="0.25">
      <c r="A165" s="291"/>
      <c r="B165" s="291"/>
      <c r="C165" s="291"/>
      <c r="D165" s="291"/>
      <c r="E165" s="291"/>
      <c r="F165" s="291"/>
      <c r="H165" s="291"/>
      <c r="I165" s="291"/>
      <c r="J165" s="291"/>
      <c r="K165" s="291"/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</row>
    <row r="166" spans="1:22" x14ac:dyDescent="0.25">
      <c r="A166" s="291"/>
      <c r="B166" s="291"/>
      <c r="C166" s="291"/>
      <c r="D166" s="291"/>
      <c r="E166" s="291"/>
      <c r="F166" s="291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</row>
    <row r="167" spans="1:22" x14ac:dyDescent="0.25">
      <c r="A167" s="291"/>
      <c r="B167" s="291"/>
      <c r="C167" s="291"/>
      <c r="D167" s="291"/>
      <c r="E167" s="291"/>
      <c r="F167" s="291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</row>
    <row r="168" spans="1:22" x14ac:dyDescent="0.25">
      <c r="A168" s="291"/>
      <c r="B168" s="291"/>
      <c r="C168" s="291"/>
      <c r="D168" s="291"/>
      <c r="E168" s="291"/>
      <c r="F168" s="291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</row>
    <row r="169" spans="1:22" x14ac:dyDescent="0.25">
      <c r="A169" s="291"/>
      <c r="B169" s="291"/>
      <c r="C169" s="291"/>
      <c r="D169" s="291"/>
      <c r="E169" s="291"/>
      <c r="F169" s="291"/>
      <c r="H169" s="291"/>
      <c r="I169" s="291"/>
      <c r="J169" s="291"/>
      <c r="K169" s="291"/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</row>
    <row r="170" spans="1:22" x14ac:dyDescent="0.25">
      <c r="A170" s="291"/>
      <c r="B170" s="291"/>
      <c r="C170" s="291"/>
      <c r="D170" s="291"/>
      <c r="E170" s="291"/>
      <c r="F170" s="291"/>
      <c r="H170" s="291"/>
      <c r="I170" s="291"/>
      <c r="J170" s="291"/>
      <c r="K170" s="291"/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</row>
    <row r="171" spans="1:22" x14ac:dyDescent="0.25">
      <c r="A171" s="291"/>
      <c r="B171" s="291"/>
      <c r="C171" s="291"/>
      <c r="D171" s="291"/>
      <c r="E171" s="291"/>
      <c r="F171" s="291"/>
      <c r="H171" s="291"/>
      <c r="I171" s="291"/>
      <c r="J171" s="291"/>
      <c r="K171" s="291"/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</row>
    <row r="172" spans="1:22" x14ac:dyDescent="0.25">
      <c r="A172" s="291"/>
      <c r="B172" s="291"/>
      <c r="C172" s="291"/>
      <c r="D172" s="291"/>
      <c r="E172" s="291"/>
      <c r="F172" s="291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</row>
    <row r="173" spans="1:22" x14ac:dyDescent="0.25">
      <c r="A173" s="291"/>
      <c r="B173" s="291"/>
      <c r="C173" s="291"/>
      <c r="D173" s="291"/>
      <c r="E173" s="291"/>
      <c r="F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</row>
    <row r="174" spans="1:22" x14ac:dyDescent="0.25">
      <c r="A174" s="291"/>
      <c r="B174" s="291"/>
      <c r="C174" s="291"/>
      <c r="D174" s="291"/>
      <c r="E174" s="291"/>
      <c r="F174" s="291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</row>
    <row r="175" spans="1:22" x14ac:dyDescent="0.25">
      <c r="A175" s="291"/>
      <c r="B175" s="291"/>
      <c r="C175" s="291"/>
      <c r="D175" s="291"/>
      <c r="E175" s="291"/>
      <c r="F175" s="291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</row>
    <row r="176" spans="1:22" x14ac:dyDescent="0.25">
      <c r="A176" s="291"/>
      <c r="B176" s="291"/>
      <c r="C176" s="291"/>
      <c r="D176" s="291"/>
      <c r="E176" s="291"/>
      <c r="F176" s="291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</row>
    <row r="177" spans="1:22" x14ac:dyDescent="0.25">
      <c r="A177" s="291"/>
      <c r="B177" s="291"/>
      <c r="C177" s="291"/>
      <c r="D177" s="291"/>
      <c r="E177" s="291"/>
      <c r="F177" s="291"/>
      <c r="H177" s="291"/>
      <c r="I177" s="291"/>
      <c r="J177" s="291"/>
      <c r="K177" s="291"/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</row>
    <row r="178" spans="1:22" x14ac:dyDescent="0.25">
      <c r="A178" s="291"/>
      <c r="B178" s="291"/>
      <c r="C178" s="291"/>
      <c r="D178" s="291"/>
      <c r="E178" s="291"/>
      <c r="F178" s="291"/>
      <c r="H178" s="291"/>
      <c r="I178" s="291"/>
      <c r="J178" s="291"/>
      <c r="K178" s="291"/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</row>
    <row r="179" spans="1:22" x14ac:dyDescent="0.25">
      <c r="A179" s="291"/>
      <c r="B179" s="291"/>
      <c r="C179" s="291"/>
      <c r="D179" s="291"/>
      <c r="E179" s="291"/>
      <c r="F179" s="291"/>
      <c r="H179" s="291"/>
      <c r="I179" s="291"/>
      <c r="J179" s="291"/>
      <c r="K179" s="291"/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</row>
    <row r="180" spans="1:22" x14ac:dyDescent="0.25">
      <c r="A180" s="291"/>
      <c r="B180" s="291"/>
      <c r="C180" s="291"/>
      <c r="D180" s="291"/>
      <c r="E180" s="291"/>
      <c r="F180" s="291"/>
      <c r="H180" s="291"/>
      <c r="I180" s="291"/>
      <c r="J180" s="291"/>
      <c r="K180" s="291"/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</row>
    <row r="181" spans="1:22" x14ac:dyDescent="0.25">
      <c r="A181" s="291"/>
      <c r="B181" s="291"/>
      <c r="C181" s="291"/>
      <c r="D181" s="291"/>
      <c r="E181" s="291"/>
      <c r="F181" s="291"/>
      <c r="H181" s="291"/>
      <c r="I181" s="291"/>
      <c r="J181" s="291"/>
      <c r="K181" s="291"/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</row>
    <row r="182" spans="1:22" x14ac:dyDescent="0.25">
      <c r="A182" s="291"/>
      <c r="B182" s="291"/>
      <c r="C182" s="291"/>
      <c r="D182" s="291"/>
      <c r="E182" s="291"/>
      <c r="F182" s="291"/>
      <c r="H182" s="291"/>
      <c r="I182" s="291"/>
      <c r="J182" s="291"/>
      <c r="K182" s="291"/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</row>
    <row r="183" spans="1:22" x14ac:dyDescent="0.25">
      <c r="A183" s="291"/>
      <c r="B183" s="291"/>
      <c r="C183" s="291"/>
      <c r="D183" s="291"/>
      <c r="E183" s="291"/>
      <c r="F183" s="291"/>
      <c r="H183" s="291"/>
      <c r="I183" s="291"/>
      <c r="J183" s="291"/>
      <c r="K183" s="291"/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</row>
    <row r="184" spans="1:22" x14ac:dyDescent="0.25">
      <c r="A184" s="291"/>
      <c r="B184" s="291"/>
      <c r="C184" s="291"/>
      <c r="D184" s="291"/>
      <c r="E184" s="291"/>
      <c r="F184" s="291"/>
      <c r="H184" s="291"/>
      <c r="I184" s="291"/>
      <c r="J184" s="291"/>
      <c r="K184" s="291"/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</row>
    <row r="185" spans="1:22" x14ac:dyDescent="0.25">
      <c r="A185" s="291"/>
      <c r="B185" s="291"/>
      <c r="C185" s="291"/>
      <c r="D185" s="291"/>
      <c r="E185" s="291"/>
      <c r="F185" s="291"/>
      <c r="H185" s="291"/>
      <c r="I185" s="291"/>
      <c r="J185" s="291"/>
      <c r="K185" s="291"/>
      <c r="L185" s="291"/>
      <c r="M185" s="291"/>
      <c r="N185" s="291"/>
      <c r="O185" s="291"/>
      <c r="P185" s="291"/>
      <c r="Q185" s="291"/>
      <c r="R185" s="291"/>
      <c r="S185" s="291"/>
      <c r="T185" s="291"/>
      <c r="U185" s="291"/>
      <c r="V185" s="291"/>
    </row>
    <row r="186" spans="1:22" x14ac:dyDescent="0.25">
      <c r="A186" s="291"/>
      <c r="B186" s="291"/>
      <c r="C186" s="291"/>
      <c r="D186" s="291"/>
      <c r="E186" s="291"/>
      <c r="F186" s="291"/>
      <c r="H186" s="291"/>
      <c r="I186" s="291"/>
      <c r="J186" s="291"/>
      <c r="K186" s="291"/>
      <c r="L186" s="291"/>
      <c r="M186" s="291"/>
      <c r="N186" s="291"/>
      <c r="O186" s="291"/>
      <c r="P186" s="291"/>
      <c r="Q186" s="291"/>
      <c r="R186" s="291"/>
      <c r="S186" s="291"/>
      <c r="T186" s="291"/>
      <c r="U186" s="291"/>
      <c r="V186" s="291"/>
    </row>
    <row r="187" spans="1:22" x14ac:dyDescent="0.25">
      <c r="A187" s="291"/>
      <c r="B187" s="291"/>
      <c r="C187" s="291"/>
      <c r="D187" s="291"/>
      <c r="E187" s="291"/>
      <c r="F187" s="291"/>
      <c r="H187" s="291"/>
      <c r="I187" s="291"/>
      <c r="J187" s="291"/>
      <c r="K187" s="291"/>
      <c r="L187" s="291"/>
      <c r="M187" s="291"/>
      <c r="N187" s="291"/>
      <c r="O187" s="291"/>
      <c r="P187" s="291"/>
      <c r="Q187" s="291"/>
      <c r="R187" s="291"/>
      <c r="S187" s="291"/>
      <c r="T187" s="291"/>
      <c r="U187" s="291"/>
      <c r="V187" s="291"/>
    </row>
    <row r="188" spans="1:22" x14ac:dyDescent="0.25">
      <c r="A188" s="291"/>
      <c r="B188" s="291"/>
      <c r="C188" s="291"/>
      <c r="D188" s="291"/>
      <c r="E188" s="291"/>
      <c r="F188" s="291"/>
      <c r="H188" s="291"/>
      <c r="I188" s="291"/>
      <c r="J188" s="291"/>
      <c r="K188" s="291"/>
      <c r="L188" s="291"/>
      <c r="M188" s="291"/>
      <c r="N188" s="291"/>
      <c r="O188" s="291"/>
      <c r="P188" s="291"/>
      <c r="Q188" s="291"/>
      <c r="R188" s="291"/>
      <c r="S188" s="291"/>
      <c r="T188" s="291"/>
      <c r="U188" s="291"/>
      <c r="V188" s="291"/>
    </row>
    <row r="189" spans="1:22" x14ac:dyDescent="0.25">
      <c r="A189" s="291"/>
      <c r="B189" s="291"/>
      <c r="C189" s="291"/>
      <c r="D189" s="291"/>
      <c r="E189" s="291"/>
      <c r="F189" s="291"/>
      <c r="H189" s="291"/>
      <c r="I189" s="291"/>
      <c r="J189" s="291"/>
      <c r="K189" s="291"/>
      <c r="L189" s="291"/>
      <c r="M189" s="291"/>
      <c r="N189" s="291"/>
      <c r="O189" s="291"/>
      <c r="P189" s="291"/>
      <c r="Q189" s="291"/>
      <c r="R189" s="291"/>
      <c r="S189" s="291"/>
      <c r="T189" s="291"/>
      <c r="U189" s="291"/>
      <c r="V189" s="291"/>
    </row>
    <row r="190" spans="1:22" x14ac:dyDescent="0.25">
      <c r="A190" s="291"/>
      <c r="B190" s="291"/>
      <c r="C190" s="291"/>
      <c r="D190" s="291"/>
      <c r="E190" s="291"/>
      <c r="F190" s="291"/>
      <c r="H190" s="291"/>
      <c r="I190" s="291"/>
      <c r="J190" s="291"/>
      <c r="K190" s="291"/>
      <c r="L190" s="291"/>
      <c r="M190" s="291"/>
      <c r="N190" s="291"/>
      <c r="O190" s="291"/>
      <c r="P190" s="291"/>
      <c r="Q190" s="291"/>
      <c r="R190" s="291"/>
      <c r="S190" s="291"/>
      <c r="T190" s="291"/>
      <c r="U190" s="291"/>
      <c r="V190" s="291"/>
    </row>
    <row r="191" spans="1:22" x14ac:dyDescent="0.25">
      <c r="A191" s="291"/>
      <c r="B191" s="291"/>
      <c r="C191" s="291"/>
      <c r="D191" s="291"/>
      <c r="E191" s="291"/>
      <c r="F191" s="291"/>
      <c r="H191" s="291"/>
      <c r="I191" s="291"/>
      <c r="J191" s="291"/>
      <c r="K191" s="291"/>
      <c r="L191" s="291"/>
      <c r="M191" s="291"/>
      <c r="N191" s="291"/>
      <c r="O191" s="291"/>
      <c r="P191" s="291"/>
      <c r="Q191" s="291"/>
      <c r="R191" s="291"/>
      <c r="S191" s="291"/>
      <c r="T191" s="291"/>
      <c r="U191" s="291"/>
      <c r="V191" s="291"/>
    </row>
    <row r="192" spans="1:22" x14ac:dyDescent="0.25">
      <c r="A192" s="291"/>
      <c r="B192" s="291"/>
      <c r="C192" s="291"/>
      <c r="D192" s="291"/>
      <c r="E192" s="291"/>
      <c r="F192" s="291"/>
      <c r="H192" s="291"/>
      <c r="I192" s="291"/>
      <c r="J192" s="291"/>
      <c r="K192" s="291"/>
      <c r="L192" s="291"/>
      <c r="M192" s="291"/>
      <c r="N192" s="291"/>
      <c r="O192" s="291"/>
      <c r="P192" s="291"/>
      <c r="Q192" s="291"/>
      <c r="R192" s="291"/>
      <c r="S192" s="291"/>
      <c r="T192" s="291"/>
      <c r="U192" s="291"/>
      <c r="V192" s="291"/>
    </row>
    <row r="193" spans="1:22" x14ac:dyDescent="0.25">
      <c r="A193" s="291"/>
      <c r="B193" s="291"/>
      <c r="C193" s="291"/>
      <c r="D193" s="291"/>
      <c r="E193" s="291"/>
      <c r="F193" s="291"/>
      <c r="H193" s="291"/>
      <c r="I193" s="291"/>
      <c r="J193" s="291"/>
      <c r="K193" s="291"/>
      <c r="L193" s="291"/>
      <c r="M193" s="291"/>
      <c r="N193" s="291"/>
      <c r="O193" s="291"/>
      <c r="P193" s="291"/>
      <c r="Q193" s="291"/>
      <c r="R193" s="291"/>
      <c r="S193" s="291"/>
      <c r="T193" s="291"/>
      <c r="U193" s="291"/>
      <c r="V193" s="291"/>
    </row>
    <row r="194" spans="1:22" x14ac:dyDescent="0.25">
      <c r="A194" s="291"/>
      <c r="B194" s="291"/>
      <c r="C194" s="291"/>
      <c r="D194" s="291"/>
      <c r="E194" s="291"/>
      <c r="F194" s="291"/>
      <c r="H194" s="291"/>
      <c r="I194" s="291"/>
      <c r="J194" s="291"/>
      <c r="K194" s="291"/>
      <c r="L194" s="291"/>
      <c r="M194" s="291"/>
      <c r="N194" s="291"/>
      <c r="O194" s="291"/>
      <c r="P194" s="291"/>
      <c r="Q194" s="291"/>
      <c r="R194" s="291"/>
      <c r="S194" s="291"/>
      <c r="T194" s="291"/>
      <c r="U194" s="291"/>
      <c r="V194" s="291"/>
    </row>
    <row r="195" spans="1:22" x14ac:dyDescent="0.25">
      <c r="A195" s="291"/>
      <c r="B195" s="291"/>
      <c r="C195" s="291"/>
      <c r="D195" s="291"/>
      <c r="E195" s="291"/>
      <c r="F195" s="291"/>
      <c r="H195" s="291"/>
      <c r="I195" s="291"/>
      <c r="J195" s="291"/>
      <c r="K195" s="291"/>
      <c r="L195" s="291"/>
      <c r="M195" s="291"/>
      <c r="N195" s="291"/>
      <c r="O195" s="291"/>
      <c r="P195" s="291"/>
      <c r="Q195" s="291"/>
      <c r="R195" s="291"/>
      <c r="S195" s="291"/>
      <c r="T195" s="291"/>
      <c r="U195" s="291"/>
      <c r="V195" s="291"/>
    </row>
    <row r="196" spans="1:22" x14ac:dyDescent="0.25">
      <c r="A196" s="291"/>
      <c r="B196" s="291"/>
      <c r="C196" s="291"/>
      <c r="D196" s="291"/>
      <c r="E196" s="291"/>
      <c r="F196" s="291"/>
      <c r="H196" s="291"/>
      <c r="I196" s="291"/>
      <c r="J196" s="291"/>
      <c r="K196" s="291"/>
      <c r="L196" s="291"/>
      <c r="M196" s="291"/>
      <c r="N196" s="291"/>
      <c r="O196" s="291"/>
      <c r="P196" s="291"/>
      <c r="Q196" s="291"/>
      <c r="R196" s="291"/>
      <c r="S196" s="291"/>
      <c r="T196" s="291"/>
      <c r="U196" s="291"/>
      <c r="V196" s="291"/>
    </row>
    <row r="197" spans="1:22" x14ac:dyDescent="0.25">
      <c r="A197" s="291"/>
      <c r="B197" s="291"/>
      <c r="C197" s="291"/>
      <c r="D197" s="291"/>
      <c r="E197" s="291"/>
      <c r="F197" s="291"/>
      <c r="H197" s="291"/>
      <c r="I197" s="291"/>
      <c r="J197" s="291"/>
      <c r="K197" s="291"/>
      <c r="L197" s="291"/>
      <c r="M197" s="291"/>
      <c r="N197" s="291"/>
      <c r="O197" s="291"/>
      <c r="P197" s="291"/>
      <c r="Q197" s="291"/>
      <c r="R197" s="291"/>
      <c r="S197" s="291"/>
      <c r="T197" s="291"/>
      <c r="U197" s="291"/>
      <c r="V197" s="291"/>
    </row>
    <row r="198" spans="1:22" x14ac:dyDescent="0.25">
      <c r="A198" s="291"/>
      <c r="B198" s="291"/>
      <c r="C198" s="291"/>
      <c r="D198" s="291"/>
      <c r="E198" s="291"/>
      <c r="F198" s="291"/>
      <c r="H198" s="291"/>
      <c r="I198" s="291"/>
      <c r="J198" s="291"/>
      <c r="K198" s="291"/>
      <c r="L198" s="291"/>
      <c r="M198" s="291"/>
      <c r="N198" s="291"/>
      <c r="O198" s="291"/>
      <c r="P198" s="291"/>
      <c r="Q198" s="291"/>
      <c r="R198" s="291"/>
      <c r="S198" s="291"/>
      <c r="T198" s="291"/>
      <c r="U198" s="291"/>
      <c r="V198" s="291"/>
    </row>
    <row r="199" spans="1:22" x14ac:dyDescent="0.25">
      <c r="A199" s="291"/>
      <c r="B199" s="291"/>
      <c r="C199" s="291"/>
      <c r="D199" s="291"/>
      <c r="E199" s="291"/>
      <c r="F199" s="291"/>
      <c r="H199" s="291"/>
      <c r="I199" s="291"/>
      <c r="J199" s="291"/>
      <c r="K199" s="291"/>
      <c r="L199" s="291"/>
      <c r="M199" s="291"/>
      <c r="N199" s="291"/>
      <c r="O199" s="291"/>
      <c r="P199" s="291"/>
      <c r="Q199" s="291"/>
      <c r="R199" s="291"/>
      <c r="S199" s="291"/>
      <c r="T199" s="291"/>
      <c r="U199" s="291"/>
      <c r="V199" s="291"/>
    </row>
    <row r="200" spans="1:22" x14ac:dyDescent="0.25">
      <c r="A200" s="291"/>
      <c r="B200" s="291"/>
      <c r="C200" s="291"/>
      <c r="D200" s="291"/>
      <c r="E200" s="291"/>
      <c r="F200" s="291"/>
      <c r="H200" s="291"/>
      <c r="I200" s="291"/>
      <c r="J200" s="291"/>
      <c r="K200" s="291"/>
      <c r="L200" s="291"/>
      <c r="M200" s="291"/>
      <c r="N200" s="291"/>
      <c r="O200" s="291"/>
      <c r="P200" s="291"/>
      <c r="Q200" s="291"/>
      <c r="R200" s="291"/>
      <c r="S200" s="291"/>
      <c r="T200" s="291"/>
      <c r="U200" s="291"/>
      <c r="V200" s="291"/>
    </row>
    <row r="201" spans="1:22" x14ac:dyDescent="0.25">
      <c r="A201" s="291"/>
      <c r="B201" s="291"/>
      <c r="C201" s="291"/>
      <c r="D201" s="291"/>
      <c r="E201" s="291"/>
      <c r="F201" s="291"/>
      <c r="H201" s="291"/>
      <c r="I201" s="291"/>
      <c r="J201" s="291"/>
      <c r="K201" s="291"/>
      <c r="L201" s="291"/>
      <c r="M201" s="291"/>
      <c r="N201" s="291"/>
      <c r="O201" s="291"/>
      <c r="P201" s="291"/>
      <c r="Q201" s="291"/>
      <c r="R201" s="291"/>
      <c r="S201" s="291"/>
      <c r="T201" s="291"/>
      <c r="U201" s="291"/>
      <c r="V201" s="291"/>
    </row>
    <row r="202" spans="1:22" x14ac:dyDescent="0.25">
      <c r="A202" s="291"/>
      <c r="B202" s="291"/>
      <c r="C202" s="291"/>
      <c r="D202" s="291"/>
      <c r="E202" s="291"/>
      <c r="F202" s="291"/>
      <c r="H202" s="291"/>
      <c r="I202" s="291"/>
      <c r="J202" s="291"/>
      <c r="K202" s="291"/>
      <c r="L202" s="291"/>
      <c r="M202" s="291"/>
      <c r="N202" s="291"/>
      <c r="O202" s="291"/>
      <c r="P202" s="291"/>
      <c r="Q202" s="291"/>
      <c r="R202" s="291"/>
      <c r="S202" s="291"/>
      <c r="T202" s="291"/>
      <c r="U202" s="291"/>
      <c r="V202" s="291"/>
    </row>
    <row r="203" spans="1:22" x14ac:dyDescent="0.25">
      <c r="A203" s="291"/>
      <c r="B203" s="291"/>
      <c r="C203" s="291"/>
      <c r="D203" s="291"/>
      <c r="E203" s="291"/>
      <c r="F203" s="291"/>
      <c r="H203" s="291"/>
      <c r="I203" s="291"/>
      <c r="J203" s="291"/>
      <c r="K203" s="291"/>
      <c r="L203" s="291"/>
      <c r="M203" s="291"/>
      <c r="N203" s="291"/>
      <c r="O203" s="291"/>
      <c r="P203" s="291"/>
      <c r="Q203" s="291"/>
      <c r="R203" s="291"/>
      <c r="S203" s="291"/>
      <c r="T203" s="291"/>
      <c r="U203" s="291"/>
      <c r="V203" s="291"/>
    </row>
    <row r="204" spans="1:22" x14ac:dyDescent="0.25">
      <c r="A204" s="291"/>
      <c r="B204" s="291"/>
      <c r="C204" s="291"/>
      <c r="D204" s="291"/>
      <c r="E204" s="291"/>
      <c r="F204" s="291"/>
      <c r="H204" s="291"/>
      <c r="I204" s="291"/>
      <c r="J204" s="291"/>
      <c r="K204" s="291"/>
      <c r="L204" s="291"/>
      <c r="M204" s="291"/>
      <c r="N204" s="291"/>
      <c r="O204" s="291"/>
      <c r="P204" s="291"/>
      <c r="Q204" s="291"/>
      <c r="R204" s="291"/>
      <c r="S204" s="291"/>
      <c r="T204" s="291"/>
      <c r="U204" s="291"/>
      <c r="V204" s="291"/>
    </row>
    <row r="205" spans="1:22" x14ac:dyDescent="0.25">
      <c r="A205" s="291"/>
      <c r="B205" s="291"/>
      <c r="C205" s="291"/>
      <c r="D205" s="291"/>
      <c r="E205" s="291"/>
      <c r="F205" s="291"/>
      <c r="H205" s="291"/>
      <c r="I205" s="291"/>
      <c r="J205" s="291"/>
      <c r="K205" s="291"/>
      <c r="L205" s="291"/>
      <c r="M205" s="291"/>
      <c r="N205" s="291"/>
      <c r="O205" s="291"/>
      <c r="P205" s="291"/>
      <c r="Q205" s="291"/>
      <c r="R205" s="291"/>
      <c r="S205" s="291"/>
      <c r="T205" s="291"/>
      <c r="U205" s="291"/>
      <c r="V205" s="291"/>
    </row>
    <row r="206" spans="1:22" x14ac:dyDescent="0.25">
      <c r="A206" s="291"/>
      <c r="B206" s="291"/>
      <c r="C206" s="291"/>
      <c r="D206" s="291"/>
      <c r="E206" s="291"/>
      <c r="F206" s="291"/>
      <c r="H206" s="291"/>
      <c r="I206" s="291"/>
      <c r="J206" s="291"/>
      <c r="K206" s="291"/>
      <c r="L206" s="291"/>
      <c r="M206" s="291"/>
      <c r="N206" s="291"/>
      <c r="O206" s="291"/>
      <c r="P206" s="291"/>
      <c r="Q206" s="291"/>
      <c r="R206" s="291"/>
      <c r="S206" s="291"/>
      <c r="T206" s="291"/>
      <c r="U206" s="291"/>
      <c r="V206" s="291"/>
    </row>
    <row r="207" spans="1:22" x14ac:dyDescent="0.25">
      <c r="A207" s="291"/>
      <c r="B207" s="291"/>
      <c r="C207" s="291"/>
      <c r="D207" s="291"/>
      <c r="E207" s="291"/>
      <c r="F207" s="291"/>
      <c r="H207" s="291"/>
      <c r="I207" s="291"/>
      <c r="J207" s="291"/>
      <c r="K207" s="291"/>
      <c r="L207" s="291"/>
      <c r="M207" s="291"/>
      <c r="N207" s="291"/>
      <c r="O207" s="291"/>
      <c r="P207" s="291"/>
      <c r="Q207" s="291"/>
      <c r="R207" s="291"/>
      <c r="S207" s="291"/>
      <c r="T207" s="291"/>
      <c r="U207" s="291"/>
      <c r="V207" s="291"/>
    </row>
    <row r="208" spans="1:22" x14ac:dyDescent="0.25">
      <c r="A208" s="291"/>
      <c r="B208" s="291"/>
      <c r="C208" s="291"/>
      <c r="D208" s="291"/>
      <c r="E208" s="291"/>
      <c r="F208" s="291"/>
      <c r="H208" s="291"/>
      <c r="I208" s="291"/>
      <c r="J208" s="291"/>
      <c r="K208" s="291"/>
      <c r="L208" s="291"/>
      <c r="M208" s="291"/>
      <c r="N208" s="291"/>
      <c r="O208" s="291"/>
      <c r="P208" s="291"/>
      <c r="Q208" s="291"/>
      <c r="R208" s="291"/>
      <c r="S208" s="291"/>
      <c r="T208" s="291"/>
      <c r="U208" s="291"/>
      <c r="V208" s="291"/>
    </row>
    <row r="209" spans="1:22" x14ac:dyDescent="0.25">
      <c r="A209" s="291"/>
      <c r="B209" s="291"/>
      <c r="C209" s="291"/>
      <c r="D209" s="291"/>
      <c r="E209" s="291"/>
      <c r="F209" s="291"/>
      <c r="H209" s="291"/>
      <c r="I209" s="291"/>
      <c r="J209" s="291"/>
      <c r="K209" s="291"/>
      <c r="L209" s="291"/>
      <c r="M209" s="291"/>
      <c r="N209" s="291"/>
      <c r="O209" s="291"/>
      <c r="P209" s="291"/>
      <c r="Q209" s="291"/>
      <c r="R209" s="291"/>
      <c r="S209" s="291"/>
      <c r="T209" s="291"/>
      <c r="U209" s="291"/>
      <c r="V209" s="291"/>
    </row>
    <row r="210" spans="1:22" x14ac:dyDescent="0.25">
      <c r="A210" s="291"/>
      <c r="B210" s="291"/>
      <c r="C210" s="291"/>
      <c r="D210" s="291"/>
      <c r="E210" s="291"/>
      <c r="F210" s="291"/>
      <c r="H210" s="291"/>
      <c r="I210" s="291"/>
      <c r="J210" s="291"/>
      <c r="K210" s="291"/>
      <c r="L210" s="291"/>
      <c r="M210" s="291"/>
      <c r="N210" s="291"/>
      <c r="O210" s="291"/>
      <c r="P210" s="291"/>
      <c r="Q210" s="291"/>
      <c r="R210" s="291"/>
      <c r="S210" s="291"/>
      <c r="T210" s="291"/>
      <c r="U210" s="291"/>
      <c r="V210" s="291"/>
    </row>
    <row r="211" spans="1:22" x14ac:dyDescent="0.25">
      <c r="A211" s="291"/>
      <c r="B211" s="291"/>
      <c r="C211" s="291"/>
      <c r="D211" s="291"/>
      <c r="E211" s="291"/>
      <c r="F211" s="291"/>
      <c r="H211" s="291"/>
      <c r="I211" s="291"/>
      <c r="J211" s="291"/>
      <c r="K211" s="291"/>
      <c r="L211" s="291"/>
      <c r="M211" s="291"/>
      <c r="N211" s="291"/>
      <c r="O211" s="291"/>
      <c r="P211" s="291"/>
      <c r="Q211" s="291"/>
      <c r="R211" s="291"/>
      <c r="S211" s="291"/>
      <c r="T211" s="291"/>
      <c r="U211" s="291"/>
      <c r="V211" s="291"/>
    </row>
    <row r="212" spans="1:22" x14ac:dyDescent="0.25">
      <c r="A212" s="291"/>
      <c r="B212" s="291"/>
      <c r="C212" s="291"/>
      <c r="D212" s="291"/>
      <c r="E212" s="291"/>
      <c r="F212" s="291"/>
      <c r="H212" s="291"/>
      <c r="I212" s="291"/>
      <c r="J212" s="291"/>
      <c r="K212" s="291"/>
      <c r="L212" s="291"/>
      <c r="M212" s="291"/>
      <c r="N212" s="291"/>
      <c r="O212" s="291"/>
      <c r="P212" s="291"/>
      <c r="Q212" s="291"/>
      <c r="R212" s="291"/>
      <c r="S212" s="291"/>
      <c r="T212" s="291"/>
      <c r="U212" s="291"/>
      <c r="V212" s="291"/>
    </row>
    <row r="213" spans="1:22" x14ac:dyDescent="0.25">
      <c r="A213" s="291"/>
      <c r="B213" s="291"/>
      <c r="C213" s="291"/>
      <c r="D213" s="291"/>
      <c r="E213" s="291"/>
      <c r="F213" s="291"/>
      <c r="H213" s="291"/>
      <c r="I213" s="291"/>
      <c r="J213" s="291"/>
      <c r="K213" s="291"/>
      <c r="L213" s="291"/>
      <c r="M213" s="291"/>
      <c r="N213" s="291"/>
      <c r="O213" s="291"/>
      <c r="P213" s="291"/>
      <c r="Q213" s="291"/>
      <c r="R213" s="291"/>
      <c r="S213" s="291"/>
      <c r="T213" s="291"/>
      <c r="U213" s="291"/>
      <c r="V213" s="291"/>
    </row>
    <row r="214" spans="1:22" x14ac:dyDescent="0.25">
      <c r="A214" s="291"/>
      <c r="B214" s="291"/>
      <c r="C214" s="291"/>
      <c r="D214" s="291"/>
      <c r="E214" s="291"/>
      <c r="F214" s="291"/>
      <c r="H214" s="291"/>
      <c r="I214" s="291"/>
      <c r="J214" s="291"/>
      <c r="K214" s="291"/>
      <c r="L214" s="291"/>
      <c r="M214" s="291"/>
      <c r="N214" s="291"/>
      <c r="O214" s="291"/>
      <c r="P214" s="291"/>
      <c r="Q214" s="291"/>
      <c r="R214" s="291"/>
      <c r="S214" s="291"/>
      <c r="T214" s="291"/>
      <c r="U214" s="291"/>
      <c r="V214" s="291"/>
    </row>
    <row r="215" spans="1:22" x14ac:dyDescent="0.25">
      <c r="A215" s="291"/>
      <c r="B215" s="291"/>
      <c r="C215" s="291"/>
      <c r="D215" s="291"/>
      <c r="E215" s="291"/>
      <c r="F215" s="291"/>
      <c r="H215" s="291"/>
      <c r="I215" s="291"/>
      <c r="J215" s="291"/>
      <c r="K215" s="291"/>
      <c r="L215" s="291"/>
      <c r="M215" s="291"/>
      <c r="N215" s="291"/>
      <c r="O215" s="291"/>
      <c r="P215" s="291"/>
      <c r="Q215" s="291"/>
      <c r="R215" s="291"/>
      <c r="S215" s="291"/>
      <c r="T215" s="291"/>
      <c r="U215" s="291"/>
      <c r="V215" s="291"/>
    </row>
    <row r="216" spans="1:22" x14ac:dyDescent="0.25">
      <c r="A216" s="291"/>
      <c r="B216" s="291"/>
      <c r="C216" s="291"/>
      <c r="D216" s="291"/>
      <c r="E216" s="291"/>
      <c r="F216" s="291"/>
      <c r="H216" s="291"/>
      <c r="I216" s="291"/>
      <c r="J216" s="291"/>
      <c r="K216" s="291"/>
      <c r="L216" s="291"/>
      <c r="M216" s="291"/>
      <c r="N216" s="291"/>
      <c r="O216" s="291"/>
      <c r="P216" s="291"/>
      <c r="Q216" s="291"/>
      <c r="R216" s="291"/>
      <c r="S216" s="291"/>
      <c r="T216" s="291"/>
      <c r="U216" s="291"/>
      <c r="V216" s="291"/>
    </row>
    <row r="217" spans="1:22" x14ac:dyDescent="0.25">
      <c r="A217" s="291"/>
      <c r="B217" s="291"/>
      <c r="C217" s="291"/>
      <c r="D217" s="291"/>
      <c r="E217" s="291"/>
      <c r="F217" s="291"/>
      <c r="H217" s="291"/>
      <c r="I217" s="291"/>
      <c r="J217" s="291"/>
      <c r="K217" s="291"/>
      <c r="L217" s="291"/>
      <c r="M217" s="291"/>
      <c r="N217" s="291"/>
      <c r="O217" s="291"/>
      <c r="P217" s="291"/>
      <c r="Q217" s="291"/>
      <c r="R217" s="291"/>
      <c r="S217" s="291"/>
      <c r="T217" s="291"/>
      <c r="U217" s="291"/>
      <c r="V217" s="291"/>
    </row>
    <row r="218" spans="1:22" x14ac:dyDescent="0.25">
      <c r="A218" s="291"/>
      <c r="B218" s="291"/>
      <c r="C218" s="291"/>
      <c r="D218" s="291"/>
      <c r="E218" s="291"/>
      <c r="F218" s="291"/>
      <c r="H218" s="291"/>
      <c r="I218" s="291"/>
      <c r="J218" s="291"/>
      <c r="K218" s="291"/>
      <c r="L218" s="291"/>
      <c r="M218" s="291"/>
      <c r="N218" s="291"/>
      <c r="O218" s="291"/>
      <c r="P218" s="291"/>
      <c r="Q218" s="291"/>
      <c r="R218" s="291"/>
      <c r="S218" s="291"/>
      <c r="T218" s="291"/>
      <c r="U218" s="291"/>
      <c r="V218" s="291"/>
    </row>
    <row r="219" spans="1:22" x14ac:dyDescent="0.25">
      <c r="A219" s="291"/>
      <c r="B219" s="291"/>
      <c r="C219" s="291"/>
      <c r="D219" s="291"/>
      <c r="E219" s="291"/>
      <c r="F219" s="291"/>
      <c r="H219" s="291"/>
      <c r="I219" s="291"/>
      <c r="J219" s="291"/>
      <c r="K219" s="291"/>
      <c r="L219" s="291"/>
      <c r="M219" s="291"/>
      <c r="N219" s="291"/>
      <c r="O219" s="291"/>
      <c r="P219" s="291"/>
      <c r="Q219" s="291"/>
      <c r="R219" s="291"/>
      <c r="S219" s="291"/>
      <c r="T219" s="291"/>
      <c r="U219" s="291"/>
      <c r="V219" s="291"/>
    </row>
    <row r="220" spans="1:22" x14ac:dyDescent="0.25">
      <c r="A220" s="291"/>
      <c r="B220" s="291"/>
      <c r="C220" s="291"/>
      <c r="D220" s="291"/>
      <c r="E220" s="291"/>
      <c r="F220" s="291"/>
      <c r="H220" s="291"/>
      <c r="I220" s="291"/>
      <c r="J220" s="291"/>
      <c r="K220" s="291"/>
      <c r="L220" s="291"/>
      <c r="M220" s="291"/>
      <c r="N220" s="291"/>
      <c r="O220" s="291"/>
      <c r="P220" s="291"/>
      <c r="Q220" s="291"/>
      <c r="R220" s="291"/>
      <c r="S220" s="291"/>
      <c r="T220" s="291"/>
      <c r="U220" s="291"/>
      <c r="V220" s="291"/>
    </row>
    <row r="221" spans="1:22" x14ac:dyDescent="0.25">
      <c r="A221" s="291"/>
      <c r="B221" s="291"/>
      <c r="C221" s="291"/>
      <c r="D221" s="291"/>
      <c r="E221" s="291"/>
      <c r="F221" s="291"/>
      <c r="H221" s="291"/>
      <c r="I221" s="291"/>
      <c r="J221" s="291"/>
      <c r="K221" s="291"/>
      <c r="L221" s="291"/>
      <c r="M221" s="291"/>
      <c r="N221" s="291"/>
      <c r="O221" s="291"/>
      <c r="P221" s="291"/>
      <c r="Q221" s="291"/>
      <c r="R221" s="291"/>
      <c r="S221" s="291"/>
      <c r="T221" s="291"/>
      <c r="U221" s="291"/>
      <c r="V221" s="291"/>
    </row>
    <row r="222" spans="1:22" x14ac:dyDescent="0.25">
      <c r="A222" s="291"/>
      <c r="B222" s="291"/>
      <c r="C222" s="291"/>
      <c r="D222" s="291"/>
      <c r="E222" s="291"/>
      <c r="F222" s="291"/>
      <c r="H222" s="291"/>
      <c r="I222" s="291"/>
      <c r="J222" s="291"/>
      <c r="K222" s="291"/>
      <c r="L222" s="291"/>
      <c r="M222" s="291"/>
      <c r="N222" s="291"/>
      <c r="O222" s="291"/>
      <c r="P222" s="291"/>
      <c r="Q222" s="291"/>
      <c r="R222" s="291"/>
      <c r="S222" s="291"/>
      <c r="T222" s="291"/>
      <c r="U222" s="291"/>
      <c r="V222" s="291"/>
    </row>
    <row r="223" spans="1:22" x14ac:dyDescent="0.25">
      <c r="A223" s="291"/>
      <c r="B223" s="291"/>
      <c r="C223" s="291"/>
      <c r="D223" s="291"/>
      <c r="E223" s="291"/>
      <c r="F223" s="291"/>
      <c r="H223" s="291"/>
      <c r="I223" s="291"/>
      <c r="J223" s="291"/>
      <c r="K223" s="291"/>
      <c r="L223" s="291"/>
      <c r="M223" s="291"/>
      <c r="N223" s="291"/>
      <c r="O223" s="291"/>
      <c r="P223" s="291"/>
      <c r="Q223" s="291"/>
      <c r="R223" s="291"/>
      <c r="S223" s="291"/>
      <c r="T223" s="291"/>
      <c r="U223" s="291"/>
      <c r="V223" s="291"/>
    </row>
    <row r="224" spans="1:22" x14ac:dyDescent="0.25">
      <c r="A224" s="291"/>
      <c r="B224" s="291"/>
      <c r="C224" s="291"/>
      <c r="D224" s="291"/>
      <c r="E224" s="291"/>
      <c r="F224" s="291"/>
      <c r="H224" s="291"/>
      <c r="I224" s="291"/>
      <c r="J224" s="291"/>
      <c r="K224" s="291"/>
      <c r="L224" s="291"/>
      <c r="M224" s="291"/>
      <c r="N224" s="291"/>
      <c r="O224" s="291"/>
      <c r="P224" s="291"/>
      <c r="Q224" s="291"/>
      <c r="R224" s="291"/>
      <c r="S224" s="291"/>
      <c r="T224" s="291"/>
      <c r="U224" s="291"/>
      <c r="V224" s="291"/>
    </row>
    <row r="225" spans="1:22" x14ac:dyDescent="0.25">
      <c r="A225" s="291"/>
      <c r="B225" s="291"/>
      <c r="C225" s="291"/>
      <c r="D225" s="291"/>
      <c r="E225" s="291"/>
      <c r="F225" s="291"/>
      <c r="H225" s="291"/>
      <c r="I225" s="291"/>
      <c r="J225" s="291"/>
      <c r="K225" s="291"/>
      <c r="L225" s="291"/>
      <c r="M225" s="291"/>
      <c r="N225" s="291"/>
      <c r="O225" s="291"/>
      <c r="P225" s="291"/>
      <c r="Q225" s="291"/>
      <c r="R225" s="291"/>
      <c r="S225" s="291"/>
      <c r="T225" s="291"/>
      <c r="U225" s="291"/>
      <c r="V225" s="291"/>
    </row>
    <row r="226" spans="1:22" x14ac:dyDescent="0.25">
      <c r="A226" s="291"/>
      <c r="B226" s="291"/>
      <c r="C226" s="291"/>
      <c r="D226" s="291"/>
      <c r="E226" s="291"/>
      <c r="F226" s="291"/>
      <c r="H226" s="291"/>
      <c r="I226" s="291"/>
      <c r="J226" s="291"/>
      <c r="K226" s="291"/>
      <c r="L226" s="291"/>
      <c r="M226" s="291"/>
      <c r="N226" s="291"/>
      <c r="O226" s="291"/>
      <c r="P226" s="291"/>
      <c r="Q226" s="291"/>
      <c r="R226" s="291"/>
      <c r="S226" s="291"/>
      <c r="T226" s="291"/>
      <c r="U226" s="291"/>
      <c r="V226" s="291"/>
    </row>
    <row r="227" spans="1:22" x14ac:dyDescent="0.25">
      <c r="A227" s="291"/>
      <c r="B227" s="291"/>
      <c r="C227" s="291"/>
      <c r="D227" s="291"/>
      <c r="E227" s="291"/>
      <c r="F227" s="291"/>
      <c r="H227" s="291"/>
      <c r="I227" s="291"/>
      <c r="J227" s="291"/>
      <c r="K227" s="291"/>
      <c r="L227" s="291"/>
      <c r="M227" s="291"/>
      <c r="N227" s="291"/>
      <c r="O227" s="291"/>
      <c r="P227" s="291"/>
      <c r="Q227" s="291"/>
      <c r="R227" s="291"/>
      <c r="S227" s="291"/>
      <c r="T227" s="291"/>
      <c r="U227" s="291"/>
      <c r="V227" s="291"/>
    </row>
    <row r="228" spans="1:22" x14ac:dyDescent="0.25">
      <c r="A228" s="291"/>
      <c r="B228" s="291"/>
      <c r="C228" s="291"/>
      <c r="D228" s="291"/>
      <c r="E228" s="291"/>
      <c r="F228" s="291"/>
      <c r="H228" s="291"/>
      <c r="I228" s="291"/>
      <c r="J228" s="291"/>
      <c r="K228" s="291"/>
      <c r="L228" s="291"/>
      <c r="M228" s="291"/>
      <c r="N228" s="291"/>
      <c r="O228" s="291"/>
      <c r="P228" s="291"/>
      <c r="Q228" s="291"/>
      <c r="R228" s="291"/>
      <c r="S228" s="291"/>
      <c r="T228" s="291"/>
      <c r="U228" s="291"/>
      <c r="V228" s="291"/>
    </row>
    <row r="229" spans="1:22" x14ac:dyDescent="0.25">
      <c r="A229" s="291"/>
      <c r="B229" s="291"/>
      <c r="C229" s="291"/>
      <c r="D229" s="291"/>
      <c r="E229" s="291"/>
      <c r="F229" s="291"/>
      <c r="H229" s="291"/>
      <c r="I229" s="291"/>
      <c r="J229" s="291"/>
      <c r="K229" s="291"/>
      <c r="L229" s="291"/>
      <c r="M229" s="291"/>
      <c r="N229" s="291"/>
      <c r="O229" s="291"/>
      <c r="P229" s="291"/>
      <c r="Q229" s="291"/>
      <c r="R229" s="291"/>
      <c r="S229" s="291"/>
      <c r="T229" s="291"/>
      <c r="U229" s="291"/>
      <c r="V229" s="291"/>
    </row>
    <row r="230" spans="1:22" x14ac:dyDescent="0.25">
      <c r="A230" s="291"/>
      <c r="B230" s="291"/>
      <c r="C230" s="291"/>
      <c r="D230" s="291"/>
      <c r="E230" s="291"/>
      <c r="F230" s="291"/>
      <c r="H230" s="291"/>
      <c r="I230" s="291"/>
      <c r="J230" s="291"/>
      <c r="K230" s="291"/>
      <c r="L230" s="291"/>
      <c r="M230" s="291"/>
      <c r="N230" s="291"/>
      <c r="O230" s="291"/>
      <c r="P230" s="291"/>
      <c r="Q230" s="291"/>
      <c r="R230" s="291"/>
      <c r="S230" s="291"/>
      <c r="T230" s="291"/>
      <c r="U230" s="291"/>
      <c r="V230" s="291"/>
    </row>
    <row r="231" spans="1:22" x14ac:dyDescent="0.25">
      <c r="A231" s="291"/>
      <c r="B231" s="291"/>
      <c r="C231" s="291"/>
      <c r="D231" s="291"/>
      <c r="E231" s="291"/>
      <c r="F231" s="291"/>
      <c r="H231" s="291"/>
      <c r="I231" s="291"/>
      <c r="J231" s="291"/>
      <c r="K231" s="291"/>
      <c r="L231" s="291"/>
      <c r="M231" s="291"/>
      <c r="N231" s="291"/>
      <c r="O231" s="291"/>
      <c r="P231" s="291"/>
      <c r="Q231" s="291"/>
      <c r="R231" s="291"/>
      <c r="S231" s="291"/>
      <c r="T231" s="291"/>
      <c r="U231" s="291"/>
      <c r="V231" s="291"/>
    </row>
    <row r="232" spans="1:22" x14ac:dyDescent="0.25">
      <c r="A232" s="291"/>
      <c r="B232" s="291"/>
      <c r="C232" s="291"/>
      <c r="D232" s="291"/>
      <c r="E232" s="291"/>
      <c r="F232" s="291"/>
      <c r="H232" s="291"/>
      <c r="I232" s="291"/>
      <c r="J232" s="291"/>
      <c r="K232" s="291"/>
      <c r="L232" s="291"/>
      <c r="M232" s="291"/>
      <c r="N232" s="291"/>
      <c r="O232" s="291"/>
      <c r="P232" s="291"/>
      <c r="Q232" s="291"/>
      <c r="R232" s="291"/>
      <c r="S232" s="291"/>
      <c r="T232" s="291"/>
      <c r="U232" s="291"/>
      <c r="V232" s="291"/>
    </row>
    <row r="233" spans="1:22" x14ac:dyDescent="0.25">
      <c r="A233" s="291"/>
      <c r="B233" s="291"/>
      <c r="C233" s="291"/>
      <c r="D233" s="291"/>
      <c r="E233" s="291"/>
      <c r="F233" s="291"/>
      <c r="H233" s="291"/>
      <c r="I233" s="291"/>
      <c r="J233" s="291"/>
      <c r="K233" s="291"/>
      <c r="L233" s="291"/>
      <c r="M233" s="291"/>
      <c r="N233" s="291"/>
      <c r="O233" s="291"/>
      <c r="P233" s="291"/>
      <c r="Q233" s="291"/>
      <c r="R233" s="291"/>
      <c r="S233" s="291"/>
      <c r="T233" s="291"/>
      <c r="U233" s="291"/>
      <c r="V233" s="291"/>
    </row>
    <row r="234" spans="1:22" x14ac:dyDescent="0.25">
      <c r="A234" s="291"/>
      <c r="B234" s="291"/>
      <c r="C234" s="291"/>
      <c r="D234" s="291"/>
      <c r="E234" s="291"/>
      <c r="F234" s="291"/>
      <c r="H234" s="291"/>
      <c r="I234" s="291"/>
      <c r="J234" s="291"/>
      <c r="K234" s="291"/>
      <c r="L234" s="291"/>
      <c r="M234" s="291"/>
      <c r="N234" s="291"/>
      <c r="O234" s="291"/>
      <c r="P234" s="291"/>
      <c r="Q234" s="291"/>
      <c r="R234" s="291"/>
      <c r="S234" s="291"/>
      <c r="T234" s="291"/>
      <c r="U234" s="291"/>
      <c r="V234" s="291"/>
    </row>
    <row r="235" spans="1:22" x14ac:dyDescent="0.25">
      <c r="A235" s="291"/>
      <c r="B235" s="291"/>
      <c r="C235" s="291"/>
      <c r="D235" s="291"/>
      <c r="E235" s="291"/>
      <c r="F235" s="291"/>
      <c r="H235" s="291"/>
      <c r="I235" s="291"/>
      <c r="J235" s="291"/>
      <c r="K235" s="291"/>
      <c r="L235" s="291"/>
      <c r="M235" s="291"/>
      <c r="N235" s="291"/>
      <c r="O235" s="291"/>
      <c r="P235" s="291"/>
      <c r="Q235" s="291"/>
      <c r="R235" s="291"/>
      <c r="S235" s="291"/>
      <c r="T235" s="291"/>
      <c r="U235" s="291"/>
      <c r="V235" s="291"/>
    </row>
    <row r="236" spans="1:22" x14ac:dyDescent="0.25">
      <c r="A236" s="291"/>
      <c r="B236" s="291"/>
      <c r="C236" s="291"/>
      <c r="D236" s="291"/>
      <c r="E236" s="291"/>
      <c r="F236" s="291"/>
      <c r="H236" s="291"/>
      <c r="I236" s="291"/>
      <c r="J236" s="291"/>
      <c r="K236" s="291"/>
      <c r="L236" s="291"/>
      <c r="M236" s="291"/>
      <c r="N236" s="291"/>
      <c r="O236" s="291"/>
      <c r="P236" s="291"/>
      <c r="Q236" s="291"/>
      <c r="R236" s="291"/>
      <c r="S236" s="291"/>
      <c r="T236" s="291"/>
      <c r="U236" s="291"/>
      <c r="V236" s="291"/>
    </row>
    <row r="237" spans="1:22" x14ac:dyDescent="0.25">
      <c r="A237" s="291"/>
      <c r="B237" s="291"/>
      <c r="C237" s="291"/>
      <c r="D237" s="291"/>
      <c r="E237" s="291"/>
      <c r="F237" s="291"/>
      <c r="H237" s="291"/>
      <c r="I237" s="291"/>
      <c r="J237" s="291"/>
      <c r="K237" s="291"/>
      <c r="L237" s="291"/>
      <c r="M237" s="291"/>
      <c r="N237" s="291"/>
      <c r="O237" s="291"/>
      <c r="P237" s="291"/>
      <c r="Q237" s="291"/>
      <c r="R237" s="291"/>
      <c r="S237" s="291"/>
      <c r="T237" s="291"/>
      <c r="U237" s="291"/>
      <c r="V237" s="291"/>
    </row>
    <row r="238" spans="1:22" x14ac:dyDescent="0.25">
      <c r="A238" s="291"/>
      <c r="B238" s="291"/>
      <c r="C238" s="291"/>
      <c r="D238" s="291"/>
      <c r="E238" s="291"/>
      <c r="F238" s="291"/>
      <c r="H238" s="291"/>
      <c r="I238" s="291"/>
      <c r="J238" s="291"/>
      <c r="K238" s="291"/>
      <c r="L238" s="291"/>
      <c r="M238" s="291"/>
      <c r="N238" s="291"/>
      <c r="O238" s="291"/>
      <c r="P238" s="291"/>
      <c r="Q238" s="291"/>
      <c r="R238" s="291"/>
      <c r="S238" s="291"/>
      <c r="T238" s="291"/>
      <c r="U238" s="291"/>
      <c r="V238" s="291"/>
    </row>
    <row r="239" spans="1:22" x14ac:dyDescent="0.25">
      <c r="A239" s="291"/>
      <c r="B239" s="291"/>
      <c r="C239" s="291"/>
      <c r="D239" s="291"/>
      <c r="E239" s="291"/>
      <c r="F239" s="291"/>
      <c r="H239" s="291"/>
      <c r="I239" s="291"/>
      <c r="J239" s="291"/>
      <c r="K239" s="291"/>
      <c r="L239" s="291"/>
      <c r="M239" s="291"/>
      <c r="N239" s="291"/>
      <c r="O239" s="291"/>
      <c r="P239" s="291"/>
      <c r="Q239" s="291"/>
      <c r="R239" s="291"/>
      <c r="S239" s="291"/>
      <c r="T239" s="291"/>
      <c r="U239" s="291"/>
      <c r="V239" s="291"/>
    </row>
    <row r="240" spans="1:22" x14ac:dyDescent="0.25">
      <c r="A240" s="291"/>
      <c r="B240" s="291"/>
      <c r="C240" s="291"/>
      <c r="D240" s="291"/>
      <c r="E240" s="291"/>
      <c r="F240" s="291"/>
      <c r="H240" s="291"/>
      <c r="I240" s="291"/>
      <c r="J240" s="291"/>
      <c r="K240" s="291"/>
      <c r="L240" s="291"/>
      <c r="M240" s="291"/>
      <c r="N240" s="291"/>
      <c r="O240" s="291"/>
      <c r="P240" s="291"/>
      <c r="Q240" s="291"/>
      <c r="R240" s="291"/>
      <c r="S240" s="291"/>
      <c r="T240" s="291"/>
      <c r="U240" s="291"/>
      <c r="V240" s="291"/>
    </row>
    <row r="241" spans="1:22" x14ac:dyDescent="0.25">
      <c r="A241" s="291"/>
      <c r="B241" s="291"/>
      <c r="C241" s="291"/>
      <c r="D241" s="291"/>
      <c r="E241" s="291"/>
      <c r="F241" s="291"/>
      <c r="H241" s="291"/>
      <c r="I241" s="291"/>
      <c r="J241" s="291"/>
      <c r="K241" s="291"/>
      <c r="L241" s="291"/>
      <c r="M241" s="291"/>
      <c r="N241" s="291"/>
      <c r="O241" s="291"/>
      <c r="P241" s="291"/>
      <c r="Q241" s="291"/>
      <c r="R241" s="291"/>
      <c r="S241" s="291"/>
      <c r="T241" s="291"/>
      <c r="U241" s="291"/>
      <c r="V241" s="291"/>
    </row>
    <row r="242" spans="1:22" x14ac:dyDescent="0.25">
      <c r="A242" s="291"/>
      <c r="B242" s="291"/>
      <c r="C242" s="291"/>
      <c r="D242" s="291"/>
      <c r="E242" s="291"/>
      <c r="F242" s="291"/>
      <c r="H242" s="291"/>
      <c r="I242" s="291"/>
      <c r="J242" s="291"/>
      <c r="K242" s="291"/>
      <c r="L242" s="291"/>
      <c r="M242" s="291"/>
      <c r="N242" s="291"/>
      <c r="O242" s="291"/>
      <c r="P242" s="291"/>
      <c r="Q242" s="291"/>
      <c r="R242" s="291"/>
      <c r="S242" s="291"/>
      <c r="T242" s="291"/>
      <c r="U242" s="291"/>
      <c r="V242" s="291"/>
    </row>
    <row r="243" spans="1:22" x14ac:dyDescent="0.25">
      <c r="A243" s="291"/>
      <c r="B243" s="291"/>
      <c r="C243" s="291"/>
      <c r="D243" s="291"/>
      <c r="E243" s="291"/>
      <c r="F243" s="291"/>
      <c r="H243" s="291"/>
      <c r="I243" s="291"/>
      <c r="J243" s="291"/>
      <c r="K243" s="291"/>
      <c r="L243" s="291"/>
      <c r="M243" s="291"/>
      <c r="N243" s="291"/>
      <c r="O243" s="291"/>
      <c r="P243" s="291"/>
      <c r="Q243" s="291"/>
      <c r="R243" s="291"/>
      <c r="S243" s="291"/>
      <c r="T243" s="291"/>
      <c r="U243" s="291"/>
      <c r="V243" s="291"/>
    </row>
    <row r="244" spans="1:22" x14ac:dyDescent="0.25">
      <c r="A244" s="291"/>
      <c r="B244" s="291"/>
      <c r="C244" s="291"/>
      <c r="D244" s="291"/>
      <c r="E244" s="291"/>
      <c r="F244" s="291"/>
      <c r="H244" s="291"/>
      <c r="I244" s="291"/>
      <c r="J244" s="291"/>
      <c r="K244" s="291"/>
      <c r="L244" s="291"/>
      <c r="M244" s="291"/>
      <c r="N244" s="291"/>
      <c r="O244" s="291"/>
      <c r="P244" s="291"/>
      <c r="Q244" s="291"/>
      <c r="R244" s="291"/>
      <c r="S244" s="291"/>
      <c r="T244" s="291"/>
      <c r="U244" s="291"/>
      <c r="V244" s="291"/>
    </row>
    <row r="245" spans="1:22" x14ac:dyDescent="0.25">
      <c r="A245" s="291"/>
      <c r="B245" s="291"/>
      <c r="C245" s="291"/>
      <c r="D245" s="291"/>
      <c r="E245" s="291"/>
      <c r="F245" s="291"/>
      <c r="H245" s="291"/>
      <c r="I245" s="291"/>
      <c r="J245" s="291"/>
      <c r="K245" s="291"/>
      <c r="L245" s="291"/>
      <c r="M245" s="291"/>
      <c r="N245" s="291"/>
      <c r="O245" s="291"/>
      <c r="P245" s="291"/>
      <c r="Q245" s="291"/>
      <c r="R245" s="291"/>
      <c r="S245" s="291"/>
      <c r="T245" s="291"/>
      <c r="U245" s="291"/>
      <c r="V245" s="291"/>
    </row>
    <row r="246" spans="1:22" x14ac:dyDescent="0.25">
      <c r="A246" s="291"/>
      <c r="B246" s="291"/>
      <c r="C246" s="291"/>
      <c r="D246" s="291"/>
      <c r="E246" s="291"/>
      <c r="F246" s="291"/>
      <c r="H246" s="291"/>
      <c r="I246" s="291"/>
      <c r="J246" s="291"/>
      <c r="K246" s="291"/>
      <c r="L246" s="291"/>
      <c r="M246" s="291"/>
      <c r="N246" s="291"/>
      <c r="O246" s="291"/>
      <c r="P246" s="291"/>
      <c r="Q246" s="291"/>
      <c r="R246" s="291"/>
      <c r="S246" s="291"/>
      <c r="T246" s="291"/>
      <c r="U246" s="291"/>
      <c r="V246" s="291"/>
    </row>
    <row r="247" spans="1:22" x14ac:dyDescent="0.25">
      <c r="A247" s="291"/>
      <c r="B247" s="291"/>
      <c r="C247" s="291"/>
      <c r="D247" s="291"/>
      <c r="E247" s="291"/>
      <c r="F247" s="291"/>
      <c r="H247" s="291"/>
      <c r="I247" s="291"/>
      <c r="J247" s="291"/>
      <c r="K247" s="291"/>
      <c r="L247" s="291"/>
      <c r="M247" s="291"/>
      <c r="N247" s="291"/>
      <c r="O247" s="291"/>
      <c r="P247" s="291"/>
      <c r="Q247" s="291"/>
      <c r="R247" s="291"/>
      <c r="S247" s="291"/>
      <c r="T247" s="291"/>
      <c r="U247" s="291"/>
      <c r="V247" s="291"/>
    </row>
    <row r="248" spans="1:22" x14ac:dyDescent="0.25">
      <c r="A248" s="291"/>
      <c r="B248" s="291"/>
      <c r="C248" s="291"/>
      <c r="D248" s="291"/>
      <c r="E248" s="291"/>
      <c r="F248" s="291"/>
      <c r="H248" s="291"/>
      <c r="I248" s="291"/>
      <c r="J248" s="291"/>
      <c r="K248" s="291"/>
      <c r="L248" s="291"/>
      <c r="M248" s="291"/>
      <c r="N248" s="291"/>
      <c r="O248" s="291"/>
      <c r="P248" s="291"/>
      <c r="Q248" s="291"/>
      <c r="R248" s="291"/>
      <c r="S248" s="291"/>
      <c r="T248" s="291"/>
      <c r="U248" s="291"/>
      <c r="V248" s="291"/>
    </row>
    <row r="249" spans="1:22" x14ac:dyDescent="0.25">
      <c r="A249" s="291"/>
      <c r="B249" s="291"/>
      <c r="C249" s="291"/>
      <c r="D249" s="291"/>
      <c r="E249" s="291"/>
      <c r="F249" s="291"/>
      <c r="H249" s="291"/>
      <c r="I249" s="291"/>
      <c r="J249" s="291"/>
      <c r="K249" s="291"/>
      <c r="L249" s="291"/>
      <c r="M249" s="291"/>
      <c r="N249" s="291"/>
      <c r="O249" s="291"/>
      <c r="P249" s="291"/>
      <c r="Q249" s="291"/>
      <c r="R249" s="291"/>
      <c r="S249" s="291"/>
      <c r="T249" s="291"/>
      <c r="U249" s="291"/>
      <c r="V249" s="291"/>
    </row>
    <row r="250" spans="1:22" x14ac:dyDescent="0.25">
      <c r="A250" s="291"/>
      <c r="B250" s="291"/>
      <c r="C250" s="291"/>
      <c r="D250" s="291"/>
      <c r="E250" s="291"/>
      <c r="F250" s="291"/>
      <c r="H250" s="291"/>
      <c r="I250" s="291"/>
      <c r="J250" s="291"/>
      <c r="K250" s="291"/>
      <c r="L250" s="291"/>
      <c r="M250" s="291"/>
      <c r="N250" s="291"/>
      <c r="O250" s="291"/>
      <c r="P250" s="291"/>
      <c r="Q250" s="291"/>
      <c r="R250" s="291"/>
      <c r="S250" s="291"/>
      <c r="T250" s="291"/>
      <c r="U250" s="291"/>
      <c r="V250" s="291"/>
    </row>
    <row r="251" spans="1:22" x14ac:dyDescent="0.25">
      <c r="A251" s="291"/>
      <c r="B251" s="291"/>
      <c r="C251" s="291"/>
      <c r="D251" s="291"/>
      <c r="E251" s="291"/>
      <c r="F251" s="291"/>
      <c r="H251" s="291"/>
      <c r="I251" s="291"/>
      <c r="J251" s="291"/>
      <c r="K251" s="291"/>
      <c r="L251" s="291"/>
      <c r="M251" s="291"/>
      <c r="N251" s="291"/>
      <c r="O251" s="291"/>
      <c r="P251" s="291"/>
      <c r="Q251" s="291"/>
      <c r="R251" s="291"/>
      <c r="S251" s="291"/>
      <c r="T251" s="291"/>
      <c r="U251" s="291"/>
      <c r="V251" s="291"/>
    </row>
    <row r="252" spans="1:22" x14ac:dyDescent="0.25">
      <c r="A252" s="291"/>
      <c r="B252" s="291"/>
      <c r="C252" s="291"/>
      <c r="D252" s="291"/>
      <c r="E252" s="291"/>
      <c r="F252" s="291"/>
      <c r="H252" s="291"/>
      <c r="I252" s="291"/>
      <c r="J252" s="291"/>
      <c r="K252" s="291"/>
      <c r="L252" s="291"/>
      <c r="M252" s="291"/>
      <c r="N252" s="291"/>
      <c r="O252" s="291"/>
      <c r="P252" s="291"/>
      <c r="Q252" s="291"/>
      <c r="R252" s="291"/>
      <c r="S252" s="291"/>
      <c r="T252" s="291"/>
      <c r="U252" s="291"/>
      <c r="V252" s="291"/>
    </row>
    <row r="253" spans="1:22" x14ac:dyDescent="0.25">
      <c r="A253" s="291"/>
      <c r="B253" s="291"/>
      <c r="C253" s="291"/>
      <c r="D253" s="291"/>
      <c r="E253" s="291"/>
      <c r="F253" s="291"/>
      <c r="H253" s="291"/>
      <c r="I253" s="291"/>
      <c r="J253" s="291"/>
      <c r="K253" s="291"/>
      <c r="L253" s="291"/>
      <c r="M253" s="291"/>
      <c r="N253" s="291"/>
      <c r="O253" s="291"/>
      <c r="P253" s="291"/>
      <c r="Q253" s="291"/>
      <c r="R253" s="291"/>
      <c r="S253" s="291"/>
      <c r="T253" s="291"/>
      <c r="U253" s="291"/>
      <c r="V253" s="291"/>
    </row>
    <row r="254" spans="1:22" x14ac:dyDescent="0.25">
      <c r="A254" s="291"/>
      <c r="B254" s="291"/>
      <c r="C254" s="291"/>
      <c r="D254" s="291"/>
      <c r="E254" s="291"/>
      <c r="F254" s="291"/>
      <c r="H254" s="291"/>
      <c r="I254" s="291"/>
      <c r="J254" s="291"/>
      <c r="K254" s="291"/>
      <c r="L254" s="291"/>
      <c r="M254" s="291"/>
      <c r="N254" s="291"/>
      <c r="O254" s="291"/>
      <c r="P254" s="291"/>
      <c r="Q254" s="291"/>
      <c r="R254" s="291"/>
      <c r="S254" s="291"/>
      <c r="T254" s="291"/>
      <c r="U254" s="291"/>
      <c r="V254" s="291"/>
    </row>
    <row r="255" spans="1:22" x14ac:dyDescent="0.25">
      <c r="A255" s="291"/>
      <c r="B255" s="291"/>
      <c r="C255" s="291"/>
      <c r="D255" s="291"/>
      <c r="E255" s="291"/>
      <c r="F255" s="291"/>
      <c r="H255" s="291"/>
      <c r="I255" s="291"/>
      <c r="J255" s="291"/>
      <c r="K255" s="291"/>
      <c r="L255" s="291"/>
      <c r="M255" s="291"/>
      <c r="N255" s="291"/>
      <c r="O255" s="291"/>
      <c r="P255" s="291"/>
      <c r="Q255" s="291"/>
      <c r="R255" s="291"/>
      <c r="S255" s="291"/>
      <c r="T255" s="291"/>
      <c r="U255" s="291"/>
      <c r="V255" s="291"/>
    </row>
    <row r="256" spans="1:22" x14ac:dyDescent="0.25">
      <c r="A256" s="291"/>
      <c r="B256" s="291"/>
      <c r="C256" s="291"/>
      <c r="D256" s="291"/>
      <c r="E256" s="291"/>
      <c r="F256" s="291"/>
      <c r="H256" s="291"/>
      <c r="I256" s="291"/>
      <c r="J256" s="291"/>
      <c r="K256" s="291"/>
      <c r="L256" s="291"/>
      <c r="M256" s="291"/>
      <c r="N256" s="291"/>
      <c r="O256" s="291"/>
      <c r="P256" s="291"/>
      <c r="Q256" s="291"/>
      <c r="R256" s="291"/>
      <c r="S256" s="291"/>
      <c r="T256" s="291"/>
      <c r="U256" s="291"/>
      <c r="V256" s="291"/>
    </row>
    <row r="257" spans="1:22" x14ac:dyDescent="0.25">
      <c r="A257" s="291"/>
      <c r="B257" s="291"/>
      <c r="C257" s="291"/>
      <c r="D257" s="291"/>
      <c r="E257" s="291"/>
      <c r="F257" s="291"/>
      <c r="H257" s="291"/>
      <c r="I257" s="291"/>
      <c r="J257" s="291"/>
      <c r="K257" s="291"/>
      <c r="L257" s="291"/>
      <c r="M257" s="291"/>
      <c r="N257" s="291"/>
      <c r="O257" s="291"/>
      <c r="P257" s="291"/>
      <c r="Q257" s="291"/>
      <c r="R257" s="291"/>
      <c r="S257" s="291"/>
      <c r="T257" s="291"/>
      <c r="U257" s="291"/>
      <c r="V257" s="291"/>
    </row>
    <row r="258" spans="1:22" x14ac:dyDescent="0.25">
      <c r="A258" s="291"/>
      <c r="B258" s="291"/>
      <c r="C258" s="291"/>
      <c r="D258" s="291"/>
      <c r="E258" s="291"/>
      <c r="F258" s="291"/>
      <c r="H258" s="291"/>
      <c r="I258" s="291"/>
      <c r="J258" s="291"/>
      <c r="K258" s="291"/>
      <c r="L258" s="291"/>
      <c r="M258" s="291"/>
      <c r="N258" s="291"/>
      <c r="O258" s="291"/>
      <c r="P258" s="291"/>
      <c r="Q258" s="291"/>
      <c r="R258" s="291"/>
      <c r="S258" s="291"/>
      <c r="T258" s="291"/>
      <c r="U258" s="291"/>
      <c r="V258" s="291"/>
    </row>
    <row r="259" spans="1:22" x14ac:dyDescent="0.25">
      <c r="A259" s="291"/>
      <c r="B259" s="291"/>
      <c r="C259" s="291"/>
      <c r="D259" s="291"/>
      <c r="E259" s="291"/>
      <c r="F259" s="291"/>
      <c r="H259" s="291"/>
      <c r="I259" s="291"/>
      <c r="J259" s="291"/>
      <c r="K259" s="291"/>
      <c r="L259" s="291"/>
      <c r="M259" s="291"/>
      <c r="N259" s="291"/>
      <c r="O259" s="291"/>
      <c r="P259" s="291"/>
      <c r="Q259" s="291"/>
      <c r="R259" s="291"/>
      <c r="S259" s="291"/>
      <c r="T259" s="291"/>
      <c r="U259" s="291"/>
      <c r="V259" s="291"/>
    </row>
    <row r="260" spans="1:22" x14ac:dyDescent="0.25">
      <c r="A260" s="291"/>
      <c r="B260" s="291"/>
      <c r="C260" s="291"/>
      <c r="D260" s="291"/>
      <c r="E260" s="291"/>
      <c r="F260" s="291"/>
      <c r="H260" s="291"/>
      <c r="I260" s="291"/>
      <c r="J260" s="291"/>
      <c r="K260" s="291"/>
      <c r="L260" s="291"/>
      <c r="M260" s="291"/>
      <c r="N260" s="291"/>
      <c r="O260" s="291"/>
      <c r="P260" s="291"/>
      <c r="Q260" s="291"/>
      <c r="R260" s="291"/>
      <c r="S260" s="291"/>
      <c r="T260" s="291"/>
      <c r="U260" s="291"/>
      <c r="V260" s="291"/>
    </row>
    <row r="261" spans="1:22" x14ac:dyDescent="0.25">
      <c r="A261" s="291"/>
      <c r="B261" s="291"/>
      <c r="C261" s="291"/>
      <c r="D261" s="291"/>
      <c r="E261" s="291"/>
      <c r="F261" s="291"/>
      <c r="H261" s="291"/>
      <c r="I261" s="291"/>
      <c r="J261" s="291"/>
      <c r="K261" s="291"/>
      <c r="L261" s="291"/>
      <c r="M261" s="291"/>
      <c r="N261" s="291"/>
      <c r="O261" s="291"/>
      <c r="P261" s="291"/>
      <c r="Q261" s="291"/>
      <c r="R261" s="291"/>
      <c r="S261" s="291"/>
      <c r="T261" s="291"/>
      <c r="U261" s="291"/>
      <c r="V261" s="291"/>
    </row>
    <row r="262" spans="1:22" x14ac:dyDescent="0.25">
      <c r="A262" s="291"/>
      <c r="B262" s="291"/>
      <c r="C262" s="291"/>
      <c r="D262" s="291"/>
      <c r="E262" s="291"/>
      <c r="F262" s="291"/>
      <c r="H262" s="291"/>
      <c r="I262" s="291"/>
      <c r="J262" s="291"/>
      <c r="K262" s="291"/>
      <c r="L262" s="291"/>
      <c r="M262" s="291"/>
      <c r="N262" s="291"/>
      <c r="O262" s="291"/>
      <c r="P262" s="291"/>
      <c r="Q262" s="291"/>
      <c r="R262" s="291"/>
      <c r="S262" s="291"/>
      <c r="T262" s="291"/>
      <c r="U262" s="291"/>
      <c r="V262" s="291"/>
    </row>
    <row r="263" spans="1:22" x14ac:dyDescent="0.25">
      <c r="A263" s="291"/>
      <c r="B263" s="291"/>
      <c r="C263" s="291"/>
      <c r="D263" s="291"/>
      <c r="E263" s="291"/>
      <c r="F263" s="291"/>
      <c r="H263" s="291"/>
      <c r="I263" s="291"/>
      <c r="J263" s="291"/>
      <c r="K263" s="291"/>
      <c r="L263" s="291"/>
      <c r="M263" s="291"/>
      <c r="N263" s="291"/>
      <c r="O263" s="291"/>
      <c r="P263" s="291"/>
      <c r="Q263" s="291"/>
      <c r="R263" s="291"/>
      <c r="S263" s="291"/>
      <c r="T263" s="291"/>
      <c r="U263" s="291"/>
      <c r="V263" s="291"/>
    </row>
    <row r="264" spans="1:22" x14ac:dyDescent="0.25">
      <c r="A264" s="291"/>
      <c r="B264" s="291"/>
      <c r="C264" s="291"/>
      <c r="D264" s="291"/>
      <c r="E264" s="291"/>
      <c r="F264" s="291"/>
      <c r="H264" s="291"/>
      <c r="I264" s="291"/>
      <c r="J264" s="291"/>
      <c r="K264" s="291"/>
      <c r="L264" s="291"/>
      <c r="M264" s="291"/>
      <c r="N264" s="291"/>
      <c r="O264" s="291"/>
      <c r="P264" s="291"/>
      <c r="Q264" s="291"/>
      <c r="R264" s="291"/>
      <c r="S264" s="291"/>
      <c r="T264" s="291"/>
      <c r="U264" s="291"/>
      <c r="V264" s="291"/>
    </row>
    <row r="265" spans="1:22" x14ac:dyDescent="0.25">
      <c r="A265" s="291"/>
      <c r="B265" s="291"/>
      <c r="C265" s="291"/>
      <c r="D265" s="291"/>
      <c r="E265" s="291"/>
      <c r="F265" s="291"/>
      <c r="H265" s="291"/>
      <c r="I265" s="291"/>
      <c r="J265" s="291"/>
      <c r="K265" s="291"/>
      <c r="L265" s="291"/>
      <c r="M265" s="291"/>
      <c r="N265" s="291"/>
      <c r="O265" s="291"/>
      <c r="P265" s="291"/>
      <c r="Q265" s="291"/>
      <c r="R265" s="291"/>
      <c r="S265" s="291"/>
      <c r="T265" s="291"/>
      <c r="U265" s="291"/>
      <c r="V265" s="291"/>
    </row>
    <row r="266" spans="1:22" x14ac:dyDescent="0.25">
      <c r="A266" s="291"/>
      <c r="B266" s="291"/>
      <c r="C266" s="291"/>
      <c r="D266" s="291"/>
      <c r="E266" s="291"/>
      <c r="F266" s="291"/>
      <c r="H266" s="291"/>
      <c r="I266" s="291"/>
      <c r="J266" s="291"/>
      <c r="K266" s="291"/>
      <c r="L266" s="291"/>
      <c r="M266" s="291"/>
      <c r="N266" s="291"/>
      <c r="O266" s="291"/>
      <c r="P266" s="291"/>
      <c r="Q266" s="291"/>
      <c r="R266" s="291"/>
      <c r="S266" s="291"/>
      <c r="T266" s="291"/>
      <c r="U266" s="291"/>
      <c r="V266" s="291"/>
    </row>
    <row r="267" spans="1:22" x14ac:dyDescent="0.25">
      <c r="A267" s="291"/>
      <c r="B267" s="291"/>
      <c r="C267" s="291"/>
      <c r="D267" s="291"/>
      <c r="E267" s="291"/>
      <c r="F267" s="291"/>
      <c r="H267" s="291"/>
      <c r="I267" s="291"/>
      <c r="J267" s="291"/>
      <c r="K267" s="291"/>
      <c r="L267" s="291"/>
      <c r="M267" s="291"/>
      <c r="N267" s="291"/>
      <c r="O267" s="291"/>
      <c r="P267" s="291"/>
      <c r="Q267" s="291"/>
      <c r="R267" s="291"/>
      <c r="S267" s="291"/>
      <c r="T267" s="291"/>
      <c r="U267" s="291"/>
      <c r="V267" s="291"/>
    </row>
    <row r="268" spans="1:22" x14ac:dyDescent="0.25">
      <c r="A268" s="291"/>
      <c r="B268" s="291"/>
      <c r="C268" s="291"/>
      <c r="D268" s="291"/>
      <c r="E268" s="291"/>
      <c r="F268" s="291"/>
      <c r="H268" s="291"/>
      <c r="I268" s="291"/>
      <c r="J268" s="291"/>
      <c r="K268" s="291"/>
      <c r="L268" s="291"/>
      <c r="M268" s="291"/>
      <c r="N268" s="291"/>
      <c r="O268" s="291"/>
      <c r="P268" s="291"/>
      <c r="Q268" s="291"/>
      <c r="R268" s="291"/>
      <c r="S268" s="291"/>
      <c r="T268" s="291"/>
      <c r="U268" s="291"/>
      <c r="V268" s="291"/>
    </row>
    <row r="269" spans="1:22" x14ac:dyDescent="0.25">
      <c r="A269" s="291"/>
      <c r="B269" s="291"/>
      <c r="C269" s="291"/>
      <c r="D269" s="291"/>
      <c r="E269" s="291"/>
      <c r="F269" s="291"/>
      <c r="H269" s="291"/>
      <c r="I269" s="291"/>
      <c r="J269" s="291"/>
      <c r="K269" s="291"/>
      <c r="L269" s="291"/>
      <c r="M269" s="291"/>
      <c r="N269" s="291"/>
      <c r="O269" s="291"/>
      <c r="P269" s="291"/>
      <c r="Q269" s="291"/>
      <c r="R269" s="291"/>
      <c r="S269" s="291"/>
      <c r="T269" s="291"/>
      <c r="U269" s="291"/>
      <c r="V269" s="291"/>
    </row>
    <row r="270" spans="1:22" x14ac:dyDescent="0.25">
      <c r="A270" s="291"/>
      <c r="B270" s="291"/>
      <c r="C270" s="291"/>
      <c r="D270" s="291"/>
      <c r="E270" s="291"/>
      <c r="F270" s="291"/>
      <c r="H270" s="291"/>
      <c r="I270" s="291"/>
      <c r="J270" s="291"/>
      <c r="K270" s="291"/>
      <c r="L270" s="291"/>
      <c r="M270" s="291"/>
      <c r="N270" s="291"/>
      <c r="O270" s="291"/>
      <c r="P270" s="291"/>
      <c r="Q270" s="291"/>
      <c r="R270" s="291"/>
      <c r="S270" s="291"/>
      <c r="T270" s="291"/>
      <c r="U270" s="291"/>
      <c r="V270" s="291"/>
    </row>
    <row r="271" spans="1:22" x14ac:dyDescent="0.25">
      <c r="A271" s="291"/>
      <c r="B271" s="291"/>
      <c r="C271" s="291"/>
      <c r="D271" s="291"/>
      <c r="E271" s="291"/>
      <c r="F271" s="291"/>
      <c r="H271" s="291"/>
      <c r="I271" s="291"/>
      <c r="J271" s="291"/>
      <c r="K271" s="291"/>
      <c r="L271" s="291"/>
      <c r="M271" s="291"/>
      <c r="N271" s="291"/>
      <c r="O271" s="291"/>
      <c r="P271" s="291"/>
      <c r="Q271" s="291"/>
      <c r="R271" s="291"/>
      <c r="S271" s="291"/>
      <c r="T271" s="291"/>
      <c r="U271" s="291"/>
      <c r="V271" s="291"/>
    </row>
    <row r="272" spans="1:22" x14ac:dyDescent="0.25">
      <c r="A272" s="291"/>
      <c r="B272" s="291"/>
      <c r="C272" s="291"/>
      <c r="D272" s="291"/>
      <c r="E272" s="291"/>
      <c r="F272" s="291"/>
      <c r="H272" s="291"/>
      <c r="I272" s="291"/>
      <c r="J272" s="291"/>
      <c r="K272" s="291"/>
      <c r="L272" s="291"/>
      <c r="M272" s="291"/>
      <c r="N272" s="291"/>
      <c r="O272" s="291"/>
      <c r="P272" s="291"/>
      <c r="Q272" s="291"/>
      <c r="R272" s="291"/>
      <c r="S272" s="291"/>
      <c r="T272" s="291"/>
      <c r="U272" s="291"/>
      <c r="V272" s="291"/>
    </row>
    <row r="273" spans="1:22" x14ac:dyDescent="0.25">
      <c r="A273" s="291"/>
      <c r="B273" s="291"/>
      <c r="C273" s="291"/>
      <c r="D273" s="291"/>
      <c r="E273" s="291"/>
      <c r="F273" s="291"/>
      <c r="H273" s="291"/>
      <c r="I273" s="291"/>
      <c r="J273" s="291"/>
      <c r="K273" s="291"/>
      <c r="L273" s="291"/>
      <c r="M273" s="291"/>
      <c r="N273" s="291"/>
      <c r="O273" s="291"/>
      <c r="P273" s="291"/>
      <c r="Q273" s="291"/>
      <c r="R273" s="291"/>
      <c r="S273" s="291"/>
      <c r="T273" s="291"/>
      <c r="U273" s="291"/>
      <c r="V273" s="291"/>
    </row>
    <row r="274" spans="1:22" x14ac:dyDescent="0.25">
      <c r="A274" s="291"/>
      <c r="B274" s="291"/>
      <c r="C274" s="291"/>
      <c r="D274" s="291"/>
      <c r="E274" s="291"/>
      <c r="F274" s="291"/>
      <c r="H274" s="291"/>
      <c r="I274" s="291"/>
      <c r="J274" s="291"/>
      <c r="K274" s="291"/>
      <c r="L274" s="291"/>
      <c r="M274" s="291"/>
      <c r="N274" s="291"/>
      <c r="O274" s="291"/>
      <c r="P274" s="291"/>
      <c r="Q274" s="291"/>
      <c r="R274" s="291"/>
      <c r="S274" s="291"/>
      <c r="T274" s="291"/>
      <c r="U274" s="291"/>
      <c r="V274" s="291"/>
    </row>
    <row r="275" spans="1:22" x14ac:dyDescent="0.25">
      <c r="A275" s="291"/>
      <c r="B275" s="291"/>
      <c r="C275" s="291"/>
      <c r="D275" s="291"/>
      <c r="E275" s="291"/>
      <c r="F275" s="291"/>
      <c r="H275" s="291"/>
      <c r="I275" s="291"/>
      <c r="J275" s="291"/>
      <c r="K275" s="291"/>
      <c r="L275" s="291"/>
      <c r="M275" s="291"/>
      <c r="N275" s="291"/>
      <c r="O275" s="291"/>
      <c r="P275" s="291"/>
      <c r="Q275" s="291"/>
      <c r="R275" s="291"/>
      <c r="S275" s="291"/>
      <c r="T275" s="291"/>
      <c r="U275" s="291"/>
      <c r="V275" s="291"/>
    </row>
    <row r="276" spans="1:22" x14ac:dyDescent="0.25">
      <c r="A276" s="291"/>
      <c r="B276" s="291"/>
      <c r="C276" s="291"/>
      <c r="D276" s="291"/>
      <c r="E276" s="291"/>
      <c r="F276" s="291"/>
      <c r="H276" s="291"/>
      <c r="I276" s="291"/>
      <c r="J276" s="291"/>
      <c r="K276" s="291"/>
      <c r="L276" s="291"/>
      <c r="M276" s="291"/>
      <c r="N276" s="291"/>
      <c r="O276" s="291"/>
      <c r="P276" s="291"/>
      <c r="Q276" s="291"/>
      <c r="R276" s="291"/>
      <c r="S276" s="291"/>
      <c r="T276" s="291"/>
      <c r="U276" s="291"/>
      <c r="V276" s="291"/>
    </row>
    <row r="277" spans="1:22" x14ac:dyDescent="0.25">
      <c r="A277" s="291"/>
      <c r="B277" s="291"/>
      <c r="C277" s="291"/>
      <c r="D277" s="291"/>
      <c r="E277" s="291"/>
      <c r="F277" s="291"/>
      <c r="H277" s="291"/>
      <c r="I277" s="291"/>
      <c r="J277" s="291"/>
      <c r="K277" s="291"/>
      <c r="L277" s="291"/>
      <c r="M277" s="291"/>
      <c r="N277" s="291"/>
      <c r="O277" s="291"/>
      <c r="P277" s="291"/>
      <c r="Q277" s="291"/>
      <c r="R277" s="291"/>
      <c r="S277" s="291"/>
      <c r="T277" s="291"/>
      <c r="U277" s="291"/>
      <c r="V277" s="291"/>
    </row>
    <row r="278" spans="1:22" x14ac:dyDescent="0.25">
      <c r="A278" s="291"/>
      <c r="B278" s="291"/>
      <c r="C278" s="291"/>
      <c r="D278" s="291"/>
      <c r="E278" s="291"/>
      <c r="F278" s="291"/>
      <c r="H278" s="291"/>
      <c r="I278" s="291"/>
      <c r="J278" s="291"/>
      <c r="K278" s="291"/>
      <c r="L278" s="291"/>
      <c r="M278" s="291"/>
      <c r="N278" s="291"/>
      <c r="O278" s="291"/>
      <c r="P278" s="291"/>
      <c r="Q278" s="291"/>
      <c r="R278" s="291"/>
      <c r="S278" s="291"/>
      <c r="T278" s="291"/>
      <c r="U278" s="291"/>
      <c r="V278" s="291"/>
    </row>
    <row r="279" spans="1:22" x14ac:dyDescent="0.25">
      <c r="A279" s="291"/>
      <c r="B279" s="291"/>
      <c r="C279" s="291"/>
      <c r="D279" s="291"/>
      <c r="E279" s="291"/>
      <c r="F279" s="291"/>
      <c r="H279" s="291"/>
      <c r="I279" s="291"/>
      <c r="J279" s="291"/>
      <c r="K279" s="291"/>
      <c r="L279" s="291"/>
      <c r="M279" s="291"/>
      <c r="N279" s="291"/>
      <c r="O279" s="291"/>
      <c r="P279" s="291"/>
      <c r="Q279" s="291"/>
      <c r="R279" s="291"/>
      <c r="S279" s="291"/>
      <c r="T279" s="291"/>
      <c r="U279" s="291"/>
      <c r="V279" s="291"/>
    </row>
    <row r="280" spans="1:22" x14ac:dyDescent="0.25">
      <c r="A280" s="291"/>
      <c r="B280" s="291"/>
      <c r="C280" s="291"/>
      <c r="D280" s="291"/>
      <c r="E280" s="291"/>
      <c r="F280" s="291"/>
      <c r="H280" s="291"/>
      <c r="I280" s="291"/>
      <c r="J280" s="291"/>
      <c r="K280" s="291"/>
      <c r="L280" s="291"/>
      <c r="M280" s="291"/>
      <c r="N280" s="291"/>
      <c r="O280" s="291"/>
      <c r="P280" s="291"/>
      <c r="Q280" s="291"/>
      <c r="R280" s="291"/>
      <c r="S280" s="291"/>
      <c r="T280" s="291"/>
      <c r="U280" s="291"/>
      <c r="V280" s="291"/>
    </row>
    <row r="281" spans="1:22" x14ac:dyDescent="0.25">
      <c r="A281" s="291"/>
      <c r="B281" s="291"/>
      <c r="C281" s="291"/>
      <c r="D281" s="291"/>
      <c r="E281" s="291"/>
      <c r="F281" s="291"/>
      <c r="H281" s="291"/>
      <c r="I281" s="291"/>
      <c r="J281" s="291"/>
      <c r="K281" s="291"/>
      <c r="L281" s="291"/>
      <c r="M281" s="291"/>
      <c r="N281" s="291"/>
      <c r="O281" s="291"/>
      <c r="P281" s="291"/>
      <c r="Q281" s="291"/>
      <c r="R281" s="291"/>
      <c r="S281" s="291"/>
      <c r="T281" s="291"/>
      <c r="U281" s="291"/>
      <c r="V281" s="291"/>
    </row>
    <row r="282" spans="1:22" x14ac:dyDescent="0.25">
      <c r="A282" s="291"/>
      <c r="B282" s="291"/>
      <c r="C282" s="291"/>
      <c r="D282" s="291"/>
      <c r="E282" s="291"/>
      <c r="F282" s="291"/>
      <c r="H282" s="291"/>
      <c r="I282" s="291"/>
      <c r="J282" s="291"/>
      <c r="K282" s="291"/>
      <c r="L282" s="291"/>
      <c r="M282" s="291"/>
      <c r="N282" s="291"/>
      <c r="O282" s="291"/>
      <c r="P282" s="291"/>
      <c r="Q282" s="291"/>
      <c r="R282" s="291"/>
      <c r="S282" s="291"/>
      <c r="T282" s="291"/>
      <c r="U282" s="291"/>
      <c r="V282" s="291"/>
    </row>
    <row r="283" spans="1:22" x14ac:dyDescent="0.25">
      <c r="A283" s="291"/>
      <c r="B283" s="291"/>
      <c r="C283" s="291"/>
      <c r="D283" s="291"/>
      <c r="E283" s="291"/>
      <c r="F283" s="291"/>
      <c r="H283" s="291"/>
      <c r="I283" s="291"/>
      <c r="J283" s="291"/>
      <c r="K283" s="291"/>
      <c r="L283" s="291"/>
      <c r="M283" s="291"/>
      <c r="N283" s="291"/>
      <c r="O283" s="291"/>
      <c r="P283" s="291"/>
      <c r="Q283" s="291"/>
      <c r="R283" s="291"/>
      <c r="S283" s="291"/>
      <c r="T283" s="291"/>
      <c r="U283" s="291"/>
      <c r="V283" s="291"/>
    </row>
    <row r="284" spans="1:22" x14ac:dyDescent="0.25">
      <c r="A284" s="291"/>
      <c r="B284" s="291"/>
      <c r="C284" s="291"/>
      <c r="D284" s="291"/>
      <c r="E284" s="291"/>
      <c r="F284" s="291"/>
      <c r="H284" s="291"/>
      <c r="I284" s="291"/>
      <c r="J284" s="291"/>
      <c r="K284" s="291"/>
      <c r="L284" s="291"/>
      <c r="M284" s="291"/>
      <c r="N284" s="291"/>
      <c r="O284" s="291"/>
      <c r="P284" s="291"/>
      <c r="Q284" s="291"/>
      <c r="R284" s="291"/>
      <c r="S284" s="291"/>
      <c r="T284" s="291"/>
      <c r="U284" s="291"/>
      <c r="V284" s="291"/>
    </row>
    <row r="285" spans="1:22" x14ac:dyDescent="0.25">
      <c r="A285" s="291"/>
      <c r="B285" s="291"/>
      <c r="C285" s="291"/>
      <c r="D285" s="291"/>
      <c r="E285" s="291"/>
      <c r="F285" s="291"/>
      <c r="H285" s="291"/>
      <c r="I285" s="291"/>
      <c r="J285" s="291"/>
      <c r="K285" s="291"/>
      <c r="L285" s="291"/>
      <c r="M285" s="291"/>
      <c r="N285" s="291"/>
      <c r="O285" s="291"/>
      <c r="P285" s="291"/>
      <c r="Q285" s="291"/>
      <c r="R285" s="291"/>
      <c r="S285" s="291"/>
      <c r="T285" s="291"/>
      <c r="U285" s="291"/>
      <c r="V285" s="291"/>
    </row>
    <row r="286" spans="1:22" x14ac:dyDescent="0.25">
      <c r="A286" s="291"/>
      <c r="B286" s="291"/>
      <c r="C286" s="291"/>
      <c r="D286" s="291"/>
      <c r="E286" s="291"/>
      <c r="F286" s="291"/>
      <c r="H286" s="291"/>
      <c r="I286" s="291"/>
      <c r="J286" s="291"/>
      <c r="K286" s="291"/>
      <c r="L286" s="291"/>
      <c r="M286" s="291"/>
      <c r="N286" s="291"/>
      <c r="O286" s="291"/>
      <c r="P286" s="291"/>
      <c r="Q286" s="291"/>
      <c r="R286" s="291"/>
      <c r="S286" s="291"/>
      <c r="T286" s="291"/>
      <c r="U286" s="291"/>
      <c r="V286" s="291"/>
    </row>
    <row r="287" spans="1:22" x14ac:dyDescent="0.25">
      <c r="A287" s="291"/>
      <c r="B287" s="291"/>
      <c r="C287" s="291"/>
      <c r="D287" s="291"/>
      <c r="E287" s="291"/>
      <c r="F287" s="291"/>
      <c r="H287" s="291"/>
      <c r="I287" s="291"/>
      <c r="J287" s="291"/>
      <c r="K287" s="291"/>
      <c r="L287" s="291"/>
      <c r="M287" s="291"/>
      <c r="N287" s="291"/>
      <c r="O287" s="291"/>
      <c r="P287" s="291"/>
      <c r="Q287" s="291"/>
      <c r="R287" s="291"/>
      <c r="S287" s="291"/>
      <c r="T287" s="291"/>
      <c r="U287" s="291"/>
      <c r="V287" s="291"/>
    </row>
    <row r="288" spans="1:22" x14ac:dyDescent="0.25">
      <c r="A288" s="291"/>
      <c r="B288" s="291"/>
      <c r="C288" s="291"/>
      <c r="D288" s="291"/>
      <c r="E288" s="291"/>
      <c r="F288" s="291"/>
      <c r="H288" s="291"/>
      <c r="I288" s="291"/>
      <c r="J288" s="291"/>
      <c r="K288" s="291"/>
      <c r="L288" s="291"/>
      <c r="M288" s="291"/>
      <c r="N288" s="291"/>
      <c r="O288" s="291"/>
      <c r="P288" s="291"/>
      <c r="Q288" s="291"/>
      <c r="R288" s="291"/>
      <c r="S288" s="291"/>
      <c r="T288" s="291"/>
      <c r="U288" s="291"/>
      <c r="V288" s="291"/>
    </row>
    <row r="289" spans="1:22" x14ac:dyDescent="0.25">
      <c r="A289" s="291"/>
      <c r="B289" s="291"/>
      <c r="C289" s="291"/>
      <c r="D289" s="291"/>
      <c r="E289" s="291"/>
      <c r="F289" s="291"/>
      <c r="H289" s="291"/>
      <c r="I289" s="291"/>
      <c r="J289" s="291"/>
      <c r="K289" s="291"/>
      <c r="L289" s="291"/>
      <c r="M289" s="291"/>
      <c r="N289" s="291"/>
      <c r="O289" s="291"/>
      <c r="P289" s="291"/>
      <c r="Q289" s="291"/>
      <c r="R289" s="291"/>
      <c r="S289" s="291"/>
      <c r="T289" s="291"/>
      <c r="U289" s="291"/>
      <c r="V289" s="291"/>
    </row>
  </sheetData>
  <sheetProtection algorithmName="SHA-512" hashValue="OVylB9trutTz8F+HnsYv+dcNkhpO6qQGaYmDxdODrhkfSe/2byqA+CNTANMkH7Csc/5at98YH8j8ZQN5i8nztQ==" saltValue="zjDrejL7ei8mYvo+jEM74A==" spinCount="100000" sheet="1" objects="1" scenarios="1"/>
  <mergeCells count="1">
    <mergeCell ref="A104:A145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5" tint="0.39997558519241921"/>
  </sheetPr>
  <dimension ref="A1:U146"/>
  <sheetViews>
    <sheetView showGridLines="0" showRowColHeaders="0" showZero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91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8164062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1.4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7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79"/>
      <c r="H2" s="119"/>
      <c r="I2" s="119"/>
      <c r="J2" s="119"/>
      <c r="K2" s="119"/>
      <c r="L2" s="120" t="str">
        <f>"SPACE-TOWER, "&amp;List!$B$63&amp;" 5xC"</f>
        <v>SPACE-TOWER, sestava 5xC</v>
      </c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8" thickBot="1" x14ac:dyDescent="0.4">
      <c r="A3" s="119"/>
      <c r="B3" s="119"/>
      <c r="C3" s="119"/>
      <c r="D3" s="119"/>
      <c r="E3" s="119"/>
      <c r="F3" s="119"/>
      <c r="G3" s="179"/>
      <c r="H3" s="119"/>
      <c r="I3" s="121"/>
      <c r="J3" s="121"/>
      <c r="K3" s="121"/>
      <c r="L3" s="159" t="str">
        <f>List!$B$68&amp;" / "&amp;List!$B$69&amp;" "&amp;List!$B$66&amp;"** "</f>
        <v xml:space="preserve">vysoký / nízký přední zásuvný prvek** </v>
      </c>
      <c r="M3" s="119"/>
      <c r="N3" s="151" t="str">
        <f>" "&amp;List!$B$13</f>
        <v xml:space="preserve"> Úvod</v>
      </c>
      <c r="O3" s="119"/>
      <c r="P3" s="375"/>
      <c r="Q3" s="375"/>
      <c r="R3" s="375" t="str">
        <f>Cen!C75</f>
        <v>OG-M</v>
      </c>
      <c r="S3" s="376"/>
      <c r="T3" s="377"/>
      <c r="U3" s="378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79"/>
      <c r="H4" s="119"/>
      <c r="I4" s="122" t="str">
        <f>List!$B$79&amp;":"</f>
        <v>bočnice:</v>
      </c>
      <c r="J4" s="122"/>
      <c r="K4" s="122" t="s">
        <v>473</v>
      </c>
      <c r="L4" s="122"/>
      <c r="M4" s="119"/>
      <c r="N4" s="152" t="str">
        <f>" "&amp;List!$B$4</f>
        <v xml:space="preserve"> Výběr zásuvek a výsuvů</v>
      </c>
      <c r="O4" s="119"/>
      <c r="P4" s="375"/>
      <c r="Q4" s="375"/>
      <c r="R4" s="375" t="str">
        <f>Cen!C79</f>
        <v>OG-M</v>
      </c>
      <c r="S4" s="376"/>
      <c r="T4" s="377"/>
      <c r="U4" s="37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79"/>
      <c r="H5" s="119"/>
      <c r="I5" s="121" t="str">
        <f>List!$B$27&amp;":"</f>
        <v>barva:</v>
      </c>
      <c r="J5" s="121"/>
      <c r="K5" s="121" t="str">
        <f>Form!$O$2</f>
        <v>Orion šedá (OG-M)</v>
      </c>
      <c r="L5" s="121"/>
      <c r="M5" s="119"/>
      <c r="O5" s="119"/>
      <c r="P5" s="375" t="str">
        <f>Cen!A119</f>
        <v>Bočnice C free, 350mm, Orion šedé</v>
      </c>
      <c r="Q5" s="375" t="str">
        <f>Cen!B119</f>
        <v>780C3502S</v>
      </c>
      <c r="R5" s="375" t="str">
        <f>Cen!C83</f>
        <v>OG-M</v>
      </c>
      <c r="S5" s="376"/>
      <c r="T5" s="377">
        <f>Cen!F119</f>
        <v>30.157519999999998</v>
      </c>
      <c r="U5" s="37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79"/>
      <c r="H6" s="119"/>
      <c r="I6" s="620" t="str">
        <f>List!$B$80&amp;":"</f>
        <v>provedení:</v>
      </c>
      <c r="J6" s="122"/>
      <c r="K6" s="121" t="s">
        <v>952</v>
      </c>
      <c r="L6" s="122"/>
      <c r="M6" s="119"/>
      <c r="N6" s="2" t="str">
        <f>List!$B$12&amp;":"</f>
        <v>Pokračovat na:</v>
      </c>
      <c r="O6" s="119"/>
      <c r="P6" s="375" t="str">
        <f>Cen!A123</f>
        <v>Bočnice C free, 400mm, Orion šedé</v>
      </c>
      <c r="Q6" s="375" t="str">
        <f>Cen!B123</f>
        <v>780C4002S</v>
      </c>
      <c r="R6" s="375" t="str">
        <f>Cen!C87</f>
        <v>OG-M</v>
      </c>
      <c r="S6" s="376"/>
      <c r="T6" s="377">
        <f>Cen!F123</f>
        <v>30.37988</v>
      </c>
      <c r="U6" s="378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79"/>
      <c r="H7" s="119"/>
      <c r="I7" s="121" t="str">
        <f>List!$B$35&amp;":"</f>
        <v>sklo:</v>
      </c>
      <c r="J7" s="122"/>
      <c r="K7" s="121" t="str">
        <f>Form!$O$8</f>
        <v>čiré</v>
      </c>
      <c r="L7" s="122"/>
      <c r="M7" s="119"/>
      <c r="N7" s="151" t="str">
        <f>" "&amp;List!$B$5</f>
        <v xml:space="preserve"> Výběr doplňků</v>
      </c>
      <c r="O7" s="119"/>
      <c r="P7" s="397" t="str">
        <f>Cen!A127</f>
        <v>Bočnice C free, 450mm, Orion šedé</v>
      </c>
      <c r="Q7" s="397" t="str">
        <f>Cen!B127</f>
        <v>780C4502S</v>
      </c>
      <c r="R7" s="397" t="str">
        <f>Cen!C91</f>
        <v>OG-M</v>
      </c>
      <c r="S7" s="424">
        <f>SUM(D26, J26, D34, J34)*5</f>
        <v>0</v>
      </c>
      <c r="T7" s="425">
        <f>Cen!F127</f>
        <v>30.602429999999998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79"/>
      <c r="H8" s="119"/>
      <c r="I8" s="122" t="str">
        <f>List!$B$94&amp;":"</f>
        <v>cena kování:</v>
      </c>
      <c r="J8" s="122"/>
      <c r="K8" s="122"/>
      <c r="L8" s="118">
        <f>$U$93</f>
        <v>0</v>
      </c>
      <c r="M8" s="119"/>
      <c r="N8" s="151" t="str">
        <f>" "&amp;List!$B$6</f>
        <v xml:space="preserve"> Výběr SERVO-DRIVE</v>
      </c>
      <c r="O8" s="119"/>
      <c r="P8" s="127" t="str">
        <f>Cen!A131</f>
        <v>Bočnice C free, 500mm, Orion šedé</v>
      </c>
      <c r="Q8" s="127" t="str">
        <f>Cen!B131</f>
        <v>780C5002S</v>
      </c>
      <c r="R8" s="127" t="str">
        <f>Cen!C95</f>
        <v>OG-M</v>
      </c>
      <c r="S8" s="424">
        <f>SUM(E26, K26, E34, K34)*5</f>
        <v>0</v>
      </c>
      <c r="T8" s="266">
        <f>Cen!F131</f>
        <v>30.824969999999997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7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Cen!A135</f>
        <v>Bočnice C free, 550mm, Orion šedé</v>
      </c>
      <c r="Q9" s="127" t="str">
        <f>Cen!B135</f>
        <v>780C5502S</v>
      </c>
      <c r="R9" s="127" t="str">
        <f>Cen!C99</f>
        <v>OG-M</v>
      </c>
      <c r="S9" s="424">
        <f>SUM(F26, L26, F34, L34)*5</f>
        <v>0</v>
      </c>
      <c r="T9" s="266">
        <f>Cen!F135</f>
        <v>32.604779999999998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79"/>
      <c r="H10" s="119"/>
      <c r="I10" s="259"/>
      <c r="J10" s="259"/>
      <c r="K10" s="292"/>
      <c r="L10" s="292"/>
      <c r="M10" s="119"/>
      <c r="N10" s="152" t="str">
        <f>" "&amp;List!$B$18</f>
        <v xml:space="preserve"> Souhrn</v>
      </c>
      <c r="O10" s="119"/>
      <c r="P10" s="375" t="str">
        <f>Cen!A139</f>
        <v>Bočnice C free, 600mm, Orion šedé</v>
      </c>
      <c r="Q10" s="375" t="str">
        <f>Cen!B139</f>
        <v>780C6002S</v>
      </c>
      <c r="R10" s="360" t="str">
        <f>Cen!C103</f>
        <v>OG-M</v>
      </c>
      <c r="S10" s="361"/>
      <c r="T10" s="377">
        <f>Cen!F139</f>
        <v>35.385860000000001</v>
      </c>
      <c r="U10" s="378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79"/>
      <c r="H11" s="119"/>
      <c r="I11" s="119" t="str">
        <f>"  "&amp;List!$B$146&amp;":"</f>
        <v xml:space="preserve">  Přířezy prvků:</v>
      </c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375" t="str">
        <f>Cen!A143</f>
        <v>Bočnice C free, 650mm, Orion šedé</v>
      </c>
      <c r="Q11" s="375" t="str">
        <f>Cen!B143</f>
        <v>780C6502S</v>
      </c>
      <c r="R11" s="122"/>
      <c r="S11" s="123"/>
      <c r="T11" s="377">
        <f>Cen!F143</f>
        <v>36.432029999999997</v>
      </c>
      <c r="U11" s="378"/>
    </row>
    <row r="12" spans="1:21" x14ac:dyDescent="0.25">
      <c r="A12" s="119"/>
      <c r="B12" s="119"/>
      <c r="C12" s="119"/>
      <c r="D12" s="119"/>
      <c r="E12" s="119"/>
      <c r="F12" s="119"/>
      <c r="G12" s="179"/>
      <c r="H12" s="119"/>
      <c r="I12" s="119" t="str">
        <f>List!$C$150&amp;":   LW - 126"</f>
        <v>Přední díl:   LW - 126</v>
      </c>
      <c r="J12" s="291"/>
      <c r="K12" s="291"/>
      <c r="L12" s="291"/>
      <c r="M12" s="119"/>
      <c r="N12" s="119"/>
      <c r="O12" s="119"/>
      <c r="P12" s="379" t="str">
        <f>Cen!A177</f>
        <v>Korpusové lišty BLUMOTION, 270mm, 40kg</v>
      </c>
      <c r="Q12" s="379" t="str">
        <f>Cen!B177</f>
        <v>750.2701B</v>
      </c>
      <c r="R12" s="379" t="str">
        <f>Cen!C177</f>
        <v>ZN</v>
      </c>
      <c r="S12" s="380"/>
      <c r="T12" s="381">
        <f>Cen!F177</f>
        <v>21.845690000000001</v>
      </c>
      <c r="U12" s="381">
        <f t="shared" ref="U12:U23" si="1">S12*T12</f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79"/>
      <c r="H13" s="119"/>
      <c r="I13" s="119" t="str">
        <f>List!$C$65&amp;":   LW - 80"</f>
        <v>Přední zásuvné prvky:   LW - 80</v>
      </c>
      <c r="J13" s="293"/>
      <c r="K13" s="293"/>
      <c r="L13" s="293"/>
      <c r="M13" s="119"/>
      <c r="N13" s="119"/>
      <c r="O13" s="119"/>
      <c r="P13" s="379" t="str">
        <f>Cen!A178</f>
        <v>Korpusové lišty BLUMOTION, 300mm, 40kg</v>
      </c>
      <c r="Q13" s="379" t="str">
        <f>Cen!B178</f>
        <v>750.3001B</v>
      </c>
      <c r="R13" s="379" t="str">
        <f>Cen!C178</f>
        <v>ZN</v>
      </c>
      <c r="S13" s="380"/>
      <c r="T13" s="381">
        <f>Cen!F178</f>
        <v>21.925909999999998</v>
      </c>
      <c r="U13" s="381">
        <f t="shared" si="1"/>
        <v>0</v>
      </c>
    </row>
    <row r="14" spans="1:21" x14ac:dyDescent="0.25">
      <c r="A14" s="119"/>
      <c r="B14" s="119"/>
      <c r="C14" s="119"/>
      <c r="D14" s="119"/>
      <c r="E14" s="119"/>
      <c r="F14" s="119"/>
      <c r="G14" s="179"/>
      <c r="H14" s="119"/>
      <c r="I14" s="119"/>
      <c r="J14" s="290"/>
      <c r="K14" s="290"/>
      <c r="L14" s="290"/>
      <c r="M14" s="119"/>
      <c r="N14" s="119"/>
      <c r="O14" s="119"/>
      <c r="P14" s="379" t="str">
        <f>Cen!A179</f>
        <v>Korpusové lišty BLUMOTION, 350mm, 40kg</v>
      </c>
      <c r="Q14" s="379" t="str">
        <f>Cen!B179</f>
        <v>750.3501B</v>
      </c>
      <c r="R14" s="379" t="str">
        <f>Cen!C179</f>
        <v>ZN</v>
      </c>
      <c r="S14" s="380"/>
      <c r="T14" s="381">
        <f>Cen!F179</f>
        <v>21.845690000000001</v>
      </c>
      <c r="U14" s="38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79"/>
      <c r="H15" s="119"/>
      <c r="I15" s="119"/>
      <c r="J15" s="288"/>
      <c r="K15" s="288"/>
      <c r="L15" s="288"/>
      <c r="M15" s="119"/>
      <c r="N15" s="119"/>
      <c r="O15" s="119"/>
      <c r="P15" s="379" t="str">
        <f>Cen!A180</f>
        <v>Korpusové lišty BLUMOTION, 400mm, 40kg</v>
      </c>
      <c r="Q15" s="379" t="str">
        <f>Cen!B180</f>
        <v>750.4001B</v>
      </c>
      <c r="R15" s="379" t="str">
        <f>Cen!C180</f>
        <v>ZN</v>
      </c>
      <c r="S15" s="380"/>
      <c r="T15" s="381">
        <f>Cen!F180</f>
        <v>22.204979999999999</v>
      </c>
      <c r="U15" s="38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79"/>
      <c r="H16" s="119"/>
      <c r="I16" s="179"/>
      <c r="J16" s="179"/>
      <c r="K16" s="179"/>
      <c r="L16" s="179"/>
      <c r="M16" s="119"/>
      <c r="N16" s="119"/>
      <c r="O16" s="119"/>
      <c r="P16" s="426" t="str">
        <f>Cen!A181</f>
        <v>Korpusové lišty BLUMOTION, 450mm, 40kg</v>
      </c>
      <c r="Q16" s="426" t="str">
        <f>Cen!B181</f>
        <v>750.4501B</v>
      </c>
      <c r="R16" s="426" t="str">
        <f>Cen!C181</f>
        <v>ZN</v>
      </c>
      <c r="S16" s="385">
        <f>IF($D$28&gt;0, $D$28*$D$26, 4*$D$26)+IF($J$28&gt;0, $J$28*$J$26, 2*$J$26)</f>
        <v>0</v>
      </c>
      <c r="T16" s="427">
        <f>Cen!F181</f>
        <v>23.667639999999995</v>
      </c>
      <c r="U16" s="427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79"/>
      <c r="H17" s="119"/>
      <c r="I17" s="294"/>
      <c r="J17" s="294"/>
      <c r="K17" s="294"/>
      <c r="L17" s="294"/>
      <c r="M17" s="119"/>
      <c r="N17" s="119"/>
      <c r="O17" s="119"/>
      <c r="P17" s="426" t="str">
        <f>Cen!A182</f>
        <v>Korpusové lišty BLUMOTION, 450mm, 70kg</v>
      </c>
      <c r="Q17" s="426" t="str">
        <f>Cen!B182</f>
        <v>753.4501B</v>
      </c>
      <c r="R17" s="426" t="str">
        <f>Cen!C182</f>
        <v>ZN</v>
      </c>
      <c r="S17" s="385">
        <f>IF($D$28&gt;0, $D$29*$D$26, 1*$D$26)+IF($J$28&gt;0, $J$29*$J$26, 3*$J$26)</f>
        <v>0</v>
      </c>
      <c r="T17" s="427">
        <f>Cen!F182</f>
        <v>27.780560000000001</v>
      </c>
      <c r="U17" s="427">
        <f t="shared" si="1"/>
        <v>0</v>
      </c>
    </row>
    <row r="18" spans="1:21" ht="12" customHeight="1" x14ac:dyDescent="0.25">
      <c r="A18" s="119"/>
      <c r="C18" s="119"/>
      <c r="D18" s="119"/>
      <c r="E18" s="119"/>
      <c r="F18" s="119"/>
      <c r="G18" s="478"/>
      <c r="H18" s="119"/>
      <c r="I18" s="290"/>
      <c r="J18" s="290"/>
      <c r="K18" s="290"/>
      <c r="L18" s="290"/>
      <c r="M18" s="119"/>
      <c r="N18" s="119"/>
      <c r="O18" s="119"/>
      <c r="P18" s="209" t="str">
        <f>Cen!A183</f>
        <v>Korpusové lišty BLUMOTION, 500mm, 40kg</v>
      </c>
      <c r="Q18" s="209" t="str">
        <f>Cen!B183</f>
        <v>750.5001B</v>
      </c>
      <c r="R18" s="209" t="str">
        <f>Cen!C183</f>
        <v>ZN</v>
      </c>
      <c r="S18" s="385">
        <f>IF($E$28&gt;0, $E$28*$E$26, 4*$E$26)+IF($K$28&gt;0, $K$28*$K$26, 2*$K$26)</f>
        <v>0</v>
      </c>
      <c r="T18" s="261">
        <f>Cen!F183</f>
        <v>22.680199999999999</v>
      </c>
      <c r="U18" s="261">
        <f t="shared" si="1"/>
        <v>0</v>
      </c>
    </row>
    <row r="19" spans="1:21" ht="14.5" x14ac:dyDescent="0.35">
      <c r="A19" s="119"/>
      <c r="B19" s="701" t="str">
        <f>"   "&amp;List!B295</f>
        <v xml:space="preserve">   Zadejte počty skříní podle šířky korpusu a délky výsuvů</v>
      </c>
      <c r="C19" s="714"/>
      <c r="D19" s="715"/>
      <c r="E19" s="715"/>
      <c r="F19" s="715"/>
      <c r="G19" s="714"/>
      <c r="H19" s="714"/>
      <c r="I19" s="714"/>
      <c r="J19" s="715"/>
      <c r="K19" s="715"/>
      <c r="L19" s="715"/>
      <c r="M19" s="119"/>
      <c r="N19" s="119"/>
      <c r="O19" s="119"/>
      <c r="P19" s="209" t="str">
        <f>Cen!A184</f>
        <v>Korpusové lišty BLUMOTION, 500mm, 70kg</v>
      </c>
      <c r="Q19" s="209" t="str">
        <f>Cen!B184</f>
        <v>753.5001B</v>
      </c>
      <c r="R19" s="209" t="str">
        <f>Cen!C184</f>
        <v>ZN</v>
      </c>
      <c r="S19" s="385">
        <f>IF($E$28&gt;0, $E$29*$E$26, 1*$E$26)+IF($K$28&gt;0, $K$29*$K$26, 3*$K$26)</f>
        <v>0</v>
      </c>
      <c r="T19" s="261">
        <f>Cen!F184</f>
        <v>28.059809999999999</v>
      </c>
      <c r="U19" s="261">
        <f t="shared" si="1"/>
        <v>0</v>
      </c>
    </row>
    <row r="20" spans="1:21" ht="14.5" x14ac:dyDescent="0.35">
      <c r="A20" s="119"/>
      <c r="B20" s="701" t="str">
        <f>"   "&amp;List!B299</f>
        <v xml:space="preserve">   Zadejte počet korpusových lišt, pokud chcete jiné, než přednastavené složení</v>
      </c>
      <c r="C20" s="714"/>
      <c r="D20" s="715"/>
      <c r="E20" s="715"/>
      <c r="F20" s="715"/>
      <c r="G20" s="714"/>
      <c r="H20" s="714"/>
      <c r="I20" s="714"/>
      <c r="J20" s="715"/>
      <c r="K20" s="715"/>
      <c r="L20" s="715"/>
      <c r="M20" s="119"/>
      <c r="N20" s="119"/>
      <c r="O20" s="119"/>
      <c r="P20" s="209" t="str">
        <f>Cen!A185</f>
        <v>Korpusové lišty BLUMOTION, 550mm, 40kg</v>
      </c>
      <c r="Q20" s="209" t="str">
        <f>Cen!B185</f>
        <v>750.5501B</v>
      </c>
      <c r="R20" s="209" t="str">
        <f>Cen!C185</f>
        <v>ZN</v>
      </c>
      <c r="S20" s="385">
        <f>IF($F$28&gt;0, $F$28*$F$26, 4*$F$26)+IF($L$28&gt;0, $L$28*$L$26, 2*$L$26)</f>
        <v>0</v>
      </c>
      <c r="T20" s="261">
        <f>Cen!F185</f>
        <v>24.254210000000004</v>
      </c>
      <c r="U20" s="261">
        <f t="shared" si="1"/>
        <v>0</v>
      </c>
    </row>
    <row r="21" spans="1:21" ht="14.5" x14ac:dyDescent="0.35">
      <c r="A21" s="119"/>
      <c r="B21" s="701" t="str">
        <f>"         "&amp;List!B297</f>
        <v xml:space="preserve">         Zadejte počty 40kg korpusových lišt, 70kg lišty se dopočítají</v>
      </c>
      <c r="C21" s="714"/>
      <c r="D21" s="715"/>
      <c r="E21" s="715"/>
      <c r="F21" s="715"/>
      <c r="G21" s="714"/>
      <c r="H21" s="714"/>
      <c r="I21" s="714"/>
      <c r="J21" s="715"/>
      <c r="K21" s="715"/>
      <c r="L21" s="715"/>
      <c r="M21" s="119"/>
      <c r="N21" s="119"/>
      <c r="O21" s="119"/>
      <c r="P21" s="209" t="str">
        <f>Cen!A186</f>
        <v>Korpusové lišty BLUMOTION, 550mm, 70kg</v>
      </c>
      <c r="Q21" s="209" t="str">
        <f>Cen!B186</f>
        <v>753.5501B</v>
      </c>
      <c r="R21" s="209" t="str">
        <f>Cen!C186</f>
        <v>ZN</v>
      </c>
      <c r="S21" s="385">
        <f>IF($F$28&gt;0, $F$29*$F$26, 1*$F$26)+IF($L$28&gt;0, $L$29*$L$26, 3*$L$26)</f>
        <v>0</v>
      </c>
      <c r="T21" s="261">
        <f>Cen!F186</f>
        <v>29.550529999999998</v>
      </c>
      <c r="U21" s="261">
        <f t="shared" si="1"/>
        <v>0</v>
      </c>
    </row>
    <row r="22" spans="1:21" ht="9" customHeight="1" x14ac:dyDescent="0.35">
      <c r="A22" s="119"/>
      <c r="B22" s="24"/>
      <c r="C22" s="24"/>
      <c r="D22"/>
      <c r="E22"/>
      <c r="F22"/>
      <c r="G22" s="27"/>
      <c r="H22" s="24"/>
      <c r="I22" s="24"/>
      <c r="J22"/>
      <c r="K22"/>
      <c r="L22"/>
      <c r="M22" s="119"/>
      <c r="N22" s="119"/>
      <c r="O22" s="119"/>
      <c r="P22" s="364" t="str">
        <f>Cen!A187</f>
        <v>Korpusové lišty BLUMOTION, 600mm, 40kg</v>
      </c>
      <c r="Q22" s="364" t="str">
        <f>Cen!B187</f>
        <v>750.6001B</v>
      </c>
      <c r="R22" s="364" t="str">
        <f>Cen!C187</f>
        <v>ZN</v>
      </c>
      <c r="S22" s="428"/>
      <c r="T22" s="366">
        <f>Cen!F187</f>
        <v>27.259979999999999</v>
      </c>
      <c r="U22" s="366">
        <f t="shared" si="1"/>
        <v>0</v>
      </c>
    </row>
    <row r="23" spans="1:21" ht="19.5" customHeight="1" x14ac:dyDescent="0.35">
      <c r="A23"/>
      <c r="B23" s="346" t="str">
        <f>"▼   "&amp;List!$B$112&amp;" KB 450 mm"</f>
        <v>▼   Šířka korpusu KB 450 mm</v>
      </c>
      <c r="C23" s="51"/>
      <c r="H23" s="346" t="str">
        <f>"▼   "&amp;List!$B$112&amp;" KB 600 mm"</f>
        <v>▼   Šířka korpusu KB 600 mm</v>
      </c>
      <c r="I23" s="290"/>
      <c r="J23" s="290"/>
      <c r="K23" s="290"/>
      <c r="L23" s="290"/>
      <c r="M23"/>
      <c r="N23"/>
      <c r="O23" s="119"/>
      <c r="P23" s="364" t="str">
        <f>Cen!A188</f>
        <v>Korpusové lišty BLUMOTION, 600mm, 70kg</v>
      </c>
      <c r="Q23" s="364" t="str">
        <f>Cen!B188</f>
        <v>753.6001B</v>
      </c>
      <c r="R23" s="364" t="str">
        <f>Cen!C188</f>
        <v>ZN</v>
      </c>
      <c r="S23" s="428"/>
      <c r="T23" s="366">
        <f>Cen!F188</f>
        <v>32.5563</v>
      </c>
      <c r="U23" s="366">
        <f t="shared" si="1"/>
        <v>0</v>
      </c>
    </row>
    <row r="24" spans="1:21" ht="22.5" customHeight="1" x14ac:dyDescent="0.35">
      <c r="A24"/>
      <c r="B24" s="717" t="s">
        <v>1253</v>
      </c>
      <c r="C24" s="7"/>
      <c r="H24" s="717" t="s">
        <v>1253</v>
      </c>
      <c r="I24" s="290"/>
      <c r="J24" s="290"/>
      <c r="K24" s="290"/>
      <c r="L24" s="290"/>
      <c r="M24"/>
      <c r="N24"/>
      <c r="O24" s="119"/>
      <c r="P24" s="209"/>
      <c r="Q24" s="209"/>
      <c r="R24" s="209"/>
      <c r="S24" s="260"/>
      <c r="T24" s="261"/>
      <c r="U24" s="261"/>
    </row>
    <row r="25" spans="1:21" ht="14" x14ac:dyDescent="0.3">
      <c r="A25" s="119"/>
      <c r="B25" s="6"/>
      <c r="C25" s="320" t="str">
        <f>List!$B$115&amp;":"</f>
        <v>Jmenovitá délka:</v>
      </c>
      <c r="D25" s="308">
        <v>450</v>
      </c>
      <c r="E25" s="429">
        <v>500</v>
      </c>
      <c r="F25" s="307">
        <v>550</v>
      </c>
      <c r="G25" s="348"/>
      <c r="H25" s="6"/>
      <c r="I25" s="373" t="str">
        <f>List!$B$115&amp;":"</f>
        <v>Jmenovitá délka:</v>
      </c>
      <c r="J25" s="314">
        <v>450</v>
      </c>
      <c r="K25" s="429">
        <v>500</v>
      </c>
      <c r="L25" s="307">
        <v>550</v>
      </c>
      <c r="M25" s="119"/>
      <c r="N25" s="119"/>
      <c r="O25" s="119"/>
      <c r="P25" s="209"/>
      <c r="Q25" s="209"/>
      <c r="R25" s="209"/>
      <c r="S25" s="260"/>
      <c r="T25" s="261"/>
      <c r="U25" s="261"/>
    </row>
    <row r="26" spans="1:21" ht="14" x14ac:dyDescent="0.3">
      <c r="A26" s="119"/>
      <c r="B26" s="374"/>
      <c r="C26" s="320" t="str">
        <f>List!$B$99&amp;":"</f>
        <v>Počet skříní:</v>
      </c>
      <c r="D26" s="317"/>
      <c r="E26" s="317"/>
      <c r="F26" s="371"/>
      <c r="G26" s="295"/>
      <c r="H26" s="374"/>
      <c r="I26" s="320" t="str">
        <f>List!$B$99&amp;":"</f>
        <v>Počet skříní:</v>
      </c>
      <c r="J26" s="317"/>
      <c r="K26" s="317"/>
      <c r="L26" s="318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9.5" customHeight="1" x14ac:dyDescent="0.35">
      <c r="A27" s="119"/>
      <c r="B27" s="372" t="str">
        <f>List!$B$126</f>
        <v>Korpusové lišty</v>
      </c>
      <c r="C27" s="320"/>
      <c r="D27" s="24"/>
      <c r="E27" s="24"/>
      <c r="F27" s="24"/>
      <c r="G27" s="27"/>
      <c r="H27" s="372" t="str">
        <f>List!$B$126</f>
        <v>Korpusové lišty</v>
      </c>
      <c r="I27" s="320"/>
      <c r="J27"/>
      <c r="K27"/>
      <c r="L27"/>
      <c r="M27" s="119"/>
      <c r="N27" s="119"/>
      <c r="O27" s="119"/>
      <c r="P27" s="209"/>
      <c r="Q27" s="209"/>
      <c r="R27" s="209"/>
      <c r="S27" s="260"/>
      <c r="T27" s="261"/>
      <c r="U27" s="261"/>
    </row>
    <row r="28" spans="1:21" ht="15" customHeight="1" thickBot="1" x14ac:dyDescent="0.4">
      <c r="A28" s="119"/>
      <c r="B28" s="297" t="s">
        <v>505</v>
      </c>
      <c r="C28" s="384" t="s">
        <v>887</v>
      </c>
      <c r="D28" s="387"/>
      <c r="E28" s="387"/>
      <c r="F28" s="388"/>
      <c r="G28" s="295"/>
      <c r="H28" s="297" t="s">
        <v>505</v>
      </c>
      <c r="I28" s="298" t="str">
        <f>"2 ks*"</f>
        <v>2 ks*</v>
      </c>
      <c r="J28" s="389"/>
      <c r="K28" s="389"/>
      <c r="L28" s="390"/>
      <c r="M28"/>
      <c r="N28" s="119"/>
      <c r="O28" s="119"/>
      <c r="P28" s="209"/>
      <c r="Q28" s="209"/>
      <c r="R28" s="209"/>
      <c r="S28" s="260"/>
      <c r="T28" s="261"/>
      <c r="U28" s="261"/>
    </row>
    <row r="29" spans="1:21" ht="15" customHeight="1" x14ac:dyDescent="0.35">
      <c r="A29" s="119"/>
      <c r="B29" s="301" t="s">
        <v>506</v>
      </c>
      <c r="C29" s="382" t="s">
        <v>888</v>
      </c>
      <c r="D29" s="386">
        <f>IF(D28&gt;0, IF(D28&gt;5,0, 5-D28),0)</f>
        <v>0</v>
      </c>
      <c r="E29" s="386">
        <f t="shared" ref="E29:F29" si="2">IF(E28&gt;0, IF(E28&gt;5,0, 5-E28),0)</f>
        <v>0</v>
      </c>
      <c r="F29" s="712">
        <f t="shared" si="2"/>
        <v>0</v>
      </c>
      <c r="G29" s="295"/>
      <c r="H29" s="301" t="s">
        <v>506</v>
      </c>
      <c r="I29" s="382" t="str">
        <f>"3 ks*"</f>
        <v>3 ks*</v>
      </c>
      <c r="J29" s="386">
        <f>IF(J28&gt;0, IF(J28&gt;5,0, 5-J28),0)</f>
        <v>0</v>
      </c>
      <c r="K29" s="386">
        <f t="shared" ref="K29:L29" si="3">IF(K28&gt;0, IF(K28&gt;5,0, 5-K28),0)</f>
        <v>0</v>
      </c>
      <c r="L29" s="712">
        <f t="shared" si="3"/>
        <v>0</v>
      </c>
      <c r="M29"/>
      <c r="N29" s="119"/>
      <c r="O29" s="119"/>
      <c r="P29" s="209"/>
      <c r="Q29" s="209"/>
      <c r="R29" s="209"/>
      <c r="S29" s="260"/>
      <c r="T29" s="261"/>
      <c r="U29" s="261"/>
    </row>
    <row r="30" spans="1:21" ht="13.5" customHeight="1" x14ac:dyDescent="0.35">
      <c r="A30" s="119"/>
      <c r="C30"/>
      <c r="D30" s="711" t="str">
        <f>IF(D28&gt;5,"Max. 5!"," ")</f>
        <v xml:space="preserve"> </v>
      </c>
      <c r="E30" s="711" t="str">
        <f t="shared" ref="E30:F30" si="4">IF(E28&gt;5,"Max. 5!"," ")</f>
        <v xml:space="preserve"> </v>
      </c>
      <c r="F30" s="711" t="str">
        <f t="shared" si="4"/>
        <v xml:space="preserve"> </v>
      </c>
      <c r="G30" s="27"/>
      <c r="H30"/>
      <c r="I30"/>
      <c r="J30" s="711" t="str">
        <f>IF(J28&gt;5,"Max. 5!"," ")</f>
        <v xml:space="preserve"> </v>
      </c>
      <c r="K30" s="711" t="str">
        <f t="shared" ref="K30:L30" si="5">IF(K28&gt;5,"Max. 5!"," ")</f>
        <v xml:space="preserve"> </v>
      </c>
      <c r="L30" s="711" t="str">
        <f t="shared" si="5"/>
        <v xml:space="preserve"> </v>
      </c>
      <c r="M30"/>
      <c r="N30" s="119"/>
      <c r="O30" s="119"/>
      <c r="P30" s="209"/>
      <c r="Q30" s="209"/>
      <c r="R30" s="209"/>
      <c r="S30" s="260"/>
      <c r="T30" s="261"/>
      <c r="U30" s="261"/>
    </row>
    <row r="31" spans="1:21" ht="9" customHeight="1" x14ac:dyDescent="0.35">
      <c r="A31" s="179"/>
      <c r="G31" s="27"/>
      <c r="H31" s="716"/>
      <c r="I31" s="716"/>
      <c r="J31" s="716"/>
      <c r="K31" s="716"/>
      <c r="L31" s="716"/>
      <c r="M31" s="119"/>
      <c r="N31" s="119"/>
      <c r="O31" s="119"/>
      <c r="P31" s="209"/>
      <c r="Q31" s="209"/>
      <c r="R31" s="209"/>
      <c r="S31" s="260"/>
      <c r="T31" s="261"/>
      <c r="U31" s="261"/>
    </row>
    <row r="32" spans="1:21" ht="15.75" customHeight="1" x14ac:dyDescent="0.25">
      <c r="A32" s="179"/>
      <c r="B32" s="312" t="s">
        <v>1254</v>
      </c>
      <c r="C32" s="7"/>
      <c r="H32" s="312" t="s">
        <v>1254</v>
      </c>
      <c r="I32" s="290"/>
      <c r="J32" s="290"/>
      <c r="K32" s="290"/>
      <c r="L32" s="290"/>
      <c r="M32" s="119"/>
      <c r="N32" s="119"/>
      <c r="O32" s="119"/>
      <c r="P32" s="209"/>
      <c r="Q32" s="209"/>
      <c r="R32" s="209"/>
      <c r="S32" s="260"/>
      <c r="T32" s="261"/>
      <c r="U32" s="261"/>
    </row>
    <row r="33" spans="1:21" ht="15" customHeight="1" x14ac:dyDescent="0.3">
      <c r="A33" s="179"/>
      <c r="B33" s="6"/>
      <c r="C33" s="320" t="str">
        <f>List!$B$115&amp;":"</f>
        <v>Jmenovitá délka:</v>
      </c>
      <c r="D33" s="308">
        <v>450</v>
      </c>
      <c r="E33" s="429">
        <v>500</v>
      </c>
      <c r="F33" s="307">
        <v>550</v>
      </c>
      <c r="G33" s="348"/>
      <c r="H33" s="6"/>
      <c r="I33" s="373" t="str">
        <f>List!$B$115&amp;":"</f>
        <v>Jmenovitá délka:</v>
      </c>
      <c r="J33" s="314">
        <v>450</v>
      </c>
      <c r="K33" s="429">
        <v>500</v>
      </c>
      <c r="L33" s="307">
        <v>550</v>
      </c>
      <c r="M33" s="119"/>
      <c r="N33" s="119"/>
      <c r="O33" s="119"/>
      <c r="P33" s="209"/>
      <c r="Q33" s="209"/>
      <c r="R33" s="209"/>
      <c r="S33" s="260"/>
      <c r="T33" s="261"/>
      <c r="U33" s="261"/>
    </row>
    <row r="34" spans="1:21" ht="15" customHeight="1" x14ac:dyDescent="0.3">
      <c r="A34" s="179"/>
      <c r="B34" s="374"/>
      <c r="C34" s="320" t="str">
        <f>List!$B$99&amp;":"</f>
        <v>Počet skříní:</v>
      </c>
      <c r="D34" s="317"/>
      <c r="E34" s="317"/>
      <c r="F34" s="371"/>
      <c r="G34" s="295"/>
      <c r="H34" s="374"/>
      <c r="I34" s="320" t="str">
        <f>List!$B$99&amp;":"</f>
        <v>Počet skříní:</v>
      </c>
      <c r="J34" s="317"/>
      <c r="K34" s="317"/>
      <c r="L34" s="318"/>
      <c r="M34" s="144"/>
      <c r="N34" s="144"/>
      <c r="O34" s="119"/>
      <c r="P34" s="209"/>
      <c r="Q34" s="209"/>
      <c r="R34" s="209"/>
      <c r="S34" s="260"/>
      <c r="T34" s="261"/>
      <c r="U34" s="261"/>
    </row>
    <row r="35" spans="1:21" ht="19.5" customHeight="1" x14ac:dyDescent="0.35">
      <c r="A35" s="179"/>
      <c r="B35" s="372" t="str">
        <f>List!$B$126&amp;"**"</f>
        <v>Korpusové lišty**</v>
      </c>
      <c r="C35" s="320"/>
      <c r="D35" s="24"/>
      <c r="E35" s="24"/>
      <c r="F35" s="24"/>
      <c r="G35" s="27"/>
      <c r="H35" s="372" t="str">
        <f>List!$B$126&amp;"**"</f>
        <v>Korpusové lišty**</v>
      </c>
      <c r="I35" s="320"/>
      <c r="J35"/>
      <c r="K35"/>
      <c r="L35"/>
      <c r="M35" s="144"/>
      <c r="N35" s="144"/>
      <c r="P35" s="122"/>
      <c r="Q35" s="122"/>
      <c r="R35" s="122"/>
      <c r="S35" s="123"/>
      <c r="T35" s="118"/>
      <c r="U35" s="261"/>
    </row>
    <row r="36" spans="1:21" ht="15" customHeight="1" thickBot="1" x14ac:dyDescent="0.35">
      <c r="A36" s="179"/>
      <c r="B36" s="297" t="s">
        <v>505</v>
      </c>
      <c r="C36" s="384" t="s">
        <v>887</v>
      </c>
      <c r="D36" s="387"/>
      <c r="E36" s="387"/>
      <c r="F36" s="388"/>
      <c r="G36" s="295"/>
      <c r="H36" s="297" t="s">
        <v>505</v>
      </c>
      <c r="I36" s="298" t="str">
        <f>"2 ks*"</f>
        <v>2 ks*</v>
      </c>
      <c r="J36" s="389"/>
      <c r="K36" s="389"/>
      <c r="L36" s="390"/>
      <c r="M36" s="144"/>
      <c r="N36" s="144"/>
      <c r="P36" s="122"/>
      <c r="Q36" s="122"/>
      <c r="R36" s="122"/>
      <c r="S36" s="123"/>
      <c r="T36" s="118"/>
      <c r="U36" s="693"/>
    </row>
    <row r="37" spans="1:21" ht="15" customHeight="1" x14ac:dyDescent="0.3">
      <c r="A37" s="179"/>
      <c r="B37" s="301" t="s">
        <v>506</v>
      </c>
      <c r="C37" s="382" t="s">
        <v>888</v>
      </c>
      <c r="D37" s="386">
        <f>IF(D36&gt;0,IF(D36&gt;5,0,5-D36),0)</f>
        <v>0</v>
      </c>
      <c r="E37" s="386">
        <f t="shared" ref="E37:F37" si="6">IF(E36&gt;0,IF(E36&gt;5,0,5-E36),0)</f>
        <v>0</v>
      </c>
      <c r="F37" s="712">
        <f t="shared" si="6"/>
        <v>0</v>
      </c>
      <c r="G37" s="295"/>
      <c r="H37" s="301" t="s">
        <v>506</v>
      </c>
      <c r="I37" s="382" t="str">
        <f>"3 ks*"</f>
        <v>3 ks*</v>
      </c>
      <c r="J37" s="386">
        <f>IF(J36&gt;0,IF(J36&gt;5,0,5-J36),0)</f>
        <v>0</v>
      </c>
      <c r="K37" s="386">
        <f t="shared" ref="K37:L37" si="7">IF(K36&gt;0,IF(K36&gt;5,0,5-K36),0)</f>
        <v>0</v>
      </c>
      <c r="L37" s="712">
        <f t="shared" si="7"/>
        <v>0</v>
      </c>
      <c r="M37" s="144"/>
      <c r="N37" s="144"/>
      <c r="P37" s="122"/>
      <c r="Q37" s="122"/>
      <c r="R37" s="122"/>
      <c r="S37" s="123"/>
      <c r="T37" s="118"/>
      <c r="U37" s="693"/>
    </row>
    <row r="38" spans="1:21" ht="13.5" customHeight="1" x14ac:dyDescent="0.3">
      <c r="A38" s="179"/>
      <c r="C38" s="316"/>
      <c r="D38" s="711" t="str">
        <f>IF(D36&gt;5,"Max. 5!"," ")</f>
        <v xml:space="preserve"> </v>
      </c>
      <c r="E38" s="711" t="str">
        <f t="shared" ref="E38:F38" si="8">IF(E36&gt;5,"Max. 5!"," ")</f>
        <v xml:space="preserve"> </v>
      </c>
      <c r="F38" s="711" t="str">
        <f t="shared" si="8"/>
        <v xml:space="preserve"> </v>
      </c>
      <c r="G38" s="295"/>
      <c r="H38" s="383"/>
      <c r="I38" s="316"/>
      <c r="J38" s="711" t="str">
        <f>IF(J36&gt;5,"Max. 5!"," ")</f>
        <v xml:space="preserve"> </v>
      </c>
      <c r="K38" s="711" t="str">
        <f t="shared" ref="K38:L38" si="9">IF(K36&gt;5,"Max. 5!"," ")</f>
        <v xml:space="preserve"> </v>
      </c>
      <c r="L38" s="711" t="str">
        <f t="shared" si="9"/>
        <v xml:space="preserve"> </v>
      </c>
      <c r="M38" s="144"/>
      <c r="N38" s="144"/>
      <c r="P38" s="122"/>
      <c r="Q38" s="122"/>
      <c r="R38" s="122"/>
      <c r="S38" s="123"/>
      <c r="T38" s="118"/>
      <c r="U38" s="693"/>
    </row>
    <row r="39" spans="1:21" ht="13.5" customHeight="1" x14ac:dyDescent="0.3">
      <c r="A39" s="179"/>
      <c r="C39" s="347"/>
      <c r="D39" s="348"/>
      <c r="E39" s="348"/>
      <c r="F39" s="348"/>
      <c r="G39" s="348"/>
      <c r="H39" s="348"/>
      <c r="I39" s="348"/>
      <c r="J39" s="295"/>
      <c r="K39" s="348"/>
      <c r="L39" s="348"/>
      <c r="M39" s="144"/>
      <c r="N39" s="144"/>
      <c r="P39" s="122"/>
      <c r="Q39" s="122"/>
      <c r="R39" s="122"/>
      <c r="S39" s="123"/>
      <c r="T39" s="118"/>
      <c r="U39" s="693"/>
    </row>
    <row r="40" spans="1:21" ht="13.5" customHeight="1" x14ac:dyDescent="0.3">
      <c r="A40" s="179"/>
      <c r="B40" s="119" t="str">
        <f>"       * "&amp;List!$B$162</f>
        <v xml:space="preserve">       * Nastavené počty korpusových lišt</v>
      </c>
      <c r="C40" s="347"/>
      <c r="D40" s="348"/>
      <c r="E40" s="348"/>
      <c r="F40" s="348"/>
      <c r="G40" s="348"/>
      <c r="H40" s="348"/>
      <c r="I40" s="348"/>
      <c r="J40" s="295"/>
      <c r="K40" s="348"/>
      <c r="L40" s="348"/>
      <c r="M40" s="144"/>
      <c r="N40" s="144"/>
      <c r="P40" s="122"/>
      <c r="Q40" s="122"/>
      <c r="R40" s="122"/>
      <c r="S40" s="123"/>
      <c r="T40" s="118"/>
      <c r="U40" s="693"/>
    </row>
    <row r="41" spans="1:21" ht="13.5" customHeight="1" x14ac:dyDescent="0.3">
      <c r="A41" s="179"/>
      <c r="B41" s="119" t="str">
        <f>"     ** "&amp;List!$B$313</f>
        <v xml:space="preserve">     ** Jednotky TIP-ON BLUMOTION budou přidány automaticky</v>
      </c>
      <c r="C41" s="347"/>
      <c r="D41" s="348"/>
      <c r="E41" s="348"/>
      <c r="F41" s="348"/>
      <c r="G41" s="348"/>
      <c r="H41" s="348"/>
      <c r="I41" s="348"/>
      <c r="J41" s="295"/>
      <c r="K41" s="348"/>
      <c r="L41" s="348"/>
      <c r="M41" s="144"/>
      <c r="N41" s="144"/>
      <c r="P41" s="364" t="str">
        <f>Cen!A209</f>
        <v>Korpusové lišty TIP-ON BLUMOTION, 270mm, 40kg</v>
      </c>
      <c r="Q41" s="364" t="str">
        <f>Cen!B209</f>
        <v>750.2700M</v>
      </c>
      <c r="R41" s="364" t="str">
        <f>Cen!C209</f>
        <v>ZN</v>
      </c>
      <c r="S41" s="365"/>
      <c r="T41" s="366">
        <f>Cen!F209</f>
        <v>21.925909999999998</v>
      </c>
      <c r="U41" s="366">
        <f>S41*T41</f>
        <v>0</v>
      </c>
    </row>
    <row r="42" spans="1:21" ht="13.5" customHeight="1" x14ac:dyDescent="0.3">
      <c r="A42" s="179"/>
      <c r="B42" s="2" t="str">
        <f>"         "&amp;List!B303</f>
        <v xml:space="preserve">         Synchronizaci vyberte v sekci "Výběr doplňků"</v>
      </c>
      <c r="C42" s="347"/>
      <c r="D42" s="348"/>
      <c r="E42" s="348"/>
      <c r="F42" s="348"/>
      <c r="G42" s="348"/>
      <c r="H42" s="348"/>
      <c r="I42" s="348"/>
      <c r="J42" s="295"/>
      <c r="K42" s="348"/>
      <c r="L42" s="348"/>
      <c r="M42" s="144"/>
      <c r="N42" s="144"/>
      <c r="P42" s="364" t="str">
        <f>Cen!A210</f>
        <v>Korpusové lišty TIP-ON BLUMOTION, 300mm, 40kg</v>
      </c>
      <c r="Q42" s="364" t="str">
        <f>Cen!B210</f>
        <v>750.3001M</v>
      </c>
      <c r="R42" s="364" t="str">
        <f>Cen!C210</f>
        <v>ZN</v>
      </c>
      <c r="S42" s="365"/>
      <c r="T42" s="366">
        <f>Cen!F210</f>
        <v>21.925909999999998</v>
      </c>
      <c r="U42" s="366">
        <f t="shared" ref="U42:U58" si="10">S42*T42</f>
        <v>0</v>
      </c>
    </row>
    <row r="43" spans="1:21" ht="14" x14ac:dyDescent="0.3">
      <c r="A43" s="179"/>
      <c r="B43" s="119" t="str">
        <f>"    *** "&amp;List!$B$170&amp;": "&amp;List!$C$68&amp;" 3x, "&amp;List!$C$69&amp;" 2x"</f>
        <v xml:space="preserve">    *** Složení čelních zásuvných prvků: vysoký 3x, nízký 2x</v>
      </c>
      <c r="C43" s="348"/>
      <c r="D43" s="295"/>
      <c r="E43" s="295"/>
      <c r="F43" s="295"/>
      <c r="G43" s="295"/>
      <c r="H43" s="295"/>
      <c r="I43" s="295"/>
      <c r="J43" s="295"/>
      <c r="K43" s="295"/>
      <c r="L43" s="295"/>
      <c r="M43" s="119"/>
      <c r="N43" s="119"/>
      <c r="P43" s="364" t="str">
        <f>Cen!A211</f>
        <v>Korpusové lišty TIP-ON BLUMOTION, 350mm, 40kg</v>
      </c>
      <c r="Q43" s="364" t="str">
        <f>Cen!B211</f>
        <v>750.3501M</v>
      </c>
      <c r="R43" s="364" t="str">
        <f>Cen!C211</f>
        <v>ZN</v>
      </c>
      <c r="S43" s="365"/>
      <c r="T43" s="366">
        <f>Cen!F211</f>
        <v>21.925909999999998</v>
      </c>
      <c r="U43" s="366">
        <f t="shared" si="10"/>
        <v>0</v>
      </c>
    </row>
    <row r="44" spans="1:21" ht="14" x14ac:dyDescent="0.3">
      <c r="A44" s="179"/>
      <c r="B44" s="119" t="str">
        <f>"         "&amp;List!$B$171</f>
        <v xml:space="preserve">         Chcete-li jiné složení zásuvných prvků, upravte počty v objednávce</v>
      </c>
      <c r="C44" s="316"/>
      <c r="D44" s="359"/>
      <c r="E44" s="359"/>
      <c r="F44" s="359"/>
      <c r="G44" s="359"/>
      <c r="H44" s="359"/>
      <c r="I44" s="295"/>
      <c r="J44" s="295"/>
      <c r="K44" s="295"/>
      <c r="L44" s="295"/>
      <c r="M44" s="119"/>
      <c r="P44" s="364" t="str">
        <f>Cen!A212</f>
        <v>Korpusové lišty TIP-ON BLUMOTION, 400mm, 40kg</v>
      </c>
      <c r="Q44" s="364" t="str">
        <f>Cen!B212</f>
        <v>750.4001M</v>
      </c>
      <c r="R44" s="364" t="str">
        <f>Cen!C212</f>
        <v>ZN</v>
      </c>
      <c r="S44" s="365"/>
      <c r="T44" s="366">
        <f>Cen!F212</f>
        <v>22.204979999999999</v>
      </c>
      <c r="U44" s="366">
        <f t="shared" si="10"/>
        <v>0</v>
      </c>
    </row>
    <row r="45" spans="1:21" ht="14" x14ac:dyDescent="0.3">
      <c r="A45" s="179"/>
      <c r="B45" s="119" t="str">
        <f>"         "&amp;List!$B$173</f>
        <v xml:space="preserve">         Máte-li zásuvné prvky vlastní, upravte počty v objednávce</v>
      </c>
      <c r="C45" s="316"/>
      <c r="D45" s="359"/>
      <c r="E45" s="359"/>
      <c r="F45" s="359"/>
      <c r="G45" s="359"/>
      <c r="H45" s="359"/>
      <c r="I45" s="295"/>
      <c r="J45" s="295"/>
      <c r="K45" s="295"/>
      <c r="L45" s="295"/>
      <c r="M45" s="119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385">
        <f>IF($D$36&gt;0, $D$36*$D$34, 4*$D$34)+IF($J$36&gt;0, $J$36*$J$34, 2*$J$34)</f>
        <v>0</v>
      </c>
      <c r="T45" s="118">
        <f>Cen!F213</f>
        <v>23.667639999999995</v>
      </c>
      <c r="U45" s="118">
        <f>S45*T45</f>
        <v>0</v>
      </c>
    </row>
    <row r="46" spans="1:21" ht="14" x14ac:dyDescent="0.3">
      <c r="A46" s="179"/>
      <c r="B46" s="383"/>
      <c r="C46" s="316"/>
      <c r="D46" s="359"/>
      <c r="E46" s="359"/>
      <c r="F46" s="359"/>
      <c r="G46" s="359"/>
      <c r="H46" s="359"/>
      <c r="I46" s="295"/>
      <c r="J46" s="295"/>
      <c r="K46" s="295"/>
      <c r="L46" s="295"/>
      <c r="M46" s="119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385">
        <f>IF($D$36&gt;0, $D$37*$D$34, 1*$D$34)+IF($J$36&gt;0, $J$37*$J$34, 3*$J$34)</f>
        <v>0</v>
      </c>
      <c r="T46" s="118">
        <f>Cen!F214</f>
        <v>27.780560000000001</v>
      </c>
      <c r="U46" s="118">
        <f>S46*T46</f>
        <v>0</v>
      </c>
    </row>
    <row r="47" spans="1:21" ht="14" x14ac:dyDescent="0.3">
      <c r="A47" s="179"/>
      <c r="B47" s="119" t="str">
        <f>"        "&amp;List!$B$169</f>
        <v xml:space="preserve">        Boční zásuvné prvky se načtou automaticky</v>
      </c>
      <c r="C47" s="316"/>
      <c r="D47" s="359"/>
      <c r="E47" s="359"/>
      <c r="F47" s="359"/>
      <c r="G47" s="359"/>
      <c r="H47" s="359"/>
      <c r="I47" s="295"/>
      <c r="J47" s="295"/>
      <c r="K47" s="295"/>
      <c r="L47" s="295"/>
      <c r="M47" s="11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385">
        <f>IF($E$36&gt;0, $E$36*$E$34, 4*$E$34)+IF($K$36&gt;0, $K$36*$K$34, 2*$K$34)</f>
        <v>0</v>
      </c>
      <c r="T47" s="696">
        <f>Cen!F215</f>
        <v>23.961559999999999</v>
      </c>
      <c r="U47" s="696">
        <f>S47*T47</f>
        <v>0</v>
      </c>
    </row>
    <row r="48" spans="1:21" ht="14" x14ac:dyDescent="0.3">
      <c r="A48" s="179"/>
      <c r="B48" s="119" t="str">
        <f>"        "&amp;List!$B$173</f>
        <v xml:space="preserve">        Máte-li zásuvné prvky vlastní, upravte počty v objednávce</v>
      </c>
      <c r="C48" s="316"/>
      <c r="D48" s="359"/>
      <c r="E48" s="359"/>
      <c r="F48" s="359"/>
      <c r="G48" s="359"/>
      <c r="H48" s="359"/>
      <c r="I48" s="295"/>
      <c r="J48" s="295"/>
      <c r="K48" s="295"/>
      <c r="L48" s="295"/>
      <c r="M48" s="11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385">
        <f>IF($E$36&gt;0, $E$37*$E$34, 1*$E$34)+IF($K$36&gt;0, $K$37*$K$34, 3*$K$34)</f>
        <v>0</v>
      </c>
      <c r="T48" s="696">
        <f>Cen!F216</f>
        <v>28.059809999999999</v>
      </c>
      <c r="U48" s="696">
        <f>S48*T48</f>
        <v>0</v>
      </c>
    </row>
    <row r="49" spans="1:21" ht="14" x14ac:dyDescent="0.3">
      <c r="A49" s="179"/>
      <c r="C49" s="316"/>
      <c r="D49" s="359"/>
      <c r="E49" s="359"/>
      <c r="F49" s="359"/>
      <c r="G49" s="359"/>
      <c r="H49" s="359"/>
      <c r="I49" s="295"/>
      <c r="J49" s="295"/>
      <c r="K49" s="295"/>
      <c r="L49" s="295"/>
      <c r="M49" s="119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385">
        <f>IF($F$36&gt;0, $F$36*$F$34, 4*$F$34)+IF($L$36&gt;0, $L$36*$L$34, 2*$L$34)</f>
        <v>0</v>
      </c>
      <c r="T49" s="118">
        <f>Cen!F217</f>
        <v>24.254210000000004</v>
      </c>
      <c r="U49" s="118">
        <f t="shared" si="10"/>
        <v>0</v>
      </c>
    </row>
    <row r="50" spans="1:21" ht="14" x14ac:dyDescent="0.3">
      <c r="A50" s="179"/>
      <c r="C50" s="316"/>
      <c r="D50" s="359"/>
      <c r="E50" s="359"/>
      <c r="F50" s="359"/>
      <c r="G50" s="359"/>
      <c r="H50" s="359"/>
      <c r="I50" s="295"/>
      <c r="J50" s="295"/>
      <c r="K50" s="295"/>
      <c r="L50" s="295"/>
      <c r="M50" s="119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385">
        <f>IF($F$36&gt;0, $F$37*$F$34, 1*$F$34)+IF($L$36&gt;0, $L$37*$L$34, 3*$L$34)</f>
        <v>0</v>
      </c>
      <c r="T50" s="118">
        <f>Cen!F218</f>
        <v>29.550529999999998</v>
      </c>
      <c r="U50" s="118">
        <f t="shared" si="10"/>
        <v>0</v>
      </c>
    </row>
    <row r="51" spans="1:21" ht="14" x14ac:dyDescent="0.3">
      <c r="A51" s="179"/>
      <c r="C51" s="316"/>
      <c r="D51" s="359"/>
      <c r="E51" s="359"/>
      <c r="F51" s="359"/>
      <c r="G51" s="359"/>
      <c r="H51" s="359"/>
      <c r="I51" s="295"/>
      <c r="J51" s="295"/>
      <c r="K51" s="295"/>
      <c r="L51" s="295"/>
      <c r="M51" s="119"/>
      <c r="P51" s="364" t="str">
        <f>Cen!A219</f>
        <v>Korpusové lišty TIP-ON BLUMOTION, 600mm, 40kg</v>
      </c>
      <c r="Q51" s="364" t="str">
        <f>Cen!B219</f>
        <v>750.6001M</v>
      </c>
      <c r="R51" s="364" t="str">
        <f>Cen!C219</f>
        <v>ZN</v>
      </c>
      <c r="S51" s="365"/>
      <c r="T51" s="366">
        <f>Cen!F219</f>
        <v>27.259979999999999</v>
      </c>
      <c r="U51" s="366">
        <f t="shared" si="10"/>
        <v>0</v>
      </c>
    </row>
    <row r="52" spans="1:21" ht="14" x14ac:dyDescent="0.3">
      <c r="A52" s="179"/>
      <c r="C52" s="316"/>
      <c r="D52" s="359"/>
      <c r="E52" s="359"/>
      <c r="F52" s="359"/>
      <c r="G52" s="359"/>
      <c r="H52" s="359"/>
      <c r="I52" s="295"/>
      <c r="J52" s="295"/>
      <c r="K52" s="295"/>
      <c r="L52" s="295"/>
      <c r="M52" s="119"/>
      <c r="P52" s="364" t="str">
        <f>Cen!A220</f>
        <v>Korpusové lišty TIP-ON BLUMOTION, 600mm, 70kg</v>
      </c>
      <c r="Q52" s="364" t="str">
        <f>Cen!B220</f>
        <v>753.6001M</v>
      </c>
      <c r="R52" s="364" t="str">
        <f>Cen!C220</f>
        <v>ZN</v>
      </c>
      <c r="S52" s="365"/>
      <c r="T52" s="366">
        <f>Cen!F220</f>
        <v>32.5563</v>
      </c>
      <c r="U52" s="366">
        <f t="shared" si="10"/>
        <v>0</v>
      </c>
    </row>
    <row r="53" spans="1:21" ht="14" x14ac:dyDescent="0.3">
      <c r="A53" s="179"/>
      <c r="C53" s="316"/>
      <c r="D53" s="359"/>
      <c r="E53" s="359"/>
      <c r="F53" s="359"/>
      <c r="G53" s="359"/>
      <c r="H53" s="359"/>
      <c r="I53" s="295"/>
      <c r="J53" s="295"/>
      <c r="K53" s="295"/>
      <c r="L53" s="295"/>
      <c r="M53" s="119"/>
      <c r="P53" s="364" t="str">
        <f>Cen!A221</f>
        <v>Korpusové lišty TIP-ON BLUMOTION, 650mm, 70kg</v>
      </c>
      <c r="Q53" s="364" t="str">
        <f>Cen!B221</f>
        <v>753.6501M</v>
      </c>
      <c r="R53" s="364" t="str">
        <f>Cen!C221</f>
        <v>ZN</v>
      </c>
      <c r="S53" s="365"/>
      <c r="T53" s="366">
        <f>Cen!F221</f>
        <v>34.047020000000003</v>
      </c>
      <c r="U53" s="366">
        <f t="shared" si="10"/>
        <v>0</v>
      </c>
    </row>
    <row r="54" spans="1:21" ht="14" x14ac:dyDescent="0.3">
      <c r="A54" s="179"/>
      <c r="C54" s="316"/>
      <c r="D54" s="359"/>
      <c r="E54" s="359"/>
      <c r="F54" s="359"/>
      <c r="G54" s="359"/>
      <c r="H54" s="359"/>
      <c r="I54" s="295"/>
      <c r="J54" s="295"/>
      <c r="K54" s="295"/>
      <c r="L54" s="295"/>
      <c r="M54" s="119"/>
      <c r="P54" s="122"/>
      <c r="Q54" s="122"/>
      <c r="R54" s="122"/>
      <c r="S54" s="123"/>
      <c r="T54" s="118"/>
      <c r="U54" s="118"/>
    </row>
    <row r="55" spans="1:21" ht="14" x14ac:dyDescent="0.3">
      <c r="A55" s="179"/>
      <c r="C55" s="316"/>
      <c r="D55" s="359"/>
      <c r="E55" s="359"/>
      <c r="F55" s="359"/>
      <c r="G55" s="359"/>
      <c r="H55" s="359"/>
      <c r="I55" s="295"/>
      <c r="J55" s="295"/>
      <c r="K55" s="295"/>
      <c r="L55" s="295"/>
      <c r="M55" s="11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/>
      <c r="T55" s="118">
        <f>Cen!F223</f>
        <v>15.883479999999999</v>
      </c>
      <c r="U55" s="118">
        <f t="shared" si="10"/>
        <v>0</v>
      </c>
    </row>
    <row r="56" spans="1:21" ht="14" x14ac:dyDescent="0.3">
      <c r="A56" s="179"/>
      <c r="C56" s="316"/>
      <c r="D56" s="359"/>
      <c r="E56" s="359"/>
      <c r="F56" s="359"/>
      <c r="G56" s="359"/>
      <c r="H56" s="359"/>
      <c r="I56" s="295"/>
      <c r="J56" s="295"/>
      <c r="K56" s="295"/>
      <c r="L56" s="295"/>
      <c r="M56" s="11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/>
      <c r="T56" s="118">
        <f>Cen!F224</f>
        <v>15.883479999999999</v>
      </c>
      <c r="U56" s="118">
        <f t="shared" si="10"/>
        <v>0</v>
      </c>
    </row>
    <row r="57" spans="1:21" ht="14" x14ac:dyDescent="0.3">
      <c r="A57" s="179"/>
      <c r="C57" s="316"/>
      <c r="D57" s="359"/>
      <c r="E57" s="359"/>
      <c r="F57" s="359"/>
      <c r="G57" s="359"/>
      <c r="H57" s="359"/>
      <c r="I57" s="295"/>
      <c r="J57" s="295"/>
      <c r="K57" s="295"/>
      <c r="L57" s="295"/>
      <c r="M57" s="11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SUM(S45,S47,S49)</f>
        <v>0</v>
      </c>
      <c r="T57" s="118">
        <f>Cen!F225</f>
        <v>15.883479999999999</v>
      </c>
      <c r="U57" s="118">
        <f t="shared" si="10"/>
        <v>0</v>
      </c>
    </row>
    <row r="58" spans="1:21" ht="14" x14ac:dyDescent="0.3">
      <c r="A58" s="179"/>
      <c r="C58" s="316"/>
      <c r="D58" s="359"/>
      <c r="E58" s="359"/>
      <c r="F58" s="359"/>
      <c r="G58" s="359"/>
      <c r="H58" s="359"/>
      <c r="I58" s="295"/>
      <c r="J58" s="295"/>
      <c r="K58" s="295"/>
      <c r="L58" s="295"/>
      <c r="M58" s="11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SUM(S46,S48,S50)</f>
        <v>0</v>
      </c>
      <c r="T58" s="118">
        <f>Cen!F226</f>
        <v>15.883479999999999</v>
      </c>
      <c r="U58" s="118">
        <f t="shared" si="10"/>
        <v>0</v>
      </c>
    </row>
    <row r="59" spans="1:21" ht="14" x14ac:dyDescent="0.3">
      <c r="A59" s="179"/>
      <c r="C59" s="316"/>
      <c r="D59" s="359"/>
      <c r="E59" s="359"/>
      <c r="F59" s="359"/>
      <c r="G59" s="359"/>
      <c r="H59" s="359"/>
      <c r="I59" s="295"/>
      <c r="J59" s="295"/>
      <c r="K59" s="295"/>
      <c r="L59" s="295"/>
      <c r="M59" s="119"/>
      <c r="P59" s="144"/>
      <c r="Q59" s="144"/>
      <c r="R59" s="144"/>
      <c r="S59" s="150"/>
      <c r="T59" s="154"/>
      <c r="U59" s="154"/>
    </row>
    <row r="60" spans="1:21" ht="13" x14ac:dyDescent="0.3">
      <c r="A60" s="179"/>
      <c r="C60" s="294"/>
      <c r="D60" s="179"/>
      <c r="E60" s="179"/>
      <c r="F60" s="179"/>
      <c r="G60" s="179"/>
      <c r="H60" s="179"/>
      <c r="I60" s="288"/>
      <c r="J60" s="288"/>
      <c r="K60" s="288"/>
      <c r="L60" s="288"/>
      <c r="M60" s="119"/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SUM(S3:S10)</f>
        <v>0</v>
      </c>
      <c r="T60" s="118">
        <f>Cen!$F259</f>
        <v>1.59894</v>
      </c>
      <c r="U60" s="118">
        <f>S60*T60</f>
        <v>0</v>
      </c>
    </row>
    <row r="61" spans="1:21" ht="13" x14ac:dyDescent="0.3">
      <c r="C61" s="294"/>
      <c r="D61" s="179"/>
      <c r="E61" s="179"/>
      <c r="F61" s="179"/>
      <c r="G61" s="179"/>
      <c r="H61" s="179"/>
      <c r="I61" s="179"/>
      <c r="J61" s="179"/>
      <c r="K61" s="179"/>
      <c r="L61" s="179"/>
      <c r="M61" s="119"/>
      <c r="P61" s="122" t="str">
        <f>Cen!A293</f>
        <v>Sada kování vnitř.výs. C, se zás.prvkem, Orion šedá</v>
      </c>
      <c r="Q61" s="122" t="str">
        <f>Cen!B293</f>
        <v>ZI7.2CS0</v>
      </c>
      <c r="R61" s="122" t="str">
        <f>Cen!C293</f>
        <v>OG-M</v>
      </c>
      <c r="S61" s="123">
        <f>SUM(S3:S10)</f>
        <v>0</v>
      </c>
      <c r="T61" s="118">
        <f>Cen!F293</f>
        <v>19.402619999999999</v>
      </c>
      <c r="U61" s="118">
        <f>S61*T61</f>
        <v>0</v>
      </c>
    </row>
    <row r="62" spans="1:21" ht="13" x14ac:dyDescent="0.3">
      <c r="C62" s="287"/>
      <c r="I62" s="289"/>
      <c r="J62" s="289"/>
      <c r="K62" s="289"/>
      <c r="L62" s="289"/>
      <c r="M62" s="119"/>
      <c r="P62" s="122"/>
      <c r="Q62" s="122"/>
      <c r="R62" s="122"/>
      <c r="S62" s="123"/>
      <c r="T62" s="118"/>
      <c r="U62" s="118"/>
    </row>
    <row r="63" spans="1:21" ht="13" x14ac:dyDescent="0.3">
      <c r="C63" s="287"/>
      <c r="I63" s="290"/>
      <c r="J63" s="290"/>
      <c r="K63" s="290"/>
      <c r="L63" s="290"/>
      <c r="P63" s="122" t="str">
        <f>Cen!A306</f>
        <v>Přední díl vnitřní zásuvky, s drážkou, Orion šedý</v>
      </c>
      <c r="Q63" s="122" t="str">
        <f>Cen!B306</f>
        <v>ZV7.1043MN1</v>
      </c>
      <c r="R63" s="122" t="str">
        <f>Cen!C306</f>
        <v>OG-M</v>
      </c>
      <c r="S63" s="336">
        <f>ROUNDUP(SUM($D$26/3*5, $E$26/3*5, $F$26/3*5, $D$34/3*5, $E$34/3*5, $F$34/3*5),0)+ROUNDUP(SUM($J$26/2*5, $K$26/2*5, $L$26/2*5, $J$34/2*5, $K$34/2*5, $L$34/2*5),0)</f>
        <v>0</v>
      </c>
      <c r="T63" s="118">
        <f>Cen!F306</f>
        <v>14.808439999999997</v>
      </c>
      <c r="U63" s="118">
        <f>S63*T63</f>
        <v>0</v>
      </c>
    </row>
    <row r="64" spans="1:21" ht="13" x14ac:dyDescent="0.3">
      <c r="C64" s="287"/>
      <c r="I64" s="288"/>
      <c r="J64" s="288"/>
      <c r="K64" s="288"/>
      <c r="L64" s="288"/>
      <c r="P64" s="122"/>
      <c r="Q64" s="122"/>
      <c r="R64" s="122"/>
      <c r="S64" s="123"/>
      <c r="T64" s="118"/>
      <c r="U64" s="118"/>
    </row>
    <row r="65" spans="2:21" ht="14" x14ac:dyDescent="0.3">
      <c r="C65" s="291"/>
      <c r="D65" s="347"/>
      <c r="E65" s="348"/>
      <c r="F65" s="349"/>
      <c r="G65" s="349"/>
      <c r="H65" s="348"/>
      <c r="I65" s="348"/>
      <c r="J65" s="291"/>
      <c r="K65" s="291"/>
      <c r="L65" s="291"/>
      <c r="P65" s="126" t="str">
        <f>Cen!A322</f>
        <v>Přední zásuvný prvek vysoký, sklo, KB 450mm</v>
      </c>
      <c r="Q65" s="126" t="str">
        <f>Cen!B322</f>
        <v>ZE7W332G</v>
      </c>
      <c r="R65" s="126" t="str">
        <f>Cen!C322</f>
        <v>KLA</v>
      </c>
      <c r="S65" s="334">
        <f>SUM(D26:F26, D34:F34)*3</f>
        <v>0</v>
      </c>
      <c r="T65" s="335">
        <f>Cen!F322</f>
        <v>12.912559999999999</v>
      </c>
      <c r="U65" s="335">
        <f>S65*T65</f>
        <v>0</v>
      </c>
    </row>
    <row r="66" spans="2:21" ht="14" x14ac:dyDescent="0.3">
      <c r="C66" s="291"/>
      <c r="D66" s="351"/>
      <c r="E66" s="295"/>
      <c r="F66" s="295"/>
      <c r="G66" s="295"/>
      <c r="H66" s="295"/>
      <c r="I66" s="295"/>
      <c r="J66" s="289"/>
      <c r="K66" s="289"/>
      <c r="L66" s="289"/>
      <c r="P66" s="127" t="str">
        <f>Cen!A323</f>
        <v>Přední zásuvný prvek vysoký, sklo, KB 600mm</v>
      </c>
      <c r="Q66" s="127" t="str">
        <f>Cen!B323</f>
        <v>ZE7W482G</v>
      </c>
      <c r="R66" s="127" t="str">
        <f>Cen!C323</f>
        <v>KLA</v>
      </c>
      <c r="S66" s="262">
        <f>SUM(J26:L26, J34:L34)*3</f>
        <v>0</v>
      </c>
      <c r="T66" s="263">
        <f>Cen!F323</f>
        <v>14.673980000000002</v>
      </c>
      <c r="U66" s="263">
        <f>S66*T66</f>
        <v>0</v>
      </c>
    </row>
    <row r="67" spans="2:21" ht="14" x14ac:dyDescent="0.3">
      <c r="C67" s="291"/>
      <c r="D67" s="351"/>
      <c r="E67" s="295"/>
      <c r="F67" s="295"/>
      <c r="G67" s="295"/>
      <c r="H67" s="295"/>
      <c r="I67" s="295"/>
      <c r="J67" s="289"/>
      <c r="K67" s="289"/>
      <c r="L67" s="289"/>
      <c r="P67" s="360" t="str">
        <f>Cen!A324</f>
        <v>Přední zásuvný prvek vysoký, sklo, KB 900mm</v>
      </c>
      <c r="Q67" s="360" t="str">
        <f>Cen!B324</f>
        <v>ZE7W782G</v>
      </c>
      <c r="R67" s="360" t="str">
        <f>Cen!C324</f>
        <v>KLA</v>
      </c>
      <c r="S67" s="361"/>
      <c r="T67" s="363">
        <f>Cen!F324</f>
        <v>24.45665</v>
      </c>
      <c r="U67" s="363">
        <f>S67*T67</f>
        <v>0</v>
      </c>
    </row>
    <row r="68" spans="2:21" ht="14" x14ac:dyDescent="0.3">
      <c r="C68" s="316"/>
      <c r="D68" s="295"/>
      <c r="E68" s="295"/>
      <c r="F68" s="295"/>
      <c r="G68" s="295"/>
      <c r="H68" s="295"/>
      <c r="J68" s="290"/>
      <c r="K68" s="290"/>
      <c r="L68" s="290"/>
      <c r="P68" s="430" t="str">
        <f>Cen!A325</f>
        <v>Přední zásuvný prvek vysoký, sklo, KB 1200mm</v>
      </c>
      <c r="Q68" s="430" t="str">
        <f>Cen!B325</f>
        <v>ZE7W1082G</v>
      </c>
      <c r="R68" s="430" t="str">
        <f>Cen!C325</f>
        <v>KLA</v>
      </c>
      <c r="S68" s="418"/>
      <c r="T68" s="431">
        <f>Cen!F325</f>
        <v>31.500150000000005</v>
      </c>
      <c r="U68" s="431">
        <f>S68*T68</f>
        <v>0</v>
      </c>
    </row>
    <row r="69" spans="2:21" ht="13" x14ac:dyDescent="0.3">
      <c r="C69" s="287"/>
      <c r="I69" s="288"/>
      <c r="J69" s="288"/>
      <c r="K69" s="288"/>
      <c r="L69" s="288"/>
      <c r="P69" s="122"/>
      <c r="Q69" s="122"/>
      <c r="R69" s="122"/>
      <c r="S69" s="123"/>
      <c r="T69" s="118"/>
      <c r="U69" s="118"/>
    </row>
    <row r="70" spans="2:21" ht="14" x14ac:dyDescent="0.3">
      <c r="B70" s="291"/>
      <c r="C70" s="291"/>
      <c r="D70" s="347"/>
      <c r="E70" s="348"/>
      <c r="F70" s="349"/>
      <c r="G70" s="349"/>
      <c r="H70" s="348"/>
      <c r="I70" s="348"/>
      <c r="J70" s="291"/>
      <c r="K70" s="291"/>
      <c r="L70" s="291"/>
      <c r="P70" s="126" t="str">
        <f>Cen!A330</f>
        <v>Přední zásuvný prvek nízký, sklo, KB 450mm</v>
      </c>
      <c r="Q70" s="126" t="str">
        <f>Cen!B330</f>
        <v>ZE7V332G</v>
      </c>
      <c r="R70" s="126" t="str">
        <f>Cen!C330</f>
        <v>KLA</v>
      </c>
      <c r="S70" s="334">
        <f>SUM($D$26:$F$26, $D$34:$F$34)*2</f>
        <v>0</v>
      </c>
      <c r="T70" s="335">
        <f>Cen!F330</f>
        <v>8.02196</v>
      </c>
      <c r="U70" s="335">
        <f>S70*T70</f>
        <v>0</v>
      </c>
    </row>
    <row r="71" spans="2:21" ht="14" x14ac:dyDescent="0.3">
      <c r="B71" s="294"/>
      <c r="C71" s="291"/>
      <c r="D71" s="351"/>
      <c r="E71" s="295"/>
      <c r="F71" s="295"/>
      <c r="G71" s="295"/>
      <c r="H71" s="295"/>
      <c r="I71" s="295"/>
      <c r="J71" s="289"/>
      <c r="K71" s="289"/>
      <c r="L71" s="289"/>
      <c r="P71" s="127" t="str">
        <f>Cen!A331</f>
        <v>Přední zásuvný prvek nízký, sklo, KB 600mm</v>
      </c>
      <c r="Q71" s="127" t="str">
        <f>Cen!B331</f>
        <v>ZE7V482G</v>
      </c>
      <c r="R71" s="127" t="str">
        <f>Cen!C331</f>
        <v>KLA</v>
      </c>
      <c r="S71" s="262">
        <f>SUM($J$26:$L$26, $J$34:$L$34)*2</f>
        <v>0</v>
      </c>
      <c r="T71" s="263">
        <f>Cen!F331</f>
        <v>9.1958699999999993</v>
      </c>
      <c r="U71" s="263">
        <f>S71*T71</f>
        <v>0</v>
      </c>
    </row>
    <row r="72" spans="2:21" ht="14" x14ac:dyDescent="0.3">
      <c r="B72" s="350"/>
      <c r="C72" s="291"/>
      <c r="D72" s="351"/>
      <c r="E72" s="295"/>
      <c r="F72" s="295"/>
      <c r="G72" s="295"/>
      <c r="H72" s="295"/>
      <c r="I72" s="295"/>
      <c r="J72" s="289"/>
      <c r="K72" s="289"/>
      <c r="L72" s="289"/>
      <c r="P72" s="360" t="str">
        <f>Cen!A332</f>
        <v>Přední zásuvný prvek nízký, sklo, KB 900mm</v>
      </c>
      <c r="Q72" s="360" t="str">
        <f>Cen!B332</f>
        <v>ZE7V782G</v>
      </c>
      <c r="R72" s="360" t="str">
        <f>Cen!C332</f>
        <v>KLA</v>
      </c>
      <c r="S72" s="361"/>
      <c r="T72" s="363">
        <f>Cen!F332</f>
        <v>16.2394</v>
      </c>
      <c r="U72" s="363">
        <f>S72*T72</f>
        <v>0</v>
      </c>
    </row>
    <row r="73" spans="2:21" ht="14" x14ac:dyDescent="0.3">
      <c r="B73" s="315"/>
      <c r="C73" s="316"/>
      <c r="D73" s="295"/>
      <c r="E73" s="295"/>
      <c r="F73" s="295"/>
      <c r="G73" s="295"/>
      <c r="H73" s="295"/>
      <c r="J73" s="290"/>
      <c r="K73" s="290"/>
      <c r="L73" s="290"/>
      <c r="P73" s="430" t="str">
        <f>Cen!A333</f>
        <v>Přední zásuvný prvek nízký, sklo, KB 1200mm</v>
      </c>
      <c r="Q73" s="430" t="str">
        <f>Cen!B333</f>
        <v>ZE7V1082G</v>
      </c>
      <c r="R73" s="430" t="str">
        <f>Cen!C333</f>
        <v>KLA</v>
      </c>
      <c r="S73" s="418"/>
      <c r="T73" s="431">
        <f>Cen!F333</f>
        <v>20.93506</v>
      </c>
      <c r="U73" s="431">
        <f>S73*T73</f>
        <v>0</v>
      </c>
    </row>
    <row r="74" spans="2:21" ht="13" x14ac:dyDescent="0.3">
      <c r="C74" s="287"/>
      <c r="I74" s="288"/>
      <c r="J74" s="288"/>
      <c r="K74" s="288"/>
      <c r="L74" s="288"/>
      <c r="P74" s="119"/>
      <c r="Q74" s="119"/>
    </row>
    <row r="75" spans="2:21" ht="13" x14ac:dyDescent="0.3">
      <c r="C75" s="287"/>
      <c r="I75" s="288"/>
      <c r="J75" s="288"/>
      <c r="K75" s="288"/>
      <c r="L75" s="288"/>
      <c r="P75" s="119"/>
      <c r="Q75" s="119"/>
    </row>
    <row r="76" spans="2:21" ht="13" x14ac:dyDescent="0.3">
      <c r="C76" s="287"/>
      <c r="I76" s="288"/>
      <c r="J76" s="288"/>
      <c r="K76" s="288"/>
      <c r="L76" s="288"/>
      <c r="P76" s="119"/>
      <c r="Q76" s="119"/>
    </row>
    <row r="77" spans="2:21" ht="13" x14ac:dyDescent="0.3">
      <c r="C77" s="287"/>
      <c r="I77" s="288"/>
      <c r="J77" s="288"/>
      <c r="K77" s="288"/>
      <c r="L77" s="288"/>
      <c r="P77" s="119"/>
      <c r="Q77" s="119"/>
    </row>
    <row r="78" spans="2:21" x14ac:dyDescent="0.25">
      <c r="G78" s="2"/>
      <c r="P78" s="209" t="str">
        <f>Cen!A168</f>
        <v>Boční zásuvné prvky, sklo, pro 350 mm</v>
      </c>
      <c r="Q78" s="209" t="str">
        <f>Cen!B168</f>
        <v>ZE7S238G</v>
      </c>
      <c r="R78" s="209" t="str">
        <f>Cen!C168</f>
        <v>KLA</v>
      </c>
      <c r="S78" s="260">
        <f t="shared" ref="S78:S84" si="11">S5</f>
        <v>0</v>
      </c>
      <c r="T78" s="607">
        <f>Cen!F168</f>
        <v>20.738469999999996</v>
      </c>
      <c r="U78" s="261">
        <f>S78*T78</f>
        <v>0</v>
      </c>
    </row>
    <row r="79" spans="2:21" x14ac:dyDescent="0.25">
      <c r="G79" s="2"/>
      <c r="P79" s="127" t="str">
        <f>Cen!A169</f>
        <v>Boční zásuvné prvky, sklo, pro 400 mm</v>
      </c>
      <c r="Q79" s="127" t="str">
        <f>Cen!B169</f>
        <v>ZE7S288G</v>
      </c>
      <c r="R79" s="127" t="str">
        <f>Cen!C169</f>
        <v>KLA</v>
      </c>
      <c r="S79" s="262">
        <f t="shared" si="11"/>
        <v>0</v>
      </c>
      <c r="T79" s="266">
        <f>Cen!F169</f>
        <v>21.912770000000002</v>
      </c>
      <c r="U79" s="263">
        <f t="shared" ref="U79:U84" si="12">S79*T79</f>
        <v>0</v>
      </c>
    </row>
    <row r="80" spans="2:21" x14ac:dyDescent="0.25">
      <c r="G80" s="2"/>
      <c r="P80" s="127" t="str">
        <f>Cen!A170</f>
        <v>Boční zásuvné prvky, sklo, pro 450 mm</v>
      </c>
      <c r="Q80" s="127" t="str">
        <f>Cen!B170</f>
        <v>ZE7S338G</v>
      </c>
      <c r="R80" s="127" t="str">
        <f>Cen!C170</f>
        <v>KLA</v>
      </c>
      <c r="S80" s="262">
        <f t="shared" si="11"/>
        <v>0</v>
      </c>
      <c r="T80" s="266">
        <f>Cen!F170</f>
        <v>23.087060000000001</v>
      </c>
      <c r="U80" s="263">
        <f t="shared" si="12"/>
        <v>0</v>
      </c>
    </row>
    <row r="81" spans="1:21" x14ac:dyDescent="0.25">
      <c r="G81" s="2"/>
      <c r="P81" s="127" t="str">
        <f>Cen!A171</f>
        <v>Boční zásuvné prvky, sklo, pro 500 mm</v>
      </c>
      <c r="Q81" s="127" t="str">
        <f>Cen!B171</f>
        <v>ZE7S388G</v>
      </c>
      <c r="R81" s="127" t="str">
        <f>Cen!C171</f>
        <v>KLA</v>
      </c>
      <c r="S81" s="262">
        <f t="shared" si="11"/>
        <v>0</v>
      </c>
      <c r="T81" s="266">
        <f>Cen!F171</f>
        <v>24.26136</v>
      </c>
      <c r="U81" s="263">
        <f t="shared" si="12"/>
        <v>0</v>
      </c>
    </row>
    <row r="82" spans="1:21" x14ac:dyDescent="0.25">
      <c r="G82" s="2"/>
      <c r="P82" s="127" t="str">
        <f>Cen!A172</f>
        <v>Boční zásuvné prvky, sklo, pro 550 mm</v>
      </c>
      <c r="Q82" s="127" t="str">
        <f>Cen!B172</f>
        <v>ZE7S438G</v>
      </c>
      <c r="R82" s="127" t="str">
        <f>Cen!C172</f>
        <v>KLA</v>
      </c>
      <c r="S82" s="262">
        <f t="shared" si="11"/>
        <v>0</v>
      </c>
      <c r="T82" s="266">
        <f>Cen!F172</f>
        <v>26.609179999999995</v>
      </c>
      <c r="U82" s="263">
        <f t="shared" si="12"/>
        <v>0</v>
      </c>
    </row>
    <row r="83" spans="1:21" x14ac:dyDescent="0.25">
      <c r="G83" s="2"/>
      <c r="P83" s="127" t="str">
        <f>Cen!A173</f>
        <v>Boční zásuvné prvky, sklo, pro 600 mm</v>
      </c>
      <c r="Q83" s="127" t="str">
        <f>Cen!B173</f>
        <v>ZE7S488G</v>
      </c>
      <c r="R83" s="127" t="str">
        <f>Cen!C173</f>
        <v>KLA</v>
      </c>
      <c r="S83" s="262">
        <f t="shared" si="11"/>
        <v>0</v>
      </c>
      <c r="T83" s="266">
        <f>Cen!F173</f>
        <v>28.957020000000004</v>
      </c>
      <c r="U83" s="263">
        <f t="shared" si="12"/>
        <v>0</v>
      </c>
    </row>
    <row r="84" spans="1:21" ht="13" thickBot="1" x14ac:dyDescent="0.3">
      <c r="G84" s="2"/>
      <c r="P84" s="608" t="str">
        <f>Cen!A174</f>
        <v>Boční zásuvné prvky, sklo, pro 650 mm</v>
      </c>
      <c r="Q84" s="608" t="str">
        <f>Cen!B174</f>
        <v>ZE7S538G</v>
      </c>
      <c r="R84" s="608" t="str">
        <f>Cen!C174</f>
        <v>KLA</v>
      </c>
      <c r="S84" s="609">
        <f t="shared" si="11"/>
        <v>0</v>
      </c>
      <c r="T84" s="610">
        <f>Cen!F174</f>
        <v>31.304870000000001</v>
      </c>
      <c r="U84" s="611">
        <f t="shared" si="12"/>
        <v>0</v>
      </c>
    </row>
    <row r="85" spans="1:21" ht="14" x14ac:dyDescent="0.3">
      <c r="A85" s="179"/>
      <c r="C85" s="348"/>
      <c r="D85" s="295"/>
      <c r="E85" s="295"/>
      <c r="F85" s="295"/>
      <c r="G85" s="295"/>
      <c r="H85" s="295"/>
      <c r="I85" s="295"/>
      <c r="J85" s="295"/>
      <c r="K85" s="295"/>
      <c r="L85" s="295"/>
      <c r="M85" s="119"/>
      <c r="N85" s="119"/>
      <c r="P85" s="122"/>
      <c r="Q85" s="122"/>
      <c r="R85" s="122"/>
      <c r="S85" s="123"/>
      <c r="T85" s="118"/>
      <c r="U85" s="118"/>
    </row>
    <row r="86" spans="1:21" ht="14" x14ac:dyDescent="0.3">
      <c r="A86" s="179"/>
      <c r="C86" s="348"/>
      <c r="D86" s="295"/>
      <c r="E86" s="295"/>
      <c r="F86" s="295"/>
      <c r="G86" s="295"/>
      <c r="H86" s="295"/>
      <c r="I86" s="295"/>
      <c r="J86" s="295"/>
      <c r="K86" s="295"/>
      <c r="L86" s="295"/>
      <c r="M86" s="119"/>
      <c r="N86" s="119"/>
      <c r="P86" s="122"/>
      <c r="Q86" s="122"/>
      <c r="R86" s="122"/>
      <c r="S86" s="123"/>
      <c r="T86" s="118"/>
      <c r="U86" s="118"/>
    </row>
    <row r="87" spans="1:21" ht="14" x14ac:dyDescent="0.3">
      <c r="A87" s="179"/>
      <c r="C87" s="348"/>
      <c r="D87" s="295"/>
      <c r="E87" s="295"/>
      <c r="F87" s="295"/>
      <c r="G87" s="295"/>
      <c r="H87" s="295"/>
      <c r="I87" s="295"/>
      <c r="J87" s="295"/>
      <c r="K87" s="295"/>
      <c r="L87" s="295"/>
      <c r="M87" s="119"/>
      <c r="N87" s="119"/>
      <c r="P87" s="122" t="str">
        <f>Cen!$A$621</f>
        <v>CLIP top 155° s nulovým přesahem, EXPANDO</v>
      </c>
      <c r="Q87" s="122" t="str">
        <f>Cen!$B$621</f>
        <v>71T753EN</v>
      </c>
      <c r="R87" s="122" t="str">
        <f>Cen!$C$621</f>
        <v>NI</v>
      </c>
      <c r="S87" s="123">
        <f>SUM($D$26:$F$26, $J$26:$L$26, $D$34:$F$34, $J$34:$L$34)*4</f>
        <v>0</v>
      </c>
      <c r="T87" s="118">
        <f>Cen!$F$621</f>
        <v>4.42394</v>
      </c>
      <c r="U87" s="118">
        <f t="shared" ref="U87:U90" si="13">S87*T87</f>
        <v>0</v>
      </c>
    </row>
    <row r="88" spans="1:21" ht="14" x14ac:dyDescent="0.3">
      <c r="A88" s="179"/>
      <c r="C88" s="348"/>
      <c r="D88" s="295"/>
      <c r="E88" s="295"/>
      <c r="F88" s="295"/>
      <c r="G88" s="295"/>
      <c r="H88" s="295"/>
      <c r="I88" s="295"/>
      <c r="J88" s="295"/>
      <c r="K88" s="295"/>
      <c r="L88" s="295"/>
      <c r="M88" s="119"/>
      <c r="N88" s="119"/>
      <c r="P88" s="122" t="str">
        <f>Cen!$A$630</f>
        <v>Podložka CLIP top přímá, EXPANDO</v>
      </c>
      <c r="Q88" s="122" t="str">
        <f>Cen!$B$630</f>
        <v>177H5400E</v>
      </c>
      <c r="R88" s="122" t="str">
        <f>Cen!$C$630</f>
        <v>NI</v>
      </c>
      <c r="S88" s="123">
        <f>$S87</f>
        <v>0</v>
      </c>
      <c r="T88" s="118">
        <f>Cen!$F$630</f>
        <v>0.81311999999999995</v>
      </c>
      <c r="U88" s="118">
        <f t="shared" si="13"/>
        <v>0</v>
      </c>
    </row>
    <row r="89" spans="1:21" ht="14" x14ac:dyDescent="0.3">
      <c r="A89" s="179"/>
      <c r="C89" s="348"/>
      <c r="D89" s="295"/>
      <c r="E89" s="295"/>
      <c r="F89" s="295"/>
      <c r="G89" s="295"/>
      <c r="H89" s="295"/>
      <c r="I89" s="295"/>
      <c r="J89" s="295"/>
      <c r="K89" s="295"/>
      <c r="L89" s="295"/>
      <c r="M89" s="119"/>
      <c r="N89" s="119"/>
      <c r="P89" s="122" t="str">
        <f>Cen!$A$633</f>
        <v>BLUMOTION pro nasazení na závěs 155° a 125°</v>
      </c>
      <c r="Q89" s="122" t="str">
        <f>Cen!$B$633</f>
        <v>973A7000</v>
      </c>
      <c r="R89" s="122" t="str">
        <f>Cen!$C$633</f>
        <v>NI</v>
      </c>
      <c r="S89" s="123">
        <f>$S87/4*2</f>
        <v>0</v>
      </c>
      <c r="T89" s="118">
        <f>Cen!$F$633</f>
        <v>1.5222899999999999</v>
      </c>
      <c r="U89" s="118">
        <f t="shared" si="13"/>
        <v>0</v>
      </c>
    </row>
    <row r="90" spans="1:21" ht="14" x14ac:dyDescent="0.3">
      <c r="A90" s="179"/>
      <c r="C90" s="348"/>
      <c r="D90" s="295"/>
      <c r="E90" s="295"/>
      <c r="F90" s="295"/>
      <c r="G90" s="295"/>
      <c r="H90" s="295"/>
      <c r="I90" s="295"/>
      <c r="J90" s="295"/>
      <c r="K90" s="295"/>
      <c r="L90" s="295"/>
      <c r="M90" s="119"/>
      <c r="N90" s="119"/>
      <c r="P90" s="122">
        <f>Cen!A258</f>
        <v>0</v>
      </c>
      <c r="Q90" s="122">
        <f>Cen!B258</f>
        <v>0</v>
      </c>
      <c r="R90" s="122">
        <f>Cen!C258</f>
        <v>0</v>
      </c>
      <c r="S90" s="123"/>
      <c r="T90" s="118">
        <f>Cen!F258</f>
        <v>0</v>
      </c>
      <c r="U90" s="118">
        <f t="shared" si="13"/>
        <v>0</v>
      </c>
    </row>
    <row r="91" spans="1:21" ht="13" x14ac:dyDescent="0.3">
      <c r="C91" s="287"/>
      <c r="I91" s="288"/>
      <c r="J91" s="288"/>
      <c r="K91" s="288"/>
      <c r="L91" s="288"/>
      <c r="P91" s="119"/>
      <c r="Q91" s="119"/>
    </row>
    <row r="92" spans="1:21" ht="13" x14ac:dyDescent="0.3">
      <c r="C92" s="287"/>
      <c r="I92" s="288"/>
      <c r="J92" s="288"/>
      <c r="K92" s="288"/>
      <c r="L92" s="288"/>
      <c r="P92" s="119"/>
      <c r="Q92" s="119"/>
    </row>
    <row r="93" spans="1:21" ht="13" x14ac:dyDescent="0.3">
      <c r="C93" s="287"/>
      <c r="I93" s="291"/>
      <c r="J93" s="291"/>
      <c r="K93" s="291"/>
      <c r="L93" s="291"/>
      <c r="P93" s="119"/>
      <c r="Q93" s="119"/>
      <c r="S93" s="73" t="str">
        <f>List!$B$94</f>
        <v>cena kování</v>
      </c>
      <c r="U93" s="353">
        <f>SUM(U3:U84)</f>
        <v>0</v>
      </c>
    </row>
    <row r="94" spans="1:21" ht="13" x14ac:dyDescent="0.3">
      <c r="B94" s="119"/>
      <c r="C94" s="287"/>
      <c r="I94" s="291"/>
      <c r="J94" s="291"/>
      <c r="K94" s="291"/>
      <c r="L94" s="291"/>
      <c r="P94" s="119"/>
      <c r="Q94" s="119"/>
    </row>
    <row r="95" spans="1:21" ht="13" x14ac:dyDescent="0.3">
      <c r="B95" s="119"/>
      <c r="C95" s="287"/>
      <c r="I95" s="289"/>
      <c r="J95" s="289"/>
      <c r="K95" s="289"/>
      <c r="L95" s="289"/>
      <c r="P95" s="119"/>
      <c r="Q95" s="119"/>
    </row>
    <row r="96" spans="1:21" x14ac:dyDescent="0.25">
      <c r="B96" s="119"/>
      <c r="I96" s="290"/>
      <c r="J96" s="290"/>
      <c r="K96" s="290"/>
      <c r="L96" s="290"/>
      <c r="P96" s="119"/>
      <c r="Q96" s="119"/>
    </row>
    <row r="97" spans="1:17" ht="13" x14ac:dyDescent="0.3">
      <c r="I97" s="288"/>
      <c r="J97" s="288"/>
      <c r="K97" s="288"/>
      <c r="L97" s="288"/>
      <c r="P97" s="119"/>
      <c r="Q97" s="119"/>
    </row>
    <row r="105" spans="1:17" x14ac:dyDescent="0.25">
      <c r="A105" s="783"/>
    </row>
    <row r="106" spans="1:17" x14ac:dyDescent="0.25">
      <c r="A106" s="783"/>
    </row>
    <row r="107" spans="1:17" x14ac:dyDescent="0.25">
      <c r="A107" s="783"/>
    </row>
    <row r="108" spans="1:17" x14ac:dyDescent="0.25">
      <c r="A108" s="783"/>
    </row>
    <row r="109" spans="1:17" x14ac:dyDescent="0.25">
      <c r="A109" s="783"/>
    </row>
    <row r="110" spans="1:17" x14ac:dyDescent="0.25">
      <c r="A110" s="783"/>
    </row>
    <row r="111" spans="1:17" x14ac:dyDescent="0.25">
      <c r="A111" s="783"/>
    </row>
    <row r="112" spans="1:17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  <row r="141" spans="1:1" x14ac:dyDescent="0.25">
      <c r="A141" s="783"/>
    </row>
    <row r="142" spans="1:1" x14ac:dyDescent="0.25">
      <c r="A142" s="783"/>
    </row>
    <row r="143" spans="1:1" x14ac:dyDescent="0.25">
      <c r="A143" s="783"/>
    </row>
    <row r="144" spans="1:1" x14ac:dyDescent="0.25">
      <c r="A144" s="783"/>
    </row>
    <row r="145" spans="1:1" x14ac:dyDescent="0.25">
      <c r="A145" s="783"/>
    </row>
    <row r="146" spans="1:1" x14ac:dyDescent="0.25">
      <c r="A146" s="783"/>
    </row>
  </sheetData>
  <sheetProtection algorithmName="SHA-512" hashValue="7PQHwVr3jqkeVOfGysuuWlQYb5pHMEtjA4UQXZ0AE1O3Zx1RHTSFBFCMraukY7MHf4lS20hGnmpisTm5JyOg3Q==" saltValue="O+jC/tsFm9vtHLcblN9x2A==" spinCount="100000" sheet="1" objects="1" scenarios="1"/>
  <mergeCells count="1">
    <mergeCell ref="A105:A146"/>
  </mergeCells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2" tint="-0.499984740745262"/>
  </sheetPr>
  <dimension ref="A1:U145"/>
  <sheetViews>
    <sheetView showGridLines="0" showRowColHeaders="0" showZero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91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8164062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1.4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7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79"/>
      <c r="H2" s="119"/>
      <c r="I2" s="119"/>
      <c r="J2" s="119"/>
      <c r="K2" s="119"/>
      <c r="L2" s="120" t="str">
        <f>"SPACE-TOWER, "&amp;List!$B$63&amp;" 5xC"</f>
        <v>SPACE-TOWER, sestava 5xC</v>
      </c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8" thickBot="1" x14ac:dyDescent="0.4">
      <c r="A3" s="119"/>
      <c r="B3" s="119"/>
      <c r="C3" s="119"/>
      <c r="D3" s="119"/>
      <c r="E3" s="119"/>
      <c r="F3" s="119"/>
      <c r="G3" s="179"/>
      <c r="H3" s="119"/>
      <c r="I3" s="121"/>
      <c r="J3" s="121"/>
      <c r="K3" s="121"/>
      <c r="L3" s="159" t="str">
        <f>List!$B$71</f>
        <v>přední reling</v>
      </c>
      <c r="M3" s="119"/>
      <c r="N3" s="151" t="str">
        <f>" "&amp;List!$B$13</f>
        <v xml:space="preserve"> Úvod</v>
      </c>
      <c r="O3" s="119"/>
      <c r="P3" s="375" t="str">
        <f>Cen!A75</f>
        <v>Bočnice C pure, 270mm, Orion šedé</v>
      </c>
      <c r="Q3" s="375" t="str">
        <f>Cen!B75</f>
        <v>770C2702S</v>
      </c>
      <c r="R3" s="375" t="str">
        <f>Cen!C75</f>
        <v>OG-M</v>
      </c>
      <c r="S3" s="376"/>
      <c r="T3" s="377">
        <f>Cen!F75</f>
        <v>29.004729999999999</v>
      </c>
      <c r="U3" s="378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79"/>
      <c r="H4" s="119"/>
      <c r="I4" s="122" t="str">
        <f>List!$B$79&amp;":"</f>
        <v>bočnice:</v>
      </c>
      <c r="J4" s="122"/>
      <c r="K4" s="122" t="s">
        <v>473</v>
      </c>
      <c r="L4" s="122"/>
      <c r="M4" s="119"/>
      <c r="N4" s="152" t="str">
        <f>" "&amp;List!$B$4</f>
        <v xml:space="preserve"> Výběr zásuvek a výsuvů</v>
      </c>
      <c r="O4" s="119"/>
      <c r="P4" s="375" t="str">
        <f>Cen!A79</f>
        <v>Bočnice C pure, 300mm, Orion šedé</v>
      </c>
      <c r="Q4" s="375" t="str">
        <f>Cen!B79</f>
        <v>770C3002S</v>
      </c>
      <c r="R4" s="375" t="str">
        <f>Cen!C79</f>
        <v>OG-M</v>
      </c>
      <c r="S4" s="376"/>
      <c r="T4" s="377">
        <f>Cen!F79</f>
        <v>29.004729999999999</v>
      </c>
      <c r="U4" s="37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79"/>
      <c r="H5" s="119"/>
      <c r="I5" s="121" t="str">
        <f>List!$B$27&amp;":"</f>
        <v>barva:</v>
      </c>
      <c r="J5" s="121"/>
      <c r="K5" s="121" t="str">
        <f>Form!$O$2</f>
        <v>Orion šedá (OG-M)</v>
      </c>
      <c r="L5" s="121"/>
      <c r="M5" s="119"/>
      <c r="O5" s="119"/>
      <c r="P5" s="375" t="str">
        <f>Cen!A83</f>
        <v>Bočnice C pure, 350mm, Orion šedé</v>
      </c>
      <c r="Q5" s="375" t="str">
        <f>Cen!B83</f>
        <v>770C3502S</v>
      </c>
      <c r="R5" s="375" t="str">
        <f>Cen!C83</f>
        <v>OG-M</v>
      </c>
      <c r="S5" s="376"/>
      <c r="T5" s="377">
        <f>Cen!F83</f>
        <v>29.004729999999999</v>
      </c>
      <c r="U5" s="37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79"/>
      <c r="H6" s="119"/>
      <c r="I6" s="620" t="str">
        <f>List!$B$80&amp;":"</f>
        <v>provedení:</v>
      </c>
      <c r="J6" s="122"/>
      <c r="K6" s="121" t="s">
        <v>951</v>
      </c>
      <c r="L6" s="122"/>
      <c r="M6" s="119"/>
      <c r="N6" s="2" t="str">
        <f>List!$B$12&amp;":"</f>
        <v>Pokračovat na:</v>
      </c>
      <c r="O6" s="119"/>
      <c r="P6" s="375" t="str">
        <f>Cen!A87</f>
        <v>Bočnice C pure, 400mm, Orion šedé</v>
      </c>
      <c r="Q6" s="375" t="str">
        <f>Cen!B87</f>
        <v>770C4002S</v>
      </c>
      <c r="R6" s="375" t="str">
        <f>Cen!C87</f>
        <v>OG-M</v>
      </c>
      <c r="S6" s="376"/>
      <c r="T6" s="377">
        <f>Cen!F87</f>
        <v>29.360900000000001</v>
      </c>
      <c r="U6" s="378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79"/>
      <c r="H7" s="119"/>
      <c r="I7" s="121"/>
      <c r="J7" s="122"/>
      <c r="K7" s="121"/>
      <c r="L7" s="122"/>
      <c r="M7" s="119"/>
      <c r="N7" s="151" t="str">
        <f>" "&amp;List!$B$5</f>
        <v xml:space="preserve"> Výběr doplňků</v>
      </c>
      <c r="O7" s="119"/>
      <c r="P7" s="397" t="str">
        <f>Cen!A91</f>
        <v>Bočnice C pure, 450mm, Orion šedé</v>
      </c>
      <c r="Q7" s="397" t="str">
        <f>Cen!B91</f>
        <v>770C4502S</v>
      </c>
      <c r="R7" s="397" t="str">
        <f>Cen!C91</f>
        <v>OG-M</v>
      </c>
      <c r="S7" s="424">
        <f>SUM(D26, J26, D34, J34)*5</f>
        <v>0</v>
      </c>
      <c r="T7" s="425">
        <f>Cen!F91</f>
        <v>31.28134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79"/>
      <c r="H8" s="119"/>
      <c r="I8" s="122" t="str">
        <f>List!$B$94&amp;":"</f>
        <v>cena kování:</v>
      </c>
      <c r="J8" s="122"/>
      <c r="K8" s="122"/>
      <c r="L8" s="118">
        <f>$U$71</f>
        <v>0</v>
      </c>
      <c r="M8" s="119"/>
      <c r="N8" s="151" t="str">
        <f>" "&amp;List!$B$6</f>
        <v xml:space="preserve"> Výběr SERVO-DRIVE</v>
      </c>
      <c r="O8" s="119"/>
      <c r="P8" s="127" t="str">
        <f>Cen!A95</f>
        <v>Bočnice C pure, 500mm, Orion šedé</v>
      </c>
      <c r="Q8" s="127" t="str">
        <f>Cen!B95</f>
        <v>770C5002S</v>
      </c>
      <c r="R8" s="127" t="str">
        <f>Cen!C95</f>
        <v>OG-M</v>
      </c>
      <c r="S8" s="424">
        <f>SUM(E26, K26, E34, K34)*5</f>
        <v>0</v>
      </c>
      <c r="T8" s="266">
        <f>Cen!F95</f>
        <v>31.656259999999996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7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Cen!A99</f>
        <v>Bočnice C pure, 550mm, Orion šedé</v>
      </c>
      <c r="Q9" s="127" t="str">
        <f>Cen!B99</f>
        <v>770C5502S</v>
      </c>
      <c r="R9" s="127" t="str">
        <f>Cen!C99</f>
        <v>OG-M</v>
      </c>
      <c r="S9" s="424">
        <f>SUM(F26, L26, F34, L34)*5</f>
        <v>0</v>
      </c>
      <c r="T9" s="266">
        <f>Cen!F99</f>
        <v>31.853429999999999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79"/>
      <c r="H10" s="119"/>
      <c r="I10" s="259"/>
      <c r="J10" s="259"/>
      <c r="K10" s="292"/>
      <c r="L10" s="292"/>
      <c r="M10" s="119"/>
      <c r="N10" s="152" t="str">
        <f>" "&amp;List!$B$18</f>
        <v xml:space="preserve"> Souhrn</v>
      </c>
      <c r="O10" s="119"/>
      <c r="P10" s="360" t="str">
        <f>Cen!A103</f>
        <v>Bočnice C pure, 600mm, Orion šedé</v>
      </c>
      <c r="Q10" s="360" t="str">
        <f>Cen!B103</f>
        <v>770C6002S</v>
      </c>
      <c r="R10" s="360" t="str">
        <f>Cen!C103</f>
        <v>OG-M</v>
      </c>
      <c r="S10" s="361"/>
      <c r="T10" s="362">
        <f>Cen!F103</f>
        <v>35.537379999999999</v>
      </c>
      <c r="U10" s="3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79"/>
      <c r="H11" s="119"/>
      <c r="I11" s="119" t="str">
        <f>"  "&amp;List!$B$146&amp;":"</f>
        <v xml:space="preserve">  Přířezy prvků:</v>
      </c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2"/>
      <c r="Q11" s="122"/>
      <c r="R11" s="122"/>
      <c r="S11" s="123"/>
      <c r="T11" s="117"/>
      <c r="U11" s="118"/>
    </row>
    <row r="12" spans="1:21" x14ac:dyDescent="0.25">
      <c r="A12" s="119"/>
      <c r="B12" s="119"/>
      <c r="C12" s="119"/>
      <c r="D12" s="119"/>
      <c r="E12" s="119"/>
      <c r="F12" s="119"/>
      <c r="G12" s="179"/>
      <c r="H12" s="119"/>
      <c r="I12" s="119" t="str">
        <f>List!$C$150&amp;":   LW - 126"</f>
        <v>Přední díl:   LW - 126</v>
      </c>
      <c r="J12" s="291"/>
      <c r="K12" s="291"/>
      <c r="L12" s="291"/>
      <c r="M12" s="119"/>
      <c r="N12" s="119"/>
      <c r="O12" s="119"/>
      <c r="P12" s="379" t="str">
        <f>Cen!A177</f>
        <v>Korpusové lišty BLUMOTION, 270mm, 40kg</v>
      </c>
      <c r="Q12" s="379" t="str">
        <f>Cen!B177</f>
        <v>750.2701B</v>
      </c>
      <c r="R12" s="379" t="str">
        <f>Cen!C177</f>
        <v>ZN</v>
      </c>
      <c r="S12" s="380"/>
      <c r="T12" s="381">
        <f>Cen!F177</f>
        <v>21.845690000000001</v>
      </c>
      <c r="U12" s="381">
        <f t="shared" ref="U12:U23" si="1">S12*T12</f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79"/>
      <c r="H13" s="119"/>
      <c r="I13" s="119" t="str">
        <f>List!$C$151&amp;":   LW - 90"</f>
        <v>Příčný reling:   LW - 90</v>
      </c>
      <c r="J13" s="293"/>
      <c r="K13" s="293"/>
      <c r="L13" s="293"/>
      <c r="M13" s="119"/>
      <c r="N13" s="119"/>
      <c r="O13" s="119"/>
      <c r="P13" s="379" t="str">
        <f>Cen!A178</f>
        <v>Korpusové lišty BLUMOTION, 300mm, 40kg</v>
      </c>
      <c r="Q13" s="379" t="str">
        <f>Cen!B178</f>
        <v>750.3001B</v>
      </c>
      <c r="R13" s="379" t="str">
        <f>Cen!C178</f>
        <v>ZN</v>
      </c>
      <c r="S13" s="380"/>
      <c r="T13" s="381">
        <f>Cen!F178</f>
        <v>21.925909999999998</v>
      </c>
      <c r="U13" s="381">
        <f t="shared" si="1"/>
        <v>0</v>
      </c>
    </row>
    <row r="14" spans="1:21" x14ac:dyDescent="0.25">
      <c r="A14" s="119"/>
      <c r="B14" s="119"/>
      <c r="C14" s="119"/>
      <c r="D14" s="119"/>
      <c r="E14" s="119"/>
      <c r="F14" s="119"/>
      <c r="G14" s="179"/>
      <c r="H14" s="119"/>
      <c r="I14" s="119"/>
      <c r="J14" s="290"/>
      <c r="K14" s="290"/>
      <c r="L14" s="290"/>
      <c r="M14" s="119"/>
      <c r="N14" s="119"/>
      <c r="O14" s="119"/>
      <c r="P14" s="379" t="str">
        <f>Cen!A179</f>
        <v>Korpusové lišty BLUMOTION, 350mm, 40kg</v>
      </c>
      <c r="Q14" s="379" t="str">
        <f>Cen!B179</f>
        <v>750.3501B</v>
      </c>
      <c r="R14" s="379" t="str">
        <f>Cen!C179</f>
        <v>ZN</v>
      </c>
      <c r="S14" s="380"/>
      <c r="T14" s="381">
        <f>Cen!F179</f>
        <v>21.845690000000001</v>
      </c>
      <c r="U14" s="38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79"/>
      <c r="H15" s="119"/>
      <c r="I15" s="119"/>
      <c r="J15" s="288"/>
      <c r="K15" s="288"/>
      <c r="L15" s="288"/>
      <c r="M15" s="119"/>
      <c r="N15" s="119"/>
      <c r="O15" s="119"/>
      <c r="P15" s="379" t="str">
        <f>Cen!A180</f>
        <v>Korpusové lišty BLUMOTION, 400mm, 40kg</v>
      </c>
      <c r="Q15" s="379" t="str">
        <f>Cen!B180</f>
        <v>750.4001B</v>
      </c>
      <c r="R15" s="379" t="str">
        <f>Cen!C180</f>
        <v>ZN</v>
      </c>
      <c r="S15" s="380"/>
      <c r="T15" s="381">
        <f>Cen!F180</f>
        <v>22.204979999999999</v>
      </c>
      <c r="U15" s="38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79"/>
      <c r="H16" s="119"/>
      <c r="I16" s="179"/>
      <c r="J16" s="179"/>
      <c r="K16" s="179"/>
      <c r="L16" s="179"/>
      <c r="M16" s="119"/>
      <c r="N16" s="119"/>
      <c r="O16" s="119"/>
      <c r="P16" s="426" t="str">
        <f>Cen!A181</f>
        <v>Korpusové lišty BLUMOTION, 450mm, 40kg</v>
      </c>
      <c r="Q16" s="426" t="str">
        <f>Cen!B181</f>
        <v>750.4501B</v>
      </c>
      <c r="R16" s="426" t="str">
        <f>Cen!C181</f>
        <v>ZN</v>
      </c>
      <c r="S16" s="385">
        <f>IF($D$28&gt;0, $D$28*$D$26, 4*$D$26)+IF($J$28&gt;0, $J$28*$J$26, 2*$J$26)</f>
        <v>0</v>
      </c>
      <c r="T16" s="427">
        <f>Cen!F181</f>
        <v>23.667639999999995</v>
      </c>
      <c r="U16" s="427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79"/>
      <c r="H17" s="119"/>
      <c r="I17" s="294"/>
      <c r="J17" s="294"/>
      <c r="K17" s="294"/>
      <c r="L17" s="294"/>
      <c r="M17" s="119"/>
      <c r="N17" s="119"/>
      <c r="O17" s="119"/>
      <c r="P17" s="426" t="str">
        <f>Cen!A182</f>
        <v>Korpusové lišty BLUMOTION, 450mm, 70kg</v>
      </c>
      <c r="Q17" s="426" t="str">
        <f>Cen!B182</f>
        <v>753.4501B</v>
      </c>
      <c r="R17" s="426" t="str">
        <f>Cen!C182</f>
        <v>ZN</v>
      </c>
      <c r="S17" s="385">
        <f>IF($D$28&gt;0, $D$29*$D$26, 1*$D$26)+IF($J$28&gt;0, $J$29*$J$26, 3*$J$26)</f>
        <v>0</v>
      </c>
      <c r="T17" s="427">
        <f>Cen!F182</f>
        <v>27.780560000000001</v>
      </c>
      <c r="U17" s="427">
        <f t="shared" si="1"/>
        <v>0</v>
      </c>
    </row>
    <row r="18" spans="1:21" ht="12" customHeight="1" x14ac:dyDescent="0.25">
      <c r="A18" s="119"/>
      <c r="C18" s="119"/>
      <c r="D18" s="119"/>
      <c r="E18" s="119"/>
      <c r="F18" s="119"/>
      <c r="G18" s="478"/>
      <c r="H18" s="119"/>
      <c r="I18" s="290"/>
      <c r="J18" s="290"/>
      <c r="K18" s="290"/>
      <c r="L18" s="290"/>
      <c r="M18" s="119"/>
      <c r="N18" s="119"/>
      <c r="O18" s="119"/>
      <c r="P18" s="209" t="str">
        <f>Cen!A183</f>
        <v>Korpusové lišty BLUMOTION, 500mm, 40kg</v>
      </c>
      <c r="Q18" s="209" t="str">
        <f>Cen!B183</f>
        <v>750.5001B</v>
      </c>
      <c r="R18" s="209" t="str">
        <f>Cen!C183</f>
        <v>ZN</v>
      </c>
      <c r="S18" s="385">
        <f>IF($E$28&gt;0, $E$28*$E$26, 4*$E$26)+IF($K$28&gt;0, $K$28*$K$26, 2*$K$26)</f>
        <v>0</v>
      </c>
      <c r="T18" s="261">
        <f>Cen!F183</f>
        <v>22.680199999999999</v>
      </c>
      <c r="U18" s="261">
        <f t="shared" si="1"/>
        <v>0</v>
      </c>
    </row>
    <row r="19" spans="1:21" ht="14.5" x14ac:dyDescent="0.35">
      <c r="A19" s="119"/>
      <c r="B19" s="701" t="str">
        <f>"   "&amp;List!B295</f>
        <v xml:space="preserve">   Zadejte počty skříní podle šířky korpusu a délky výsuvů</v>
      </c>
      <c r="C19" s="714"/>
      <c r="D19" s="715"/>
      <c r="E19" s="715"/>
      <c r="F19" s="715"/>
      <c r="G19" s="714"/>
      <c r="H19" s="714"/>
      <c r="I19" s="714"/>
      <c r="J19" s="715"/>
      <c r="K19" s="715"/>
      <c r="L19" s="715"/>
      <c r="M19" s="119"/>
      <c r="N19" s="119"/>
      <c r="O19" s="119"/>
      <c r="P19" s="209" t="str">
        <f>Cen!A184</f>
        <v>Korpusové lišty BLUMOTION, 500mm, 70kg</v>
      </c>
      <c r="Q19" s="209" t="str">
        <f>Cen!B184</f>
        <v>753.5001B</v>
      </c>
      <c r="R19" s="209" t="str">
        <f>Cen!C184</f>
        <v>ZN</v>
      </c>
      <c r="S19" s="385">
        <f>IF($E$28&gt;0, $E$29*$E$26, 1*$E$26)+IF($K$28&gt;0, $K$29*$K$26, 3*$K$26)</f>
        <v>0</v>
      </c>
      <c r="T19" s="261">
        <f>Cen!F184</f>
        <v>28.059809999999999</v>
      </c>
      <c r="U19" s="261">
        <f t="shared" si="1"/>
        <v>0</v>
      </c>
    </row>
    <row r="20" spans="1:21" ht="14.5" x14ac:dyDescent="0.35">
      <c r="A20" s="119"/>
      <c r="B20" s="701" t="str">
        <f>"   "&amp;List!B299</f>
        <v xml:space="preserve">   Zadejte počet korpusových lišt, pokud chcete jiné, než přednastavené složení</v>
      </c>
      <c r="C20" s="714"/>
      <c r="D20" s="715"/>
      <c r="E20" s="715"/>
      <c r="F20" s="715"/>
      <c r="G20" s="714"/>
      <c r="H20" s="714"/>
      <c r="I20" s="714"/>
      <c r="J20" s="715"/>
      <c r="K20" s="715"/>
      <c r="L20" s="715"/>
      <c r="M20" s="119"/>
      <c r="N20" s="119"/>
      <c r="O20" s="119"/>
      <c r="P20" s="209" t="str">
        <f>Cen!A185</f>
        <v>Korpusové lišty BLUMOTION, 550mm, 40kg</v>
      </c>
      <c r="Q20" s="209" t="str">
        <f>Cen!B185</f>
        <v>750.5501B</v>
      </c>
      <c r="R20" s="209" t="str">
        <f>Cen!C185</f>
        <v>ZN</v>
      </c>
      <c r="S20" s="385">
        <f>IF($F$28&gt;0, $F$28*$F$26, 4*$F$26)+IF($L$28&gt;0, $L$28*$L$26, 2*$L$26)</f>
        <v>0</v>
      </c>
      <c r="T20" s="261">
        <f>Cen!F185</f>
        <v>24.254210000000004</v>
      </c>
      <c r="U20" s="261">
        <f t="shared" si="1"/>
        <v>0</v>
      </c>
    </row>
    <row r="21" spans="1:21" ht="14.5" x14ac:dyDescent="0.35">
      <c r="A21" s="119"/>
      <c r="B21" s="701" t="str">
        <f>"         "&amp;List!B297</f>
        <v xml:space="preserve">         Zadejte počty 40kg korpusových lišt, 70kg lišty se dopočítají</v>
      </c>
      <c r="C21" s="714"/>
      <c r="D21" s="715"/>
      <c r="E21" s="715"/>
      <c r="F21" s="715"/>
      <c r="G21" s="714"/>
      <c r="H21" s="714"/>
      <c r="I21" s="714"/>
      <c r="J21" s="715"/>
      <c r="K21" s="715"/>
      <c r="L21" s="715"/>
      <c r="M21" s="119"/>
      <c r="N21" s="119"/>
      <c r="O21" s="119"/>
      <c r="P21" s="209" t="str">
        <f>Cen!A186</f>
        <v>Korpusové lišty BLUMOTION, 550mm, 70kg</v>
      </c>
      <c r="Q21" s="209" t="str">
        <f>Cen!B186</f>
        <v>753.5501B</v>
      </c>
      <c r="R21" s="209" t="str">
        <f>Cen!C186</f>
        <v>ZN</v>
      </c>
      <c r="S21" s="385">
        <f>IF($F$28&gt;0, $F$29*$F$26, 1*$F$26)+IF($L$28&gt;0, $L$29*$L$26, 3*$L$26)</f>
        <v>0</v>
      </c>
      <c r="T21" s="261">
        <f>Cen!F186</f>
        <v>29.550529999999998</v>
      </c>
      <c r="U21" s="261">
        <f t="shared" si="1"/>
        <v>0</v>
      </c>
    </row>
    <row r="22" spans="1:21" ht="9" customHeight="1" x14ac:dyDescent="0.35">
      <c r="A22" s="119"/>
      <c r="B22" s="24"/>
      <c r="C22" s="24"/>
      <c r="D22"/>
      <c r="E22"/>
      <c r="F22"/>
      <c r="G22" s="27"/>
      <c r="H22" s="24"/>
      <c r="I22" s="24"/>
      <c r="J22"/>
      <c r="K22"/>
      <c r="L22"/>
      <c r="M22" s="119"/>
      <c r="N22" s="119"/>
      <c r="O22" s="119"/>
      <c r="P22" s="364" t="str">
        <f>Cen!A187</f>
        <v>Korpusové lišty BLUMOTION, 600mm, 40kg</v>
      </c>
      <c r="Q22" s="364" t="str">
        <f>Cen!B187</f>
        <v>750.6001B</v>
      </c>
      <c r="R22" s="364" t="str">
        <f>Cen!C187</f>
        <v>ZN</v>
      </c>
      <c r="S22" s="428"/>
      <c r="T22" s="366">
        <f>Cen!F187</f>
        <v>27.259979999999999</v>
      </c>
      <c r="U22" s="366">
        <f t="shared" si="1"/>
        <v>0</v>
      </c>
    </row>
    <row r="23" spans="1:21" ht="19.5" customHeight="1" x14ac:dyDescent="0.35">
      <c r="A23"/>
      <c r="B23" s="346" t="str">
        <f>"▼   "&amp;List!$B$112&amp;" KB 450 mm"</f>
        <v>▼   Šířka korpusu KB 450 mm</v>
      </c>
      <c r="C23" s="51"/>
      <c r="H23" s="346" t="str">
        <f>"▼   "&amp;List!$B$112&amp;" KB 600 mm"</f>
        <v>▼   Šířka korpusu KB 600 mm</v>
      </c>
      <c r="I23" s="290"/>
      <c r="J23" s="290"/>
      <c r="K23" s="290"/>
      <c r="L23" s="290"/>
      <c r="M23"/>
      <c r="N23"/>
      <c r="O23" s="119"/>
      <c r="P23" s="364" t="str">
        <f>Cen!A188</f>
        <v>Korpusové lišty BLUMOTION, 600mm, 70kg</v>
      </c>
      <c r="Q23" s="364" t="str">
        <f>Cen!B188</f>
        <v>753.6001B</v>
      </c>
      <c r="R23" s="364" t="str">
        <f>Cen!C188</f>
        <v>ZN</v>
      </c>
      <c r="S23" s="428"/>
      <c r="T23" s="366">
        <f>Cen!F188</f>
        <v>32.5563</v>
      </c>
      <c r="U23" s="366">
        <f t="shared" si="1"/>
        <v>0</v>
      </c>
    </row>
    <row r="24" spans="1:21" ht="22.5" customHeight="1" x14ac:dyDescent="0.35">
      <c r="A24"/>
      <c r="B24" s="717" t="s">
        <v>1253</v>
      </c>
      <c r="C24" s="7"/>
      <c r="H24" s="717" t="s">
        <v>1253</v>
      </c>
      <c r="I24" s="290"/>
      <c r="J24" s="290"/>
      <c r="K24" s="290"/>
      <c r="L24" s="290"/>
      <c r="M24"/>
      <c r="N24"/>
      <c r="O24" s="119"/>
      <c r="P24" s="209"/>
      <c r="Q24" s="209"/>
      <c r="R24" s="209"/>
      <c r="S24" s="260"/>
      <c r="T24" s="261"/>
      <c r="U24" s="261"/>
    </row>
    <row r="25" spans="1:21" ht="14" x14ac:dyDescent="0.3">
      <c r="A25" s="119"/>
      <c r="B25" s="6"/>
      <c r="C25" s="320" t="str">
        <f>List!$B$115&amp;":"</f>
        <v>Jmenovitá délka:</v>
      </c>
      <c r="D25" s="308">
        <v>450</v>
      </c>
      <c r="E25" s="429">
        <v>500</v>
      </c>
      <c r="F25" s="307">
        <v>550</v>
      </c>
      <c r="G25" s="348"/>
      <c r="H25" s="6"/>
      <c r="I25" s="373" t="str">
        <f>List!$B$115&amp;":"</f>
        <v>Jmenovitá délka:</v>
      </c>
      <c r="J25" s="314">
        <v>450</v>
      </c>
      <c r="K25" s="429">
        <v>500</v>
      </c>
      <c r="L25" s="307">
        <v>550</v>
      </c>
      <c r="M25" s="119"/>
      <c r="N25" s="119"/>
      <c r="O25" s="119"/>
      <c r="P25" s="209"/>
      <c r="Q25" s="209"/>
      <c r="R25" s="209"/>
      <c r="S25" s="260"/>
      <c r="T25" s="261"/>
      <c r="U25" s="261"/>
    </row>
    <row r="26" spans="1:21" ht="14" x14ac:dyDescent="0.3">
      <c r="A26" s="119"/>
      <c r="B26" s="374"/>
      <c r="C26" s="320" t="str">
        <f>List!$B$99&amp;":"</f>
        <v>Počet skříní:</v>
      </c>
      <c r="D26" s="317"/>
      <c r="E26" s="317"/>
      <c r="F26" s="371"/>
      <c r="G26" s="295"/>
      <c r="H26" s="374"/>
      <c r="I26" s="320" t="str">
        <f>List!$B$99&amp;":"</f>
        <v>Počet skříní:</v>
      </c>
      <c r="J26" s="317"/>
      <c r="K26" s="317"/>
      <c r="L26" s="318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9.5" customHeight="1" x14ac:dyDescent="0.35">
      <c r="A27" s="119"/>
      <c r="B27" s="372" t="str">
        <f>List!$B$126</f>
        <v>Korpusové lišty</v>
      </c>
      <c r="C27" s="320"/>
      <c r="D27" s="24"/>
      <c r="E27" s="24"/>
      <c r="F27" s="24"/>
      <c r="G27" s="27"/>
      <c r="H27" s="372" t="str">
        <f>List!$B$126</f>
        <v>Korpusové lišty</v>
      </c>
      <c r="I27" s="320"/>
      <c r="J27"/>
      <c r="K27"/>
      <c r="L27"/>
      <c r="M27" s="119"/>
      <c r="N27" s="119"/>
      <c r="O27" s="119"/>
      <c r="P27" s="209"/>
      <c r="Q27" s="209"/>
      <c r="R27" s="209"/>
      <c r="S27" s="260"/>
      <c r="T27" s="261"/>
      <c r="U27" s="261"/>
    </row>
    <row r="28" spans="1:21" ht="15" customHeight="1" thickBot="1" x14ac:dyDescent="0.4">
      <c r="A28" s="119"/>
      <c r="B28" s="297" t="s">
        <v>505</v>
      </c>
      <c r="C28" s="384" t="s">
        <v>887</v>
      </c>
      <c r="D28" s="387"/>
      <c r="E28" s="387"/>
      <c r="F28" s="388"/>
      <c r="G28" s="295"/>
      <c r="H28" s="297" t="s">
        <v>505</v>
      </c>
      <c r="I28" s="298" t="str">
        <f>"2 ks*"</f>
        <v>2 ks*</v>
      </c>
      <c r="J28" s="389"/>
      <c r="K28" s="389"/>
      <c r="L28" s="390"/>
      <c r="M28"/>
      <c r="N28" s="119"/>
      <c r="O28" s="119"/>
      <c r="P28" s="209"/>
      <c r="Q28" s="209"/>
      <c r="R28" s="209"/>
      <c r="S28" s="260"/>
      <c r="T28" s="261"/>
      <c r="U28" s="261"/>
    </row>
    <row r="29" spans="1:21" ht="15" customHeight="1" x14ac:dyDescent="0.35">
      <c r="A29" s="119"/>
      <c r="B29" s="301" t="s">
        <v>506</v>
      </c>
      <c r="C29" s="382" t="s">
        <v>888</v>
      </c>
      <c r="D29" s="386">
        <f>IF(D28&gt;0, IF(D28&gt;5,0, 5-D28),0)</f>
        <v>0</v>
      </c>
      <c r="E29" s="386">
        <f t="shared" ref="E29:F29" si="2">IF(E28&gt;0, IF(E28&gt;5,0, 5-E28),0)</f>
        <v>0</v>
      </c>
      <c r="F29" s="712">
        <f t="shared" si="2"/>
        <v>0</v>
      </c>
      <c r="G29" s="295"/>
      <c r="H29" s="301" t="s">
        <v>506</v>
      </c>
      <c r="I29" s="382" t="str">
        <f>"3 ks*"</f>
        <v>3 ks*</v>
      </c>
      <c r="J29" s="386">
        <f>IF(J28&gt;0, IF(J28&gt;5,0, 5-J28),0)</f>
        <v>0</v>
      </c>
      <c r="K29" s="386">
        <f t="shared" ref="K29:L29" si="3">IF(K28&gt;0, IF(K28&gt;5,0, 5-K28),0)</f>
        <v>0</v>
      </c>
      <c r="L29" s="712">
        <f t="shared" si="3"/>
        <v>0</v>
      </c>
      <c r="M29"/>
      <c r="N29" s="119"/>
      <c r="O29" s="119"/>
      <c r="P29" s="209"/>
      <c r="Q29" s="209"/>
      <c r="R29" s="209"/>
      <c r="S29" s="260"/>
      <c r="T29" s="261"/>
      <c r="U29" s="261"/>
    </row>
    <row r="30" spans="1:21" ht="13.5" customHeight="1" x14ac:dyDescent="0.35">
      <c r="A30" s="119"/>
      <c r="C30"/>
      <c r="D30" s="711" t="str">
        <f>IF(D28&gt;5,"Max. 5!"," ")</f>
        <v xml:space="preserve"> </v>
      </c>
      <c r="E30" s="711" t="str">
        <f t="shared" ref="E30:F30" si="4">IF(E28&gt;5,"Max. 5!"," ")</f>
        <v xml:space="preserve"> </v>
      </c>
      <c r="F30" s="711" t="str">
        <f t="shared" si="4"/>
        <v xml:space="preserve"> </v>
      </c>
      <c r="G30" s="27"/>
      <c r="H30"/>
      <c r="I30"/>
      <c r="J30" s="711" t="str">
        <f>IF(J28&gt;5,"Max. 5!"," ")</f>
        <v xml:space="preserve"> </v>
      </c>
      <c r="K30" s="711" t="str">
        <f t="shared" ref="K30:L30" si="5">IF(K28&gt;5,"Max. 5!"," ")</f>
        <v xml:space="preserve"> </v>
      </c>
      <c r="L30" s="711" t="str">
        <f t="shared" si="5"/>
        <v xml:space="preserve"> </v>
      </c>
      <c r="M30"/>
      <c r="N30" s="119"/>
      <c r="O30" s="119"/>
      <c r="P30" s="209"/>
      <c r="Q30" s="209"/>
      <c r="R30" s="209"/>
      <c r="S30" s="260"/>
      <c r="T30" s="261"/>
      <c r="U30" s="261"/>
    </row>
    <row r="31" spans="1:21" ht="9" customHeight="1" x14ac:dyDescent="0.35">
      <c r="A31" s="179"/>
      <c r="G31" s="27"/>
      <c r="H31" s="716"/>
      <c r="I31" s="716"/>
      <c r="J31" s="716"/>
      <c r="K31" s="716"/>
      <c r="L31" s="716"/>
      <c r="M31" s="119"/>
      <c r="N31" s="119"/>
      <c r="O31" s="119"/>
      <c r="P31" s="209"/>
      <c r="Q31" s="209"/>
      <c r="R31" s="209"/>
      <c r="S31" s="260"/>
      <c r="T31" s="261"/>
      <c r="U31" s="261"/>
    </row>
    <row r="32" spans="1:21" ht="15.75" customHeight="1" x14ac:dyDescent="0.25">
      <c r="A32" s="179"/>
      <c r="B32" s="312" t="s">
        <v>1254</v>
      </c>
      <c r="C32" s="7"/>
      <c r="H32" s="312" t="s">
        <v>1254</v>
      </c>
      <c r="I32" s="290"/>
      <c r="J32" s="290"/>
      <c r="K32" s="290"/>
      <c r="L32" s="290"/>
      <c r="M32" s="119"/>
      <c r="N32" s="119"/>
      <c r="O32" s="119"/>
      <c r="P32" s="209"/>
      <c r="Q32" s="209"/>
      <c r="R32" s="209"/>
      <c r="S32" s="260"/>
      <c r="T32" s="261"/>
      <c r="U32" s="261"/>
    </row>
    <row r="33" spans="1:21" ht="15" customHeight="1" x14ac:dyDescent="0.3">
      <c r="A33" s="179"/>
      <c r="B33" s="6"/>
      <c r="C33" s="320" t="str">
        <f>List!$B$115&amp;":"</f>
        <v>Jmenovitá délka:</v>
      </c>
      <c r="D33" s="308">
        <v>450</v>
      </c>
      <c r="E33" s="429">
        <v>500</v>
      </c>
      <c r="F33" s="307">
        <v>550</v>
      </c>
      <c r="G33" s="348"/>
      <c r="H33" s="6"/>
      <c r="I33" s="373" t="str">
        <f>List!$B$115&amp;":"</f>
        <v>Jmenovitá délka:</v>
      </c>
      <c r="J33" s="314">
        <v>450</v>
      </c>
      <c r="K33" s="429">
        <v>500</v>
      </c>
      <c r="L33" s="307">
        <v>550</v>
      </c>
      <c r="M33" s="119"/>
      <c r="N33" s="119"/>
      <c r="O33" s="119"/>
      <c r="P33" s="209"/>
      <c r="Q33" s="209"/>
      <c r="R33" s="209"/>
      <c r="S33" s="260"/>
      <c r="T33" s="261"/>
      <c r="U33" s="261"/>
    </row>
    <row r="34" spans="1:21" ht="15" customHeight="1" x14ac:dyDescent="0.3">
      <c r="A34" s="179"/>
      <c r="B34" s="374"/>
      <c r="C34" s="320" t="str">
        <f>List!$B$99&amp;":"</f>
        <v>Počet skříní:</v>
      </c>
      <c r="D34" s="317"/>
      <c r="E34" s="317"/>
      <c r="F34" s="371"/>
      <c r="G34" s="295"/>
      <c r="H34" s="374"/>
      <c r="I34" s="320" t="str">
        <f>List!$B$99&amp;":"</f>
        <v>Počet skříní:</v>
      </c>
      <c r="J34" s="317"/>
      <c r="K34" s="317"/>
      <c r="L34" s="318"/>
      <c r="M34" s="119"/>
      <c r="N34" s="119"/>
      <c r="O34" s="119"/>
      <c r="P34" s="209"/>
      <c r="Q34" s="209"/>
      <c r="R34" s="209"/>
      <c r="S34" s="260"/>
      <c r="T34" s="261"/>
      <c r="U34" s="261"/>
    </row>
    <row r="35" spans="1:21" ht="19.5" customHeight="1" x14ac:dyDescent="0.35">
      <c r="A35" s="179"/>
      <c r="B35" s="372" t="str">
        <f>List!$B$126&amp;"**"</f>
        <v>Korpusové lišty**</v>
      </c>
      <c r="C35" s="320"/>
      <c r="D35" s="24"/>
      <c r="E35" s="24"/>
      <c r="F35" s="24"/>
      <c r="G35" s="27"/>
      <c r="H35" s="372" t="str">
        <f>List!$B$126&amp;"**"</f>
        <v>Korpusové lišty**</v>
      </c>
      <c r="I35" s="320"/>
      <c r="J35"/>
      <c r="K35"/>
      <c r="L35"/>
      <c r="M35" s="119"/>
      <c r="N35" s="119"/>
      <c r="P35" s="122"/>
      <c r="Q35" s="122"/>
      <c r="R35" s="122"/>
      <c r="S35" s="123"/>
      <c r="T35" s="118"/>
      <c r="U35" s="261"/>
    </row>
    <row r="36" spans="1:21" ht="15" customHeight="1" thickBot="1" x14ac:dyDescent="0.35">
      <c r="A36" s="179"/>
      <c r="B36" s="297" t="s">
        <v>505</v>
      </c>
      <c r="C36" s="384" t="s">
        <v>887</v>
      </c>
      <c r="D36" s="387"/>
      <c r="E36" s="387"/>
      <c r="F36" s="388"/>
      <c r="G36" s="295"/>
      <c r="H36" s="297" t="s">
        <v>505</v>
      </c>
      <c r="I36" s="298" t="str">
        <f>"2 ks*"</f>
        <v>2 ks*</v>
      </c>
      <c r="J36" s="389"/>
      <c r="K36" s="389"/>
      <c r="L36" s="390"/>
      <c r="M36" s="119"/>
      <c r="N36" s="119"/>
      <c r="P36" s="122"/>
      <c r="Q36" s="122"/>
      <c r="R36" s="122"/>
      <c r="S36" s="123"/>
      <c r="T36" s="118"/>
      <c r="U36" s="693"/>
    </row>
    <row r="37" spans="1:21" ht="15" customHeight="1" x14ac:dyDescent="0.3">
      <c r="A37" s="179"/>
      <c r="B37" s="301" t="s">
        <v>506</v>
      </c>
      <c r="C37" s="382" t="s">
        <v>888</v>
      </c>
      <c r="D37" s="386">
        <f>IF(D36&gt;0,IF(D36&gt;5,0,5-D36),0)</f>
        <v>0</v>
      </c>
      <c r="E37" s="386">
        <f t="shared" ref="E37:F37" si="6">IF(E36&gt;0,IF(E36&gt;5,0,5-E36),0)</f>
        <v>0</v>
      </c>
      <c r="F37" s="712">
        <f t="shared" si="6"/>
        <v>0</v>
      </c>
      <c r="G37" s="295"/>
      <c r="H37" s="301" t="s">
        <v>506</v>
      </c>
      <c r="I37" s="382" t="str">
        <f>"3 ks*"</f>
        <v>3 ks*</v>
      </c>
      <c r="J37" s="386">
        <f>IF(J36&gt;0,IF(J36&gt;5,0,5-J36),0)</f>
        <v>0</v>
      </c>
      <c r="K37" s="386">
        <f t="shared" ref="K37:L37" si="7">IF(K36&gt;0,IF(K36&gt;5,0,5-K36),0)</f>
        <v>0</v>
      </c>
      <c r="L37" s="712">
        <f t="shared" si="7"/>
        <v>0</v>
      </c>
      <c r="M37" s="119"/>
      <c r="N37" s="119"/>
      <c r="P37" s="122"/>
      <c r="Q37" s="122"/>
      <c r="R37" s="122"/>
      <c r="S37" s="123"/>
      <c r="T37" s="118"/>
      <c r="U37" s="693"/>
    </row>
    <row r="38" spans="1:21" ht="13.5" customHeight="1" x14ac:dyDescent="0.3">
      <c r="A38" s="179"/>
      <c r="C38" s="316"/>
      <c r="D38" s="711" t="str">
        <f>IF(D36&gt;5,"Max. 5!"," ")</f>
        <v xml:space="preserve"> </v>
      </c>
      <c r="E38" s="711" t="str">
        <f t="shared" ref="E38:F38" si="8">IF(E36&gt;5,"Max. 5!"," ")</f>
        <v xml:space="preserve"> </v>
      </c>
      <c r="F38" s="711" t="str">
        <f t="shared" si="8"/>
        <v xml:space="preserve"> </v>
      </c>
      <c r="G38" s="295"/>
      <c r="H38" s="383"/>
      <c r="I38" s="316"/>
      <c r="J38" s="711" t="str">
        <f>IF(J36&gt;5,"Max. 5!"," ")</f>
        <v xml:space="preserve"> </v>
      </c>
      <c r="K38" s="711" t="str">
        <f t="shared" ref="K38:L38" si="9">IF(K36&gt;5,"Max. 5!"," ")</f>
        <v xml:space="preserve"> </v>
      </c>
      <c r="L38" s="711" t="str">
        <f t="shared" si="9"/>
        <v xml:space="preserve"> </v>
      </c>
      <c r="M38" s="119"/>
      <c r="N38" s="119"/>
      <c r="P38" s="122"/>
      <c r="Q38" s="122"/>
      <c r="R38" s="122"/>
      <c r="S38" s="123"/>
      <c r="T38" s="118"/>
      <c r="U38" s="693"/>
    </row>
    <row r="39" spans="1:21" ht="13.5" customHeight="1" x14ac:dyDescent="0.3">
      <c r="A39" s="179"/>
      <c r="C39" s="347"/>
      <c r="D39" s="348"/>
      <c r="E39" s="348"/>
      <c r="F39" s="348"/>
      <c r="G39" s="348"/>
      <c r="H39" s="348"/>
      <c r="I39" s="348"/>
      <c r="J39" s="295"/>
      <c r="K39" s="348"/>
      <c r="L39" s="348"/>
      <c r="M39" s="119"/>
      <c r="N39" s="119"/>
      <c r="P39" s="122"/>
      <c r="Q39" s="122"/>
      <c r="R39" s="122"/>
      <c r="S39" s="123"/>
      <c r="T39" s="118"/>
      <c r="U39" s="693"/>
    </row>
    <row r="40" spans="1:21" ht="13.5" customHeight="1" x14ac:dyDescent="0.3">
      <c r="A40" s="179"/>
      <c r="B40" s="119" t="str">
        <f>"       * "&amp;List!$B$162</f>
        <v xml:space="preserve">       * Nastavené počty korpusových lišt</v>
      </c>
      <c r="C40" s="347"/>
      <c r="D40" s="348"/>
      <c r="E40" s="348"/>
      <c r="F40" s="348"/>
      <c r="G40" s="348"/>
      <c r="H40" s="348"/>
      <c r="I40" s="348"/>
      <c r="J40" s="295"/>
      <c r="K40" s="348"/>
      <c r="L40" s="348"/>
      <c r="M40" s="119"/>
      <c r="N40" s="119"/>
      <c r="P40" s="122"/>
      <c r="Q40" s="122"/>
      <c r="R40" s="122"/>
      <c r="S40" s="123"/>
      <c r="T40" s="118"/>
      <c r="U40" s="693"/>
    </row>
    <row r="41" spans="1:21" ht="13.5" customHeight="1" x14ac:dyDescent="0.3">
      <c r="A41" s="179"/>
      <c r="B41" s="119" t="str">
        <f>"     ** "&amp;List!$B$313</f>
        <v xml:space="preserve">     ** Jednotky TIP-ON BLUMOTION budou přidány automaticky</v>
      </c>
      <c r="C41" s="347"/>
      <c r="D41" s="348"/>
      <c r="E41" s="348"/>
      <c r="F41" s="348"/>
      <c r="G41" s="348"/>
      <c r="H41" s="348"/>
      <c r="I41" s="348"/>
      <c r="J41" s="295"/>
      <c r="K41" s="348"/>
      <c r="L41" s="348"/>
      <c r="M41" s="119"/>
      <c r="N41" s="119"/>
      <c r="P41" s="364" t="str">
        <f>Cen!A209</f>
        <v>Korpusové lišty TIP-ON BLUMOTION, 270mm, 40kg</v>
      </c>
      <c r="Q41" s="364" t="str">
        <f>Cen!B209</f>
        <v>750.2700M</v>
      </c>
      <c r="R41" s="364" t="str">
        <f>Cen!C209</f>
        <v>ZN</v>
      </c>
      <c r="S41" s="365"/>
      <c r="T41" s="366">
        <f>Cen!F209</f>
        <v>21.925909999999998</v>
      </c>
      <c r="U41" s="366">
        <f>S41*T41</f>
        <v>0</v>
      </c>
    </row>
    <row r="42" spans="1:21" ht="13.5" customHeight="1" x14ac:dyDescent="0.3">
      <c r="A42" s="179"/>
      <c r="B42" s="2" t="str">
        <f>"         "&amp;List!B303</f>
        <v xml:space="preserve">         Synchronizaci vyberte v sekci "Výběr doplňků"</v>
      </c>
      <c r="C42" s="347"/>
      <c r="D42" s="348"/>
      <c r="E42" s="348"/>
      <c r="F42" s="348"/>
      <c r="G42" s="348"/>
      <c r="H42" s="348"/>
      <c r="I42" s="348"/>
      <c r="J42" s="295"/>
      <c r="K42" s="348"/>
      <c r="L42" s="348"/>
      <c r="M42" s="119"/>
      <c r="N42" s="119"/>
      <c r="P42" s="364" t="str">
        <f>Cen!A210</f>
        <v>Korpusové lišty TIP-ON BLUMOTION, 300mm, 40kg</v>
      </c>
      <c r="Q42" s="364" t="str">
        <f>Cen!B210</f>
        <v>750.3001M</v>
      </c>
      <c r="R42" s="364" t="str">
        <f>Cen!C210</f>
        <v>ZN</v>
      </c>
      <c r="S42" s="365"/>
      <c r="T42" s="366">
        <f>Cen!F210</f>
        <v>21.925909999999998</v>
      </c>
      <c r="U42" s="366">
        <f t="shared" ref="U42:U58" si="10">S42*T42</f>
        <v>0</v>
      </c>
    </row>
    <row r="43" spans="1:21" ht="14" x14ac:dyDescent="0.3">
      <c r="A43" s="179"/>
      <c r="B43" s="119" t="str">
        <f>"    *** "&amp;List!$B$170&amp;": "&amp;List!$C$68&amp;" 3x, "&amp;List!$C$69&amp;" 2x"</f>
        <v xml:space="preserve">    *** Složení čelních zásuvných prvků: vysoký 3x, nízký 2x</v>
      </c>
      <c r="C43" s="348"/>
      <c r="D43" s="295"/>
      <c r="E43" s="295"/>
      <c r="F43" s="295"/>
      <c r="G43" s="295"/>
      <c r="H43" s="295"/>
      <c r="I43" s="295"/>
      <c r="J43" s="295"/>
      <c r="K43" s="295"/>
      <c r="L43" s="295"/>
      <c r="M43" s="119"/>
      <c r="N43" s="119"/>
      <c r="P43" s="364" t="str">
        <f>Cen!A211</f>
        <v>Korpusové lišty TIP-ON BLUMOTION, 350mm, 40kg</v>
      </c>
      <c r="Q43" s="364" t="str">
        <f>Cen!B211</f>
        <v>750.3501M</v>
      </c>
      <c r="R43" s="364" t="str">
        <f>Cen!C211</f>
        <v>ZN</v>
      </c>
      <c r="S43" s="365"/>
      <c r="T43" s="366">
        <f>Cen!F211</f>
        <v>21.925909999999998</v>
      </c>
      <c r="U43" s="366">
        <f t="shared" si="10"/>
        <v>0</v>
      </c>
    </row>
    <row r="44" spans="1:21" ht="14" x14ac:dyDescent="0.3">
      <c r="A44" s="179"/>
      <c r="B44" s="119" t="str">
        <f>"         "&amp;List!$B$171</f>
        <v xml:space="preserve">         Chcete-li jiné složení zásuvných prvků, upravte počty v objednávce</v>
      </c>
      <c r="C44" s="316"/>
      <c r="D44" s="359"/>
      <c r="E44" s="359"/>
      <c r="F44" s="359"/>
      <c r="G44" s="359"/>
      <c r="H44" s="359"/>
      <c r="I44" s="295"/>
      <c r="J44" s="295"/>
      <c r="K44" s="295"/>
      <c r="L44" s="295"/>
      <c r="M44" s="119"/>
      <c r="P44" s="364" t="str">
        <f>Cen!A212</f>
        <v>Korpusové lišty TIP-ON BLUMOTION, 400mm, 40kg</v>
      </c>
      <c r="Q44" s="364" t="str">
        <f>Cen!B212</f>
        <v>750.4001M</v>
      </c>
      <c r="R44" s="364" t="str">
        <f>Cen!C212</f>
        <v>ZN</v>
      </c>
      <c r="S44" s="365"/>
      <c r="T44" s="366">
        <f>Cen!F212</f>
        <v>22.204979999999999</v>
      </c>
      <c r="U44" s="366">
        <f t="shared" si="10"/>
        <v>0</v>
      </c>
    </row>
    <row r="45" spans="1:21" ht="14" x14ac:dyDescent="0.3">
      <c r="A45" s="179"/>
      <c r="B45" s="119" t="str">
        <f>"         "&amp;List!$B$173</f>
        <v xml:space="preserve">         Máte-li zásuvné prvky vlastní, upravte počty v objednávce</v>
      </c>
      <c r="C45" s="316"/>
      <c r="D45" s="359"/>
      <c r="E45" s="359"/>
      <c r="F45" s="359"/>
      <c r="G45" s="359"/>
      <c r="H45" s="359"/>
      <c r="I45" s="295"/>
      <c r="J45" s="295"/>
      <c r="K45" s="295"/>
      <c r="L45" s="295"/>
      <c r="M45" s="119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385">
        <f>IF($D$36&gt;0, $D$36*$D$34, 4*$D$34)+IF($J$36&gt;0, $J$36*$J$34, 2*$J$34)</f>
        <v>0</v>
      </c>
      <c r="T45" s="118">
        <f>Cen!F213</f>
        <v>23.667639999999995</v>
      </c>
      <c r="U45" s="118">
        <f>S45*T45</f>
        <v>0</v>
      </c>
    </row>
    <row r="46" spans="1:21" ht="14" x14ac:dyDescent="0.3">
      <c r="A46" s="179"/>
      <c r="C46" s="316"/>
      <c r="D46" s="359"/>
      <c r="E46" s="359"/>
      <c r="F46" s="359"/>
      <c r="G46" s="359"/>
      <c r="H46" s="359"/>
      <c r="I46" s="295"/>
      <c r="J46" s="295"/>
      <c r="K46" s="295"/>
      <c r="L46" s="295"/>
      <c r="M46" s="119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385">
        <f>IF($D$36&gt;0, $D$37*$D$34, 1*$D$34)+IF($J$36&gt;0, $J$37*$J$34, 3*$J$34)</f>
        <v>0</v>
      </c>
      <c r="T46" s="118">
        <f>Cen!F214</f>
        <v>27.780560000000001</v>
      </c>
      <c r="U46" s="118">
        <f>S46*T46</f>
        <v>0</v>
      </c>
    </row>
    <row r="47" spans="1:21" ht="14" x14ac:dyDescent="0.3">
      <c r="A47" s="179"/>
      <c r="C47" s="316"/>
      <c r="D47" s="359"/>
      <c r="E47" s="359"/>
      <c r="F47" s="359"/>
      <c r="G47" s="359"/>
      <c r="H47" s="359"/>
      <c r="I47" s="295"/>
      <c r="J47" s="295"/>
      <c r="K47" s="295"/>
      <c r="L47" s="295"/>
      <c r="M47" s="11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385">
        <f>IF($E$36&gt;0, $E$36*$E$34, 4*$E$34)+IF($K$36&gt;0, $K$36*$K$34, 2*$K$34)</f>
        <v>0</v>
      </c>
      <c r="T47" s="696">
        <f>Cen!F215</f>
        <v>23.961559999999999</v>
      </c>
      <c r="U47" s="696">
        <f>S47*T47</f>
        <v>0</v>
      </c>
    </row>
    <row r="48" spans="1:21" ht="14" x14ac:dyDescent="0.3">
      <c r="A48" s="179"/>
      <c r="C48" s="316"/>
      <c r="D48" s="359"/>
      <c r="E48" s="359"/>
      <c r="F48" s="359"/>
      <c r="G48" s="359"/>
      <c r="H48" s="359"/>
      <c r="I48" s="295"/>
      <c r="J48" s="295"/>
      <c r="K48" s="295"/>
      <c r="L48" s="295"/>
      <c r="M48" s="11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385">
        <f>IF($E$36&gt;0, $E$37*$E$34, 1*$E$34)+IF($K$36&gt;0, $K$37*$K$34, 3*$K$34)</f>
        <v>0</v>
      </c>
      <c r="T48" s="696">
        <f>Cen!F216</f>
        <v>28.059809999999999</v>
      </c>
      <c r="U48" s="696">
        <f>S48*T48</f>
        <v>0</v>
      </c>
    </row>
    <row r="49" spans="1:21" ht="14" x14ac:dyDescent="0.3">
      <c r="A49" s="179"/>
      <c r="C49" s="316"/>
      <c r="D49" s="359"/>
      <c r="E49" s="359"/>
      <c r="F49" s="359"/>
      <c r="G49" s="359"/>
      <c r="H49" s="359"/>
      <c r="I49" s="295"/>
      <c r="J49" s="295"/>
      <c r="K49" s="295"/>
      <c r="L49" s="295"/>
      <c r="M49" s="119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385">
        <f>IF($F$36&gt;0, $F$36*$F$34, 4*$F$34)+IF($L$36&gt;0, $L$36*$L$34, 2*$L$34)</f>
        <v>0</v>
      </c>
      <c r="T49" s="118">
        <f>Cen!F217</f>
        <v>24.254210000000004</v>
      </c>
      <c r="U49" s="118">
        <f t="shared" si="10"/>
        <v>0</v>
      </c>
    </row>
    <row r="50" spans="1:21" ht="14" x14ac:dyDescent="0.3">
      <c r="A50" s="179"/>
      <c r="C50" s="316"/>
      <c r="D50" s="359"/>
      <c r="E50" s="359"/>
      <c r="F50" s="359"/>
      <c r="G50" s="359"/>
      <c r="H50" s="359"/>
      <c r="I50" s="295"/>
      <c r="J50" s="295"/>
      <c r="K50" s="295"/>
      <c r="L50" s="295"/>
      <c r="M50" s="119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385">
        <f>IF($F$36&gt;0, $F$37*$F$34, 1*$F$34)+IF($L$36&gt;0, $L$37*$L$34, 3*$L$34)</f>
        <v>0</v>
      </c>
      <c r="T50" s="118">
        <f>Cen!F218</f>
        <v>29.550529999999998</v>
      </c>
      <c r="U50" s="118">
        <f t="shared" si="10"/>
        <v>0</v>
      </c>
    </row>
    <row r="51" spans="1:21" ht="14" x14ac:dyDescent="0.3">
      <c r="A51" s="179"/>
      <c r="C51" s="316"/>
      <c r="D51" s="359"/>
      <c r="E51" s="359"/>
      <c r="F51" s="359"/>
      <c r="G51" s="359"/>
      <c r="H51" s="359"/>
      <c r="I51" s="295"/>
      <c r="J51" s="295"/>
      <c r="K51" s="295"/>
      <c r="L51" s="295"/>
      <c r="M51" s="119"/>
      <c r="P51" s="364" t="str">
        <f>Cen!A219</f>
        <v>Korpusové lišty TIP-ON BLUMOTION, 600mm, 40kg</v>
      </c>
      <c r="Q51" s="364" t="str">
        <f>Cen!B219</f>
        <v>750.6001M</v>
      </c>
      <c r="R51" s="364" t="str">
        <f>Cen!C219</f>
        <v>ZN</v>
      </c>
      <c r="S51" s="365"/>
      <c r="T51" s="366">
        <f>Cen!F219</f>
        <v>27.259979999999999</v>
      </c>
      <c r="U51" s="366">
        <f t="shared" si="10"/>
        <v>0</v>
      </c>
    </row>
    <row r="52" spans="1:21" ht="14" x14ac:dyDescent="0.3">
      <c r="A52" s="179"/>
      <c r="C52" s="316"/>
      <c r="D52" s="359"/>
      <c r="E52" s="359"/>
      <c r="F52" s="359"/>
      <c r="G52" s="359"/>
      <c r="H52" s="359"/>
      <c r="I52" s="295"/>
      <c r="J52" s="295"/>
      <c r="K52" s="295"/>
      <c r="L52" s="295"/>
      <c r="M52" s="119"/>
      <c r="P52" s="364" t="str">
        <f>Cen!A220</f>
        <v>Korpusové lišty TIP-ON BLUMOTION, 600mm, 70kg</v>
      </c>
      <c r="Q52" s="364" t="str">
        <f>Cen!B220</f>
        <v>753.6001M</v>
      </c>
      <c r="R52" s="364" t="str">
        <f>Cen!C220</f>
        <v>ZN</v>
      </c>
      <c r="S52" s="365"/>
      <c r="T52" s="366">
        <f>Cen!F220</f>
        <v>32.5563</v>
      </c>
      <c r="U52" s="366">
        <f t="shared" si="10"/>
        <v>0</v>
      </c>
    </row>
    <row r="53" spans="1:21" ht="14" x14ac:dyDescent="0.3">
      <c r="A53" s="179"/>
      <c r="C53" s="316"/>
      <c r="D53" s="359"/>
      <c r="E53" s="359"/>
      <c r="F53" s="359"/>
      <c r="G53" s="359"/>
      <c r="H53" s="359"/>
      <c r="I53" s="295"/>
      <c r="J53" s="295"/>
      <c r="K53" s="295"/>
      <c r="L53" s="295"/>
      <c r="M53" s="119"/>
      <c r="P53" s="364" t="str">
        <f>Cen!A221</f>
        <v>Korpusové lišty TIP-ON BLUMOTION, 650mm, 70kg</v>
      </c>
      <c r="Q53" s="364" t="str">
        <f>Cen!B221</f>
        <v>753.6501M</v>
      </c>
      <c r="R53" s="364" t="str">
        <f>Cen!C221</f>
        <v>ZN</v>
      </c>
      <c r="S53" s="365"/>
      <c r="T53" s="366">
        <f>Cen!F221</f>
        <v>34.047020000000003</v>
      </c>
      <c r="U53" s="366">
        <f t="shared" si="10"/>
        <v>0</v>
      </c>
    </row>
    <row r="54" spans="1:21" ht="14" x14ac:dyDescent="0.3">
      <c r="A54" s="179"/>
      <c r="C54" s="316"/>
      <c r="D54" s="359"/>
      <c r="E54" s="359"/>
      <c r="F54" s="359"/>
      <c r="G54" s="359"/>
      <c r="H54" s="359"/>
      <c r="I54" s="295"/>
      <c r="J54" s="295"/>
      <c r="K54" s="295"/>
      <c r="L54" s="295"/>
      <c r="M54" s="119"/>
      <c r="P54" s="122"/>
      <c r="Q54" s="122"/>
      <c r="R54" s="122"/>
      <c r="S54" s="123"/>
      <c r="T54" s="118"/>
      <c r="U54" s="118"/>
    </row>
    <row r="55" spans="1:21" ht="14" x14ac:dyDescent="0.3">
      <c r="A55" s="179"/>
      <c r="C55" s="316"/>
      <c r="D55" s="359"/>
      <c r="E55" s="359"/>
      <c r="F55" s="359"/>
      <c r="G55" s="359"/>
      <c r="H55" s="359"/>
      <c r="I55" s="295"/>
      <c r="J55" s="295"/>
      <c r="K55" s="295"/>
      <c r="L55" s="295"/>
      <c r="M55" s="11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/>
      <c r="T55" s="118">
        <f>Cen!F223</f>
        <v>15.883479999999999</v>
      </c>
      <c r="U55" s="118">
        <f t="shared" si="10"/>
        <v>0</v>
      </c>
    </row>
    <row r="56" spans="1:21" ht="14" x14ac:dyDescent="0.3">
      <c r="A56" s="179"/>
      <c r="C56" s="316"/>
      <c r="D56" s="359"/>
      <c r="E56" s="359"/>
      <c r="F56" s="359"/>
      <c r="G56" s="359"/>
      <c r="H56" s="359"/>
      <c r="I56" s="295"/>
      <c r="J56" s="295"/>
      <c r="K56" s="295"/>
      <c r="L56" s="295"/>
      <c r="M56" s="11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/>
      <c r="T56" s="118">
        <f>Cen!F224</f>
        <v>15.883479999999999</v>
      </c>
      <c r="U56" s="118">
        <f t="shared" si="10"/>
        <v>0</v>
      </c>
    </row>
    <row r="57" spans="1:21" ht="14" x14ac:dyDescent="0.3">
      <c r="A57" s="179"/>
      <c r="C57" s="316"/>
      <c r="D57" s="359"/>
      <c r="E57" s="359"/>
      <c r="F57" s="359"/>
      <c r="G57" s="359"/>
      <c r="H57" s="359"/>
      <c r="I57" s="295"/>
      <c r="J57" s="295"/>
      <c r="K57" s="295"/>
      <c r="L57" s="295"/>
      <c r="M57" s="11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SUM(S45,S47,S49)</f>
        <v>0</v>
      </c>
      <c r="T57" s="118">
        <f>Cen!F225</f>
        <v>15.883479999999999</v>
      </c>
      <c r="U57" s="118">
        <f t="shared" si="10"/>
        <v>0</v>
      </c>
    </row>
    <row r="58" spans="1:21" ht="14" x14ac:dyDescent="0.3">
      <c r="A58" s="179"/>
      <c r="C58" s="316"/>
      <c r="D58" s="359"/>
      <c r="E58" s="359"/>
      <c r="F58" s="359"/>
      <c r="G58" s="359"/>
      <c r="H58" s="359"/>
      <c r="I58" s="295"/>
      <c r="J58" s="295"/>
      <c r="K58" s="295"/>
      <c r="L58" s="295"/>
      <c r="M58" s="11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SUM(S46,S48,S50)</f>
        <v>0</v>
      </c>
      <c r="T58" s="118">
        <f>Cen!F226</f>
        <v>15.883479999999999</v>
      </c>
      <c r="U58" s="118">
        <f t="shared" si="10"/>
        <v>0</v>
      </c>
    </row>
    <row r="59" spans="1:21" ht="14" x14ac:dyDescent="0.3">
      <c r="A59" s="179"/>
      <c r="C59" s="316"/>
      <c r="D59" s="359"/>
      <c r="E59" s="359"/>
      <c r="F59" s="359"/>
      <c r="G59" s="359"/>
      <c r="H59" s="359"/>
      <c r="I59" s="295"/>
      <c r="J59" s="295"/>
      <c r="K59" s="295"/>
      <c r="L59" s="295"/>
      <c r="M59" s="119"/>
      <c r="P59" s="144"/>
      <c r="Q59" s="144"/>
      <c r="R59" s="144"/>
      <c r="S59" s="150"/>
      <c r="T59" s="154"/>
      <c r="U59" s="154"/>
    </row>
    <row r="60" spans="1:21" ht="13" x14ac:dyDescent="0.3">
      <c r="A60" s="179"/>
      <c r="C60" s="294"/>
      <c r="D60" s="179"/>
      <c r="E60" s="179"/>
      <c r="F60" s="179"/>
      <c r="G60" s="179"/>
      <c r="H60" s="179"/>
      <c r="I60" s="288"/>
      <c r="J60" s="288"/>
      <c r="K60" s="288"/>
      <c r="L60" s="288"/>
      <c r="M60" s="119"/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SUM(S3:S10)</f>
        <v>0</v>
      </c>
      <c r="T60" s="118">
        <f>Cen!$F259</f>
        <v>1.59894</v>
      </c>
      <c r="U60" s="118">
        <f>S60*T60</f>
        <v>0</v>
      </c>
    </row>
    <row r="61" spans="1:21" ht="13" x14ac:dyDescent="0.3">
      <c r="B61" s="119" t="str">
        <f>"        *"&amp;List!$B$163</f>
        <v xml:space="preserve">        *Doporučené počty korpusových lišt</v>
      </c>
      <c r="C61" s="294"/>
      <c r="D61" s="179"/>
      <c r="E61" s="179"/>
      <c r="F61" s="179"/>
      <c r="G61" s="179"/>
      <c r="H61" s="179"/>
      <c r="I61" s="179"/>
      <c r="J61" s="179"/>
      <c r="K61" s="179"/>
      <c r="L61" s="179"/>
      <c r="M61" s="119"/>
      <c r="P61" s="122" t="str">
        <f>Cen!A297</f>
        <v>Sada kování vnitř.výs. C, s relingem, Orion šedá</v>
      </c>
      <c r="Q61" s="122" t="str">
        <f>Cen!B297</f>
        <v>ZI7.3CS0</v>
      </c>
      <c r="R61" s="122" t="str">
        <f>Cen!C297</f>
        <v>OG-M</v>
      </c>
      <c r="S61" s="123">
        <f>SUM(S3:S10)</f>
        <v>0</v>
      </c>
      <c r="T61" s="118">
        <f>Cen!F297</f>
        <v>18.150179999999999</v>
      </c>
      <c r="U61" s="118">
        <f>S61*T61</f>
        <v>0</v>
      </c>
    </row>
    <row r="62" spans="1:21" ht="13" x14ac:dyDescent="0.3">
      <c r="B62" s="119" t="str">
        <f>"         "&amp;List!$B$164&amp;". "&amp;List!$C$165&amp;"."</f>
        <v xml:space="preserve">         Pokud chcete jiné složení, zadejte požadovaný počet 40kg korpusových lišt. 70kg lišty se dopopočítají.</v>
      </c>
      <c r="C62" s="287"/>
      <c r="I62" s="289"/>
      <c r="J62" s="289"/>
      <c r="K62" s="289"/>
      <c r="L62" s="289"/>
      <c r="M62" s="119"/>
      <c r="P62" s="122"/>
      <c r="Q62" s="122"/>
      <c r="R62" s="122"/>
      <c r="S62" s="123"/>
      <c r="T62" s="118"/>
      <c r="U62" s="118"/>
    </row>
    <row r="63" spans="1:21" ht="14.5" x14ac:dyDescent="0.35">
      <c r="B63" s="24"/>
      <c r="C63" s="287"/>
      <c r="I63" s="290"/>
      <c r="J63" s="290"/>
      <c r="K63" s="290"/>
      <c r="L63" s="290"/>
      <c r="P63" s="122" t="str">
        <f>Cen!A310</f>
        <v>Přední díl vnitřní zásuvky, bez drážky, Orion šedý</v>
      </c>
      <c r="Q63" s="122" t="str">
        <f>Cen!B310</f>
        <v>ZV7.1043C01</v>
      </c>
      <c r="R63" s="122" t="str">
        <f>Cen!C310</f>
        <v>OG-M</v>
      </c>
      <c r="S63" s="336">
        <f>ROUNDUP(SUM($D$26, $E$26, $F$26, $D$34, $E$34, $F$34)/3*5, 0)+ROUNDUP(SUM($J$26, $K$26, $L$26, $J$34, $K$34, $L$34)/2*5,0)</f>
        <v>0</v>
      </c>
      <c r="T63" s="118">
        <f>Cen!F310</f>
        <v>15.491620000000001</v>
      </c>
      <c r="U63" s="118">
        <f>S63*T63</f>
        <v>0</v>
      </c>
    </row>
    <row r="64" spans="1:21" ht="14" x14ac:dyDescent="0.3">
      <c r="B64" s="359"/>
      <c r="C64" s="287"/>
      <c r="I64" s="288"/>
      <c r="J64" s="288"/>
      <c r="K64" s="288"/>
      <c r="L64" s="288"/>
      <c r="P64" s="122" t="str">
        <f>Cen!A338</f>
        <v>Příčný reling vnitřní zásuvky, Orion šedý</v>
      </c>
      <c r="Q64" s="122" t="str">
        <f>Cen!B338</f>
        <v>ZR7.1080U</v>
      </c>
      <c r="R64" s="122" t="str">
        <f>Cen!C338</f>
        <v>OG-M</v>
      </c>
      <c r="S64" s="336">
        <f>ROUNDUP(SUM($D$26, $E$26, $F$26, $D$34, $E$34, $F$34)/3*4, 0)+ROUNDUP(SUM($J$26, $K$26, $L$26, $J$34, $K$34, $L$34)/2*4,0)</f>
        <v>0</v>
      </c>
      <c r="T64" s="118">
        <f>Cen!F338</f>
        <v>6.60684</v>
      </c>
      <c r="U64" s="118">
        <f>S64*T64</f>
        <v>0</v>
      </c>
    </row>
    <row r="65" spans="1:21" ht="14" x14ac:dyDescent="0.3">
      <c r="B65" s="350"/>
      <c r="C65" s="291"/>
      <c r="D65" s="347"/>
      <c r="E65" s="348"/>
      <c r="F65" s="349"/>
      <c r="G65" s="349"/>
      <c r="H65" s="348"/>
      <c r="I65" s="348"/>
      <c r="J65" s="291"/>
      <c r="K65" s="291"/>
      <c r="L65" s="291"/>
      <c r="P65" s="144"/>
      <c r="Q65" s="144"/>
      <c r="R65" s="144"/>
      <c r="S65" s="150"/>
      <c r="T65" s="154"/>
      <c r="U65" s="154"/>
    </row>
    <row r="66" spans="1:21" ht="14" x14ac:dyDescent="0.3">
      <c r="A66" s="179"/>
      <c r="C66" s="348"/>
      <c r="D66" s="295"/>
      <c r="E66" s="295"/>
      <c r="F66" s="295"/>
      <c r="G66" s="295"/>
      <c r="H66" s="295"/>
      <c r="I66" s="295"/>
      <c r="J66" s="295"/>
      <c r="K66" s="295"/>
      <c r="L66" s="295"/>
      <c r="M66" s="119"/>
      <c r="N66" s="119"/>
      <c r="P66" s="122"/>
      <c r="Q66" s="122"/>
      <c r="R66" s="122"/>
      <c r="S66" s="123"/>
      <c r="T66" s="118"/>
      <c r="U66" s="118"/>
    </row>
    <row r="67" spans="1:21" ht="14" x14ac:dyDescent="0.3">
      <c r="A67" s="179"/>
      <c r="C67" s="348"/>
      <c r="D67" s="295"/>
      <c r="E67" s="295"/>
      <c r="F67" s="295"/>
      <c r="G67" s="295"/>
      <c r="H67" s="295"/>
      <c r="I67" s="295"/>
      <c r="J67" s="295"/>
      <c r="K67" s="295"/>
      <c r="L67" s="295"/>
      <c r="M67" s="119"/>
      <c r="N67" s="119"/>
      <c r="P67" s="122" t="str">
        <f>Cen!$A$621</f>
        <v>CLIP top 155° s nulovým přesahem, EXPANDO</v>
      </c>
      <c r="Q67" s="122" t="str">
        <f>Cen!$B$621</f>
        <v>71T753EN</v>
      </c>
      <c r="R67" s="122" t="str">
        <f>Cen!$C$621</f>
        <v>NI</v>
      </c>
      <c r="S67" s="123">
        <f>SUM($D$26:$F$26, $J$26:$L$26, $D$34:$F$34, $J$34:$L$34)*4</f>
        <v>0</v>
      </c>
      <c r="T67" s="118">
        <f>Cen!$F$621</f>
        <v>4.42394</v>
      </c>
      <c r="U67" s="118">
        <f t="shared" ref="U67:U70" si="11">S67*T67</f>
        <v>0</v>
      </c>
    </row>
    <row r="68" spans="1:21" ht="14" x14ac:dyDescent="0.3">
      <c r="A68" s="179"/>
      <c r="C68" s="348"/>
      <c r="D68" s="295"/>
      <c r="E68" s="295"/>
      <c r="F68" s="295"/>
      <c r="G68" s="295"/>
      <c r="H68" s="295"/>
      <c r="I68" s="295"/>
      <c r="J68" s="295"/>
      <c r="K68" s="295"/>
      <c r="L68" s="295"/>
      <c r="M68" s="119"/>
      <c r="N68" s="119"/>
      <c r="P68" s="122" t="str">
        <f>Cen!$A$630</f>
        <v>Podložka CLIP top přímá, EXPANDO</v>
      </c>
      <c r="Q68" s="122" t="str">
        <f>Cen!$B$630</f>
        <v>177H5400E</v>
      </c>
      <c r="R68" s="122" t="str">
        <f>Cen!$C$630</f>
        <v>NI</v>
      </c>
      <c r="S68" s="123">
        <f>$S67</f>
        <v>0</v>
      </c>
      <c r="T68" s="118">
        <f>Cen!$F$630</f>
        <v>0.81311999999999995</v>
      </c>
      <c r="U68" s="118">
        <f t="shared" si="11"/>
        <v>0</v>
      </c>
    </row>
    <row r="69" spans="1:21" ht="14" x14ac:dyDescent="0.3">
      <c r="A69" s="179"/>
      <c r="C69" s="348"/>
      <c r="D69" s="295"/>
      <c r="E69" s="295"/>
      <c r="F69" s="295"/>
      <c r="G69" s="295"/>
      <c r="H69" s="295"/>
      <c r="I69" s="295"/>
      <c r="J69" s="295"/>
      <c r="K69" s="295"/>
      <c r="L69" s="295"/>
      <c r="M69" s="119"/>
      <c r="N69" s="119"/>
      <c r="P69" s="122" t="str">
        <f>Cen!$A$633</f>
        <v>BLUMOTION pro nasazení na závěs 155° a 125°</v>
      </c>
      <c r="Q69" s="122" t="str">
        <f>Cen!$B$633</f>
        <v>973A7000</v>
      </c>
      <c r="R69" s="122" t="str">
        <f>Cen!$C$633</f>
        <v>NI</v>
      </c>
      <c r="S69" s="123">
        <f>$S67/4*2</f>
        <v>0</v>
      </c>
      <c r="T69" s="118">
        <f>Cen!$F$633</f>
        <v>1.5222899999999999</v>
      </c>
      <c r="U69" s="118">
        <f t="shared" si="11"/>
        <v>0</v>
      </c>
    </row>
    <row r="70" spans="1:21" ht="14" x14ac:dyDescent="0.3">
      <c r="A70" s="179"/>
      <c r="C70" s="348"/>
      <c r="D70" s="295"/>
      <c r="E70" s="295"/>
      <c r="F70" s="295"/>
      <c r="G70" s="295"/>
      <c r="H70" s="295"/>
      <c r="I70" s="295"/>
      <c r="J70" s="295"/>
      <c r="K70" s="295"/>
      <c r="L70" s="295"/>
      <c r="M70" s="119"/>
      <c r="N70" s="119"/>
      <c r="P70" s="122">
        <f>Cen!A238</f>
        <v>0</v>
      </c>
      <c r="Q70" s="122">
        <f>Cen!B238</f>
        <v>0</v>
      </c>
      <c r="R70" s="122">
        <f>Cen!C238</f>
        <v>0</v>
      </c>
      <c r="S70" s="123"/>
      <c r="T70" s="118">
        <f>Cen!F238</f>
        <v>0</v>
      </c>
      <c r="U70" s="118">
        <f t="shared" si="11"/>
        <v>0</v>
      </c>
    </row>
    <row r="71" spans="1:21" ht="15.5" x14ac:dyDescent="0.35">
      <c r="B71" s="391"/>
      <c r="C71" s="291"/>
      <c r="D71" s="351"/>
      <c r="E71" s="295"/>
      <c r="F71" s="295"/>
      <c r="G71" s="295"/>
      <c r="H71" s="295"/>
      <c r="I71" s="295"/>
      <c r="J71" s="289"/>
      <c r="K71" s="289"/>
      <c r="L71" s="289"/>
      <c r="P71" s="119"/>
      <c r="Q71" s="119"/>
      <c r="S71" s="73" t="str">
        <f>List!$B$94</f>
        <v>cena kování</v>
      </c>
      <c r="U71" s="353">
        <f>SUM(U3:U65)</f>
        <v>0</v>
      </c>
    </row>
    <row r="72" spans="1:21" ht="14" x14ac:dyDescent="0.3">
      <c r="B72" s="383"/>
      <c r="C72" s="291"/>
      <c r="D72" s="351"/>
      <c r="E72" s="295"/>
      <c r="F72" s="295"/>
      <c r="G72" s="295"/>
      <c r="H72" s="295"/>
      <c r="I72" s="295"/>
      <c r="J72" s="289"/>
      <c r="K72" s="289"/>
      <c r="L72" s="289"/>
      <c r="P72" s="119"/>
      <c r="Q72" s="119"/>
    </row>
    <row r="73" spans="1:21" ht="14" x14ac:dyDescent="0.3">
      <c r="B73" s="179"/>
      <c r="C73" s="316"/>
      <c r="D73" s="295"/>
      <c r="E73" s="295"/>
      <c r="F73" s="295"/>
      <c r="G73" s="295"/>
      <c r="H73" s="295"/>
      <c r="J73" s="290"/>
      <c r="K73" s="290"/>
      <c r="L73" s="290"/>
      <c r="P73" s="119"/>
      <c r="Q73" s="119"/>
    </row>
    <row r="74" spans="1:21" ht="13" x14ac:dyDescent="0.3">
      <c r="B74" s="179"/>
      <c r="C74" s="287"/>
      <c r="I74" s="288"/>
      <c r="J74" s="288"/>
      <c r="K74" s="288"/>
      <c r="L74" s="288"/>
      <c r="P74" s="119"/>
      <c r="Q74" s="119"/>
    </row>
    <row r="75" spans="1:21" ht="13" x14ac:dyDescent="0.3">
      <c r="B75" s="291"/>
      <c r="C75" s="287"/>
      <c r="I75" s="291"/>
      <c r="J75" s="291"/>
      <c r="K75" s="291"/>
      <c r="L75" s="291"/>
      <c r="P75" s="119"/>
      <c r="Q75" s="119"/>
    </row>
    <row r="76" spans="1:21" ht="13" x14ac:dyDescent="0.3">
      <c r="B76" s="294"/>
      <c r="C76" s="287"/>
      <c r="I76" s="291"/>
      <c r="J76" s="291"/>
      <c r="K76" s="291"/>
      <c r="L76" s="291"/>
      <c r="P76" s="119"/>
      <c r="Q76" s="119"/>
    </row>
    <row r="77" spans="1:21" ht="13" x14ac:dyDescent="0.3">
      <c r="B77" s="119"/>
      <c r="C77" s="287"/>
      <c r="I77" s="289"/>
      <c r="J77" s="289"/>
      <c r="K77" s="289"/>
      <c r="L77" s="289"/>
      <c r="P77" s="119"/>
      <c r="Q77" s="119"/>
    </row>
    <row r="78" spans="1:21" x14ac:dyDescent="0.25">
      <c r="B78" s="119"/>
      <c r="I78" s="290"/>
      <c r="J78" s="290"/>
      <c r="K78" s="290"/>
      <c r="L78" s="290"/>
      <c r="P78" s="119"/>
      <c r="Q78" s="119"/>
    </row>
    <row r="79" spans="1:21" ht="13" x14ac:dyDescent="0.3">
      <c r="I79" s="288"/>
      <c r="J79" s="288"/>
      <c r="K79" s="288"/>
      <c r="L79" s="288"/>
      <c r="P79" s="119"/>
      <c r="Q79" s="119"/>
    </row>
    <row r="104" spans="1:1" x14ac:dyDescent="0.25">
      <c r="A104" s="783"/>
    </row>
    <row r="105" spans="1:1" x14ac:dyDescent="0.25">
      <c r="A105" s="783"/>
    </row>
    <row r="106" spans="1:1" x14ac:dyDescent="0.25">
      <c r="A106" s="783"/>
    </row>
    <row r="107" spans="1:1" x14ac:dyDescent="0.25">
      <c r="A107" s="783"/>
    </row>
    <row r="108" spans="1:1" x14ac:dyDescent="0.25">
      <c r="A108" s="783"/>
    </row>
    <row r="109" spans="1:1" x14ac:dyDescent="0.25">
      <c r="A109" s="783"/>
    </row>
    <row r="110" spans="1:1" x14ac:dyDescent="0.25">
      <c r="A110" s="783"/>
    </row>
    <row r="111" spans="1:1" x14ac:dyDescent="0.25">
      <c r="A111" s="783"/>
    </row>
    <row r="112" spans="1:1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  <row r="141" spans="1:1" x14ac:dyDescent="0.25">
      <c r="A141" s="783"/>
    </row>
    <row r="142" spans="1:1" x14ac:dyDescent="0.25">
      <c r="A142" s="783"/>
    </row>
    <row r="143" spans="1:1" x14ac:dyDescent="0.25">
      <c r="A143" s="783"/>
    </row>
    <row r="144" spans="1:1" x14ac:dyDescent="0.25">
      <c r="A144" s="783"/>
    </row>
    <row r="145" spans="1:1" x14ac:dyDescent="0.25">
      <c r="A145" s="783"/>
    </row>
  </sheetData>
  <sheetProtection algorithmName="SHA-512" hashValue="P6AHRp3QGyq8QQXmnoXXNXi+djwRElrDBlqTIbwtDaPD1BtNXu+VQCQu/FG6tY94VeitsYinTpsWqIiWLvx2zQ==" saltValue="lyNgZkravA6QiGQZ6Sc+vA==" spinCount="100000" sheet="1" objects="1" scenarios="1"/>
  <mergeCells count="1">
    <mergeCell ref="A104:A145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>
    <tabColor theme="5" tint="0.39997558519241921"/>
  </sheetPr>
  <dimension ref="A1:U147"/>
  <sheetViews>
    <sheetView showGridLines="0" showRowColHeaders="0" showZero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91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8164062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1.4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7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79"/>
      <c r="H2" s="119"/>
      <c r="I2" s="119"/>
      <c r="J2" s="119"/>
      <c r="K2" s="119"/>
      <c r="L2" s="120" t="str">
        <f>"SPACE-TOWER, "&amp;List!$B$63&amp;" 5xC"</f>
        <v>SPACE-TOWER, sestava 5xC</v>
      </c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8" thickBot="1" x14ac:dyDescent="0.4">
      <c r="A3" s="119"/>
      <c r="B3" s="119"/>
      <c r="C3" s="119"/>
      <c r="D3" s="119"/>
      <c r="E3" s="119"/>
      <c r="F3" s="119"/>
      <c r="G3" s="179"/>
      <c r="H3" s="119"/>
      <c r="I3" s="121"/>
      <c r="J3" s="121"/>
      <c r="K3" s="121"/>
      <c r="L3" s="159" t="str">
        <f>List!$B$71</f>
        <v>přední reling</v>
      </c>
      <c r="M3" s="119"/>
      <c r="N3" s="151" t="str">
        <f>" "&amp;List!$B$13</f>
        <v xml:space="preserve"> Úvod</v>
      </c>
      <c r="O3" s="119"/>
      <c r="P3" s="375"/>
      <c r="Q3" s="375"/>
      <c r="R3" s="375" t="str">
        <f>Cen!C75</f>
        <v>OG-M</v>
      </c>
      <c r="S3" s="376"/>
      <c r="T3" s="377"/>
      <c r="U3" s="378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79"/>
      <c r="H4" s="119"/>
      <c r="I4" s="122" t="str">
        <f>List!$B$79&amp;":"</f>
        <v>bočnice:</v>
      </c>
      <c r="J4" s="122"/>
      <c r="K4" s="122" t="s">
        <v>473</v>
      </c>
      <c r="L4" s="122"/>
      <c r="M4" s="119"/>
      <c r="N4" s="152" t="str">
        <f>" "&amp;List!$B$4</f>
        <v xml:space="preserve"> Výběr zásuvek a výsuvů</v>
      </c>
      <c r="O4" s="119"/>
      <c r="P4" s="375"/>
      <c r="Q4" s="375"/>
      <c r="R4" s="375" t="str">
        <f>Cen!C79</f>
        <v>OG-M</v>
      </c>
      <c r="S4" s="376"/>
      <c r="T4" s="377"/>
      <c r="U4" s="37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79"/>
      <c r="H5" s="119"/>
      <c r="I5" s="121" t="str">
        <f>List!$B$27&amp;":"</f>
        <v>barva:</v>
      </c>
      <c r="J5" s="121"/>
      <c r="K5" s="121" t="str">
        <f>Form!$O$2</f>
        <v>Orion šedá (OG-M)</v>
      </c>
      <c r="L5" s="121"/>
      <c r="M5" s="119"/>
      <c r="O5" s="119"/>
      <c r="P5" s="375" t="str">
        <f>Cen!A119</f>
        <v>Bočnice C free, 350mm, Orion šedé</v>
      </c>
      <c r="Q5" s="375" t="str">
        <f>Cen!B119</f>
        <v>780C3502S</v>
      </c>
      <c r="R5" s="375" t="str">
        <f>Cen!C83</f>
        <v>OG-M</v>
      </c>
      <c r="S5" s="376"/>
      <c r="T5" s="377">
        <f>Cen!F119</f>
        <v>30.157519999999998</v>
      </c>
      <c r="U5" s="37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79"/>
      <c r="H6" s="119"/>
      <c r="I6" s="620" t="str">
        <f>List!$B$80&amp;":"</f>
        <v>provedení:</v>
      </c>
      <c r="J6" s="122"/>
      <c r="K6" s="121" t="s">
        <v>952</v>
      </c>
      <c r="L6" s="122"/>
      <c r="M6" s="119"/>
      <c r="N6" s="2" t="str">
        <f>List!$B$12&amp;":"</f>
        <v>Pokračovat na:</v>
      </c>
      <c r="O6" s="119"/>
      <c r="P6" s="375" t="str">
        <f>Cen!A123</f>
        <v>Bočnice C free, 400mm, Orion šedé</v>
      </c>
      <c r="Q6" s="375" t="str">
        <f>Cen!B123</f>
        <v>780C4002S</v>
      </c>
      <c r="R6" s="375" t="str">
        <f>Cen!C87</f>
        <v>OG-M</v>
      </c>
      <c r="S6" s="376"/>
      <c r="T6" s="377">
        <f>Cen!F123</f>
        <v>30.37988</v>
      </c>
      <c r="U6" s="378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79"/>
      <c r="H7" s="119"/>
      <c r="I7" s="121"/>
      <c r="J7" s="122"/>
      <c r="K7" s="121"/>
      <c r="L7" s="122"/>
      <c r="M7" s="119"/>
      <c r="N7" s="151" t="str">
        <f>" "&amp;List!$B$5</f>
        <v xml:space="preserve"> Výběr doplňků</v>
      </c>
      <c r="O7" s="119"/>
      <c r="P7" s="397" t="str">
        <f>Cen!A127</f>
        <v>Bočnice C free, 450mm, Orion šedé</v>
      </c>
      <c r="Q7" s="397" t="str">
        <f>Cen!B127</f>
        <v>780C4502S</v>
      </c>
      <c r="R7" s="397" t="str">
        <f>Cen!C91</f>
        <v>OG-M</v>
      </c>
      <c r="S7" s="424">
        <f>SUM(D26, J26, D34, J34)*5</f>
        <v>0</v>
      </c>
      <c r="T7" s="425">
        <f>Cen!F127</f>
        <v>30.602429999999998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79"/>
      <c r="H8" s="119"/>
      <c r="I8" s="122" t="str">
        <f>List!$B$94&amp;":"</f>
        <v>cena kování:</v>
      </c>
      <c r="J8" s="122"/>
      <c r="K8" s="122"/>
      <c r="L8" s="118">
        <f>$U$82</f>
        <v>0</v>
      </c>
      <c r="M8" s="119"/>
      <c r="N8" s="151" t="str">
        <f>" "&amp;List!$B$6</f>
        <v xml:space="preserve"> Výběr SERVO-DRIVE</v>
      </c>
      <c r="O8" s="119"/>
      <c r="P8" s="127" t="str">
        <f>Cen!A131</f>
        <v>Bočnice C free, 500mm, Orion šedé</v>
      </c>
      <c r="Q8" s="127" t="str">
        <f>Cen!B131</f>
        <v>780C5002S</v>
      </c>
      <c r="R8" s="127" t="str">
        <f>Cen!C95</f>
        <v>OG-M</v>
      </c>
      <c r="S8" s="424">
        <f>SUM(E26, K26, E34, K34)*5</f>
        <v>0</v>
      </c>
      <c r="T8" s="266">
        <f>Cen!F131</f>
        <v>30.824969999999997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7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Cen!A135</f>
        <v>Bočnice C free, 550mm, Orion šedé</v>
      </c>
      <c r="Q9" s="127" t="str">
        <f>Cen!B135</f>
        <v>780C5502S</v>
      </c>
      <c r="R9" s="127" t="str">
        <f>Cen!C99</f>
        <v>OG-M</v>
      </c>
      <c r="S9" s="424">
        <f>SUM(F26, L26, F34, L34)*5</f>
        <v>0</v>
      </c>
      <c r="T9" s="266">
        <f>Cen!F135</f>
        <v>32.604779999999998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79"/>
      <c r="H10" s="119"/>
      <c r="I10" s="259"/>
      <c r="J10" s="259"/>
      <c r="K10" s="292"/>
      <c r="L10" s="292"/>
      <c r="M10" s="119"/>
      <c r="N10" s="152" t="str">
        <f>" "&amp;List!$B$18</f>
        <v xml:space="preserve"> Souhrn</v>
      </c>
      <c r="O10" s="119"/>
      <c r="P10" s="375" t="str">
        <f>Cen!A139</f>
        <v>Bočnice C free, 600mm, Orion šedé</v>
      </c>
      <c r="Q10" s="375" t="str">
        <f>Cen!B139</f>
        <v>780C6002S</v>
      </c>
      <c r="R10" s="360" t="str">
        <f>Cen!C103</f>
        <v>OG-M</v>
      </c>
      <c r="S10" s="361"/>
      <c r="T10" s="377">
        <f>Cen!F139</f>
        <v>35.385860000000001</v>
      </c>
      <c r="U10" s="378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79"/>
      <c r="H11" s="119"/>
      <c r="I11" s="119" t="str">
        <f>"  "&amp;List!$B$146&amp;":"</f>
        <v xml:space="preserve">  Přířezy prvků:</v>
      </c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375" t="str">
        <f>Cen!A143</f>
        <v>Bočnice C free, 650mm, Orion šedé</v>
      </c>
      <c r="Q11" s="375" t="str">
        <f>Cen!B143</f>
        <v>780C6502S</v>
      </c>
      <c r="R11" s="122"/>
      <c r="S11" s="123"/>
      <c r="T11" s="377">
        <f>Cen!F143</f>
        <v>36.432029999999997</v>
      </c>
      <c r="U11" s="378"/>
    </row>
    <row r="12" spans="1:21" x14ac:dyDescent="0.25">
      <c r="A12" s="119"/>
      <c r="B12" s="119"/>
      <c r="C12" s="119"/>
      <c r="D12" s="119"/>
      <c r="E12" s="119"/>
      <c r="F12" s="119"/>
      <c r="G12" s="179"/>
      <c r="H12" s="119"/>
      <c r="I12" s="119" t="str">
        <f>List!$C$150&amp;":   LW - 126"</f>
        <v>Přední díl:   LW - 126</v>
      </c>
      <c r="J12" s="291"/>
      <c r="K12" s="291"/>
      <c r="L12" s="291"/>
      <c r="M12" s="119"/>
      <c r="N12" s="119"/>
      <c r="O12" s="119"/>
      <c r="P12" s="379" t="str">
        <f>Cen!A177</f>
        <v>Korpusové lišty BLUMOTION, 270mm, 40kg</v>
      </c>
      <c r="Q12" s="379" t="str">
        <f>Cen!B177</f>
        <v>750.2701B</v>
      </c>
      <c r="R12" s="379" t="str">
        <f>Cen!C177</f>
        <v>ZN</v>
      </c>
      <c r="S12" s="380"/>
      <c r="T12" s="381">
        <f>Cen!F177</f>
        <v>21.845690000000001</v>
      </c>
      <c r="U12" s="381">
        <f t="shared" ref="U12:U23" si="1">S12*T12</f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79"/>
      <c r="H13" s="119"/>
      <c r="I13" s="119" t="str">
        <f>List!$C$151&amp;":   LW - 90"</f>
        <v>Příčný reling:   LW - 90</v>
      </c>
      <c r="J13" s="293"/>
      <c r="K13" s="293"/>
      <c r="L13" s="293"/>
      <c r="M13" s="119"/>
      <c r="N13" s="119"/>
      <c r="O13" s="119"/>
      <c r="P13" s="379" t="str">
        <f>Cen!A178</f>
        <v>Korpusové lišty BLUMOTION, 300mm, 40kg</v>
      </c>
      <c r="Q13" s="379" t="str">
        <f>Cen!B178</f>
        <v>750.3001B</v>
      </c>
      <c r="R13" s="379" t="str">
        <f>Cen!C178</f>
        <v>ZN</v>
      </c>
      <c r="S13" s="380"/>
      <c r="T13" s="381">
        <f>Cen!F178</f>
        <v>21.925909999999998</v>
      </c>
      <c r="U13" s="381">
        <f t="shared" si="1"/>
        <v>0</v>
      </c>
    </row>
    <row r="14" spans="1:21" x14ac:dyDescent="0.25">
      <c r="A14" s="119"/>
      <c r="B14" s="119"/>
      <c r="C14" s="119"/>
      <c r="D14" s="119"/>
      <c r="E14" s="119"/>
      <c r="F14" s="119"/>
      <c r="G14" s="179"/>
      <c r="H14" s="119"/>
      <c r="I14" s="119"/>
      <c r="J14" s="290"/>
      <c r="K14" s="290"/>
      <c r="L14" s="290"/>
      <c r="M14" s="119"/>
      <c r="N14" s="119"/>
      <c r="O14" s="119"/>
      <c r="P14" s="379" t="str">
        <f>Cen!A179</f>
        <v>Korpusové lišty BLUMOTION, 350mm, 40kg</v>
      </c>
      <c r="Q14" s="379" t="str">
        <f>Cen!B179</f>
        <v>750.3501B</v>
      </c>
      <c r="R14" s="379" t="str">
        <f>Cen!C179</f>
        <v>ZN</v>
      </c>
      <c r="S14" s="380"/>
      <c r="T14" s="381">
        <f>Cen!F179</f>
        <v>21.845690000000001</v>
      </c>
      <c r="U14" s="38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79"/>
      <c r="H15" s="119"/>
      <c r="I15" s="119"/>
      <c r="J15" s="288"/>
      <c r="K15" s="288"/>
      <c r="L15" s="288"/>
      <c r="M15" s="119"/>
      <c r="N15" s="119"/>
      <c r="O15" s="119"/>
      <c r="P15" s="379" t="str">
        <f>Cen!A180</f>
        <v>Korpusové lišty BLUMOTION, 400mm, 40kg</v>
      </c>
      <c r="Q15" s="379" t="str">
        <f>Cen!B180</f>
        <v>750.4001B</v>
      </c>
      <c r="R15" s="379" t="str">
        <f>Cen!C180</f>
        <v>ZN</v>
      </c>
      <c r="S15" s="380"/>
      <c r="T15" s="381">
        <f>Cen!F180</f>
        <v>22.204979999999999</v>
      </c>
      <c r="U15" s="38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79"/>
      <c r="H16" s="119"/>
      <c r="I16" s="179"/>
      <c r="J16" s="179"/>
      <c r="K16" s="179"/>
      <c r="L16" s="179"/>
      <c r="M16" s="119"/>
      <c r="N16" s="119"/>
      <c r="O16" s="119"/>
      <c r="P16" s="426" t="str">
        <f>Cen!A181</f>
        <v>Korpusové lišty BLUMOTION, 450mm, 40kg</v>
      </c>
      <c r="Q16" s="426" t="str">
        <f>Cen!B181</f>
        <v>750.4501B</v>
      </c>
      <c r="R16" s="426" t="str">
        <f>Cen!C181</f>
        <v>ZN</v>
      </c>
      <c r="S16" s="385">
        <f>IF($D$28&gt;0, $D$28*$D$26, 4*$D$26)+IF($J$28&gt;0, $J$28*$J$26, 2*$J$26)</f>
        <v>0</v>
      </c>
      <c r="T16" s="427">
        <f>Cen!F181</f>
        <v>23.667639999999995</v>
      </c>
      <c r="U16" s="427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79"/>
      <c r="H17" s="119"/>
      <c r="I17" s="294"/>
      <c r="J17" s="294"/>
      <c r="K17" s="294"/>
      <c r="L17" s="294"/>
      <c r="M17" s="119"/>
      <c r="N17" s="119"/>
      <c r="O17" s="119"/>
      <c r="P17" s="426" t="str">
        <f>Cen!A182</f>
        <v>Korpusové lišty BLUMOTION, 450mm, 70kg</v>
      </c>
      <c r="Q17" s="426" t="str">
        <f>Cen!B182</f>
        <v>753.4501B</v>
      </c>
      <c r="R17" s="426" t="str">
        <f>Cen!C182</f>
        <v>ZN</v>
      </c>
      <c r="S17" s="385">
        <f>IF($D$28&gt;0, $D$29*$D$26, 1*$D$26)+IF($J$28&gt;0, $J$29*$J$26, 3*$J$26)</f>
        <v>0</v>
      </c>
      <c r="T17" s="427">
        <f>Cen!F182</f>
        <v>27.780560000000001</v>
      </c>
      <c r="U17" s="427">
        <f t="shared" si="1"/>
        <v>0</v>
      </c>
    </row>
    <row r="18" spans="1:21" ht="12" customHeight="1" x14ac:dyDescent="0.25">
      <c r="A18" s="119"/>
      <c r="C18" s="119"/>
      <c r="D18" s="119"/>
      <c r="E18" s="119"/>
      <c r="F18" s="119"/>
      <c r="G18" s="478"/>
      <c r="H18" s="119"/>
      <c r="I18" s="290"/>
      <c r="J18" s="290"/>
      <c r="K18" s="290"/>
      <c r="L18" s="290"/>
      <c r="M18" s="119"/>
      <c r="N18" s="119"/>
      <c r="O18" s="119"/>
      <c r="P18" s="209" t="str">
        <f>Cen!A183</f>
        <v>Korpusové lišty BLUMOTION, 500mm, 40kg</v>
      </c>
      <c r="Q18" s="209" t="str">
        <f>Cen!B183</f>
        <v>750.5001B</v>
      </c>
      <c r="R18" s="209" t="str">
        <f>Cen!C183</f>
        <v>ZN</v>
      </c>
      <c r="S18" s="385">
        <f>IF($E$28&gt;0, $E$28*$E$26, 4*$E$26)+IF($K$28&gt;0, $K$28*$K$26, 2*$K$26)</f>
        <v>0</v>
      </c>
      <c r="T18" s="261">
        <f>Cen!F183</f>
        <v>22.680199999999999</v>
      </c>
      <c r="U18" s="261">
        <f t="shared" si="1"/>
        <v>0</v>
      </c>
    </row>
    <row r="19" spans="1:21" ht="14.5" x14ac:dyDescent="0.35">
      <c r="A19" s="119"/>
      <c r="B19" s="701" t="str">
        <f>"   "&amp;List!B295</f>
        <v xml:space="preserve">   Zadejte počty skříní podle šířky korpusu a délky výsuvů</v>
      </c>
      <c r="C19" s="714"/>
      <c r="D19" s="715"/>
      <c r="E19" s="715"/>
      <c r="F19" s="715"/>
      <c r="G19" s="714"/>
      <c r="H19" s="714"/>
      <c r="I19" s="714"/>
      <c r="J19" s="715"/>
      <c r="K19" s="715"/>
      <c r="L19" s="715"/>
      <c r="M19" s="119"/>
      <c r="N19" s="119"/>
      <c r="O19" s="119"/>
      <c r="P19" s="209" t="str">
        <f>Cen!A184</f>
        <v>Korpusové lišty BLUMOTION, 500mm, 70kg</v>
      </c>
      <c r="Q19" s="209" t="str">
        <f>Cen!B184</f>
        <v>753.5001B</v>
      </c>
      <c r="R19" s="209" t="str">
        <f>Cen!C184</f>
        <v>ZN</v>
      </c>
      <c r="S19" s="385">
        <f>IF($E$28&gt;0, $E$29*$E$26, 1*$E$26)+IF($K$28&gt;0, $K$29*$K$26, 3*$K$26)</f>
        <v>0</v>
      </c>
      <c r="T19" s="261">
        <f>Cen!F184</f>
        <v>28.059809999999999</v>
      </c>
      <c r="U19" s="261">
        <f t="shared" si="1"/>
        <v>0</v>
      </c>
    </row>
    <row r="20" spans="1:21" ht="14.5" x14ac:dyDescent="0.35">
      <c r="A20" s="119"/>
      <c r="B20" s="701" t="str">
        <f>"   "&amp;List!B299</f>
        <v xml:space="preserve">   Zadejte počet korpusových lišt, pokud chcete jiné, než přednastavené složení</v>
      </c>
      <c r="C20" s="714"/>
      <c r="D20" s="715"/>
      <c r="E20" s="715"/>
      <c r="F20" s="715"/>
      <c r="G20" s="714"/>
      <c r="H20" s="714"/>
      <c r="I20" s="714"/>
      <c r="J20" s="715"/>
      <c r="K20" s="715"/>
      <c r="L20" s="715"/>
      <c r="M20" s="119"/>
      <c r="N20" s="119"/>
      <c r="O20" s="119"/>
      <c r="P20" s="209" t="str">
        <f>Cen!A185</f>
        <v>Korpusové lišty BLUMOTION, 550mm, 40kg</v>
      </c>
      <c r="Q20" s="209" t="str">
        <f>Cen!B185</f>
        <v>750.5501B</v>
      </c>
      <c r="R20" s="209" t="str">
        <f>Cen!C185</f>
        <v>ZN</v>
      </c>
      <c r="S20" s="385">
        <f>IF($F$28&gt;0, $F$28*$F$26, 4*$F$26)+IF($L$28&gt;0, $L$28*$L$26, 2*$L$26)</f>
        <v>0</v>
      </c>
      <c r="T20" s="261">
        <f>Cen!F185</f>
        <v>24.254210000000004</v>
      </c>
      <c r="U20" s="261">
        <f t="shared" si="1"/>
        <v>0</v>
      </c>
    </row>
    <row r="21" spans="1:21" ht="14.5" x14ac:dyDescent="0.35">
      <c r="A21" s="119"/>
      <c r="B21" s="701" t="str">
        <f>"         "&amp;List!B297</f>
        <v xml:space="preserve">         Zadejte počty 40kg korpusových lišt, 70kg lišty se dopočítají</v>
      </c>
      <c r="C21" s="714"/>
      <c r="D21" s="715"/>
      <c r="E21" s="715"/>
      <c r="F21" s="715"/>
      <c r="G21" s="714"/>
      <c r="H21" s="714"/>
      <c r="I21" s="714"/>
      <c r="J21" s="715"/>
      <c r="K21" s="715"/>
      <c r="L21" s="715"/>
      <c r="M21" s="119"/>
      <c r="N21" s="119"/>
      <c r="O21" s="119"/>
      <c r="P21" s="209" t="str">
        <f>Cen!A186</f>
        <v>Korpusové lišty BLUMOTION, 550mm, 70kg</v>
      </c>
      <c r="Q21" s="209" t="str">
        <f>Cen!B186</f>
        <v>753.5501B</v>
      </c>
      <c r="R21" s="209" t="str">
        <f>Cen!C186</f>
        <v>ZN</v>
      </c>
      <c r="S21" s="385">
        <f>IF($F$28&gt;0, $F$29*$F$26, 1*$F$26)+IF($L$28&gt;0, $L$29*$L$26, 3*$L$26)</f>
        <v>0</v>
      </c>
      <c r="T21" s="261">
        <f>Cen!F186</f>
        <v>29.550529999999998</v>
      </c>
      <c r="U21" s="261">
        <f t="shared" si="1"/>
        <v>0</v>
      </c>
    </row>
    <row r="22" spans="1:21" ht="9" customHeight="1" x14ac:dyDescent="0.35">
      <c r="A22" s="119"/>
      <c r="B22" s="24"/>
      <c r="C22" s="24"/>
      <c r="D22"/>
      <c r="E22"/>
      <c r="F22"/>
      <c r="G22" s="27"/>
      <c r="H22" s="24"/>
      <c r="I22" s="24"/>
      <c r="J22"/>
      <c r="K22"/>
      <c r="L22"/>
      <c r="M22" s="119"/>
      <c r="N22" s="119"/>
      <c r="O22" s="119"/>
      <c r="P22" s="364" t="str">
        <f>Cen!A187</f>
        <v>Korpusové lišty BLUMOTION, 600mm, 40kg</v>
      </c>
      <c r="Q22" s="364" t="str">
        <f>Cen!B187</f>
        <v>750.6001B</v>
      </c>
      <c r="R22" s="364" t="str">
        <f>Cen!C187</f>
        <v>ZN</v>
      </c>
      <c r="S22" s="428"/>
      <c r="T22" s="366">
        <f>Cen!F187</f>
        <v>27.259979999999999</v>
      </c>
      <c r="U22" s="366">
        <f t="shared" si="1"/>
        <v>0</v>
      </c>
    </row>
    <row r="23" spans="1:21" ht="19.5" customHeight="1" x14ac:dyDescent="0.35">
      <c r="A23"/>
      <c r="B23" s="346" t="str">
        <f>"▼   "&amp;List!$B$112&amp;" KB 450 mm"</f>
        <v>▼   Šířka korpusu KB 450 mm</v>
      </c>
      <c r="C23" s="51"/>
      <c r="H23" s="346" t="str">
        <f>"▼   "&amp;List!$B$112&amp;" KB 600 mm"</f>
        <v>▼   Šířka korpusu KB 600 mm</v>
      </c>
      <c r="I23" s="290"/>
      <c r="J23" s="290"/>
      <c r="K23" s="290"/>
      <c r="L23" s="290"/>
      <c r="M23"/>
      <c r="N23"/>
      <c r="O23" s="119"/>
      <c r="P23" s="364" t="str">
        <f>Cen!A188</f>
        <v>Korpusové lišty BLUMOTION, 600mm, 70kg</v>
      </c>
      <c r="Q23" s="364" t="str">
        <f>Cen!B188</f>
        <v>753.6001B</v>
      </c>
      <c r="R23" s="364" t="str">
        <f>Cen!C188</f>
        <v>ZN</v>
      </c>
      <c r="S23" s="428"/>
      <c r="T23" s="366">
        <f>Cen!F188</f>
        <v>32.5563</v>
      </c>
      <c r="U23" s="366">
        <f t="shared" si="1"/>
        <v>0</v>
      </c>
    </row>
    <row r="24" spans="1:21" ht="22.5" customHeight="1" x14ac:dyDescent="0.35">
      <c r="A24"/>
      <c r="B24" s="717" t="s">
        <v>1253</v>
      </c>
      <c r="C24" s="7"/>
      <c r="H24" s="717" t="s">
        <v>1253</v>
      </c>
      <c r="I24" s="290"/>
      <c r="J24" s="290"/>
      <c r="K24" s="290"/>
      <c r="L24" s="290"/>
      <c r="M24"/>
      <c r="N24"/>
      <c r="O24" s="119"/>
      <c r="P24" s="209"/>
      <c r="Q24" s="209"/>
      <c r="R24" s="209"/>
      <c r="S24" s="260"/>
      <c r="T24" s="261"/>
      <c r="U24" s="261"/>
    </row>
    <row r="25" spans="1:21" ht="14" x14ac:dyDescent="0.3">
      <c r="A25" s="119"/>
      <c r="B25" s="6"/>
      <c r="C25" s="320" t="str">
        <f>List!$B$115&amp;":"</f>
        <v>Jmenovitá délka:</v>
      </c>
      <c r="D25" s="308">
        <v>450</v>
      </c>
      <c r="E25" s="429">
        <v>500</v>
      </c>
      <c r="F25" s="307">
        <v>550</v>
      </c>
      <c r="G25" s="348"/>
      <c r="H25" s="6"/>
      <c r="I25" s="373" t="str">
        <f>List!$B$115&amp;":"</f>
        <v>Jmenovitá délka:</v>
      </c>
      <c r="J25" s="314">
        <v>450</v>
      </c>
      <c r="K25" s="429">
        <v>500</v>
      </c>
      <c r="L25" s="307">
        <v>550</v>
      </c>
      <c r="M25" s="119"/>
      <c r="N25" s="119"/>
      <c r="O25" s="119"/>
      <c r="P25" s="209"/>
      <c r="Q25" s="209"/>
      <c r="R25" s="209"/>
      <c r="S25" s="260"/>
      <c r="T25" s="261"/>
      <c r="U25" s="261"/>
    </row>
    <row r="26" spans="1:21" ht="14" x14ac:dyDescent="0.3">
      <c r="A26" s="119"/>
      <c r="B26" s="374"/>
      <c r="C26" s="320" t="str">
        <f>List!$B$99&amp;":"</f>
        <v>Počet skříní:</v>
      </c>
      <c r="D26" s="317"/>
      <c r="E26" s="317"/>
      <c r="F26" s="371"/>
      <c r="G26" s="295"/>
      <c r="H26" s="374"/>
      <c r="I26" s="320" t="str">
        <f>List!$B$99&amp;":"</f>
        <v>Počet skříní:</v>
      </c>
      <c r="J26" s="317"/>
      <c r="K26" s="317"/>
      <c r="L26" s="318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9.5" customHeight="1" x14ac:dyDescent="0.35">
      <c r="A27" s="119"/>
      <c r="B27" s="372" t="str">
        <f>List!$B$126</f>
        <v>Korpusové lišty</v>
      </c>
      <c r="C27" s="320"/>
      <c r="D27" s="24"/>
      <c r="E27" s="24"/>
      <c r="F27" s="24"/>
      <c r="G27" s="27"/>
      <c r="H27" s="372" t="str">
        <f>List!$B$126</f>
        <v>Korpusové lišty</v>
      </c>
      <c r="I27" s="320"/>
      <c r="J27"/>
      <c r="K27"/>
      <c r="L27"/>
      <c r="M27" s="119"/>
      <c r="N27" s="119"/>
      <c r="O27" s="119"/>
      <c r="P27" s="209"/>
      <c r="Q27" s="209"/>
      <c r="R27" s="209"/>
      <c r="S27" s="260"/>
      <c r="T27" s="261"/>
      <c r="U27" s="261"/>
    </row>
    <row r="28" spans="1:21" ht="15" customHeight="1" thickBot="1" x14ac:dyDescent="0.4">
      <c r="A28" s="119"/>
      <c r="B28" s="297" t="s">
        <v>505</v>
      </c>
      <c r="C28" s="384" t="s">
        <v>887</v>
      </c>
      <c r="D28" s="387"/>
      <c r="E28" s="387"/>
      <c r="F28" s="388"/>
      <c r="G28" s="295"/>
      <c r="H28" s="297" t="s">
        <v>505</v>
      </c>
      <c r="I28" s="298" t="str">
        <f>"2 ks*"</f>
        <v>2 ks*</v>
      </c>
      <c r="J28" s="389"/>
      <c r="K28" s="389"/>
      <c r="L28" s="390"/>
      <c r="M28"/>
      <c r="N28" s="119"/>
      <c r="O28" s="119"/>
      <c r="P28" s="209"/>
      <c r="Q28" s="209"/>
      <c r="R28" s="209"/>
      <c r="S28" s="260"/>
      <c r="T28" s="261"/>
      <c r="U28" s="261"/>
    </row>
    <row r="29" spans="1:21" ht="15" customHeight="1" x14ac:dyDescent="0.35">
      <c r="A29" s="119"/>
      <c r="B29" s="301" t="s">
        <v>506</v>
      </c>
      <c r="C29" s="382" t="s">
        <v>888</v>
      </c>
      <c r="D29" s="386">
        <f>IF(D28&gt;0, IF(D28&gt;5,0, 5-D28),0)</f>
        <v>0</v>
      </c>
      <c r="E29" s="386">
        <f t="shared" ref="E29:F29" si="2">IF(E28&gt;0, IF(E28&gt;5,0, 5-E28),0)</f>
        <v>0</v>
      </c>
      <c r="F29" s="712">
        <f t="shared" si="2"/>
        <v>0</v>
      </c>
      <c r="G29" s="295"/>
      <c r="H29" s="301" t="s">
        <v>506</v>
      </c>
      <c r="I29" s="382" t="str">
        <f>"3 ks*"</f>
        <v>3 ks*</v>
      </c>
      <c r="J29" s="386">
        <f>IF(J28&gt;0, IF(J28&gt;5,0, 5-J28),0)</f>
        <v>0</v>
      </c>
      <c r="K29" s="386">
        <f t="shared" ref="K29:L29" si="3">IF(K28&gt;0, IF(K28&gt;5,0, 5-K28),0)</f>
        <v>0</v>
      </c>
      <c r="L29" s="712">
        <f t="shared" si="3"/>
        <v>0</v>
      </c>
      <c r="M29"/>
      <c r="N29" s="119"/>
      <c r="O29" s="119"/>
      <c r="P29" s="209"/>
      <c r="Q29" s="209"/>
      <c r="R29" s="209"/>
      <c r="S29" s="260"/>
      <c r="T29" s="261"/>
      <c r="U29" s="261"/>
    </row>
    <row r="30" spans="1:21" ht="13.5" customHeight="1" x14ac:dyDescent="0.35">
      <c r="A30" s="119"/>
      <c r="C30"/>
      <c r="D30" s="711" t="str">
        <f>IF(D28&gt;5,"Max. 5!"," ")</f>
        <v xml:space="preserve"> </v>
      </c>
      <c r="E30" s="711" t="str">
        <f t="shared" ref="E30:F30" si="4">IF(E28&gt;5,"Max. 5!"," ")</f>
        <v xml:space="preserve"> </v>
      </c>
      <c r="F30" s="711" t="str">
        <f t="shared" si="4"/>
        <v xml:space="preserve"> </v>
      </c>
      <c r="G30" s="27"/>
      <c r="H30"/>
      <c r="I30"/>
      <c r="J30" s="711" t="str">
        <f>IF(J28&gt;5,"Max. 5!"," ")</f>
        <v xml:space="preserve"> </v>
      </c>
      <c r="K30" s="711" t="str">
        <f t="shared" ref="K30:L30" si="5">IF(K28&gt;5,"Max. 5!"," ")</f>
        <v xml:space="preserve"> </v>
      </c>
      <c r="L30" s="711" t="str">
        <f t="shared" si="5"/>
        <v xml:space="preserve"> </v>
      </c>
      <c r="M30"/>
      <c r="N30" s="119"/>
      <c r="O30" s="119"/>
      <c r="P30" s="209"/>
      <c r="Q30" s="209"/>
      <c r="R30" s="209"/>
      <c r="S30" s="260"/>
      <c r="T30" s="261"/>
      <c r="U30" s="261"/>
    </row>
    <row r="31" spans="1:21" ht="9" customHeight="1" x14ac:dyDescent="0.35">
      <c r="A31" s="179"/>
      <c r="G31" s="27"/>
      <c r="H31" s="716"/>
      <c r="I31" s="716"/>
      <c r="J31" s="716"/>
      <c r="K31" s="716"/>
      <c r="L31" s="716"/>
      <c r="M31" s="119"/>
      <c r="N31" s="119"/>
      <c r="O31" s="119"/>
      <c r="P31" s="209"/>
      <c r="Q31" s="209"/>
      <c r="R31" s="209"/>
      <c r="S31" s="260"/>
      <c r="T31" s="261"/>
      <c r="U31" s="261"/>
    </row>
    <row r="32" spans="1:21" ht="15.75" customHeight="1" x14ac:dyDescent="0.25">
      <c r="A32" s="179"/>
      <c r="B32" s="312" t="s">
        <v>1254</v>
      </c>
      <c r="C32" s="7"/>
      <c r="H32" s="312" t="s">
        <v>1254</v>
      </c>
      <c r="I32" s="290"/>
      <c r="J32" s="290"/>
      <c r="K32" s="290"/>
      <c r="L32" s="290"/>
      <c r="M32" s="119"/>
      <c r="N32" s="119"/>
      <c r="O32" s="119"/>
      <c r="P32" s="209"/>
      <c r="Q32" s="209"/>
      <c r="R32" s="209"/>
      <c r="S32" s="260"/>
      <c r="T32" s="261"/>
      <c r="U32" s="261"/>
    </row>
    <row r="33" spans="1:21" ht="15" customHeight="1" x14ac:dyDescent="0.3">
      <c r="A33" s="179"/>
      <c r="B33" s="6"/>
      <c r="C33" s="320" t="str">
        <f>List!$B$115&amp;":"</f>
        <v>Jmenovitá délka:</v>
      </c>
      <c r="D33" s="308">
        <v>450</v>
      </c>
      <c r="E33" s="429">
        <v>500</v>
      </c>
      <c r="F33" s="307">
        <v>550</v>
      </c>
      <c r="G33" s="348"/>
      <c r="H33" s="6"/>
      <c r="I33" s="373" t="str">
        <f>List!$B$115&amp;":"</f>
        <v>Jmenovitá délka:</v>
      </c>
      <c r="J33" s="314">
        <v>450</v>
      </c>
      <c r="K33" s="429">
        <v>500</v>
      </c>
      <c r="L33" s="307">
        <v>550</v>
      </c>
      <c r="M33" s="119"/>
      <c r="N33" s="119"/>
      <c r="O33" s="119"/>
      <c r="P33" s="209"/>
      <c r="Q33" s="209"/>
      <c r="R33" s="209"/>
      <c r="S33" s="260"/>
      <c r="T33" s="261"/>
      <c r="U33" s="261"/>
    </row>
    <row r="34" spans="1:21" ht="15" customHeight="1" x14ac:dyDescent="0.3">
      <c r="A34" s="179"/>
      <c r="B34" s="374"/>
      <c r="C34" s="320" t="str">
        <f>List!$B$99&amp;":"</f>
        <v>Počet skříní:</v>
      </c>
      <c r="D34" s="317"/>
      <c r="E34" s="317"/>
      <c r="F34" s="371"/>
      <c r="G34" s="295"/>
      <c r="H34" s="374"/>
      <c r="I34" s="320" t="str">
        <f>List!$B$99&amp;":"</f>
        <v>Počet skříní:</v>
      </c>
      <c r="J34" s="317"/>
      <c r="K34" s="317"/>
      <c r="L34" s="318"/>
      <c r="M34" s="119"/>
      <c r="N34" s="119"/>
      <c r="O34" s="119"/>
      <c r="P34" s="209"/>
      <c r="Q34" s="209"/>
      <c r="R34" s="209"/>
      <c r="S34" s="260"/>
      <c r="T34" s="261"/>
      <c r="U34" s="261"/>
    </row>
    <row r="35" spans="1:21" ht="19.5" customHeight="1" x14ac:dyDescent="0.35">
      <c r="A35" s="179"/>
      <c r="B35" s="372" t="str">
        <f>List!$B$126&amp;"**"</f>
        <v>Korpusové lišty**</v>
      </c>
      <c r="C35" s="320"/>
      <c r="D35" s="24"/>
      <c r="E35" s="24"/>
      <c r="F35" s="24"/>
      <c r="G35" s="27"/>
      <c r="H35" s="372" t="str">
        <f>List!$B$126&amp;"**"</f>
        <v>Korpusové lišty**</v>
      </c>
      <c r="I35" s="320"/>
      <c r="J35"/>
      <c r="K35"/>
      <c r="L35"/>
      <c r="M35" s="119"/>
      <c r="N35" s="119"/>
      <c r="P35" s="122"/>
      <c r="Q35" s="122"/>
      <c r="R35" s="122"/>
      <c r="S35" s="123"/>
      <c r="T35" s="118"/>
      <c r="U35" s="261"/>
    </row>
    <row r="36" spans="1:21" ht="15" customHeight="1" thickBot="1" x14ac:dyDescent="0.35">
      <c r="A36" s="179"/>
      <c r="B36" s="297" t="s">
        <v>505</v>
      </c>
      <c r="C36" s="384" t="s">
        <v>887</v>
      </c>
      <c r="D36" s="387"/>
      <c r="E36" s="387"/>
      <c r="F36" s="388"/>
      <c r="G36" s="295"/>
      <c r="H36" s="297" t="s">
        <v>505</v>
      </c>
      <c r="I36" s="298" t="str">
        <f>"2 ks*"</f>
        <v>2 ks*</v>
      </c>
      <c r="J36" s="389"/>
      <c r="K36" s="389"/>
      <c r="L36" s="390"/>
      <c r="M36" s="119"/>
      <c r="N36" s="119"/>
      <c r="P36" s="122"/>
      <c r="Q36" s="122"/>
      <c r="R36" s="122"/>
      <c r="S36" s="123"/>
      <c r="T36" s="118"/>
      <c r="U36" s="693"/>
    </row>
    <row r="37" spans="1:21" ht="15" customHeight="1" x14ac:dyDescent="0.3">
      <c r="A37" s="179"/>
      <c r="B37" s="301" t="s">
        <v>506</v>
      </c>
      <c r="C37" s="382" t="s">
        <v>888</v>
      </c>
      <c r="D37" s="386">
        <f>IF(D36&gt;0,IF(D36&gt;5,0,5-D36),0)</f>
        <v>0</v>
      </c>
      <c r="E37" s="386">
        <f t="shared" ref="E37:F37" si="6">IF(E36&gt;0,IF(E36&gt;5,0,5-E36),0)</f>
        <v>0</v>
      </c>
      <c r="F37" s="712">
        <f t="shared" si="6"/>
        <v>0</v>
      </c>
      <c r="G37" s="295"/>
      <c r="H37" s="301" t="s">
        <v>506</v>
      </c>
      <c r="I37" s="382" t="str">
        <f>"3 ks*"</f>
        <v>3 ks*</v>
      </c>
      <c r="J37" s="386">
        <f>IF(J36&gt;0,IF(J36&gt;5,0,5-J36),0)</f>
        <v>0</v>
      </c>
      <c r="K37" s="386">
        <f t="shared" ref="K37:L37" si="7">IF(K36&gt;0,IF(K36&gt;5,0,5-K36),0)</f>
        <v>0</v>
      </c>
      <c r="L37" s="712">
        <f t="shared" si="7"/>
        <v>0</v>
      </c>
      <c r="M37" s="119"/>
      <c r="N37" s="119"/>
      <c r="P37" s="122"/>
      <c r="Q37" s="122"/>
      <c r="R37" s="122"/>
      <c r="S37" s="123"/>
      <c r="T37" s="118"/>
      <c r="U37" s="693"/>
    </row>
    <row r="38" spans="1:21" ht="13.5" customHeight="1" x14ac:dyDescent="0.3">
      <c r="A38" s="179"/>
      <c r="C38" s="316"/>
      <c r="D38" s="711" t="str">
        <f>IF(D36&gt;5,"Max. 5!"," ")</f>
        <v xml:space="preserve"> </v>
      </c>
      <c r="E38" s="711" t="str">
        <f t="shared" ref="E38:F38" si="8">IF(E36&gt;5,"Max. 5!"," ")</f>
        <v xml:space="preserve"> </v>
      </c>
      <c r="F38" s="711" t="str">
        <f t="shared" si="8"/>
        <v xml:space="preserve"> </v>
      </c>
      <c r="G38" s="295"/>
      <c r="H38" s="383"/>
      <c r="I38" s="316"/>
      <c r="J38" s="711" t="str">
        <f>IF(J36&gt;5,"Max. 5!"," ")</f>
        <v xml:space="preserve"> </v>
      </c>
      <c r="K38" s="711" t="str">
        <f t="shared" ref="K38:L38" si="9">IF(K36&gt;5,"Max. 5!"," ")</f>
        <v xml:space="preserve"> </v>
      </c>
      <c r="L38" s="711" t="str">
        <f t="shared" si="9"/>
        <v xml:space="preserve"> </v>
      </c>
      <c r="M38" s="119"/>
      <c r="N38" s="119"/>
      <c r="P38" s="122"/>
      <c r="Q38" s="122"/>
      <c r="R38" s="122"/>
      <c r="S38" s="123"/>
      <c r="T38" s="118"/>
      <c r="U38" s="693"/>
    </row>
    <row r="39" spans="1:21" ht="13.5" customHeight="1" x14ac:dyDescent="0.3">
      <c r="A39" s="179"/>
      <c r="C39" s="347"/>
      <c r="D39" s="348"/>
      <c r="E39" s="348"/>
      <c r="F39" s="348"/>
      <c r="G39" s="348"/>
      <c r="H39" s="348"/>
      <c r="I39" s="348"/>
      <c r="J39" s="295"/>
      <c r="K39" s="348"/>
      <c r="L39" s="348"/>
      <c r="M39" s="119"/>
      <c r="N39" s="119"/>
      <c r="P39" s="122"/>
      <c r="Q39" s="122"/>
      <c r="R39" s="122"/>
      <c r="S39" s="123"/>
      <c r="T39" s="118"/>
      <c r="U39" s="693"/>
    </row>
    <row r="40" spans="1:21" ht="13.5" customHeight="1" x14ac:dyDescent="0.3">
      <c r="A40" s="179"/>
      <c r="B40" s="119" t="str">
        <f>"       * "&amp;List!$B$162</f>
        <v xml:space="preserve">       * Nastavené počty korpusových lišt</v>
      </c>
      <c r="C40" s="347"/>
      <c r="D40" s="348"/>
      <c r="E40" s="348"/>
      <c r="F40" s="348"/>
      <c r="G40" s="348"/>
      <c r="H40" s="348"/>
      <c r="I40" s="348"/>
      <c r="J40" s="295"/>
      <c r="K40" s="348"/>
      <c r="L40" s="348"/>
      <c r="M40" s="119"/>
      <c r="N40" s="119"/>
      <c r="P40" s="122"/>
      <c r="Q40" s="122"/>
      <c r="R40" s="122"/>
      <c r="S40" s="123"/>
      <c r="T40" s="118"/>
      <c r="U40" s="693"/>
    </row>
    <row r="41" spans="1:21" ht="13.5" customHeight="1" x14ac:dyDescent="0.3">
      <c r="A41" s="179"/>
      <c r="B41" s="119" t="str">
        <f>"     ** "&amp;List!$B$313</f>
        <v xml:space="preserve">     ** Jednotky TIP-ON BLUMOTION budou přidány automaticky</v>
      </c>
      <c r="C41" s="347"/>
      <c r="D41" s="348"/>
      <c r="E41" s="348"/>
      <c r="F41" s="348"/>
      <c r="G41" s="348"/>
      <c r="H41" s="348"/>
      <c r="I41" s="348"/>
      <c r="J41" s="295"/>
      <c r="K41" s="348"/>
      <c r="L41" s="348"/>
      <c r="M41" s="119"/>
      <c r="N41" s="119"/>
      <c r="P41" s="364" t="str">
        <f>Cen!A209</f>
        <v>Korpusové lišty TIP-ON BLUMOTION, 270mm, 40kg</v>
      </c>
      <c r="Q41" s="364" t="str">
        <f>Cen!B209</f>
        <v>750.2700M</v>
      </c>
      <c r="R41" s="364" t="str">
        <f>Cen!C209</f>
        <v>ZN</v>
      </c>
      <c r="S41" s="365"/>
      <c r="T41" s="366">
        <f>Cen!F209</f>
        <v>21.925909999999998</v>
      </c>
      <c r="U41" s="366">
        <f>S41*T41</f>
        <v>0</v>
      </c>
    </row>
    <row r="42" spans="1:21" ht="13.5" customHeight="1" x14ac:dyDescent="0.3">
      <c r="A42" s="179"/>
      <c r="B42" s="2" t="str">
        <f>"         "&amp;List!B303</f>
        <v xml:space="preserve">         Synchronizaci vyberte v sekci "Výběr doplňků"</v>
      </c>
      <c r="C42" s="347"/>
      <c r="D42" s="348"/>
      <c r="E42" s="348"/>
      <c r="F42" s="348"/>
      <c r="G42" s="348"/>
      <c r="H42" s="348"/>
      <c r="I42" s="348"/>
      <c r="J42" s="295"/>
      <c r="K42" s="348"/>
      <c r="L42" s="348"/>
      <c r="M42" s="119"/>
      <c r="N42" s="119"/>
      <c r="P42" s="364" t="str">
        <f>Cen!A210</f>
        <v>Korpusové lišty TIP-ON BLUMOTION, 300mm, 40kg</v>
      </c>
      <c r="Q42" s="364" t="str">
        <f>Cen!B210</f>
        <v>750.3001M</v>
      </c>
      <c r="R42" s="364" t="str">
        <f>Cen!C210</f>
        <v>ZN</v>
      </c>
      <c r="S42" s="365"/>
      <c r="T42" s="366">
        <f>Cen!F210</f>
        <v>21.925909999999998</v>
      </c>
      <c r="U42" s="366">
        <f t="shared" ref="U42:U58" si="10">S42*T42</f>
        <v>0</v>
      </c>
    </row>
    <row r="43" spans="1:21" ht="14" x14ac:dyDescent="0.3">
      <c r="A43" s="179"/>
      <c r="B43" s="119" t="str">
        <f>"    *** "&amp;List!$B$170&amp;": "&amp;List!$C$68&amp;" 3x, "&amp;List!$C$69&amp;" 2x"</f>
        <v xml:space="preserve">    *** Složení čelních zásuvných prvků: vysoký 3x, nízký 2x</v>
      </c>
      <c r="C43" s="348"/>
      <c r="D43" s="295"/>
      <c r="E43" s="295"/>
      <c r="F43" s="295"/>
      <c r="G43" s="295"/>
      <c r="H43" s="295"/>
      <c r="I43" s="295"/>
      <c r="J43" s="295"/>
      <c r="K43" s="295"/>
      <c r="L43" s="295"/>
      <c r="M43" s="119"/>
      <c r="N43" s="119"/>
      <c r="P43" s="364" t="str">
        <f>Cen!A211</f>
        <v>Korpusové lišty TIP-ON BLUMOTION, 350mm, 40kg</v>
      </c>
      <c r="Q43" s="364" t="str">
        <f>Cen!B211</f>
        <v>750.3501M</v>
      </c>
      <c r="R43" s="364" t="str">
        <f>Cen!C211</f>
        <v>ZN</v>
      </c>
      <c r="S43" s="365"/>
      <c r="T43" s="366">
        <f>Cen!F211</f>
        <v>21.925909999999998</v>
      </c>
      <c r="U43" s="366">
        <f t="shared" si="10"/>
        <v>0</v>
      </c>
    </row>
    <row r="44" spans="1:21" ht="14" x14ac:dyDescent="0.3">
      <c r="A44" s="179"/>
      <c r="B44" s="119" t="str">
        <f>"         "&amp;List!$B$171</f>
        <v xml:space="preserve">         Chcete-li jiné složení zásuvných prvků, upravte počty v objednávce</v>
      </c>
      <c r="C44" s="316"/>
      <c r="D44" s="359"/>
      <c r="E44" s="359"/>
      <c r="F44" s="359"/>
      <c r="G44" s="359"/>
      <c r="H44" s="359"/>
      <c r="I44" s="295"/>
      <c r="J44" s="295"/>
      <c r="K44" s="295"/>
      <c r="L44" s="295"/>
      <c r="M44" s="119"/>
      <c r="P44" s="364" t="str">
        <f>Cen!A212</f>
        <v>Korpusové lišty TIP-ON BLUMOTION, 400mm, 40kg</v>
      </c>
      <c r="Q44" s="364" t="str">
        <f>Cen!B212</f>
        <v>750.4001M</v>
      </c>
      <c r="R44" s="364" t="str">
        <f>Cen!C212</f>
        <v>ZN</v>
      </c>
      <c r="S44" s="365"/>
      <c r="T44" s="366">
        <f>Cen!F212</f>
        <v>22.204979999999999</v>
      </c>
      <c r="U44" s="366">
        <f t="shared" si="10"/>
        <v>0</v>
      </c>
    </row>
    <row r="45" spans="1:21" ht="14" x14ac:dyDescent="0.3">
      <c r="A45" s="179"/>
      <c r="B45" s="119" t="str">
        <f>"         "&amp;List!$B$173</f>
        <v xml:space="preserve">         Máte-li zásuvné prvky vlastní, upravte počty v objednávce</v>
      </c>
      <c r="C45" s="316"/>
      <c r="D45" s="359"/>
      <c r="E45" s="359"/>
      <c r="F45" s="359"/>
      <c r="G45" s="359"/>
      <c r="H45" s="359"/>
      <c r="I45" s="295"/>
      <c r="J45" s="295"/>
      <c r="K45" s="295"/>
      <c r="L45" s="295"/>
      <c r="M45" s="119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385">
        <f>IF($D$36&gt;0, $D$36*$D$34, 4*$D$34)+IF($J$36&gt;0, $J$36*$J$34, 2*$J$34)</f>
        <v>0</v>
      </c>
      <c r="T45" s="118">
        <f>Cen!F213</f>
        <v>23.667639999999995</v>
      </c>
      <c r="U45" s="118">
        <f>S45*T45</f>
        <v>0</v>
      </c>
    </row>
    <row r="46" spans="1:21" ht="14" x14ac:dyDescent="0.3">
      <c r="A46" s="179"/>
      <c r="C46" s="316"/>
      <c r="D46" s="359"/>
      <c r="E46" s="359"/>
      <c r="F46" s="359"/>
      <c r="G46" s="359"/>
      <c r="H46" s="359"/>
      <c r="I46" s="295"/>
      <c r="J46" s="295"/>
      <c r="K46" s="295"/>
      <c r="L46" s="295"/>
      <c r="M46" s="119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385">
        <f>IF($D$36&gt;0, $D$37*$D$34, 1*$D$34)+IF($J$36&gt;0, $J$37*$J$34, 3*$J$34)</f>
        <v>0</v>
      </c>
      <c r="T46" s="118">
        <f>Cen!F214</f>
        <v>27.780560000000001</v>
      </c>
      <c r="U46" s="118">
        <f>S46*T46</f>
        <v>0</v>
      </c>
    </row>
    <row r="47" spans="1:21" ht="14" x14ac:dyDescent="0.3">
      <c r="A47" s="179"/>
      <c r="C47" s="316"/>
      <c r="D47" s="359"/>
      <c r="E47" s="359"/>
      <c r="F47" s="359"/>
      <c r="G47" s="359"/>
      <c r="H47" s="359"/>
      <c r="I47" s="295"/>
      <c r="J47" s="295"/>
      <c r="K47" s="295"/>
      <c r="L47" s="295"/>
      <c r="M47" s="11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385">
        <f>IF($E$36&gt;0, $E$36*$E$34, 4*$E$34)+IF($K$36&gt;0, $K$36*$K$34, 2*$K$34)</f>
        <v>0</v>
      </c>
      <c r="T47" s="696">
        <f>Cen!F215</f>
        <v>23.961559999999999</v>
      </c>
      <c r="U47" s="696">
        <f>S47*T47</f>
        <v>0</v>
      </c>
    </row>
    <row r="48" spans="1:21" ht="14" x14ac:dyDescent="0.3">
      <c r="A48" s="179"/>
      <c r="C48" s="316"/>
      <c r="D48" s="359"/>
      <c r="E48" s="359"/>
      <c r="F48" s="359"/>
      <c r="G48" s="359"/>
      <c r="H48" s="359"/>
      <c r="I48" s="295"/>
      <c r="J48" s="295"/>
      <c r="K48" s="295"/>
      <c r="L48" s="295"/>
      <c r="M48" s="11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385">
        <f>IF($E$36&gt;0, $E$37*$E$34, 1*$E$34)+IF($K$36&gt;0, $K$37*$K$34, 3*$K$34)</f>
        <v>0</v>
      </c>
      <c r="T48" s="696">
        <f>Cen!F216</f>
        <v>28.059809999999999</v>
      </c>
      <c r="U48" s="696">
        <f>S48*T48</f>
        <v>0</v>
      </c>
    </row>
    <row r="49" spans="1:21" ht="14" x14ac:dyDescent="0.3">
      <c r="A49" s="179"/>
      <c r="C49" s="316"/>
      <c r="D49" s="359"/>
      <c r="E49" s="359"/>
      <c r="F49" s="359"/>
      <c r="G49" s="359"/>
      <c r="H49" s="359"/>
      <c r="I49" s="295"/>
      <c r="J49" s="295"/>
      <c r="K49" s="295"/>
      <c r="L49" s="295"/>
      <c r="M49" s="119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385">
        <f>IF($F$36&gt;0, $F$36*$F$34, 4*$F$34)+IF($L$36&gt;0, $L$36*$L$34, 2*$L$34)</f>
        <v>0</v>
      </c>
      <c r="T49" s="118">
        <f>Cen!F217</f>
        <v>24.254210000000004</v>
      </c>
      <c r="U49" s="118">
        <f t="shared" si="10"/>
        <v>0</v>
      </c>
    </row>
    <row r="50" spans="1:21" ht="14" x14ac:dyDescent="0.3">
      <c r="A50" s="179"/>
      <c r="C50" s="316"/>
      <c r="D50" s="359"/>
      <c r="E50" s="359"/>
      <c r="F50" s="359"/>
      <c r="G50" s="359"/>
      <c r="H50" s="359"/>
      <c r="I50" s="295"/>
      <c r="J50" s="295"/>
      <c r="K50" s="295"/>
      <c r="L50" s="295"/>
      <c r="M50" s="119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385">
        <f>IF($F$36&gt;0, $F$37*$F$34, 1*$F$34)+IF($L$36&gt;0, $L$37*$L$34, 3*$L$34)</f>
        <v>0</v>
      </c>
      <c r="T50" s="118">
        <f>Cen!F218</f>
        <v>29.550529999999998</v>
      </c>
      <c r="U50" s="118">
        <f t="shared" si="10"/>
        <v>0</v>
      </c>
    </row>
    <row r="51" spans="1:21" ht="14" x14ac:dyDescent="0.3">
      <c r="A51" s="179"/>
      <c r="C51" s="316"/>
      <c r="D51" s="359"/>
      <c r="E51" s="359"/>
      <c r="F51" s="359"/>
      <c r="G51" s="359"/>
      <c r="H51" s="359"/>
      <c r="I51" s="295"/>
      <c r="J51" s="295"/>
      <c r="K51" s="295"/>
      <c r="L51" s="295"/>
      <c r="M51" s="119"/>
      <c r="P51" s="364" t="str">
        <f>Cen!A219</f>
        <v>Korpusové lišty TIP-ON BLUMOTION, 600mm, 40kg</v>
      </c>
      <c r="Q51" s="364" t="str">
        <f>Cen!B219</f>
        <v>750.6001M</v>
      </c>
      <c r="R51" s="364" t="str">
        <f>Cen!C219</f>
        <v>ZN</v>
      </c>
      <c r="S51" s="365"/>
      <c r="T51" s="366">
        <f>Cen!F219</f>
        <v>27.259979999999999</v>
      </c>
      <c r="U51" s="366">
        <f t="shared" si="10"/>
        <v>0</v>
      </c>
    </row>
    <row r="52" spans="1:21" ht="14" x14ac:dyDescent="0.3">
      <c r="A52" s="179"/>
      <c r="C52" s="316"/>
      <c r="D52" s="359"/>
      <c r="E52" s="359"/>
      <c r="F52" s="359"/>
      <c r="G52" s="359"/>
      <c r="H52" s="359"/>
      <c r="I52" s="295"/>
      <c r="J52" s="295"/>
      <c r="K52" s="295"/>
      <c r="L52" s="295"/>
      <c r="M52" s="119"/>
      <c r="P52" s="364" t="str">
        <f>Cen!A220</f>
        <v>Korpusové lišty TIP-ON BLUMOTION, 600mm, 70kg</v>
      </c>
      <c r="Q52" s="364" t="str">
        <f>Cen!B220</f>
        <v>753.6001M</v>
      </c>
      <c r="R52" s="364" t="str">
        <f>Cen!C220</f>
        <v>ZN</v>
      </c>
      <c r="S52" s="365"/>
      <c r="T52" s="366">
        <f>Cen!F220</f>
        <v>32.5563</v>
      </c>
      <c r="U52" s="366">
        <f t="shared" si="10"/>
        <v>0</v>
      </c>
    </row>
    <row r="53" spans="1:21" ht="14" x14ac:dyDescent="0.3">
      <c r="A53" s="179"/>
      <c r="C53" s="316"/>
      <c r="D53" s="359"/>
      <c r="E53" s="359"/>
      <c r="F53" s="359"/>
      <c r="G53" s="359"/>
      <c r="H53" s="359"/>
      <c r="I53" s="295"/>
      <c r="J53" s="295"/>
      <c r="K53" s="295"/>
      <c r="L53" s="295"/>
      <c r="M53" s="119"/>
      <c r="P53" s="364" t="str">
        <f>Cen!A221</f>
        <v>Korpusové lišty TIP-ON BLUMOTION, 650mm, 70kg</v>
      </c>
      <c r="Q53" s="364" t="str">
        <f>Cen!B221</f>
        <v>753.6501M</v>
      </c>
      <c r="R53" s="364" t="str">
        <f>Cen!C221</f>
        <v>ZN</v>
      </c>
      <c r="S53" s="365"/>
      <c r="T53" s="366">
        <f>Cen!F221</f>
        <v>34.047020000000003</v>
      </c>
      <c r="U53" s="366">
        <f t="shared" si="10"/>
        <v>0</v>
      </c>
    </row>
    <row r="54" spans="1:21" ht="14" x14ac:dyDescent="0.3">
      <c r="A54" s="179"/>
      <c r="C54" s="316"/>
      <c r="D54" s="359"/>
      <c r="E54" s="359"/>
      <c r="F54" s="359"/>
      <c r="G54" s="359"/>
      <c r="H54" s="359"/>
      <c r="I54" s="295"/>
      <c r="J54" s="295"/>
      <c r="K54" s="295"/>
      <c r="L54" s="295"/>
      <c r="M54" s="119"/>
      <c r="P54" s="122"/>
      <c r="Q54" s="122"/>
      <c r="R54" s="122"/>
      <c r="S54" s="123"/>
      <c r="T54" s="118"/>
      <c r="U54" s="118"/>
    </row>
    <row r="55" spans="1:21" ht="14" x14ac:dyDescent="0.3">
      <c r="A55" s="179"/>
      <c r="C55" s="316"/>
      <c r="D55" s="359"/>
      <c r="E55" s="359"/>
      <c r="F55" s="359"/>
      <c r="G55" s="359"/>
      <c r="H55" s="359"/>
      <c r="I55" s="295"/>
      <c r="J55" s="295"/>
      <c r="K55" s="295"/>
      <c r="L55" s="295"/>
      <c r="M55" s="11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/>
      <c r="T55" s="118">
        <f>Cen!F223</f>
        <v>15.883479999999999</v>
      </c>
      <c r="U55" s="118">
        <f t="shared" si="10"/>
        <v>0</v>
      </c>
    </row>
    <row r="56" spans="1:21" ht="14" x14ac:dyDescent="0.3">
      <c r="A56" s="179"/>
      <c r="C56" s="316"/>
      <c r="D56" s="359"/>
      <c r="E56" s="359"/>
      <c r="F56" s="359"/>
      <c r="G56" s="359"/>
      <c r="H56" s="359"/>
      <c r="I56" s="295"/>
      <c r="J56" s="295"/>
      <c r="K56" s="295"/>
      <c r="L56" s="295"/>
      <c r="M56" s="11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/>
      <c r="T56" s="118">
        <f>Cen!F224</f>
        <v>15.883479999999999</v>
      </c>
      <c r="U56" s="118">
        <f t="shared" si="10"/>
        <v>0</v>
      </c>
    </row>
    <row r="57" spans="1:21" ht="14" x14ac:dyDescent="0.3">
      <c r="A57" s="179"/>
      <c r="C57" s="316"/>
      <c r="D57" s="359"/>
      <c r="E57" s="359"/>
      <c r="F57" s="359"/>
      <c r="G57" s="359"/>
      <c r="H57" s="359"/>
      <c r="I57" s="295"/>
      <c r="J57" s="295"/>
      <c r="K57" s="295"/>
      <c r="L57" s="295"/>
      <c r="M57" s="11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SUM(S45,S47,S49)</f>
        <v>0</v>
      </c>
      <c r="T57" s="118">
        <f>Cen!F225</f>
        <v>15.883479999999999</v>
      </c>
      <c r="U57" s="118">
        <f t="shared" si="10"/>
        <v>0</v>
      </c>
    </row>
    <row r="58" spans="1:21" ht="14" x14ac:dyDescent="0.3">
      <c r="A58" s="179"/>
      <c r="C58" s="316"/>
      <c r="D58" s="359"/>
      <c r="E58" s="359"/>
      <c r="F58" s="359"/>
      <c r="G58" s="359"/>
      <c r="H58" s="359"/>
      <c r="I58" s="295"/>
      <c r="J58" s="295"/>
      <c r="K58" s="295"/>
      <c r="L58" s="295"/>
      <c r="M58" s="11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SUM(S46,S48,S50)</f>
        <v>0</v>
      </c>
      <c r="T58" s="118">
        <f>Cen!F226</f>
        <v>15.883479999999999</v>
      </c>
      <c r="U58" s="118">
        <f t="shared" si="10"/>
        <v>0</v>
      </c>
    </row>
    <row r="59" spans="1:21" ht="14" x14ac:dyDescent="0.3">
      <c r="A59" s="179"/>
      <c r="C59" s="316"/>
      <c r="D59" s="359"/>
      <c r="E59" s="359"/>
      <c r="F59" s="359"/>
      <c r="G59" s="359"/>
      <c r="H59" s="359"/>
      <c r="I59" s="295"/>
      <c r="J59" s="295"/>
      <c r="K59" s="295"/>
      <c r="L59" s="295"/>
      <c r="M59" s="119"/>
      <c r="P59" s="144"/>
      <c r="Q59" s="144"/>
      <c r="R59" s="144"/>
      <c r="S59" s="150"/>
      <c r="T59" s="154"/>
      <c r="U59" s="154"/>
    </row>
    <row r="60" spans="1:21" ht="13" x14ac:dyDescent="0.3">
      <c r="A60" s="179"/>
      <c r="C60" s="294"/>
      <c r="D60" s="179"/>
      <c r="E60" s="179"/>
      <c r="F60" s="179"/>
      <c r="G60" s="179"/>
      <c r="H60" s="179"/>
      <c r="I60" s="288"/>
      <c r="J60" s="288"/>
      <c r="K60" s="288"/>
      <c r="L60" s="288"/>
      <c r="M60" s="119"/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SUM(S3:S10)</f>
        <v>0</v>
      </c>
      <c r="T60" s="118">
        <f>Cen!$F259</f>
        <v>1.59894</v>
      </c>
      <c r="U60" s="118">
        <f>S60*T60</f>
        <v>0</v>
      </c>
    </row>
    <row r="61" spans="1:21" ht="13" x14ac:dyDescent="0.3">
      <c r="B61" s="119"/>
      <c r="C61" s="294"/>
      <c r="D61" s="179"/>
      <c r="E61" s="179"/>
      <c r="F61" s="179"/>
      <c r="G61" s="179"/>
      <c r="H61" s="179"/>
      <c r="I61" s="179"/>
      <c r="J61" s="179"/>
      <c r="K61" s="179"/>
      <c r="L61" s="179"/>
      <c r="M61" s="119"/>
      <c r="P61" s="122" t="str">
        <f>Cen!A297</f>
        <v>Sada kování vnitř.výs. C, s relingem, Orion šedá</v>
      </c>
      <c r="Q61" s="122" t="str">
        <f>Cen!B297</f>
        <v>ZI7.3CS0</v>
      </c>
      <c r="R61" s="122" t="str">
        <f>Cen!C297</f>
        <v>OG-M</v>
      </c>
      <c r="S61" s="123">
        <f>SUM(S3:S10)</f>
        <v>0</v>
      </c>
      <c r="T61" s="118">
        <f>Cen!F297</f>
        <v>18.150179999999999</v>
      </c>
      <c r="U61" s="118">
        <f>S61*T61</f>
        <v>0</v>
      </c>
    </row>
    <row r="62" spans="1:21" ht="13" x14ac:dyDescent="0.3">
      <c r="B62" s="119"/>
      <c r="C62" s="287"/>
      <c r="I62" s="289"/>
      <c r="J62" s="289"/>
      <c r="K62" s="289"/>
      <c r="L62" s="289"/>
      <c r="M62" s="119"/>
      <c r="P62" s="122"/>
      <c r="Q62" s="122"/>
      <c r="R62" s="122"/>
      <c r="S62" s="123"/>
      <c r="T62" s="118"/>
      <c r="U62" s="118"/>
    </row>
    <row r="63" spans="1:21" ht="14.5" x14ac:dyDescent="0.35">
      <c r="B63" s="24"/>
      <c r="C63" s="287"/>
      <c r="I63" s="290"/>
      <c r="J63" s="290"/>
      <c r="K63" s="290"/>
      <c r="L63" s="290"/>
      <c r="P63" s="122" t="str">
        <f>Cen!A310</f>
        <v>Přední díl vnitřní zásuvky, bez drážky, Orion šedý</v>
      </c>
      <c r="Q63" s="122" t="str">
        <f>Cen!B310</f>
        <v>ZV7.1043C01</v>
      </c>
      <c r="R63" s="122" t="str">
        <f>Cen!C310</f>
        <v>OG-M</v>
      </c>
      <c r="S63" s="336">
        <f>ROUNDUP(SUM($D$26, $E$26, $F$26, $D$34, $E$34, $F$34)/3*5, 0)+ROUNDUP(SUM($J$26, $K$26, $L$26, $J$34, $K$34, $L$34)/2*5,0)</f>
        <v>0</v>
      </c>
      <c r="T63" s="118">
        <f>Cen!F310</f>
        <v>15.491620000000001</v>
      </c>
      <c r="U63" s="118">
        <f>S63*T63</f>
        <v>0</v>
      </c>
    </row>
    <row r="64" spans="1:21" ht="13" x14ac:dyDescent="0.3">
      <c r="B64" s="119"/>
      <c r="C64" s="287"/>
      <c r="I64" s="288"/>
      <c r="J64" s="288"/>
      <c r="K64" s="288"/>
      <c r="L64" s="288"/>
      <c r="P64" s="122" t="str">
        <f>Cen!A338</f>
        <v>Příčný reling vnitřní zásuvky, Orion šedý</v>
      </c>
      <c r="Q64" s="122" t="str">
        <f>Cen!B338</f>
        <v>ZR7.1080U</v>
      </c>
      <c r="R64" s="122" t="str">
        <f>Cen!C338</f>
        <v>OG-M</v>
      </c>
      <c r="S64" s="336">
        <f>ROUNDUP(SUM($D$26, $E$26, $F$26, $D$34, $E$34, $F$34)/3*4, 0)+ROUNDUP(SUM($J$26, $K$26, $L$26, $J$34, $K$34, $L$34)/2*4,0)</f>
        <v>0</v>
      </c>
      <c r="T64" s="118">
        <f>Cen!F338</f>
        <v>6.60684</v>
      </c>
      <c r="U64" s="118">
        <f>S64*T64</f>
        <v>0</v>
      </c>
    </row>
    <row r="65" spans="1:21" ht="14" x14ac:dyDescent="0.3">
      <c r="B65" s="119"/>
      <c r="C65" s="291"/>
      <c r="D65" s="347"/>
      <c r="E65" s="348"/>
      <c r="F65" s="349"/>
      <c r="G65" s="349"/>
      <c r="H65" s="348"/>
      <c r="I65" s="348"/>
      <c r="J65" s="291"/>
      <c r="K65" s="291"/>
      <c r="L65" s="291"/>
      <c r="P65" s="144"/>
      <c r="Q65" s="144"/>
      <c r="R65" s="144"/>
      <c r="S65" s="150"/>
      <c r="T65" s="154"/>
      <c r="U65" s="154"/>
    </row>
    <row r="66" spans="1:21" ht="15.5" x14ac:dyDescent="0.35">
      <c r="B66" s="391"/>
      <c r="C66" s="287"/>
      <c r="I66" s="288"/>
      <c r="J66" s="288"/>
      <c r="K66" s="288"/>
      <c r="L66" s="288"/>
      <c r="P66" s="119"/>
      <c r="Q66" s="119"/>
    </row>
    <row r="67" spans="1:21" ht="14" x14ac:dyDescent="0.3">
      <c r="B67" s="383"/>
      <c r="G67" s="2"/>
      <c r="P67" s="209" t="str">
        <f>Cen!A168</f>
        <v>Boční zásuvné prvky, sklo, pro 350 mm</v>
      </c>
      <c r="Q67" s="209" t="str">
        <f>Cen!B168</f>
        <v>ZE7S238G</v>
      </c>
      <c r="R67" s="209" t="str">
        <f>Cen!C168</f>
        <v>KLA</v>
      </c>
      <c r="S67" s="260">
        <f t="shared" ref="S67:S73" si="11">S5</f>
        <v>0</v>
      </c>
      <c r="T67" s="607">
        <f>Cen!F168</f>
        <v>20.738469999999996</v>
      </c>
      <c r="U67" s="261">
        <f>S67*T67</f>
        <v>0</v>
      </c>
    </row>
    <row r="68" spans="1:21" x14ac:dyDescent="0.25">
      <c r="B68" s="179"/>
      <c r="G68" s="2"/>
      <c r="P68" s="127" t="str">
        <f>Cen!A169</f>
        <v>Boční zásuvné prvky, sklo, pro 400 mm</v>
      </c>
      <c r="Q68" s="127" t="str">
        <f>Cen!B169</f>
        <v>ZE7S288G</v>
      </c>
      <c r="R68" s="127" t="str">
        <f>Cen!C169</f>
        <v>KLA</v>
      </c>
      <c r="S68" s="262">
        <f t="shared" si="11"/>
        <v>0</v>
      </c>
      <c r="T68" s="266">
        <f>Cen!F169</f>
        <v>21.912770000000002</v>
      </c>
      <c r="U68" s="263">
        <f t="shared" ref="U68:U73" si="12">S68*T68</f>
        <v>0</v>
      </c>
    </row>
    <row r="69" spans="1:21" x14ac:dyDescent="0.25">
      <c r="B69" s="179"/>
      <c r="G69" s="2"/>
      <c r="P69" s="127" t="str">
        <f>Cen!A170</f>
        <v>Boční zásuvné prvky, sklo, pro 450 mm</v>
      </c>
      <c r="Q69" s="127" t="str">
        <f>Cen!B170</f>
        <v>ZE7S338G</v>
      </c>
      <c r="R69" s="127" t="str">
        <f>Cen!C170</f>
        <v>KLA</v>
      </c>
      <c r="S69" s="262">
        <f t="shared" si="11"/>
        <v>0</v>
      </c>
      <c r="T69" s="266">
        <f>Cen!F170</f>
        <v>23.087060000000001</v>
      </c>
      <c r="U69" s="263">
        <f t="shared" si="12"/>
        <v>0</v>
      </c>
    </row>
    <row r="70" spans="1:21" x14ac:dyDescent="0.25">
      <c r="B70" s="291"/>
      <c r="G70" s="2"/>
      <c r="P70" s="127" t="str">
        <f>Cen!A171</f>
        <v>Boční zásuvné prvky, sklo, pro 500 mm</v>
      </c>
      <c r="Q70" s="127" t="str">
        <f>Cen!B171</f>
        <v>ZE7S388G</v>
      </c>
      <c r="R70" s="127" t="str">
        <f>Cen!C171</f>
        <v>KLA</v>
      </c>
      <c r="S70" s="262">
        <f t="shared" si="11"/>
        <v>0</v>
      </c>
      <c r="T70" s="266">
        <f>Cen!F171</f>
        <v>24.26136</v>
      </c>
      <c r="U70" s="263">
        <f t="shared" si="12"/>
        <v>0</v>
      </c>
    </row>
    <row r="71" spans="1:21" ht="13" x14ac:dyDescent="0.3">
      <c r="B71" s="294"/>
      <c r="G71" s="2"/>
      <c r="P71" s="127" t="str">
        <f>Cen!A172</f>
        <v>Boční zásuvné prvky, sklo, pro 550 mm</v>
      </c>
      <c r="Q71" s="127" t="str">
        <f>Cen!B172</f>
        <v>ZE7S438G</v>
      </c>
      <c r="R71" s="127" t="str">
        <f>Cen!C172</f>
        <v>KLA</v>
      </c>
      <c r="S71" s="262">
        <f t="shared" si="11"/>
        <v>0</v>
      </c>
      <c r="T71" s="266">
        <f>Cen!F172</f>
        <v>26.609179999999995</v>
      </c>
      <c r="U71" s="263">
        <f t="shared" si="12"/>
        <v>0</v>
      </c>
    </row>
    <row r="72" spans="1:21" x14ac:dyDescent="0.25">
      <c r="G72" s="2"/>
      <c r="P72" s="127" t="str">
        <f>Cen!A173</f>
        <v>Boční zásuvné prvky, sklo, pro 600 mm</v>
      </c>
      <c r="Q72" s="127" t="str">
        <f>Cen!B173</f>
        <v>ZE7S488G</v>
      </c>
      <c r="R72" s="127" t="str">
        <f>Cen!C173</f>
        <v>KLA</v>
      </c>
      <c r="S72" s="262">
        <f t="shared" si="11"/>
        <v>0</v>
      </c>
      <c r="T72" s="266">
        <f>Cen!F173</f>
        <v>28.957020000000004</v>
      </c>
      <c r="U72" s="263">
        <f t="shared" si="12"/>
        <v>0</v>
      </c>
    </row>
    <row r="73" spans="1:21" ht="13" thickBot="1" x14ac:dyDescent="0.3">
      <c r="G73" s="2"/>
      <c r="P73" s="608" t="str">
        <f>Cen!A174</f>
        <v>Boční zásuvné prvky, sklo, pro 650 mm</v>
      </c>
      <c r="Q73" s="608" t="str">
        <f>Cen!B174</f>
        <v>ZE7S538G</v>
      </c>
      <c r="R73" s="608" t="str">
        <f>Cen!C174</f>
        <v>KLA</v>
      </c>
      <c r="S73" s="609">
        <f t="shared" si="11"/>
        <v>0</v>
      </c>
      <c r="T73" s="610">
        <f>Cen!F174</f>
        <v>31.304870000000001</v>
      </c>
      <c r="U73" s="611">
        <f t="shared" si="12"/>
        <v>0</v>
      </c>
    </row>
    <row r="74" spans="1:21" ht="13" x14ac:dyDescent="0.3">
      <c r="C74" s="287"/>
      <c r="I74" s="288"/>
      <c r="J74" s="288"/>
      <c r="K74" s="288"/>
      <c r="L74" s="288"/>
      <c r="P74" s="119"/>
      <c r="Q74" s="119"/>
    </row>
    <row r="75" spans="1:21" ht="13" x14ac:dyDescent="0.3">
      <c r="C75" s="287"/>
      <c r="I75" s="288"/>
      <c r="J75" s="288"/>
      <c r="K75" s="288"/>
      <c r="L75" s="288"/>
      <c r="P75" s="119"/>
      <c r="Q75" s="119"/>
    </row>
    <row r="76" spans="1:21" ht="14" x14ac:dyDescent="0.3">
      <c r="A76" s="179"/>
      <c r="C76" s="348"/>
      <c r="D76" s="295"/>
      <c r="E76" s="295"/>
      <c r="F76" s="295"/>
      <c r="G76" s="295"/>
      <c r="H76" s="295"/>
      <c r="I76" s="295"/>
      <c r="J76" s="295"/>
      <c r="K76" s="295"/>
      <c r="L76" s="295"/>
      <c r="M76" s="119"/>
      <c r="N76" s="119"/>
      <c r="P76" s="122"/>
      <c r="Q76" s="122"/>
      <c r="R76" s="122"/>
      <c r="S76" s="123"/>
      <c r="T76" s="118"/>
      <c r="U76" s="118"/>
    </row>
    <row r="77" spans="1:21" ht="14" x14ac:dyDescent="0.3">
      <c r="A77" s="179"/>
      <c r="C77" s="348"/>
      <c r="D77" s="295"/>
      <c r="E77" s="295"/>
      <c r="F77" s="295"/>
      <c r="G77" s="295"/>
      <c r="H77" s="295"/>
      <c r="I77" s="295"/>
      <c r="J77" s="295"/>
      <c r="K77" s="295"/>
      <c r="L77" s="295"/>
      <c r="M77" s="119"/>
      <c r="N77" s="119"/>
      <c r="P77" s="122" t="str">
        <f>Cen!$A$621</f>
        <v>CLIP top 155° s nulovým přesahem, EXPANDO</v>
      </c>
      <c r="Q77" s="122" t="str">
        <f>Cen!$B$621</f>
        <v>71T753EN</v>
      </c>
      <c r="R77" s="122" t="str">
        <f>Cen!$C$621</f>
        <v>NI</v>
      </c>
      <c r="S77" s="123">
        <f>SUM($D$26:$F$26, $J$26:$L$26, $D$34:$F$34, $J$34:$L$34)*4</f>
        <v>0</v>
      </c>
      <c r="T77" s="118">
        <f>Cen!$F$621</f>
        <v>4.42394</v>
      </c>
      <c r="U77" s="118">
        <f t="shared" ref="U77:U79" si="13">S77*T77</f>
        <v>0</v>
      </c>
    </row>
    <row r="78" spans="1:21" ht="14" x14ac:dyDescent="0.3">
      <c r="A78" s="179"/>
      <c r="C78" s="348"/>
      <c r="D78" s="295"/>
      <c r="E78" s="295"/>
      <c r="F78" s="295"/>
      <c r="G78" s="295"/>
      <c r="H78" s="295"/>
      <c r="I78" s="295"/>
      <c r="J78" s="295"/>
      <c r="K78" s="295"/>
      <c r="L78" s="295"/>
      <c r="M78" s="119"/>
      <c r="N78" s="119"/>
      <c r="P78" s="122" t="str">
        <f>Cen!$A$630</f>
        <v>Podložka CLIP top přímá, EXPANDO</v>
      </c>
      <c r="Q78" s="122" t="str">
        <f>Cen!$B$630</f>
        <v>177H5400E</v>
      </c>
      <c r="R78" s="122" t="str">
        <f>Cen!$C$630</f>
        <v>NI</v>
      </c>
      <c r="S78" s="123">
        <f>$S77</f>
        <v>0</v>
      </c>
      <c r="T78" s="118">
        <f>Cen!$F$630</f>
        <v>0.81311999999999995</v>
      </c>
      <c r="U78" s="118">
        <f t="shared" si="13"/>
        <v>0</v>
      </c>
    </row>
    <row r="79" spans="1:21" ht="14" x14ac:dyDescent="0.3">
      <c r="A79" s="179"/>
      <c r="C79" s="348"/>
      <c r="D79" s="295"/>
      <c r="E79" s="295"/>
      <c r="F79" s="295"/>
      <c r="G79" s="295"/>
      <c r="H79" s="295"/>
      <c r="I79" s="295"/>
      <c r="J79" s="295"/>
      <c r="K79" s="295"/>
      <c r="L79" s="295"/>
      <c r="M79" s="119"/>
      <c r="N79" s="119"/>
      <c r="P79" s="122" t="str">
        <f>Cen!$A$633</f>
        <v>BLUMOTION pro nasazení na závěs 155° a 125°</v>
      </c>
      <c r="Q79" s="122" t="str">
        <f>Cen!$B$633</f>
        <v>973A7000</v>
      </c>
      <c r="R79" s="122" t="str">
        <f>Cen!$C$633</f>
        <v>NI</v>
      </c>
      <c r="S79" s="123">
        <f>$S77/4*2</f>
        <v>0</v>
      </c>
      <c r="T79" s="118">
        <f>Cen!$F$633</f>
        <v>1.5222899999999999</v>
      </c>
      <c r="U79" s="118">
        <f t="shared" si="13"/>
        <v>0</v>
      </c>
    </row>
    <row r="80" spans="1:21" ht="14" x14ac:dyDescent="0.3">
      <c r="A80" s="179"/>
      <c r="C80" s="348"/>
      <c r="D80" s="295"/>
      <c r="E80" s="295"/>
      <c r="F80" s="295"/>
      <c r="G80" s="295"/>
      <c r="H80" s="295"/>
      <c r="I80" s="295"/>
      <c r="J80" s="295"/>
      <c r="K80" s="295"/>
      <c r="L80" s="295"/>
      <c r="M80" s="119"/>
      <c r="N80" s="119"/>
      <c r="P80" s="122"/>
      <c r="Q80" s="122"/>
      <c r="R80" s="122"/>
      <c r="S80" s="123"/>
      <c r="T80" s="118"/>
      <c r="U80" s="118"/>
    </row>
    <row r="81" spans="1:21" ht="14" x14ac:dyDescent="0.3">
      <c r="A81" s="179"/>
      <c r="C81" s="348"/>
      <c r="D81" s="295"/>
      <c r="E81" s="295"/>
      <c r="F81" s="295"/>
      <c r="G81" s="295"/>
      <c r="H81" s="295"/>
      <c r="I81" s="295"/>
      <c r="J81" s="295"/>
      <c r="K81" s="295"/>
      <c r="L81" s="295"/>
      <c r="M81" s="119"/>
      <c r="N81" s="119"/>
      <c r="P81" s="144"/>
      <c r="Q81" s="144"/>
      <c r="R81" s="144"/>
      <c r="S81" s="150"/>
      <c r="T81" s="154"/>
      <c r="U81" s="154"/>
    </row>
    <row r="82" spans="1:21" x14ac:dyDescent="0.25">
      <c r="S82" s="73" t="str">
        <f>List!$B$94</f>
        <v>cena kování</v>
      </c>
      <c r="U82" s="353">
        <f>SUM(U3:U73)</f>
        <v>0</v>
      </c>
    </row>
    <row r="106" spans="1:1" x14ac:dyDescent="0.25">
      <c r="A106" s="783"/>
    </row>
    <row r="107" spans="1:1" x14ac:dyDescent="0.25">
      <c r="A107" s="783"/>
    </row>
    <row r="108" spans="1:1" x14ac:dyDescent="0.25">
      <c r="A108" s="783"/>
    </row>
    <row r="109" spans="1:1" x14ac:dyDescent="0.25">
      <c r="A109" s="783"/>
    </row>
    <row r="110" spans="1:1" x14ac:dyDescent="0.25">
      <c r="A110" s="783"/>
    </row>
    <row r="111" spans="1:1" x14ac:dyDescent="0.25">
      <c r="A111" s="783"/>
    </row>
    <row r="112" spans="1:1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  <row r="141" spans="1:1" x14ac:dyDescent="0.25">
      <c r="A141" s="783"/>
    </row>
    <row r="142" spans="1:1" x14ac:dyDescent="0.25">
      <c r="A142" s="783"/>
    </row>
    <row r="143" spans="1:1" x14ac:dyDescent="0.25">
      <c r="A143" s="783"/>
    </row>
    <row r="144" spans="1:1" x14ac:dyDescent="0.25">
      <c r="A144" s="783"/>
    </row>
    <row r="145" spans="1:1" x14ac:dyDescent="0.25">
      <c r="A145" s="783"/>
    </row>
    <row r="146" spans="1:1" x14ac:dyDescent="0.25">
      <c r="A146" s="783"/>
    </row>
    <row r="147" spans="1:1" x14ac:dyDescent="0.25">
      <c r="A147" s="783"/>
    </row>
  </sheetData>
  <sheetProtection algorithmName="SHA-512" hashValue="ROLSES6Ws5Qbqf13JhaVVDxg79h1tKy9B538XPANhr/nK+d7tRa0mTKeBOLSrn0jJIhiBuUEJ0jzVCAluLWyqA==" saltValue="ElKSmYFKg3Cek9an6pkwoQ==" spinCount="100000" sheet="1" objects="1" scenarios="1"/>
  <mergeCells count="1">
    <mergeCell ref="A106:A147"/>
  </mergeCells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2" tint="-0.499984740745262"/>
  </sheetPr>
  <dimension ref="A1:U145"/>
  <sheetViews>
    <sheetView showGridLines="0" showRowColHeaders="0" showZero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91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8164062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1.4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7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79"/>
      <c r="H2" s="119"/>
      <c r="I2" s="119"/>
      <c r="J2" s="119"/>
      <c r="K2" s="119"/>
      <c r="L2" s="120" t="str">
        <f>"SPACE-TOWER, "&amp;List!$B$63&amp;" 4xC/1xM"</f>
        <v>SPACE-TOWER, sestava 4xC/1xM</v>
      </c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8" thickBot="1" x14ac:dyDescent="0.4">
      <c r="A3" s="119"/>
      <c r="B3" s="119"/>
      <c r="C3" s="119"/>
      <c r="D3" s="119"/>
      <c r="E3" s="119"/>
      <c r="F3" s="119"/>
      <c r="G3" s="179"/>
      <c r="H3" s="119"/>
      <c r="I3" s="121"/>
      <c r="J3" s="121"/>
      <c r="K3" s="121"/>
      <c r="L3" s="159" t="str">
        <f>List!$B$68&amp;" / "&amp;List!$B$69&amp;" "&amp;List!$B$66&amp;"** "</f>
        <v xml:space="preserve">vysoký / nízký přední zásuvný prvek** </v>
      </c>
      <c r="M3" s="119"/>
      <c r="N3" s="151" t="str">
        <f>" "&amp;List!$B$13</f>
        <v xml:space="preserve"> Úvod</v>
      </c>
      <c r="O3" s="119"/>
      <c r="P3" s="397" t="str">
        <f>Cen!A35</f>
        <v>Bočnice M 450mm, Orion šedé</v>
      </c>
      <c r="Q3" s="397" t="str">
        <f>Cen!B35</f>
        <v>770M4502S</v>
      </c>
      <c r="R3" s="397" t="str">
        <f>Cen!C75</f>
        <v>OG-M</v>
      </c>
      <c r="S3" s="424">
        <f>SUM(D26, J26, D34, J34)</f>
        <v>0</v>
      </c>
      <c r="T3" s="425">
        <f>Cen!F35</f>
        <v>19.977319999999999</v>
      </c>
      <c r="U3" s="398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79"/>
      <c r="H4" s="119"/>
      <c r="I4" s="122" t="str">
        <f>List!$B$79&amp;":"</f>
        <v>bočnice:</v>
      </c>
      <c r="J4" s="122"/>
      <c r="K4" s="122" t="s">
        <v>898</v>
      </c>
      <c r="L4" s="122"/>
      <c r="M4" s="119"/>
      <c r="N4" s="152" t="str">
        <f>" "&amp;List!$B$4</f>
        <v xml:space="preserve"> Výběr zásuvek a výsuvů</v>
      </c>
      <c r="O4" s="119"/>
      <c r="P4" s="397" t="str">
        <f>Cen!A39</f>
        <v>Bočnice M 500mm, Orion šedé</v>
      </c>
      <c r="Q4" s="397" t="str">
        <f>Cen!B39</f>
        <v>770M5002S</v>
      </c>
      <c r="R4" s="397" t="str">
        <f>Cen!C79</f>
        <v>OG-M</v>
      </c>
      <c r="S4" s="424">
        <f>SUM(E26, K26, E34, K34)</f>
        <v>0</v>
      </c>
      <c r="T4" s="425">
        <f>Cen!F39</f>
        <v>20.211580000000001</v>
      </c>
      <c r="U4" s="39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79"/>
      <c r="H5" s="119"/>
      <c r="I5" s="121" t="str">
        <f>List!$B$27&amp;":"</f>
        <v>barva:</v>
      </c>
      <c r="J5" s="121"/>
      <c r="K5" s="121" t="str">
        <f>Form!$O$2</f>
        <v>Orion šedá (OG-M)</v>
      </c>
      <c r="L5" s="121"/>
      <c r="M5" s="119"/>
      <c r="O5" s="119"/>
      <c r="P5" s="397" t="str">
        <f>Cen!A43</f>
        <v>Bočnice M 550mm, Orion šedé</v>
      </c>
      <c r="Q5" s="397" t="str">
        <f>Cen!B43</f>
        <v>770M5502S</v>
      </c>
      <c r="R5" s="397" t="str">
        <f>Cen!C83</f>
        <v>OG-M</v>
      </c>
      <c r="S5" s="424">
        <f>SUM(F26, L26, F34, L34)</f>
        <v>0</v>
      </c>
      <c r="T5" s="425">
        <f>Cen!F43</f>
        <v>20.980989999999998</v>
      </c>
      <c r="U5" s="39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79"/>
      <c r="H6" s="119"/>
      <c r="I6" s="620" t="str">
        <f>List!$B$80&amp;":"</f>
        <v>provedení:</v>
      </c>
      <c r="J6" s="122"/>
      <c r="K6" s="121" t="s">
        <v>951</v>
      </c>
      <c r="L6" s="122"/>
      <c r="M6" s="119"/>
      <c r="N6" s="2" t="str">
        <f>List!$B$12&amp;":"</f>
        <v>Pokračovat na:</v>
      </c>
      <c r="O6" s="119"/>
      <c r="P6" s="360" t="str">
        <f>Cen!A47</f>
        <v>Bočnice M 600mm, Orion šedé</v>
      </c>
      <c r="Q6" s="360" t="str">
        <f>Cen!B47</f>
        <v>770M6002S</v>
      </c>
      <c r="R6" s="375" t="str">
        <f>Cen!C87</f>
        <v>OG-M</v>
      </c>
      <c r="S6" s="376"/>
      <c r="T6" s="362">
        <f>Cen!F47</f>
        <v>23.762070000000005</v>
      </c>
      <c r="U6" s="3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79"/>
      <c r="H7" s="119"/>
      <c r="I7" s="121" t="str">
        <f>List!$B$35&amp;":"</f>
        <v>sklo:</v>
      </c>
      <c r="J7" s="122"/>
      <c r="K7" s="121" t="str">
        <f>List!$B$36</f>
        <v>čiré</v>
      </c>
      <c r="L7" s="122"/>
      <c r="M7" s="119"/>
      <c r="N7" s="151" t="str">
        <f>" "&amp;List!$B$5</f>
        <v xml:space="preserve"> Výběr doplňků</v>
      </c>
      <c r="O7" s="119"/>
      <c r="P7" s="397" t="str">
        <f>Cen!A91</f>
        <v>Bočnice C pure, 450mm, Orion šedé</v>
      </c>
      <c r="Q7" s="397" t="str">
        <f>Cen!B91</f>
        <v>770C4502S</v>
      </c>
      <c r="R7" s="397" t="str">
        <f>Cen!C91</f>
        <v>OG-M</v>
      </c>
      <c r="S7" s="424">
        <f>SUM(D26, J26, D34, J34)*4</f>
        <v>0</v>
      </c>
      <c r="T7" s="425">
        <f>Cen!F91</f>
        <v>31.28134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79"/>
      <c r="H8" s="119"/>
      <c r="I8" s="122" t="str">
        <f>List!$B$94&amp;":"</f>
        <v>cena kování:</v>
      </c>
      <c r="J8" s="122"/>
      <c r="K8" s="122"/>
      <c r="L8" s="118">
        <f>$U$81</f>
        <v>0</v>
      </c>
      <c r="M8" s="119"/>
      <c r="N8" s="151" t="str">
        <f>" "&amp;List!$B$6</f>
        <v xml:space="preserve"> Výběr SERVO-DRIVE</v>
      </c>
      <c r="O8" s="119"/>
      <c r="P8" s="127" t="str">
        <f>Cen!A95</f>
        <v>Bočnice C pure, 500mm, Orion šedé</v>
      </c>
      <c r="Q8" s="127" t="str">
        <f>Cen!B95</f>
        <v>770C5002S</v>
      </c>
      <c r="R8" s="127" t="str">
        <f>Cen!C95</f>
        <v>OG-M</v>
      </c>
      <c r="S8" s="424">
        <f>SUM(E26, K26, E34, K34)*4</f>
        <v>0</v>
      </c>
      <c r="T8" s="266">
        <f>Cen!F95</f>
        <v>31.656259999999996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7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Cen!A99</f>
        <v>Bočnice C pure, 550mm, Orion šedé</v>
      </c>
      <c r="Q9" s="127" t="str">
        <f>Cen!B99</f>
        <v>770C5502S</v>
      </c>
      <c r="R9" s="127" t="str">
        <f>Cen!C99</f>
        <v>OG-M</v>
      </c>
      <c r="S9" s="424">
        <f>SUM(F26, L26, F34, L34)*4</f>
        <v>0</v>
      </c>
      <c r="T9" s="266">
        <f>Cen!F99</f>
        <v>31.853429999999999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79"/>
      <c r="H10" s="119"/>
      <c r="I10" s="259"/>
      <c r="J10" s="259"/>
      <c r="K10" s="292"/>
      <c r="L10" s="292"/>
      <c r="M10" s="119"/>
      <c r="N10" s="152" t="str">
        <f>" "&amp;List!$B$18</f>
        <v xml:space="preserve"> Souhrn</v>
      </c>
      <c r="O10" s="119"/>
      <c r="P10" s="360" t="str">
        <f>Cen!A103</f>
        <v>Bočnice C pure, 600mm, Orion šedé</v>
      </c>
      <c r="Q10" s="360" t="str">
        <f>Cen!B103</f>
        <v>770C6002S</v>
      </c>
      <c r="R10" s="360" t="str">
        <f>Cen!C103</f>
        <v>OG-M</v>
      </c>
      <c r="S10" s="361"/>
      <c r="T10" s="362">
        <f>Cen!F103</f>
        <v>35.537379999999999</v>
      </c>
      <c r="U10" s="3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79"/>
      <c r="H11" s="119"/>
      <c r="I11" s="119" t="str">
        <f>"  "&amp;List!$B$146&amp;":"</f>
        <v xml:space="preserve">  Přířezy prvků:</v>
      </c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2"/>
      <c r="Q11" s="122"/>
      <c r="R11" s="122"/>
      <c r="S11" s="123"/>
      <c r="T11" s="117"/>
      <c r="U11" s="118"/>
    </row>
    <row r="12" spans="1:21" x14ac:dyDescent="0.25">
      <c r="A12" s="119"/>
      <c r="B12" s="119"/>
      <c r="C12" s="119"/>
      <c r="D12" s="119"/>
      <c r="E12" s="119"/>
      <c r="F12" s="119"/>
      <c r="G12" s="179"/>
      <c r="H12" s="119"/>
      <c r="I12" s="119" t="str">
        <f>List!$C$150&amp;":   LW - 126"</f>
        <v>Přední díl:   LW - 126</v>
      </c>
      <c r="J12" s="291"/>
      <c r="K12" s="291"/>
      <c r="L12" s="291"/>
      <c r="M12" s="119"/>
      <c r="N12" s="119"/>
      <c r="O12" s="119"/>
      <c r="P12" s="379" t="str">
        <f>Cen!A177</f>
        <v>Korpusové lišty BLUMOTION, 270mm, 40kg</v>
      </c>
      <c r="Q12" s="379" t="str">
        <f>Cen!B177</f>
        <v>750.2701B</v>
      </c>
      <c r="R12" s="379" t="str">
        <f>Cen!C177</f>
        <v>ZN</v>
      </c>
      <c r="S12" s="380"/>
      <c r="T12" s="381">
        <f>Cen!F177</f>
        <v>21.845690000000001</v>
      </c>
      <c r="U12" s="381">
        <f t="shared" ref="U12:U23" si="1">S12*T12</f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79"/>
      <c r="H13" s="119"/>
      <c r="I13" s="119" t="str">
        <f>List!$C$65&amp;":   LW - 80"</f>
        <v>Přední zásuvné prvky:   LW - 80</v>
      </c>
      <c r="J13" s="293"/>
      <c r="K13" s="293"/>
      <c r="L13" s="293"/>
      <c r="M13" s="119"/>
      <c r="N13" s="119"/>
      <c r="O13" s="119"/>
      <c r="P13" s="379" t="str">
        <f>Cen!A178</f>
        <v>Korpusové lišty BLUMOTION, 300mm, 40kg</v>
      </c>
      <c r="Q13" s="379" t="str">
        <f>Cen!B178</f>
        <v>750.3001B</v>
      </c>
      <c r="R13" s="379" t="str">
        <f>Cen!C178</f>
        <v>ZN</v>
      </c>
      <c r="S13" s="380"/>
      <c r="T13" s="381">
        <f>Cen!F178</f>
        <v>21.925909999999998</v>
      </c>
      <c r="U13" s="381">
        <f t="shared" si="1"/>
        <v>0</v>
      </c>
    </row>
    <row r="14" spans="1:21" x14ac:dyDescent="0.25">
      <c r="A14" s="119"/>
      <c r="B14" s="119"/>
      <c r="C14" s="119"/>
      <c r="D14" s="119"/>
      <c r="E14" s="119"/>
      <c r="F14" s="119"/>
      <c r="G14" s="179"/>
      <c r="H14" s="119"/>
      <c r="I14" s="119"/>
      <c r="J14" s="290"/>
      <c r="K14" s="290"/>
      <c r="L14" s="290"/>
      <c r="M14" s="119"/>
      <c r="N14" s="119"/>
      <c r="O14" s="119"/>
      <c r="P14" s="379" t="str">
        <f>Cen!A179</f>
        <v>Korpusové lišty BLUMOTION, 350mm, 40kg</v>
      </c>
      <c r="Q14" s="379" t="str">
        <f>Cen!B179</f>
        <v>750.3501B</v>
      </c>
      <c r="R14" s="379" t="str">
        <f>Cen!C179</f>
        <v>ZN</v>
      </c>
      <c r="S14" s="380"/>
      <c r="T14" s="381">
        <f>Cen!F179</f>
        <v>21.845690000000001</v>
      </c>
      <c r="U14" s="38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79"/>
      <c r="H15" s="119"/>
      <c r="I15" s="119"/>
      <c r="J15" s="288"/>
      <c r="K15" s="288"/>
      <c r="L15" s="288"/>
      <c r="M15" s="119"/>
      <c r="N15" s="119"/>
      <c r="O15" s="119"/>
      <c r="P15" s="379" t="str">
        <f>Cen!A180</f>
        <v>Korpusové lišty BLUMOTION, 400mm, 40kg</v>
      </c>
      <c r="Q15" s="379" t="str">
        <f>Cen!B180</f>
        <v>750.4001B</v>
      </c>
      <c r="R15" s="379" t="str">
        <f>Cen!C180</f>
        <v>ZN</v>
      </c>
      <c r="S15" s="380"/>
      <c r="T15" s="381">
        <f>Cen!F180</f>
        <v>22.204979999999999</v>
      </c>
      <c r="U15" s="38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79"/>
      <c r="H16" s="119"/>
      <c r="I16" s="179"/>
      <c r="J16" s="179"/>
      <c r="K16" s="179"/>
      <c r="L16" s="179"/>
      <c r="M16" s="119"/>
      <c r="N16" s="119"/>
      <c r="O16" s="119"/>
      <c r="P16" s="426" t="str">
        <f>Cen!A181</f>
        <v>Korpusové lišty BLUMOTION, 450mm, 40kg</v>
      </c>
      <c r="Q16" s="426" t="str">
        <f>Cen!B181</f>
        <v>750.4501B</v>
      </c>
      <c r="R16" s="426" t="str">
        <f>Cen!C181</f>
        <v>ZN</v>
      </c>
      <c r="S16" s="385">
        <f>IF($D$28&gt;0, $D$28*$D$26, 4*$D$26)+IF($J$28&gt;0, $J$28*$J$26, 2*$J$26)</f>
        <v>0</v>
      </c>
      <c r="T16" s="427">
        <f>Cen!F181</f>
        <v>23.667639999999995</v>
      </c>
      <c r="U16" s="427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79"/>
      <c r="H17" s="119"/>
      <c r="I17" s="294"/>
      <c r="J17" s="294"/>
      <c r="K17" s="294"/>
      <c r="L17" s="294"/>
      <c r="M17" s="119"/>
      <c r="N17" s="119"/>
      <c r="O17" s="119"/>
      <c r="P17" s="426" t="str">
        <f>Cen!A182</f>
        <v>Korpusové lišty BLUMOTION, 450mm, 70kg</v>
      </c>
      <c r="Q17" s="426" t="str">
        <f>Cen!B182</f>
        <v>753.4501B</v>
      </c>
      <c r="R17" s="426" t="str">
        <f>Cen!C182</f>
        <v>ZN</v>
      </c>
      <c r="S17" s="385">
        <f>IF($D$28&gt;0, $D$29*$D$26, 1*$D$26)+IF($J$28&gt;0, $J$29*$J$26, 3*$J$26)</f>
        <v>0</v>
      </c>
      <c r="T17" s="427">
        <f>Cen!F182</f>
        <v>27.780560000000001</v>
      </c>
      <c r="U17" s="427">
        <f t="shared" si="1"/>
        <v>0</v>
      </c>
    </row>
    <row r="18" spans="1:21" ht="12" customHeight="1" x14ac:dyDescent="0.25">
      <c r="A18" s="119"/>
      <c r="C18" s="119"/>
      <c r="D18" s="119"/>
      <c r="E18" s="119"/>
      <c r="F18" s="119"/>
      <c r="G18" s="478"/>
      <c r="H18" s="119"/>
      <c r="I18" s="290"/>
      <c r="J18" s="290"/>
      <c r="K18" s="290"/>
      <c r="L18" s="290"/>
      <c r="M18" s="119"/>
      <c r="N18" s="119"/>
      <c r="O18" s="119"/>
      <c r="P18" s="209" t="str">
        <f>Cen!A183</f>
        <v>Korpusové lišty BLUMOTION, 500mm, 40kg</v>
      </c>
      <c r="Q18" s="209" t="str">
        <f>Cen!B183</f>
        <v>750.5001B</v>
      </c>
      <c r="R18" s="209" t="str">
        <f>Cen!C183</f>
        <v>ZN</v>
      </c>
      <c r="S18" s="385">
        <f>IF($E$28&gt;0, $E$28*$E$26, 4*$E$26)+IF($K$28&gt;0, $K$28*$K$26, 2*$K$26)</f>
        <v>0</v>
      </c>
      <c r="T18" s="261">
        <f>Cen!F183</f>
        <v>22.680199999999999</v>
      </c>
      <c r="U18" s="261">
        <f t="shared" si="1"/>
        <v>0</v>
      </c>
    </row>
    <row r="19" spans="1:21" ht="14.5" x14ac:dyDescent="0.35">
      <c r="A19" s="119"/>
      <c r="B19" s="701" t="str">
        <f>"   "&amp;List!B295</f>
        <v xml:space="preserve">   Zadejte počty skříní podle šířky korpusu a délky výsuvů</v>
      </c>
      <c r="C19" s="714"/>
      <c r="D19" s="715"/>
      <c r="E19" s="715"/>
      <c r="F19" s="715"/>
      <c r="G19" s="714"/>
      <c r="H19" s="714"/>
      <c r="I19" s="714"/>
      <c r="J19" s="715"/>
      <c r="K19" s="715"/>
      <c r="L19" s="715"/>
      <c r="M19" s="119"/>
      <c r="N19" s="119"/>
      <c r="O19" s="119"/>
      <c r="P19" s="209" t="str">
        <f>Cen!A184</f>
        <v>Korpusové lišty BLUMOTION, 500mm, 70kg</v>
      </c>
      <c r="Q19" s="209" t="str">
        <f>Cen!B184</f>
        <v>753.5001B</v>
      </c>
      <c r="R19" s="209" t="str">
        <f>Cen!C184</f>
        <v>ZN</v>
      </c>
      <c r="S19" s="385">
        <f>IF($E$28&gt;0, $E$29*$E$26, 1*$E$26)+IF($K$28&gt;0, $K$29*$K$26, 3*$K$26)</f>
        <v>0</v>
      </c>
      <c r="T19" s="261">
        <f>Cen!F184</f>
        <v>28.059809999999999</v>
      </c>
      <c r="U19" s="261">
        <f t="shared" si="1"/>
        <v>0</v>
      </c>
    </row>
    <row r="20" spans="1:21" ht="14.5" x14ac:dyDescent="0.35">
      <c r="A20" s="119"/>
      <c r="B20" s="701" t="str">
        <f>"   "&amp;List!B299</f>
        <v xml:space="preserve">   Zadejte počet korpusových lišt, pokud chcete jiné, než přednastavené složení</v>
      </c>
      <c r="C20" s="714"/>
      <c r="D20" s="715"/>
      <c r="E20" s="715"/>
      <c r="F20" s="715"/>
      <c r="G20" s="714"/>
      <c r="H20" s="714"/>
      <c r="I20" s="714"/>
      <c r="J20" s="715"/>
      <c r="K20" s="715"/>
      <c r="L20" s="715"/>
      <c r="M20" s="119"/>
      <c r="N20" s="119"/>
      <c r="O20" s="119"/>
      <c r="P20" s="209" t="str">
        <f>Cen!A185</f>
        <v>Korpusové lišty BLUMOTION, 550mm, 40kg</v>
      </c>
      <c r="Q20" s="209" t="str">
        <f>Cen!B185</f>
        <v>750.5501B</v>
      </c>
      <c r="R20" s="209" t="str">
        <f>Cen!C185</f>
        <v>ZN</v>
      </c>
      <c r="S20" s="385">
        <f>IF($F$28&gt;0, $F$28*$F$26, 4*$F$26)+IF($L$28&gt;0, $L$28*$L$26, 2*$L$26)</f>
        <v>0</v>
      </c>
      <c r="T20" s="261">
        <f>Cen!F185</f>
        <v>24.254210000000004</v>
      </c>
      <c r="U20" s="261">
        <f t="shared" si="1"/>
        <v>0</v>
      </c>
    </row>
    <row r="21" spans="1:21" ht="14.5" x14ac:dyDescent="0.35">
      <c r="A21" s="119"/>
      <c r="B21" s="701" t="str">
        <f>"         "&amp;List!B297</f>
        <v xml:space="preserve">         Zadejte počty 40kg korpusových lišt, 70kg lišty se dopočítají</v>
      </c>
      <c r="C21" s="714"/>
      <c r="D21" s="715"/>
      <c r="E21" s="715"/>
      <c r="F21" s="715"/>
      <c r="G21" s="714"/>
      <c r="H21" s="714"/>
      <c r="I21" s="714"/>
      <c r="J21" s="715"/>
      <c r="K21" s="715"/>
      <c r="L21" s="715"/>
      <c r="M21" s="119"/>
      <c r="N21" s="119"/>
      <c r="O21" s="119"/>
      <c r="P21" s="209" t="str">
        <f>Cen!A186</f>
        <v>Korpusové lišty BLUMOTION, 550mm, 70kg</v>
      </c>
      <c r="Q21" s="209" t="str">
        <f>Cen!B186</f>
        <v>753.5501B</v>
      </c>
      <c r="R21" s="209" t="str">
        <f>Cen!C186</f>
        <v>ZN</v>
      </c>
      <c r="S21" s="385">
        <f>IF($F$28&gt;0, $F$29*$F$26, 1*$F$26)+IF($L$28&gt;0, $L$29*$L$26, 3*$L$26)</f>
        <v>0</v>
      </c>
      <c r="T21" s="261">
        <f>Cen!F186</f>
        <v>29.550529999999998</v>
      </c>
      <c r="U21" s="261">
        <f t="shared" si="1"/>
        <v>0</v>
      </c>
    </row>
    <row r="22" spans="1:21" ht="9" customHeight="1" x14ac:dyDescent="0.35">
      <c r="A22" s="119"/>
      <c r="B22" s="24"/>
      <c r="C22" s="24"/>
      <c r="D22"/>
      <c r="E22"/>
      <c r="F22"/>
      <c r="G22" s="27"/>
      <c r="H22" s="24"/>
      <c r="I22" s="24"/>
      <c r="J22"/>
      <c r="K22"/>
      <c r="L22"/>
      <c r="M22" s="119"/>
      <c r="N22" s="119"/>
      <c r="O22" s="119"/>
      <c r="P22" s="364" t="str">
        <f>Cen!A187</f>
        <v>Korpusové lišty BLUMOTION, 600mm, 40kg</v>
      </c>
      <c r="Q22" s="364" t="str">
        <f>Cen!B187</f>
        <v>750.6001B</v>
      </c>
      <c r="R22" s="364" t="str">
        <f>Cen!C187</f>
        <v>ZN</v>
      </c>
      <c r="S22" s="428"/>
      <c r="T22" s="366">
        <f>Cen!F187</f>
        <v>27.259979999999999</v>
      </c>
      <c r="U22" s="366">
        <f t="shared" si="1"/>
        <v>0</v>
      </c>
    </row>
    <row r="23" spans="1:21" ht="19.5" customHeight="1" x14ac:dyDescent="0.35">
      <c r="A23"/>
      <c r="B23" s="346" t="str">
        <f>"▼   "&amp;List!$B$112&amp;" KB 450 mm"</f>
        <v>▼   Šířka korpusu KB 450 mm</v>
      </c>
      <c r="C23" s="51"/>
      <c r="H23" s="346" t="str">
        <f>"▼   "&amp;List!$B$112&amp;" KB 600 mm"</f>
        <v>▼   Šířka korpusu KB 600 mm</v>
      </c>
      <c r="I23" s="290"/>
      <c r="J23" s="290"/>
      <c r="K23" s="290"/>
      <c r="L23" s="290"/>
      <c r="M23"/>
      <c r="N23"/>
      <c r="O23" s="119"/>
      <c r="P23" s="364" t="str">
        <f>Cen!A188</f>
        <v>Korpusové lišty BLUMOTION, 600mm, 70kg</v>
      </c>
      <c r="Q23" s="364" t="str">
        <f>Cen!B188</f>
        <v>753.6001B</v>
      </c>
      <c r="R23" s="364" t="str">
        <f>Cen!C188</f>
        <v>ZN</v>
      </c>
      <c r="S23" s="428"/>
      <c r="T23" s="366">
        <f>Cen!F188</f>
        <v>32.5563</v>
      </c>
      <c r="U23" s="366">
        <f t="shared" si="1"/>
        <v>0</v>
      </c>
    </row>
    <row r="24" spans="1:21" ht="22.5" customHeight="1" x14ac:dyDescent="0.35">
      <c r="A24"/>
      <c r="B24" s="717" t="s">
        <v>1253</v>
      </c>
      <c r="C24" s="7"/>
      <c r="H24" s="717" t="s">
        <v>1253</v>
      </c>
      <c r="I24" s="290"/>
      <c r="J24" s="290"/>
      <c r="K24" s="290"/>
      <c r="L24" s="290"/>
      <c r="M24"/>
      <c r="N24"/>
      <c r="O24" s="119"/>
      <c r="P24" s="209"/>
      <c r="Q24" s="209"/>
      <c r="R24" s="209"/>
      <c r="S24" s="260"/>
      <c r="T24" s="261"/>
      <c r="U24" s="261"/>
    </row>
    <row r="25" spans="1:21" ht="14" x14ac:dyDescent="0.3">
      <c r="A25" s="119"/>
      <c r="B25" s="6"/>
      <c r="C25" s="320" t="str">
        <f>List!$B$115&amp;":"</f>
        <v>Jmenovitá délka:</v>
      </c>
      <c r="D25" s="308">
        <v>450</v>
      </c>
      <c r="E25" s="429">
        <v>500</v>
      </c>
      <c r="F25" s="307">
        <v>550</v>
      </c>
      <c r="G25" s="348"/>
      <c r="H25" s="6"/>
      <c r="I25" s="373" t="str">
        <f>List!$B$115&amp;":"</f>
        <v>Jmenovitá délka:</v>
      </c>
      <c r="J25" s="314">
        <v>450</v>
      </c>
      <c r="K25" s="429">
        <v>500</v>
      </c>
      <c r="L25" s="307">
        <v>550</v>
      </c>
      <c r="M25" s="119"/>
      <c r="N25" s="119"/>
      <c r="O25" s="119"/>
      <c r="P25" s="209"/>
      <c r="Q25" s="209"/>
      <c r="R25" s="209"/>
      <c r="S25" s="260"/>
      <c r="T25" s="261"/>
      <c r="U25" s="261"/>
    </row>
    <row r="26" spans="1:21" ht="14" x14ac:dyDescent="0.3">
      <c r="A26" s="119"/>
      <c r="B26" s="374"/>
      <c r="C26" s="320" t="str">
        <f>List!$B$99&amp;":"</f>
        <v>Počet skříní:</v>
      </c>
      <c r="D26" s="317"/>
      <c r="E26" s="317"/>
      <c r="F26" s="371"/>
      <c r="G26" s="295"/>
      <c r="H26" s="374"/>
      <c r="I26" s="320" t="str">
        <f>List!$B$99&amp;":"</f>
        <v>Počet skříní:</v>
      </c>
      <c r="J26" s="317"/>
      <c r="K26" s="317"/>
      <c r="L26" s="318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9.5" customHeight="1" x14ac:dyDescent="0.35">
      <c r="A27" s="119"/>
      <c r="B27" s="372" t="str">
        <f>List!$B$126</f>
        <v>Korpusové lišty</v>
      </c>
      <c r="C27" s="320"/>
      <c r="D27" s="24"/>
      <c r="E27" s="24"/>
      <c r="F27" s="24"/>
      <c r="G27" s="27"/>
      <c r="H27" s="372" t="str">
        <f>List!$B$126</f>
        <v>Korpusové lišty</v>
      </c>
      <c r="I27" s="320"/>
      <c r="J27"/>
      <c r="K27"/>
      <c r="L27"/>
      <c r="M27" s="119"/>
      <c r="N27" s="119"/>
      <c r="O27" s="119"/>
      <c r="P27" s="209"/>
      <c r="Q27" s="209"/>
      <c r="R27" s="209"/>
      <c r="S27" s="260"/>
      <c r="T27" s="261"/>
      <c r="U27" s="261"/>
    </row>
    <row r="28" spans="1:21" ht="15" customHeight="1" thickBot="1" x14ac:dyDescent="0.4">
      <c r="A28" s="119"/>
      <c r="B28" s="297" t="s">
        <v>505</v>
      </c>
      <c r="C28" s="384" t="s">
        <v>887</v>
      </c>
      <c r="D28" s="387"/>
      <c r="E28" s="387"/>
      <c r="F28" s="388"/>
      <c r="G28" s="295"/>
      <c r="H28" s="297" t="s">
        <v>505</v>
      </c>
      <c r="I28" s="298" t="str">
        <f>"2 ks*"</f>
        <v>2 ks*</v>
      </c>
      <c r="J28" s="389"/>
      <c r="K28" s="389"/>
      <c r="L28" s="390"/>
      <c r="M28"/>
      <c r="N28" s="119"/>
      <c r="O28" s="119"/>
      <c r="P28" s="209"/>
      <c r="Q28" s="209"/>
      <c r="R28" s="209"/>
      <c r="S28" s="260"/>
      <c r="T28" s="261"/>
      <c r="U28" s="261"/>
    </row>
    <row r="29" spans="1:21" ht="15" customHeight="1" x14ac:dyDescent="0.35">
      <c r="A29" s="119"/>
      <c r="B29" s="301" t="s">
        <v>506</v>
      </c>
      <c r="C29" s="382" t="s">
        <v>888</v>
      </c>
      <c r="D29" s="386">
        <f>IF(D28&gt;0, IF(D28&gt;5,0, 5-D28),0)</f>
        <v>0</v>
      </c>
      <c r="E29" s="386">
        <f t="shared" ref="E29:F29" si="2">IF(E28&gt;0, IF(E28&gt;5,0, 5-E28),0)</f>
        <v>0</v>
      </c>
      <c r="F29" s="712">
        <f t="shared" si="2"/>
        <v>0</v>
      </c>
      <c r="G29" s="295"/>
      <c r="H29" s="301" t="s">
        <v>506</v>
      </c>
      <c r="I29" s="382" t="str">
        <f>"3 ks*"</f>
        <v>3 ks*</v>
      </c>
      <c r="J29" s="386">
        <f>IF(J28&gt;0, IF(J28&gt;5,0, 5-J28),0)</f>
        <v>0</v>
      </c>
      <c r="K29" s="386">
        <f t="shared" ref="K29:L29" si="3">IF(K28&gt;0, IF(K28&gt;5,0, 5-K28),0)</f>
        <v>0</v>
      </c>
      <c r="L29" s="712">
        <f t="shared" si="3"/>
        <v>0</v>
      </c>
      <c r="M29"/>
      <c r="N29" s="119"/>
      <c r="O29" s="119"/>
      <c r="P29" s="209"/>
      <c r="Q29" s="209"/>
      <c r="R29" s="209"/>
      <c r="S29" s="260"/>
      <c r="T29" s="261"/>
      <c r="U29" s="261"/>
    </row>
    <row r="30" spans="1:21" ht="13.5" customHeight="1" x14ac:dyDescent="0.35">
      <c r="A30" s="119"/>
      <c r="C30"/>
      <c r="D30" s="711" t="str">
        <f>IF(D28&gt;5,"Max. 5!"," ")</f>
        <v xml:space="preserve"> </v>
      </c>
      <c r="E30" s="711" t="str">
        <f t="shared" ref="E30:F30" si="4">IF(E28&gt;5,"Max. 5!"," ")</f>
        <v xml:space="preserve"> </v>
      </c>
      <c r="F30" s="711" t="str">
        <f t="shared" si="4"/>
        <v xml:space="preserve"> </v>
      </c>
      <c r="G30" s="27"/>
      <c r="H30"/>
      <c r="I30"/>
      <c r="J30" s="711" t="str">
        <f>IF(J28&gt;5,"Max. 5!"," ")</f>
        <v xml:space="preserve"> </v>
      </c>
      <c r="K30" s="711" t="str">
        <f t="shared" ref="K30:L30" si="5">IF(K28&gt;5,"Max. 5!"," ")</f>
        <v xml:space="preserve"> </v>
      </c>
      <c r="L30" s="711" t="str">
        <f t="shared" si="5"/>
        <v xml:space="preserve"> </v>
      </c>
      <c r="M30"/>
      <c r="N30" s="119"/>
      <c r="O30" s="119"/>
      <c r="P30" s="209"/>
      <c r="Q30" s="209"/>
      <c r="R30" s="209"/>
      <c r="S30" s="260"/>
      <c r="T30" s="261"/>
      <c r="U30" s="261"/>
    </row>
    <row r="31" spans="1:21" ht="9" customHeight="1" x14ac:dyDescent="0.35">
      <c r="A31" s="179"/>
      <c r="G31" s="27"/>
      <c r="H31" s="716"/>
      <c r="I31" s="716"/>
      <c r="J31" s="716"/>
      <c r="K31" s="716"/>
      <c r="L31" s="716"/>
      <c r="M31" s="119"/>
      <c r="N31" s="119"/>
      <c r="O31" s="119"/>
      <c r="P31" s="209"/>
      <c r="Q31" s="209"/>
      <c r="R31" s="209"/>
      <c r="S31" s="260"/>
      <c r="T31" s="261"/>
      <c r="U31" s="261"/>
    </row>
    <row r="32" spans="1:21" ht="15.75" customHeight="1" x14ac:dyDescent="0.25">
      <c r="A32" s="179"/>
      <c r="B32" s="312" t="s">
        <v>1254</v>
      </c>
      <c r="C32" s="7"/>
      <c r="H32" s="312" t="s">
        <v>1254</v>
      </c>
      <c r="I32" s="290"/>
      <c r="J32" s="290"/>
      <c r="K32" s="290"/>
      <c r="L32" s="290"/>
      <c r="M32" s="119"/>
      <c r="N32" s="119"/>
      <c r="O32" s="119"/>
      <c r="P32" s="209"/>
      <c r="Q32" s="209"/>
      <c r="R32" s="209"/>
      <c r="S32" s="260"/>
      <c r="T32" s="261"/>
      <c r="U32" s="261"/>
    </row>
    <row r="33" spans="1:21" ht="15" customHeight="1" x14ac:dyDescent="0.3">
      <c r="A33" s="179"/>
      <c r="B33" s="6"/>
      <c r="C33" s="320" t="str">
        <f>List!$B$115&amp;":"</f>
        <v>Jmenovitá délka:</v>
      </c>
      <c r="D33" s="308">
        <v>450</v>
      </c>
      <c r="E33" s="429">
        <v>500</v>
      </c>
      <c r="F33" s="307">
        <v>550</v>
      </c>
      <c r="G33" s="348"/>
      <c r="H33" s="6"/>
      <c r="I33" s="373" t="str">
        <f>List!$B$115&amp;":"</f>
        <v>Jmenovitá délka:</v>
      </c>
      <c r="J33" s="314">
        <v>450</v>
      </c>
      <c r="K33" s="429">
        <v>500</v>
      </c>
      <c r="L33" s="307">
        <v>550</v>
      </c>
      <c r="M33" s="119"/>
      <c r="N33" s="119"/>
      <c r="O33" s="119"/>
      <c r="P33" s="209"/>
      <c r="Q33" s="209"/>
      <c r="R33" s="209"/>
      <c r="S33" s="260"/>
      <c r="T33" s="261"/>
      <c r="U33" s="261"/>
    </row>
    <row r="34" spans="1:21" ht="15" customHeight="1" x14ac:dyDescent="0.3">
      <c r="A34" s="179"/>
      <c r="B34" s="374"/>
      <c r="C34" s="320" t="str">
        <f>List!$B$99&amp;":"</f>
        <v>Počet skříní:</v>
      </c>
      <c r="D34" s="317"/>
      <c r="E34" s="317"/>
      <c r="F34" s="371"/>
      <c r="G34" s="295"/>
      <c r="H34" s="374"/>
      <c r="I34" s="320" t="str">
        <f>List!$B$99&amp;":"</f>
        <v>Počet skříní:</v>
      </c>
      <c r="J34" s="317"/>
      <c r="K34" s="317"/>
      <c r="L34" s="318"/>
      <c r="M34" s="144"/>
      <c r="N34" s="144"/>
      <c r="O34" s="119"/>
      <c r="P34" s="209"/>
      <c r="Q34" s="209"/>
      <c r="R34" s="209"/>
      <c r="S34" s="260"/>
      <c r="T34" s="261"/>
      <c r="U34" s="261"/>
    </row>
    <row r="35" spans="1:21" ht="19.5" customHeight="1" x14ac:dyDescent="0.35">
      <c r="A35" s="179"/>
      <c r="B35" s="372" t="str">
        <f>List!$B$126&amp;"**"</f>
        <v>Korpusové lišty**</v>
      </c>
      <c r="C35" s="320"/>
      <c r="D35" s="24"/>
      <c r="E35" s="24"/>
      <c r="F35" s="24"/>
      <c r="G35" s="27"/>
      <c r="H35" s="372" t="str">
        <f>List!$B$126&amp;"**"</f>
        <v>Korpusové lišty**</v>
      </c>
      <c r="I35" s="320"/>
      <c r="J35"/>
      <c r="K35"/>
      <c r="L35"/>
      <c r="M35" s="144"/>
      <c r="N35" s="144"/>
      <c r="P35" s="122"/>
      <c r="Q35" s="122"/>
      <c r="R35" s="122"/>
      <c r="S35" s="123"/>
      <c r="T35" s="118"/>
      <c r="U35" s="261"/>
    </row>
    <row r="36" spans="1:21" ht="15" customHeight="1" thickBot="1" x14ac:dyDescent="0.35">
      <c r="A36" s="179"/>
      <c r="B36" s="297" t="s">
        <v>505</v>
      </c>
      <c r="C36" s="384" t="s">
        <v>887</v>
      </c>
      <c r="D36" s="387"/>
      <c r="E36" s="387"/>
      <c r="F36" s="388"/>
      <c r="G36" s="295"/>
      <c r="H36" s="297" t="s">
        <v>505</v>
      </c>
      <c r="I36" s="298" t="str">
        <f>"2 ks*"</f>
        <v>2 ks*</v>
      </c>
      <c r="J36" s="389"/>
      <c r="K36" s="389"/>
      <c r="L36" s="390"/>
      <c r="M36" s="144"/>
      <c r="N36" s="144"/>
      <c r="P36" s="122"/>
      <c r="Q36" s="122"/>
      <c r="R36" s="122"/>
      <c r="S36" s="123"/>
      <c r="T36" s="118"/>
      <c r="U36" s="693"/>
    </row>
    <row r="37" spans="1:21" ht="15" customHeight="1" x14ac:dyDescent="0.3">
      <c r="A37" s="179"/>
      <c r="B37" s="301" t="s">
        <v>506</v>
      </c>
      <c r="C37" s="382" t="s">
        <v>888</v>
      </c>
      <c r="D37" s="386">
        <f>IF(D36&gt;0,IF(D36&gt;5,0,5-D36),0)</f>
        <v>0</v>
      </c>
      <c r="E37" s="386">
        <f t="shared" ref="E37:F37" si="6">IF(E36&gt;0,IF(E36&gt;5,0,5-E36),0)</f>
        <v>0</v>
      </c>
      <c r="F37" s="712">
        <f t="shared" si="6"/>
        <v>0</v>
      </c>
      <c r="G37" s="295"/>
      <c r="H37" s="301" t="s">
        <v>506</v>
      </c>
      <c r="I37" s="382" t="str">
        <f>"3 ks*"</f>
        <v>3 ks*</v>
      </c>
      <c r="J37" s="386">
        <f>IF(J36&gt;0,IF(J36&gt;5,0,5-J36),0)</f>
        <v>0</v>
      </c>
      <c r="K37" s="386">
        <f t="shared" ref="K37:L37" si="7">IF(K36&gt;0,IF(K36&gt;5,0,5-K36),0)</f>
        <v>0</v>
      </c>
      <c r="L37" s="712">
        <f t="shared" si="7"/>
        <v>0</v>
      </c>
      <c r="M37" s="144"/>
      <c r="N37" s="144"/>
      <c r="P37" s="122"/>
      <c r="Q37" s="122"/>
      <c r="R37" s="122"/>
      <c r="S37" s="123"/>
      <c r="T37" s="118"/>
      <c r="U37" s="693"/>
    </row>
    <row r="38" spans="1:21" ht="13.5" customHeight="1" x14ac:dyDescent="0.3">
      <c r="A38" s="179"/>
      <c r="C38" s="316"/>
      <c r="D38" s="711" t="str">
        <f>IF(D36&gt;5,"Max. 5!"," ")</f>
        <v xml:space="preserve"> </v>
      </c>
      <c r="E38" s="711" t="str">
        <f t="shared" ref="E38:F38" si="8">IF(E36&gt;5,"Max. 5!"," ")</f>
        <v xml:space="preserve"> </v>
      </c>
      <c r="F38" s="711" t="str">
        <f t="shared" si="8"/>
        <v xml:space="preserve"> </v>
      </c>
      <c r="G38" s="295"/>
      <c r="H38" s="383"/>
      <c r="I38" s="316"/>
      <c r="J38" s="711" t="str">
        <f>IF(J36&gt;5,"Max. 5!"," ")</f>
        <v xml:space="preserve"> </v>
      </c>
      <c r="K38" s="711" t="str">
        <f t="shared" ref="K38:L38" si="9">IF(K36&gt;5,"Max. 5!"," ")</f>
        <v xml:space="preserve"> </v>
      </c>
      <c r="L38" s="711" t="str">
        <f t="shared" si="9"/>
        <v xml:space="preserve"> </v>
      </c>
      <c r="M38" s="144"/>
      <c r="N38" s="144"/>
      <c r="P38" s="122"/>
      <c r="Q38" s="122"/>
      <c r="R38" s="122"/>
      <c r="S38" s="123"/>
      <c r="T38" s="118"/>
      <c r="U38" s="693"/>
    </row>
    <row r="39" spans="1:21" ht="13.5" customHeight="1" x14ac:dyDescent="0.3">
      <c r="A39" s="179"/>
      <c r="C39" s="347"/>
      <c r="D39" s="348"/>
      <c r="E39" s="348"/>
      <c r="F39" s="348"/>
      <c r="G39" s="348"/>
      <c r="H39" s="348"/>
      <c r="I39" s="348"/>
      <c r="J39" s="295"/>
      <c r="K39" s="348"/>
      <c r="L39" s="348"/>
      <c r="M39" s="144"/>
      <c r="N39" s="144"/>
      <c r="P39" s="122"/>
      <c r="Q39" s="122"/>
      <c r="R39" s="122"/>
      <c r="S39" s="123"/>
      <c r="T39" s="118"/>
      <c r="U39" s="693"/>
    </row>
    <row r="40" spans="1:21" ht="13.5" customHeight="1" x14ac:dyDescent="0.3">
      <c r="A40" s="179"/>
      <c r="B40" s="119" t="str">
        <f>"       * "&amp;List!$B$162</f>
        <v xml:space="preserve">       * Nastavené počty korpusových lišt</v>
      </c>
      <c r="C40" s="347"/>
      <c r="D40" s="348"/>
      <c r="E40" s="348"/>
      <c r="F40" s="348"/>
      <c r="G40" s="348"/>
      <c r="H40" s="348"/>
      <c r="I40" s="348"/>
      <c r="J40" s="295"/>
      <c r="K40" s="348"/>
      <c r="L40" s="348"/>
      <c r="M40" s="144"/>
      <c r="N40" s="144"/>
      <c r="P40" s="122"/>
      <c r="Q40" s="122"/>
      <c r="R40" s="122"/>
      <c r="S40" s="123"/>
      <c r="T40" s="118"/>
      <c r="U40" s="693"/>
    </row>
    <row r="41" spans="1:21" ht="13.5" customHeight="1" x14ac:dyDescent="0.3">
      <c r="A41" s="179"/>
      <c r="B41" s="119" t="str">
        <f>"     ** "&amp;List!$B$313</f>
        <v xml:space="preserve">     ** Jednotky TIP-ON BLUMOTION budou přidány automaticky</v>
      </c>
      <c r="C41" s="347"/>
      <c r="D41" s="348"/>
      <c r="E41" s="348"/>
      <c r="F41" s="348"/>
      <c r="G41" s="348"/>
      <c r="H41" s="348"/>
      <c r="I41" s="348"/>
      <c r="J41" s="295"/>
      <c r="K41" s="348"/>
      <c r="L41" s="348"/>
      <c r="M41" s="144"/>
      <c r="N41" s="144"/>
      <c r="P41" s="364" t="str">
        <f>Cen!A209</f>
        <v>Korpusové lišty TIP-ON BLUMOTION, 270mm, 40kg</v>
      </c>
      <c r="Q41" s="364" t="str">
        <f>Cen!B209</f>
        <v>750.2700M</v>
      </c>
      <c r="R41" s="364" t="str">
        <f>Cen!C209</f>
        <v>ZN</v>
      </c>
      <c r="S41" s="365"/>
      <c r="T41" s="366">
        <f>Cen!F209</f>
        <v>21.925909999999998</v>
      </c>
      <c r="U41" s="366">
        <f>S41*T41</f>
        <v>0</v>
      </c>
    </row>
    <row r="42" spans="1:21" ht="13.5" customHeight="1" x14ac:dyDescent="0.3">
      <c r="A42" s="179"/>
      <c r="B42" s="2" t="str">
        <f>"         "&amp;List!B303</f>
        <v xml:space="preserve">         Synchronizaci vyberte v sekci "Výběr doplňků"</v>
      </c>
      <c r="C42" s="347"/>
      <c r="D42" s="348"/>
      <c r="E42" s="348"/>
      <c r="F42" s="348"/>
      <c r="G42" s="348"/>
      <c r="H42" s="348"/>
      <c r="I42" s="348"/>
      <c r="J42" s="295"/>
      <c r="K42" s="348"/>
      <c r="L42" s="348"/>
      <c r="M42" s="144"/>
      <c r="N42" s="144"/>
      <c r="P42" s="364" t="str">
        <f>Cen!A210</f>
        <v>Korpusové lišty TIP-ON BLUMOTION, 300mm, 40kg</v>
      </c>
      <c r="Q42" s="364" t="str">
        <f>Cen!B210</f>
        <v>750.3001M</v>
      </c>
      <c r="R42" s="364" t="str">
        <f>Cen!C210</f>
        <v>ZN</v>
      </c>
      <c r="S42" s="365"/>
      <c r="T42" s="366">
        <f>Cen!F210</f>
        <v>21.925909999999998</v>
      </c>
      <c r="U42" s="366">
        <f t="shared" ref="U42:U58" si="10">S42*T42</f>
        <v>0</v>
      </c>
    </row>
    <row r="43" spans="1:21" ht="14" x14ac:dyDescent="0.3">
      <c r="A43" s="179"/>
      <c r="B43" s="119" t="str">
        <f>"    *** "&amp;List!$B$170&amp;": "&amp;List!$C$68&amp;" 3x, "&amp;List!$C$69&amp;" 2x"</f>
        <v xml:space="preserve">    *** Složení čelních zásuvných prvků: vysoký 3x, nízký 2x</v>
      </c>
      <c r="C43" s="348"/>
      <c r="D43" s="295"/>
      <c r="E43" s="295"/>
      <c r="F43" s="295"/>
      <c r="G43" s="295"/>
      <c r="H43" s="295"/>
      <c r="I43" s="295"/>
      <c r="J43" s="295"/>
      <c r="K43" s="295"/>
      <c r="L43" s="295"/>
      <c r="M43" s="119"/>
      <c r="N43" s="119"/>
      <c r="P43" s="364" t="str">
        <f>Cen!A211</f>
        <v>Korpusové lišty TIP-ON BLUMOTION, 350mm, 40kg</v>
      </c>
      <c r="Q43" s="364" t="str">
        <f>Cen!B211</f>
        <v>750.3501M</v>
      </c>
      <c r="R43" s="364" t="str">
        <f>Cen!C211</f>
        <v>ZN</v>
      </c>
      <c r="S43" s="365"/>
      <c r="T43" s="366">
        <f>Cen!F211</f>
        <v>21.925909999999998</v>
      </c>
      <c r="U43" s="366">
        <f t="shared" si="10"/>
        <v>0</v>
      </c>
    </row>
    <row r="44" spans="1:21" ht="14" x14ac:dyDescent="0.3">
      <c r="A44" s="179"/>
      <c r="B44" s="119" t="str">
        <f>"         "&amp;List!$B$171</f>
        <v xml:space="preserve">         Chcete-li jiné složení zásuvných prvků, upravte počty v objednávce</v>
      </c>
      <c r="C44" s="348"/>
      <c r="D44" s="295"/>
      <c r="E44" s="295"/>
      <c r="F44" s="295"/>
      <c r="G44" s="295"/>
      <c r="H44" s="295"/>
      <c r="I44" s="295"/>
      <c r="J44" s="295"/>
      <c r="K44" s="295"/>
      <c r="L44" s="295"/>
      <c r="M44" s="119"/>
      <c r="N44" s="119"/>
      <c r="P44" s="364" t="str">
        <f>Cen!A212</f>
        <v>Korpusové lišty TIP-ON BLUMOTION, 400mm, 40kg</v>
      </c>
      <c r="Q44" s="364" t="str">
        <f>Cen!B212</f>
        <v>750.4001M</v>
      </c>
      <c r="R44" s="364" t="str">
        <f>Cen!C212</f>
        <v>ZN</v>
      </c>
      <c r="S44" s="365"/>
      <c r="T44" s="366">
        <f>Cen!F212</f>
        <v>22.204979999999999</v>
      </c>
      <c r="U44" s="366">
        <f t="shared" si="10"/>
        <v>0</v>
      </c>
    </row>
    <row r="45" spans="1:21" ht="14" x14ac:dyDescent="0.3">
      <c r="A45" s="179"/>
      <c r="B45" s="119" t="str">
        <f>"         "&amp;List!$B$173</f>
        <v xml:space="preserve">         Máte-li zásuvné prvky vlastní, upravte počty v objednávce</v>
      </c>
      <c r="C45" s="348"/>
      <c r="D45" s="295"/>
      <c r="E45" s="295"/>
      <c r="F45" s="295"/>
      <c r="G45" s="295"/>
      <c r="H45" s="295"/>
      <c r="I45" s="295"/>
      <c r="J45" s="295"/>
      <c r="K45" s="295"/>
      <c r="L45" s="295"/>
      <c r="M45" s="119"/>
      <c r="N45" s="119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385">
        <f>IF($D$36&gt;0, $D$36*$D$34, 4*$D$34)+IF($J$36&gt;0, $J$36*$J$34, 2*$J$34)</f>
        <v>0</v>
      </c>
      <c r="T45" s="118">
        <f>Cen!F213</f>
        <v>23.667639999999995</v>
      </c>
      <c r="U45" s="118">
        <f>S45*T45</f>
        <v>0</v>
      </c>
    </row>
    <row r="46" spans="1:21" ht="14" x14ac:dyDescent="0.3">
      <c r="A46" s="179"/>
      <c r="C46" s="348"/>
      <c r="D46" s="295"/>
      <c r="E46" s="295"/>
      <c r="F46" s="295"/>
      <c r="G46" s="295"/>
      <c r="H46" s="295"/>
      <c r="I46" s="295"/>
      <c r="J46" s="295"/>
      <c r="K46" s="295"/>
      <c r="L46" s="295"/>
      <c r="M46" s="119"/>
      <c r="N46" s="119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385">
        <f>IF($D$36&gt;0, $D$37*$D$34, 1*$D$34)+IF($J$36&gt;0, $J$37*$J$34, 3*$J$34)</f>
        <v>0</v>
      </c>
      <c r="T46" s="118">
        <f>Cen!F214</f>
        <v>27.780560000000001</v>
      </c>
      <c r="U46" s="118">
        <f>S46*T46</f>
        <v>0</v>
      </c>
    </row>
    <row r="47" spans="1:21" ht="14" x14ac:dyDescent="0.3">
      <c r="A47" s="179"/>
      <c r="C47" s="348"/>
      <c r="D47" s="295"/>
      <c r="E47" s="295"/>
      <c r="F47" s="295"/>
      <c r="G47" s="295"/>
      <c r="H47" s="295"/>
      <c r="I47" s="295"/>
      <c r="J47" s="295"/>
      <c r="K47" s="295"/>
      <c r="L47" s="295"/>
      <c r="M47" s="119"/>
      <c r="N47" s="11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385">
        <f>IF($E$36&gt;0, $E$36*$E$34, 4*$E$34)+IF($K$36&gt;0, $K$36*$K$34, 2*$K$34)</f>
        <v>0</v>
      </c>
      <c r="T47" s="696">
        <f>Cen!F215</f>
        <v>23.961559999999999</v>
      </c>
      <c r="U47" s="696">
        <f>S47*T47</f>
        <v>0</v>
      </c>
    </row>
    <row r="48" spans="1:21" ht="14" x14ac:dyDescent="0.3">
      <c r="A48" s="179"/>
      <c r="C48" s="348"/>
      <c r="D48" s="295"/>
      <c r="E48" s="295"/>
      <c r="F48" s="295"/>
      <c r="G48" s="295"/>
      <c r="H48" s="295"/>
      <c r="I48" s="295"/>
      <c r="J48" s="295"/>
      <c r="K48" s="295"/>
      <c r="L48" s="295"/>
      <c r="M48" s="119"/>
      <c r="N48" s="11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385">
        <f>IF($E$36&gt;0, $E$37*$E$34, 1*$E$34)+IF($K$36&gt;0, $K$37*$K$34, 3*$K$34)</f>
        <v>0</v>
      </c>
      <c r="T48" s="696">
        <f>Cen!F216</f>
        <v>28.059809999999999</v>
      </c>
      <c r="U48" s="696">
        <f>S48*T48</f>
        <v>0</v>
      </c>
    </row>
    <row r="49" spans="1:21" ht="14" x14ac:dyDescent="0.3">
      <c r="A49" s="179"/>
      <c r="C49" s="348"/>
      <c r="D49" s="295"/>
      <c r="E49" s="295"/>
      <c r="F49" s="295"/>
      <c r="G49" s="295"/>
      <c r="H49" s="295"/>
      <c r="I49" s="295"/>
      <c r="J49" s="295"/>
      <c r="K49" s="295"/>
      <c r="L49" s="295"/>
      <c r="M49" s="119"/>
      <c r="N49" s="119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385">
        <f>IF($F$36&gt;0, $F$36*$F$34, 4*$F$34)+IF($L$36&gt;0, $L$36*$L$34, 2*$L$34)</f>
        <v>0</v>
      </c>
      <c r="T49" s="118">
        <f>Cen!F217</f>
        <v>24.254210000000004</v>
      </c>
      <c r="U49" s="118">
        <f t="shared" si="10"/>
        <v>0</v>
      </c>
    </row>
    <row r="50" spans="1:21" ht="14" x14ac:dyDescent="0.3">
      <c r="A50" s="179"/>
      <c r="C50" s="348"/>
      <c r="D50" s="295"/>
      <c r="E50" s="295"/>
      <c r="F50" s="295"/>
      <c r="G50" s="295"/>
      <c r="H50" s="295"/>
      <c r="I50" s="295"/>
      <c r="J50" s="295"/>
      <c r="K50" s="295"/>
      <c r="L50" s="295"/>
      <c r="M50" s="119"/>
      <c r="N50" s="119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385">
        <f>IF($F$36&gt;0, $F$37*$F$34, 1*$F$34)+IF($L$36&gt;0, $L$37*$L$34, 3*$L$34)</f>
        <v>0</v>
      </c>
      <c r="T50" s="118">
        <f>Cen!F218</f>
        <v>29.550529999999998</v>
      </c>
      <c r="U50" s="118">
        <f t="shared" si="10"/>
        <v>0</v>
      </c>
    </row>
    <row r="51" spans="1:21" ht="14" x14ac:dyDescent="0.3">
      <c r="A51" s="179"/>
      <c r="C51" s="348"/>
      <c r="D51" s="295"/>
      <c r="E51" s="295"/>
      <c r="F51" s="295"/>
      <c r="G51" s="295"/>
      <c r="H51" s="295"/>
      <c r="I51" s="295"/>
      <c r="J51" s="295"/>
      <c r="K51" s="295"/>
      <c r="L51" s="295"/>
      <c r="M51" s="119"/>
      <c r="N51" s="119"/>
      <c r="P51" s="364" t="str">
        <f>Cen!A219</f>
        <v>Korpusové lišty TIP-ON BLUMOTION, 600mm, 40kg</v>
      </c>
      <c r="Q51" s="364" t="str">
        <f>Cen!B219</f>
        <v>750.6001M</v>
      </c>
      <c r="R51" s="364" t="str">
        <f>Cen!C219</f>
        <v>ZN</v>
      </c>
      <c r="S51" s="365"/>
      <c r="T51" s="366">
        <f>Cen!F219</f>
        <v>27.259979999999999</v>
      </c>
      <c r="U51" s="366">
        <f t="shared" si="10"/>
        <v>0</v>
      </c>
    </row>
    <row r="52" spans="1:21" ht="14" x14ac:dyDescent="0.3">
      <c r="A52" s="179"/>
      <c r="C52" s="348"/>
      <c r="D52" s="295"/>
      <c r="E52" s="295"/>
      <c r="F52" s="295"/>
      <c r="G52" s="295"/>
      <c r="H52" s="295"/>
      <c r="I52" s="295"/>
      <c r="J52" s="295"/>
      <c r="K52" s="295"/>
      <c r="L52" s="295"/>
      <c r="M52" s="119"/>
      <c r="N52" s="119"/>
      <c r="P52" s="364" t="str">
        <f>Cen!A220</f>
        <v>Korpusové lišty TIP-ON BLUMOTION, 600mm, 70kg</v>
      </c>
      <c r="Q52" s="364" t="str">
        <f>Cen!B220</f>
        <v>753.6001M</v>
      </c>
      <c r="R52" s="364" t="str">
        <f>Cen!C220</f>
        <v>ZN</v>
      </c>
      <c r="S52" s="365"/>
      <c r="T52" s="366">
        <f>Cen!F220</f>
        <v>32.5563</v>
      </c>
      <c r="U52" s="366">
        <f t="shared" si="10"/>
        <v>0</v>
      </c>
    </row>
    <row r="53" spans="1:21" ht="14" x14ac:dyDescent="0.3">
      <c r="A53" s="179"/>
      <c r="C53" s="348"/>
      <c r="D53" s="295"/>
      <c r="E53" s="295"/>
      <c r="F53" s="295"/>
      <c r="G53" s="295"/>
      <c r="H53" s="295"/>
      <c r="I53" s="295"/>
      <c r="J53" s="295"/>
      <c r="K53" s="295"/>
      <c r="L53" s="295"/>
      <c r="M53" s="119"/>
      <c r="N53" s="119"/>
      <c r="P53" s="364" t="str">
        <f>Cen!A221</f>
        <v>Korpusové lišty TIP-ON BLUMOTION, 650mm, 70kg</v>
      </c>
      <c r="Q53" s="364" t="str">
        <f>Cen!B221</f>
        <v>753.6501M</v>
      </c>
      <c r="R53" s="364" t="str">
        <f>Cen!C221</f>
        <v>ZN</v>
      </c>
      <c r="S53" s="365"/>
      <c r="T53" s="366">
        <f>Cen!F221</f>
        <v>34.047020000000003</v>
      </c>
      <c r="U53" s="366">
        <f t="shared" si="10"/>
        <v>0</v>
      </c>
    </row>
    <row r="54" spans="1:21" ht="14" x14ac:dyDescent="0.3">
      <c r="A54" s="179"/>
      <c r="C54" s="348"/>
      <c r="D54" s="295"/>
      <c r="E54" s="295"/>
      <c r="F54" s="295"/>
      <c r="G54" s="295"/>
      <c r="H54" s="295"/>
      <c r="I54" s="295"/>
      <c r="J54" s="295"/>
      <c r="K54" s="295"/>
      <c r="L54" s="295"/>
      <c r="M54" s="119"/>
      <c r="N54" s="119"/>
      <c r="P54" s="122"/>
      <c r="Q54" s="122"/>
      <c r="R54" s="122"/>
      <c r="S54" s="123"/>
      <c r="T54" s="118"/>
      <c r="U54" s="118"/>
    </row>
    <row r="55" spans="1:21" ht="14" x14ac:dyDescent="0.3">
      <c r="A55" s="179"/>
      <c r="C55" s="348"/>
      <c r="D55" s="295"/>
      <c r="E55" s="295"/>
      <c r="F55" s="295"/>
      <c r="G55" s="295"/>
      <c r="H55" s="295"/>
      <c r="I55" s="295"/>
      <c r="J55" s="295"/>
      <c r="K55" s="295"/>
      <c r="L55" s="295"/>
      <c r="M55" s="119"/>
      <c r="N55" s="11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/>
      <c r="T55" s="118">
        <f>Cen!F223</f>
        <v>15.883479999999999</v>
      </c>
      <c r="U55" s="118">
        <f t="shared" si="10"/>
        <v>0</v>
      </c>
    </row>
    <row r="56" spans="1:21" ht="14" x14ac:dyDescent="0.3">
      <c r="A56" s="179"/>
      <c r="C56" s="348"/>
      <c r="D56" s="295"/>
      <c r="E56" s="295"/>
      <c r="F56" s="295"/>
      <c r="G56" s="295"/>
      <c r="H56" s="295"/>
      <c r="I56" s="295"/>
      <c r="J56" s="295"/>
      <c r="K56" s="295"/>
      <c r="L56" s="295"/>
      <c r="M56" s="119"/>
      <c r="N56" s="11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/>
      <c r="T56" s="118">
        <f>Cen!F224</f>
        <v>15.883479999999999</v>
      </c>
      <c r="U56" s="118">
        <f t="shared" si="10"/>
        <v>0</v>
      </c>
    </row>
    <row r="57" spans="1:21" ht="14" x14ac:dyDescent="0.3">
      <c r="A57" s="179"/>
      <c r="C57" s="348"/>
      <c r="D57" s="295"/>
      <c r="E57" s="295"/>
      <c r="F57" s="295"/>
      <c r="G57" s="295"/>
      <c r="H57" s="295"/>
      <c r="I57" s="295"/>
      <c r="J57" s="295"/>
      <c r="K57" s="295"/>
      <c r="L57" s="295"/>
      <c r="M57" s="119"/>
      <c r="N57" s="11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SUM(S45,S47,S49)</f>
        <v>0</v>
      </c>
      <c r="T57" s="118">
        <f>Cen!F225</f>
        <v>15.883479999999999</v>
      </c>
      <c r="U57" s="118">
        <f t="shared" si="10"/>
        <v>0</v>
      </c>
    </row>
    <row r="58" spans="1:21" ht="14" x14ac:dyDescent="0.3">
      <c r="A58" s="179"/>
      <c r="C58" s="348"/>
      <c r="D58" s="295"/>
      <c r="E58" s="295"/>
      <c r="F58" s="295"/>
      <c r="G58" s="295"/>
      <c r="H58" s="295"/>
      <c r="I58" s="295"/>
      <c r="J58" s="295"/>
      <c r="K58" s="295"/>
      <c r="L58" s="295"/>
      <c r="M58" s="119"/>
      <c r="N58" s="11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SUM(S46,S48,S50)</f>
        <v>0</v>
      </c>
      <c r="T58" s="118">
        <f>Cen!F226</f>
        <v>15.883479999999999</v>
      </c>
      <c r="U58" s="118">
        <f t="shared" si="10"/>
        <v>0</v>
      </c>
    </row>
    <row r="59" spans="1:21" ht="14" x14ac:dyDescent="0.3">
      <c r="A59" s="179"/>
      <c r="C59" s="348"/>
      <c r="D59" s="295"/>
      <c r="E59" s="295"/>
      <c r="F59" s="295"/>
      <c r="G59" s="295"/>
      <c r="H59" s="295"/>
      <c r="I59" s="295"/>
      <c r="J59" s="295"/>
      <c r="K59" s="295"/>
      <c r="L59" s="295"/>
      <c r="M59" s="119"/>
      <c r="N59" s="119"/>
      <c r="P59" s="144"/>
      <c r="Q59" s="144"/>
      <c r="R59" s="144"/>
      <c r="S59" s="150"/>
      <c r="T59" s="154"/>
      <c r="U59" s="154"/>
    </row>
    <row r="60" spans="1:21" ht="14" x14ac:dyDescent="0.3">
      <c r="A60" s="179"/>
      <c r="C60" s="316"/>
      <c r="D60" s="359"/>
      <c r="E60" s="359"/>
      <c r="F60" s="359"/>
      <c r="G60" s="359"/>
      <c r="H60" s="359"/>
      <c r="I60" s="295"/>
      <c r="J60" s="295"/>
      <c r="K60" s="295"/>
      <c r="L60" s="295"/>
      <c r="M60" s="119"/>
      <c r="P60" s="122" t="str">
        <f>Cen!A251</f>
        <v>Držáky zadní stěny M, Orion šedé</v>
      </c>
      <c r="Q60" s="122" t="str">
        <f>Cen!B251</f>
        <v>ZB7M000S</v>
      </c>
      <c r="R60" s="122" t="str">
        <f>Cen!C251</f>
        <v>OG-M</v>
      </c>
      <c r="S60" s="123">
        <f>SUM(S3:S6)</f>
        <v>0</v>
      </c>
      <c r="T60" s="118">
        <f>Cen!F251</f>
        <v>1.20011</v>
      </c>
      <c r="U60" s="118">
        <f t="shared" ref="U60:U69" si="11">S60*T60</f>
        <v>0</v>
      </c>
    </row>
    <row r="61" spans="1:21" ht="13" x14ac:dyDescent="0.3">
      <c r="A61" s="179"/>
      <c r="B61" s="119"/>
      <c r="C61" s="294"/>
      <c r="D61" s="179"/>
      <c r="E61" s="179"/>
      <c r="F61" s="179"/>
      <c r="G61" s="179"/>
      <c r="H61" s="179"/>
      <c r="I61" s="288"/>
      <c r="J61" s="288"/>
      <c r="K61" s="288"/>
      <c r="L61" s="288"/>
      <c r="M61" s="119"/>
      <c r="P61" s="122" t="str">
        <f>Cen!A259</f>
        <v>Držáky zadní stěny C, Orion šedé</v>
      </c>
      <c r="Q61" s="122" t="str">
        <f>Cen!B259</f>
        <v>ZB7C000S</v>
      </c>
      <c r="R61" s="122" t="str">
        <f>Cen!C259</f>
        <v>OG-M</v>
      </c>
      <c r="S61" s="123">
        <f>SUM(S7:S10)</f>
        <v>0</v>
      </c>
      <c r="T61" s="118">
        <f>Cen!$F259</f>
        <v>1.59894</v>
      </c>
      <c r="U61" s="118">
        <f t="shared" si="11"/>
        <v>0</v>
      </c>
    </row>
    <row r="62" spans="1:21" ht="13" x14ac:dyDescent="0.3">
      <c r="B62" s="119"/>
      <c r="C62" s="294"/>
      <c r="D62" s="179"/>
      <c r="E62" s="179"/>
      <c r="F62" s="179"/>
      <c r="G62" s="179"/>
      <c r="H62" s="179"/>
      <c r="I62" s="179"/>
      <c r="J62" s="179"/>
      <c r="K62" s="179"/>
      <c r="L62" s="179"/>
      <c r="M62" s="119"/>
      <c r="P62" s="122" t="str">
        <f>Cen!A293</f>
        <v>Sada kování vnitř.výs. C, se zás.prvkem, Orion šedá</v>
      </c>
      <c r="Q62" s="122" t="str">
        <f>Cen!B293</f>
        <v>ZI7.2CS0</v>
      </c>
      <c r="R62" s="122" t="str">
        <f>Cen!C293</f>
        <v>OG-M</v>
      </c>
      <c r="S62" s="123">
        <f>SUM(S7:S10)</f>
        <v>0</v>
      </c>
      <c r="T62" s="118">
        <f>Cen!F293</f>
        <v>19.402619999999999</v>
      </c>
      <c r="U62" s="118">
        <f t="shared" si="11"/>
        <v>0</v>
      </c>
    </row>
    <row r="63" spans="1:21" ht="14.5" x14ac:dyDescent="0.35">
      <c r="B63" s="24"/>
      <c r="C63" s="287"/>
      <c r="I63" s="289"/>
      <c r="J63" s="289"/>
      <c r="K63" s="289"/>
      <c r="L63" s="289"/>
      <c r="M63" s="119"/>
      <c r="P63" s="122" t="str">
        <f>Cen!A285</f>
        <v>Sada kování vnitřní zásuvky M, Orion šedá</v>
      </c>
      <c r="Q63" s="122" t="str">
        <f>Cen!B285</f>
        <v>ZI7.0MS0</v>
      </c>
      <c r="R63" s="122" t="str">
        <f>Cen!C285</f>
        <v>OG-M</v>
      </c>
      <c r="S63" s="123">
        <f>SUM(S3:S6)</f>
        <v>0</v>
      </c>
      <c r="T63" s="118">
        <f>Cen!F285</f>
        <v>13.714750000000002</v>
      </c>
      <c r="U63" s="118">
        <f t="shared" si="11"/>
        <v>0</v>
      </c>
    </row>
    <row r="64" spans="1:21" ht="13" x14ac:dyDescent="0.3">
      <c r="B64" s="119"/>
      <c r="C64" s="287"/>
      <c r="I64" s="290"/>
      <c r="J64" s="290"/>
      <c r="K64" s="290"/>
      <c r="L64" s="290"/>
      <c r="P64" s="122" t="str">
        <f>Cen!A306</f>
        <v>Přední díl vnitřní zásuvky, s drážkou, Orion šedý</v>
      </c>
      <c r="Q64" s="122" t="str">
        <f>Cen!B306</f>
        <v>ZV7.1043MN1</v>
      </c>
      <c r="R64" s="122" t="str">
        <f>Cen!C306</f>
        <v>OG-M</v>
      </c>
      <c r="S64" s="336">
        <f>ROUNDUP(SUM($D$26, $E$26, $F$26, $D$34, $E$34, $F$34)/3*4, 0)+ROUNDUP(SUM($J$26, $K$26, $L$26, $J$34, $K$34, $L$34)/2*4,0)</f>
        <v>0</v>
      </c>
      <c r="T64" s="118">
        <f>Cen!F306</f>
        <v>14.808439999999997</v>
      </c>
      <c r="U64" s="118">
        <f t="shared" si="11"/>
        <v>0</v>
      </c>
    </row>
    <row r="65" spans="1:21" ht="13" x14ac:dyDescent="0.3">
      <c r="B65" s="119"/>
      <c r="C65" s="287"/>
      <c r="I65" s="288"/>
      <c r="J65" s="288"/>
      <c r="K65" s="288"/>
      <c r="L65" s="288"/>
      <c r="P65" s="122" t="str">
        <f>Cen!A310</f>
        <v>Přední díl vnitřní zásuvky, bez drážky, Orion šedý</v>
      </c>
      <c r="Q65" s="122" t="str">
        <f>Cen!B310</f>
        <v>ZV7.1043C01</v>
      </c>
      <c r="R65" s="122" t="str">
        <f>Cen!C310</f>
        <v>OG-M</v>
      </c>
      <c r="S65" s="336">
        <f>ROUNDUP(SUM($D$26, $E$26, $F$26, $D$34, $E$34, $F$34)/3*1, 0)+ROUNDUP(SUM($J$26, $K$26, $L$26, $J$34, $K$34, $L$34)/2*1,0)</f>
        <v>0</v>
      </c>
      <c r="T65" s="122">
        <f>Cen!F310</f>
        <v>15.491620000000001</v>
      </c>
      <c r="U65" s="118">
        <f t="shared" si="11"/>
        <v>0</v>
      </c>
    </row>
    <row r="66" spans="1:21" ht="14" x14ac:dyDescent="0.3">
      <c r="B66" s="119"/>
      <c r="C66" s="291"/>
      <c r="D66" s="347"/>
      <c r="E66" s="348"/>
      <c r="F66" s="349"/>
      <c r="G66" s="349"/>
      <c r="H66" s="348"/>
      <c r="I66" s="348"/>
      <c r="J66" s="291"/>
      <c r="K66" s="291"/>
      <c r="L66" s="291"/>
      <c r="P66" s="126" t="str">
        <f>Cen!A322</f>
        <v>Přední zásuvný prvek vysoký, sklo, KB 450mm</v>
      </c>
      <c r="Q66" s="126" t="str">
        <f>Cen!B322</f>
        <v>ZE7W332G</v>
      </c>
      <c r="R66" s="126" t="str">
        <f>Cen!C322</f>
        <v>KLA</v>
      </c>
      <c r="S66" s="334">
        <f>SUM($D$26:$F$26, $D$34:$F$34)*3</f>
        <v>0</v>
      </c>
      <c r="T66" s="335">
        <f>Cen!F322</f>
        <v>12.912559999999999</v>
      </c>
      <c r="U66" s="335">
        <f t="shared" si="11"/>
        <v>0</v>
      </c>
    </row>
    <row r="67" spans="1:21" ht="14" x14ac:dyDescent="0.3">
      <c r="B67" s="383"/>
      <c r="C67" s="291"/>
      <c r="D67" s="351"/>
      <c r="E67" s="295"/>
      <c r="F67" s="295"/>
      <c r="G67" s="295"/>
      <c r="H67" s="295"/>
      <c r="I67" s="295"/>
      <c r="J67" s="289"/>
      <c r="K67" s="289"/>
      <c r="L67" s="289"/>
      <c r="P67" s="127" t="str">
        <f>Cen!A323</f>
        <v>Přední zásuvný prvek vysoký, sklo, KB 600mm</v>
      </c>
      <c r="Q67" s="127" t="str">
        <f>Cen!B323</f>
        <v>ZE7W482G</v>
      </c>
      <c r="R67" s="127" t="str">
        <f>Cen!C323</f>
        <v>KLA</v>
      </c>
      <c r="S67" s="262">
        <f>SUM($J$26:$L$26, $J$34:$L$34)*3</f>
        <v>0</v>
      </c>
      <c r="T67" s="263">
        <f>Cen!F323</f>
        <v>14.673980000000002</v>
      </c>
      <c r="U67" s="263">
        <f t="shared" si="11"/>
        <v>0</v>
      </c>
    </row>
    <row r="68" spans="1:21" ht="14" x14ac:dyDescent="0.3">
      <c r="B68" s="179"/>
      <c r="C68" s="291"/>
      <c r="D68" s="351"/>
      <c r="E68" s="295"/>
      <c r="F68" s="295"/>
      <c r="G68" s="295"/>
      <c r="H68" s="295"/>
      <c r="I68" s="295"/>
      <c r="J68" s="289"/>
      <c r="K68" s="289"/>
      <c r="L68" s="289"/>
      <c r="P68" s="360" t="str">
        <f>Cen!A324</f>
        <v>Přední zásuvný prvek vysoký, sklo, KB 900mm</v>
      </c>
      <c r="Q68" s="360" t="str">
        <f>Cen!B324</f>
        <v>ZE7W782G</v>
      </c>
      <c r="R68" s="360" t="str">
        <f>Cen!C324</f>
        <v>KLA</v>
      </c>
      <c r="S68" s="361">
        <f>H67</f>
        <v>0</v>
      </c>
      <c r="T68" s="363">
        <f>Cen!F324</f>
        <v>24.45665</v>
      </c>
      <c r="U68" s="363">
        <f t="shared" si="11"/>
        <v>0</v>
      </c>
    </row>
    <row r="69" spans="1:21" ht="14" x14ac:dyDescent="0.3">
      <c r="B69" s="179"/>
      <c r="C69" s="316"/>
      <c r="D69" s="295"/>
      <c r="E69" s="295"/>
      <c r="F69" s="295"/>
      <c r="G69" s="295"/>
      <c r="H69" s="295"/>
      <c r="J69" s="290"/>
      <c r="K69" s="290"/>
      <c r="L69" s="290"/>
      <c r="P69" s="430" t="str">
        <f>Cen!A325</f>
        <v>Přední zásuvný prvek vysoký, sklo, KB 1200mm</v>
      </c>
      <c r="Q69" s="430" t="str">
        <f>Cen!B325</f>
        <v>ZE7W1082G</v>
      </c>
      <c r="R69" s="430" t="str">
        <f>Cen!C325</f>
        <v>KLA</v>
      </c>
      <c r="S69" s="418">
        <f>I67</f>
        <v>0</v>
      </c>
      <c r="T69" s="431">
        <f>Cen!F325</f>
        <v>31.500150000000005</v>
      </c>
      <c r="U69" s="431">
        <f t="shared" si="11"/>
        <v>0</v>
      </c>
    </row>
    <row r="70" spans="1:21" ht="13" x14ac:dyDescent="0.3">
      <c r="B70" s="179"/>
      <c r="C70" s="287"/>
      <c r="I70" s="288"/>
      <c r="J70" s="288"/>
      <c r="K70" s="288"/>
      <c r="L70" s="288"/>
      <c r="P70" s="122"/>
      <c r="Q70" s="122"/>
      <c r="R70" s="122"/>
      <c r="S70" s="123"/>
      <c r="T70" s="118"/>
      <c r="U70" s="118"/>
    </row>
    <row r="71" spans="1:21" ht="14" x14ac:dyDescent="0.3">
      <c r="B71" s="291"/>
      <c r="C71" s="291"/>
      <c r="D71" s="347"/>
      <c r="E71" s="348"/>
      <c r="F71" s="349"/>
      <c r="G71" s="349"/>
      <c r="H71" s="348"/>
      <c r="I71" s="348"/>
      <c r="J71" s="291"/>
      <c r="K71" s="291"/>
      <c r="L71" s="291"/>
      <c r="P71" s="126" t="str">
        <f>Cen!A330</f>
        <v>Přední zásuvný prvek nízký, sklo, KB 450mm</v>
      </c>
      <c r="Q71" s="126" t="str">
        <f>Cen!B330</f>
        <v>ZE7V332G</v>
      </c>
      <c r="R71" s="126" t="str">
        <f>Cen!C330</f>
        <v>KLA</v>
      </c>
      <c r="S71" s="334">
        <f>SUM($D$26:$F$26, $D$34:$F$34)</f>
        <v>0</v>
      </c>
      <c r="T71" s="335">
        <f>Cen!F330</f>
        <v>8.02196</v>
      </c>
      <c r="U71" s="335">
        <f>S71*T71</f>
        <v>0</v>
      </c>
    </row>
    <row r="72" spans="1:21" ht="14" x14ac:dyDescent="0.3">
      <c r="B72" s="350"/>
      <c r="C72" s="291"/>
      <c r="D72" s="351"/>
      <c r="E72" s="295"/>
      <c r="F72" s="295"/>
      <c r="G72" s="295"/>
      <c r="H72" s="295"/>
      <c r="I72" s="295"/>
      <c r="J72" s="289"/>
      <c r="K72" s="289"/>
      <c r="L72" s="289"/>
      <c r="P72" s="127" t="str">
        <f>Cen!A331</f>
        <v>Přední zásuvný prvek nízký, sklo, KB 600mm</v>
      </c>
      <c r="Q72" s="127" t="str">
        <f>Cen!B331</f>
        <v>ZE7V482G</v>
      </c>
      <c r="R72" s="127" t="str">
        <f>Cen!C331</f>
        <v>KLA</v>
      </c>
      <c r="S72" s="262">
        <f>SUM($J$26:$L$26, $J$34:$L$34)</f>
        <v>0</v>
      </c>
      <c r="T72" s="263">
        <f>Cen!F331</f>
        <v>9.1958699999999993</v>
      </c>
      <c r="U72" s="263">
        <f>S72*T72</f>
        <v>0</v>
      </c>
    </row>
    <row r="73" spans="1:21" ht="14" x14ac:dyDescent="0.3">
      <c r="B73" s="350"/>
      <c r="C73" s="291"/>
      <c r="D73" s="351"/>
      <c r="E73" s="295"/>
      <c r="F73" s="295"/>
      <c r="G73" s="295"/>
      <c r="H73" s="295"/>
      <c r="I73" s="295"/>
      <c r="J73" s="289"/>
      <c r="K73" s="289"/>
      <c r="L73" s="289"/>
      <c r="P73" s="360" t="str">
        <f>Cen!A332</f>
        <v>Přední zásuvný prvek nízký, sklo, KB 900mm</v>
      </c>
      <c r="Q73" s="360" t="str">
        <f>Cen!B332</f>
        <v>ZE7V782G</v>
      </c>
      <c r="R73" s="360" t="str">
        <f>Cen!C332</f>
        <v>KLA</v>
      </c>
      <c r="S73" s="361">
        <f>H72</f>
        <v>0</v>
      </c>
      <c r="T73" s="363">
        <f>Cen!F332</f>
        <v>16.2394</v>
      </c>
      <c r="U73" s="363">
        <f>S73*T73</f>
        <v>0</v>
      </c>
    </row>
    <row r="74" spans="1:21" ht="14" x14ac:dyDescent="0.3">
      <c r="B74" s="315"/>
      <c r="C74" s="316"/>
      <c r="D74" s="295"/>
      <c r="E74" s="295"/>
      <c r="F74" s="295"/>
      <c r="G74" s="295"/>
      <c r="H74" s="295"/>
      <c r="J74" s="290"/>
      <c r="K74" s="290"/>
      <c r="L74" s="290"/>
      <c r="P74" s="430" t="str">
        <f>Cen!A333</f>
        <v>Přední zásuvný prvek nízký, sklo, KB 1200mm</v>
      </c>
      <c r="Q74" s="430" t="str">
        <f>Cen!B333</f>
        <v>ZE7V1082G</v>
      </c>
      <c r="R74" s="430" t="str">
        <f>Cen!C333</f>
        <v>KLA</v>
      </c>
      <c r="S74" s="418">
        <f>I72</f>
        <v>0</v>
      </c>
      <c r="T74" s="431">
        <f>Cen!F333</f>
        <v>20.93506</v>
      </c>
      <c r="U74" s="431">
        <f>S74*T74</f>
        <v>0</v>
      </c>
    </row>
    <row r="75" spans="1:21" ht="13" x14ac:dyDescent="0.3">
      <c r="C75" s="287"/>
      <c r="I75" s="288"/>
      <c r="J75" s="288"/>
      <c r="K75" s="288"/>
      <c r="L75" s="288"/>
      <c r="P75" s="119"/>
      <c r="Q75" s="119"/>
    </row>
    <row r="76" spans="1:21" ht="14" x14ac:dyDescent="0.3">
      <c r="A76" s="179"/>
      <c r="C76" s="348"/>
      <c r="D76" s="295"/>
      <c r="E76" s="295"/>
      <c r="F76" s="295"/>
      <c r="G76" s="295"/>
      <c r="H76" s="295"/>
      <c r="I76" s="295"/>
      <c r="J76" s="295"/>
      <c r="K76" s="295"/>
      <c r="L76" s="295"/>
      <c r="M76" s="119"/>
      <c r="N76" s="119"/>
      <c r="P76" s="122"/>
      <c r="Q76" s="122"/>
      <c r="R76" s="122"/>
      <c r="S76" s="123"/>
      <c r="T76" s="118"/>
      <c r="U76" s="118"/>
    </row>
    <row r="77" spans="1:21" ht="14" x14ac:dyDescent="0.3">
      <c r="A77" s="179"/>
      <c r="C77" s="348"/>
      <c r="D77" s="295"/>
      <c r="E77" s="295"/>
      <c r="F77" s="295"/>
      <c r="G77" s="295"/>
      <c r="H77" s="295"/>
      <c r="I77" s="295"/>
      <c r="J77" s="295"/>
      <c r="K77" s="295"/>
      <c r="L77" s="295"/>
      <c r="M77" s="119"/>
      <c r="N77" s="119"/>
      <c r="P77" s="122" t="str">
        <f>Cen!$A$621</f>
        <v>CLIP top 155° s nulovým přesahem, EXPANDO</v>
      </c>
      <c r="Q77" s="122" t="str">
        <f>Cen!$B$621</f>
        <v>71T753EN</v>
      </c>
      <c r="R77" s="122" t="str">
        <f>Cen!$C$621</f>
        <v>NI</v>
      </c>
      <c r="S77" s="123">
        <f>SUM($D$26:$F$26, $J$26:$L$26, $D$34:$F$34, $J$34:$L$34)*4</f>
        <v>0</v>
      </c>
      <c r="T77" s="118">
        <f>Cen!$F$621</f>
        <v>4.42394</v>
      </c>
      <c r="U77" s="118">
        <f t="shared" ref="U77:U80" si="12">S77*T77</f>
        <v>0</v>
      </c>
    </row>
    <row r="78" spans="1:21" ht="14" x14ac:dyDescent="0.3">
      <c r="A78" s="179"/>
      <c r="C78" s="348"/>
      <c r="D78" s="295"/>
      <c r="E78" s="295"/>
      <c r="F78" s="295"/>
      <c r="G78" s="295"/>
      <c r="H78" s="295"/>
      <c r="I78" s="295"/>
      <c r="J78" s="295"/>
      <c r="K78" s="295"/>
      <c r="L78" s="295"/>
      <c r="M78" s="119"/>
      <c r="N78" s="119"/>
      <c r="P78" s="122" t="str">
        <f>Cen!$A$630</f>
        <v>Podložka CLIP top přímá, EXPANDO</v>
      </c>
      <c r="Q78" s="122" t="str">
        <f>Cen!$B$630</f>
        <v>177H5400E</v>
      </c>
      <c r="R78" s="122" t="str">
        <f>Cen!$C$630</f>
        <v>NI</v>
      </c>
      <c r="S78" s="123">
        <f>$S77</f>
        <v>0</v>
      </c>
      <c r="T78" s="118">
        <f>Cen!$F$630</f>
        <v>0.81311999999999995</v>
      </c>
      <c r="U78" s="118">
        <f t="shared" si="12"/>
        <v>0</v>
      </c>
    </row>
    <row r="79" spans="1:21" ht="14" x14ac:dyDescent="0.3">
      <c r="A79" s="179"/>
      <c r="C79" s="348"/>
      <c r="D79" s="295"/>
      <c r="E79" s="295"/>
      <c r="F79" s="295"/>
      <c r="G79" s="295"/>
      <c r="H79" s="295"/>
      <c r="I79" s="295"/>
      <c r="J79" s="295"/>
      <c r="K79" s="295"/>
      <c r="L79" s="295"/>
      <c r="M79" s="119"/>
      <c r="N79" s="119"/>
      <c r="P79" s="122" t="str">
        <f>Cen!$A$633</f>
        <v>BLUMOTION pro nasazení na závěs 155° a 125°</v>
      </c>
      <c r="Q79" s="122" t="str">
        <f>Cen!$B$633</f>
        <v>973A7000</v>
      </c>
      <c r="R79" s="122" t="str">
        <f>Cen!$C$633</f>
        <v>NI</v>
      </c>
      <c r="S79" s="123">
        <f>$S77/4*2</f>
        <v>0</v>
      </c>
      <c r="T79" s="118">
        <f>Cen!$F$633</f>
        <v>1.5222899999999999</v>
      </c>
      <c r="U79" s="118">
        <f t="shared" si="12"/>
        <v>0</v>
      </c>
    </row>
    <row r="80" spans="1:21" ht="14" x14ac:dyDescent="0.3">
      <c r="A80" s="179"/>
      <c r="C80" s="348"/>
      <c r="D80" s="295"/>
      <c r="E80" s="295"/>
      <c r="F80" s="295"/>
      <c r="G80" s="295"/>
      <c r="H80" s="295"/>
      <c r="I80" s="295"/>
      <c r="J80" s="295"/>
      <c r="K80" s="295"/>
      <c r="L80" s="295"/>
      <c r="M80" s="119"/>
      <c r="N80" s="119"/>
      <c r="P80" s="122">
        <f>Cen!A248</f>
        <v>0</v>
      </c>
      <c r="Q80" s="122">
        <f>Cen!B248</f>
        <v>0</v>
      </c>
      <c r="R80" s="122">
        <f>Cen!C248</f>
        <v>0</v>
      </c>
      <c r="S80" s="123"/>
      <c r="T80" s="118">
        <f>Cen!F248</f>
        <v>0</v>
      </c>
      <c r="U80" s="118">
        <f t="shared" si="12"/>
        <v>0</v>
      </c>
    </row>
    <row r="81" spans="2:21" ht="13" x14ac:dyDescent="0.3">
      <c r="C81" s="287"/>
      <c r="I81" s="291"/>
      <c r="J81" s="291"/>
      <c r="K81" s="291"/>
      <c r="L81" s="291"/>
      <c r="P81" s="119"/>
      <c r="Q81" s="119"/>
      <c r="S81" s="73" t="str">
        <f>List!$B$94</f>
        <v>cena kování</v>
      </c>
      <c r="U81" s="353">
        <f>SUM(U3:U75)</f>
        <v>0</v>
      </c>
    </row>
    <row r="82" spans="2:21" ht="13" x14ac:dyDescent="0.3">
      <c r="B82" s="119"/>
      <c r="C82" s="287"/>
      <c r="I82" s="291"/>
      <c r="J82" s="291"/>
      <c r="K82" s="291"/>
      <c r="L82" s="291"/>
      <c r="P82" s="119"/>
      <c r="Q82" s="119"/>
    </row>
    <row r="83" spans="2:21" ht="13" x14ac:dyDescent="0.3">
      <c r="B83" s="119"/>
      <c r="C83" s="287"/>
      <c r="I83" s="289"/>
      <c r="J83" s="289"/>
      <c r="K83" s="289"/>
      <c r="L83" s="289"/>
      <c r="P83" s="119"/>
      <c r="Q83" s="119"/>
    </row>
    <row r="84" spans="2:21" x14ac:dyDescent="0.25">
      <c r="B84" s="119"/>
      <c r="I84" s="290"/>
      <c r="J84" s="290"/>
      <c r="K84" s="290"/>
      <c r="L84" s="290"/>
      <c r="P84" s="119"/>
      <c r="Q84" s="119"/>
    </row>
    <row r="85" spans="2:21" ht="13" x14ac:dyDescent="0.3">
      <c r="I85" s="288"/>
      <c r="J85" s="288"/>
      <c r="K85" s="288"/>
      <c r="L85" s="288"/>
      <c r="P85" s="119"/>
      <c r="Q85" s="119"/>
    </row>
    <row r="104" spans="1:1" x14ac:dyDescent="0.25">
      <c r="A104" s="783"/>
    </row>
    <row r="105" spans="1:1" x14ac:dyDescent="0.25">
      <c r="A105" s="783"/>
    </row>
    <row r="106" spans="1:1" x14ac:dyDescent="0.25">
      <c r="A106" s="783"/>
    </row>
    <row r="107" spans="1:1" x14ac:dyDescent="0.25">
      <c r="A107" s="783"/>
    </row>
    <row r="108" spans="1:1" x14ac:dyDescent="0.25">
      <c r="A108" s="783"/>
    </row>
    <row r="109" spans="1:1" x14ac:dyDescent="0.25">
      <c r="A109" s="783"/>
    </row>
    <row r="110" spans="1:1" x14ac:dyDescent="0.25">
      <c r="A110" s="783"/>
    </row>
    <row r="111" spans="1:1" x14ac:dyDescent="0.25">
      <c r="A111" s="783"/>
    </row>
    <row r="112" spans="1:1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  <row r="141" spans="1:1" x14ac:dyDescent="0.25">
      <c r="A141" s="783"/>
    </row>
    <row r="142" spans="1:1" x14ac:dyDescent="0.25">
      <c r="A142" s="783"/>
    </row>
    <row r="143" spans="1:1" x14ac:dyDescent="0.25">
      <c r="A143" s="783"/>
    </row>
    <row r="144" spans="1:1" x14ac:dyDescent="0.25">
      <c r="A144" s="783"/>
    </row>
    <row r="145" spans="1:1" x14ac:dyDescent="0.25">
      <c r="A145" s="783"/>
    </row>
  </sheetData>
  <sheetProtection algorithmName="SHA-512" hashValue="LK3iMfJ9wNFGbnVRtIkb0kLrM8fAXSIAMiYT+b1took7IoC7qLoOg+dKp3+yaA5Ng2hNEM8QjVHtVMCQHmQ0Tw==" saltValue="wmORzWSg9rvs5FcUtOBaGQ==" spinCount="100000" sheet="1" objects="1" scenarios="1"/>
  <mergeCells count="1">
    <mergeCell ref="A104:A145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>
    <tabColor theme="5" tint="0.39997558519241921"/>
  </sheetPr>
  <dimension ref="A1:U145"/>
  <sheetViews>
    <sheetView showGridLines="0" showRowColHeaders="0" showZero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91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8164062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1.4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7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79"/>
      <c r="H2" s="119"/>
      <c r="I2" s="119"/>
      <c r="J2" s="119"/>
      <c r="K2" s="119"/>
      <c r="L2" s="120" t="str">
        <f>"SPACE-TOWER, "&amp;List!$B$63&amp;" 4xC/1xM"</f>
        <v>SPACE-TOWER, sestava 4xC/1xM</v>
      </c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8" thickBot="1" x14ac:dyDescent="0.4">
      <c r="A3" s="119"/>
      <c r="B3" s="119"/>
      <c r="C3" s="119"/>
      <c r="D3" s="119"/>
      <c r="E3" s="119"/>
      <c r="F3" s="119"/>
      <c r="G3" s="179"/>
      <c r="H3" s="119"/>
      <c r="I3" s="121"/>
      <c r="J3" s="121"/>
      <c r="K3" s="121"/>
      <c r="L3" s="159" t="str">
        <f>List!$B$68&amp;" / "&amp;List!$B$69&amp;" "&amp;List!$B$66&amp;"** "</f>
        <v xml:space="preserve">vysoký / nízký přední zásuvný prvek** </v>
      </c>
      <c r="M3" s="119"/>
      <c r="N3" s="151" t="str">
        <f>" "&amp;List!$B$13</f>
        <v xml:space="preserve"> Úvod</v>
      </c>
      <c r="O3" s="119"/>
      <c r="P3" s="397" t="str">
        <f>Cen!A35</f>
        <v>Bočnice M 450mm, Orion šedé</v>
      </c>
      <c r="Q3" s="397" t="str">
        <f>Cen!B35</f>
        <v>770M4502S</v>
      </c>
      <c r="R3" s="375" t="str">
        <f>Cen!C75</f>
        <v>OG-M</v>
      </c>
      <c r="S3" s="424">
        <f>SUM(D26, J26, D34, J34)</f>
        <v>0</v>
      </c>
      <c r="T3" s="425">
        <f>Cen!F35</f>
        <v>19.977319999999999</v>
      </c>
      <c r="U3" s="398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79"/>
      <c r="H4" s="119"/>
      <c r="I4" s="122" t="str">
        <f>List!$B$79&amp;":"</f>
        <v>bočnice:</v>
      </c>
      <c r="J4" s="122"/>
      <c r="K4" s="122" t="s">
        <v>898</v>
      </c>
      <c r="L4" s="122"/>
      <c r="M4" s="119"/>
      <c r="N4" s="152" t="str">
        <f>" "&amp;List!$B$4</f>
        <v xml:space="preserve"> Výběr zásuvek a výsuvů</v>
      </c>
      <c r="O4" s="119"/>
      <c r="P4" s="397" t="str">
        <f>Cen!A39</f>
        <v>Bočnice M 500mm, Orion šedé</v>
      </c>
      <c r="Q4" s="397" t="str">
        <f>Cen!B39</f>
        <v>770M5002S</v>
      </c>
      <c r="R4" s="375" t="str">
        <f>Cen!C79</f>
        <v>OG-M</v>
      </c>
      <c r="S4" s="424">
        <f>SUM(E26, K26, E34, K34)</f>
        <v>0</v>
      </c>
      <c r="T4" s="425">
        <f>Cen!F39</f>
        <v>20.211580000000001</v>
      </c>
      <c r="U4" s="39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79"/>
      <c r="H5" s="119"/>
      <c r="I5" s="121" t="str">
        <f>List!$B$27&amp;":"</f>
        <v>barva:</v>
      </c>
      <c r="J5" s="121"/>
      <c r="K5" s="121" t="str">
        <f>Form!$O$2</f>
        <v>Orion šedá (OG-M)</v>
      </c>
      <c r="L5" s="121"/>
      <c r="M5" s="119"/>
      <c r="O5" s="119"/>
      <c r="P5" s="397" t="str">
        <f>Cen!A43</f>
        <v>Bočnice M 550mm, Orion šedé</v>
      </c>
      <c r="Q5" s="397" t="str">
        <f>Cen!B43</f>
        <v>770M5502S</v>
      </c>
      <c r="R5" s="375" t="str">
        <f>Cen!C83</f>
        <v>OG-M</v>
      </c>
      <c r="S5" s="424">
        <f>SUM(F26, L26, F34, L34)</f>
        <v>0</v>
      </c>
      <c r="T5" s="425">
        <f>Cen!F43</f>
        <v>20.980989999999998</v>
      </c>
      <c r="U5" s="39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79"/>
      <c r="H6" s="119"/>
      <c r="I6" s="620" t="str">
        <f>List!$B$80&amp;":"</f>
        <v>provedení:</v>
      </c>
      <c r="J6" s="122"/>
      <c r="K6" s="121" t="s">
        <v>952</v>
      </c>
      <c r="L6" s="122"/>
      <c r="M6" s="119"/>
      <c r="N6" s="2" t="str">
        <f>List!$B$12&amp;":"</f>
        <v>Pokračovat na:</v>
      </c>
      <c r="O6" s="119"/>
      <c r="P6" s="360" t="str">
        <f>Cen!A47</f>
        <v>Bočnice M 600mm, Orion šedé</v>
      </c>
      <c r="Q6" s="360" t="str">
        <f>Cen!B47</f>
        <v>770M6002S</v>
      </c>
      <c r="R6" s="375" t="str">
        <f>Cen!C87</f>
        <v>OG-M</v>
      </c>
      <c r="S6" s="376"/>
      <c r="T6" s="362">
        <f>Cen!F47</f>
        <v>23.762070000000005</v>
      </c>
      <c r="U6" s="3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79"/>
      <c r="H7" s="119"/>
      <c r="I7" s="121" t="str">
        <f>List!$B$35&amp;":"</f>
        <v>sklo:</v>
      </c>
      <c r="J7" s="122"/>
      <c r="K7" s="121" t="str">
        <f>List!$B$36</f>
        <v>čiré</v>
      </c>
      <c r="L7" s="122"/>
      <c r="M7" s="119"/>
      <c r="N7" s="151" t="str">
        <f>" "&amp;List!$B$5</f>
        <v xml:space="preserve"> Výběr doplňků</v>
      </c>
      <c r="O7" s="119"/>
      <c r="P7" s="397" t="str">
        <f>Cen!A127</f>
        <v>Bočnice C free, 450mm, Orion šedé</v>
      </c>
      <c r="Q7" s="397" t="str">
        <f>Cen!B127</f>
        <v>780C4502S</v>
      </c>
      <c r="R7" s="397" t="str">
        <f>Cen!C91</f>
        <v>OG-M</v>
      </c>
      <c r="S7" s="424">
        <f>SUM(D26, J26, D34, J34)*4</f>
        <v>0</v>
      </c>
      <c r="T7" s="425">
        <f>Cen!F127</f>
        <v>30.602429999999998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79"/>
      <c r="H8" s="119"/>
      <c r="I8" s="122" t="str">
        <f>List!$B$94&amp;":"</f>
        <v>cena kování:</v>
      </c>
      <c r="J8" s="122"/>
      <c r="K8" s="122"/>
      <c r="L8" s="118">
        <f>$U$92</f>
        <v>0</v>
      </c>
      <c r="M8" s="119"/>
      <c r="N8" s="151" t="str">
        <f>" "&amp;List!$B$6</f>
        <v xml:space="preserve"> Výběr SERVO-DRIVE</v>
      </c>
      <c r="O8" s="119"/>
      <c r="P8" s="127" t="str">
        <f>Cen!A131</f>
        <v>Bočnice C free, 500mm, Orion šedé</v>
      </c>
      <c r="Q8" s="127" t="str">
        <f>Cen!B131</f>
        <v>780C5002S</v>
      </c>
      <c r="R8" s="127" t="str">
        <f>Cen!C95</f>
        <v>OG-M</v>
      </c>
      <c r="S8" s="424">
        <f>SUM(E26, K26, E34, K34)*4</f>
        <v>0</v>
      </c>
      <c r="T8" s="266">
        <f>Cen!F131</f>
        <v>30.824969999999997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7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Cen!A135</f>
        <v>Bočnice C free, 550mm, Orion šedé</v>
      </c>
      <c r="Q9" s="127" t="str">
        <f>Cen!B135</f>
        <v>780C5502S</v>
      </c>
      <c r="R9" s="127" t="str">
        <f>Cen!C99</f>
        <v>OG-M</v>
      </c>
      <c r="S9" s="424">
        <f>SUM(F26, L26, F34, L34)*4</f>
        <v>0</v>
      </c>
      <c r="T9" s="266">
        <f>Cen!F135</f>
        <v>32.604779999999998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79"/>
      <c r="H10" s="119"/>
      <c r="I10" s="259"/>
      <c r="J10" s="259"/>
      <c r="K10" s="292"/>
      <c r="L10" s="292"/>
      <c r="M10" s="119"/>
      <c r="N10" s="152" t="str">
        <f>" "&amp;List!$B$18</f>
        <v xml:space="preserve"> Souhrn</v>
      </c>
      <c r="O10" s="119"/>
      <c r="P10" s="375" t="str">
        <f>Cen!A139</f>
        <v>Bočnice C free, 600mm, Orion šedé</v>
      </c>
      <c r="Q10" s="375" t="str">
        <f>Cen!B139</f>
        <v>780C6002S</v>
      </c>
      <c r="R10" s="360" t="str">
        <f>Cen!C103</f>
        <v>OG-M</v>
      </c>
      <c r="S10" s="361"/>
      <c r="T10" s="377">
        <f>Cen!F139</f>
        <v>35.385860000000001</v>
      </c>
      <c r="U10" s="378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79"/>
      <c r="H11" s="119"/>
      <c r="I11" s="119" t="str">
        <f>"  "&amp;List!$B$146&amp;":"</f>
        <v xml:space="preserve">  Přířezy prvků:</v>
      </c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2"/>
      <c r="Q11" s="122"/>
      <c r="R11" s="122"/>
      <c r="S11" s="123"/>
      <c r="T11" s="117"/>
      <c r="U11" s="118"/>
    </row>
    <row r="12" spans="1:21" x14ac:dyDescent="0.25">
      <c r="A12" s="119"/>
      <c r="B12" s="119"/>
      <c r="C12" s="119"/>
      <c r="D12" s="119"/>
      <c r="E12" s="119"/>
      <c r="F12" s="119"/>
      <c r="G12" s="179"/>
      <c r="H12" s="119"/>
      <c r="I12" s="119" t="str">
        <f>List!$C$150&amp;":   LW - 126"</f>
        <v>Přední díl:   LW - 126</v>
      </c>
      <c r="J12" s="291"/>
      <c r="K12" s="291"/>
      <c r="L12" s="291"/>
      <c r="M12" s="119"/>
      <c r="N12" s="119"/>
      <c r="O12" s="119"/>
      <c r="P12" s="379" t="str">
        <f>Cen!A177</f>
        <v>Korpusové lišty BLUMOTION, 270mm, 40kg</v>
      </c>
      <c r="Q12" s="379" t="str">
        <f>Cen!B177</f>
        <v>750.2701B</v>
      </c>
      <c r="R12" s="379" t="str">
        <f>Cen!C177</f>
        <v>ZN</v>
      </c>
      <c r="S12" s="380"/>
      <c r="T12" s="381">
        <f>Cen!F177</f>
        <v>21.845690000000001</v>
      </c>
      <c r="U12" s="381">
        <f t="shared" ref="U12:U23" si="1">S12*T12</f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79"/>
      <c r="H13" s="119"/>
      <c r="I13" s="119" t="str">
        <f>List!$C$65&amp;":   LW - 80"</f>
        <v>Přední zásuvné prvky:   LW - 80</v>
      </c>
      <c r="J13" s="293"/>
      <c r="K13" s="293"/>
      <c r="L13" s="293"/>
      <c r="M13" s="119"/>
      <c r="N13" s="119"/>
      <c r="O13" s="119"/>
      <c r="P13" s="379" t="str">
        <f>Cen!A178</f>
        <v>Korpusové lišty BLUMOTION, 300mm, 40kg</v>
      </c>
      <c r="Q13" s="379" t="str">
        <f>Cen!B178</f>
        <v>750.3001B</v>
      </c>
      <c r="R13" s="379" t="str">
        <f>Cen!C178</f>
        <v>ZN</v>
      </c>
      <c r="S13" s="380"/>
      <c r="T13" s="381">
        <f>Cen!F178</f>
        <v>21.925909999999998</v>
      </c>
      <c r="U13" s="381">
        <f t="shared" si="1"/>
        <v>0</v>
      </c>
    </row>
    <row r="14" spans="1:21" x14ac:dyDescent="0.25">
      <c r="A14" s="119"/>
      <c r="B14" s="119"/>
      <c r="C14" s="119"/>
      <c r="D14" s="119"/>
      <c r="E14" s="119"/>
      <c r="F14" s="119"/>
      <c r="G14" s="179"/>
      <c r="H14" s="119"/>
      <c r="I14" s="119"/>
      <c r="J14" s="290"/>
      <c r="K14" s="290"/>
      <c r="L14" s="290"/>
      <c r="M14" s="119"/>
      <c r="N14" s="119"/>
      <c r="O14" s="119"/>
      <c r="P14" s="379" t="str">
        <f>Cen!A179</f>
        <v>Korpusové lišty BLUMOTION, 350mm, 40kg</v>
      </c>
      <c r="Q14" s="379" t="str">
        <f>Cen!B179</f>
        <v>750.3501B</v>
      </c>
      <c r="R14" s="379" t="str">
        <f>Cen!C179</f>
        <v>ZN</v>
      </c>
      <c r="S14" s="380"/>
      <c r="T14" s="381">
        <f>Cen!F179</f>
        <v>21.845690000000001</v>
      </c>
      <c r="U14" s="38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79"/>
      <c r="H15" s="119"/>
      <c r="I15" s="119"/>
      <c r="J15" s="288"/>
      <c r="K15" s="288"/>
      <c r="L15" s="288"/>
      <c r="M15" s="119"/>
      <c r="N15" s="119"/>
      <c r="O15" s="119"/>
      <c r="P15" s="379" t="str">
        <f>Cen!A180</f>
        <v>Korpusové lišty BLUMOTION, 400mm, 40kg</v>
      </c>
      <c r="Q15" s="379" t="str">
        <f>Cen!B180</f>
        <v>750.4001B</v>
      </c>
      <c r="R15" s="379" t="str">
        <f>Cen!C180</f>
        <v>ZN</v>
      </c>
      <c r="S15" s="380"/>
      <c r="T15" s="381">
        <f>Cen!F180</f>
        <v>22.204979999999999</v>
      </c>
      <c r="U15" s="38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79"/>
      <c r="H16" s="119"/>
      <c r="I16" s="179"/>
      <c r="J16" s="179"/>
      <c r="K16" s="179"/>
      <c r="L16" s="179"/>
      <c r="M16" s="119"/>
      <c r="N16" s="119"/>
      <c r="O16" s="119"/>
      <c r="P16" s="426" t="str">
        <f>Cen!A181</f>
        <v>Korpusové lišty BLUMOTION, 450mm, 40kg</v>
      </c>
      <c r="Q16" s="426" t="str">
        <f>Cen!B181</f>
        <v>750.4501B</v>
      </c>
      <c r="R16" s="426" t="str">
        <f>Cen!C181</f>
        <v>ZN</v>
      </c>
      <c r="S16" s="385">
        <f>IF($D$28&gt;0, $D$28*$D$26, 4*$D$26)+IF($J$28&gt;0, $J$28*$J$26, 2*$J$26)</f>
        <v>0</v>
      </c>
      <c r="T16" s="427">
        <f>Cen!F181</f>
        <v>23.667639999999995</v>
      </c>
      <c r="U16" s="427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79"/>
      <c r="H17" s="119"/>
      <c r="I17" s="294"/>
      <c r="J17" s="294"/>
      <c r="K17" s="294"/>
      <c r="L17" s="294"/>
      <c r="M17" s="119"/>
      <c r="N17" s="119"/>
      <c r="O17" s="119"/>
      <c r="P17" s="426" t="str">
        <f>Cen!A182</f>
        <v>Korpusové lišty BLUMOTION, 450mm, 70kg</v>
      </c>
      <c r="Q17" s="426" t="str">
        <f>Cen!B182</f>
        <v>753.4501B</v>
      </c>
      <c r="R17" s="426" t="str">
        <f>Cen!C182</f>
        <v>ZN</v>
      </c>
      <c r="S17" s="385">
        <f>IF($D$28&gt;0, $D$29*$D$26, 1*$D$26)+IF($J$28&gt;0, $J$29*$J$26, 3*$J$26)</f>
        <v>0</v>
      </c>
      <c r="T17" s="427">
        <f>Cen!F182</f>
        <v>27.780560000000001</v>
      </c>
      <c r="U17" s="427">
        <f t="shared" si="1"/>
        <v>0</v>
      </c>
    </row>
    <row r="18" spans="1:21" ht="12" customHeight="1" x14ac:dyDescent="0.25">
      <c r="A18" s="119"/>
      <c r="C18" s="119"/>
      <c r="D18" s="119"/>
      <c r="E18" s="119"/>
      <c r="F18" s="119"/>
      <c r="G18" s="478"/>
      <c r="H18" s="119"/>
      <c r="I18" s="290"/>
      <c r="J18" s="290"/>
      <c r="K18" s="290"/>
      <c r="L18" s="290"/>
      <c r="M18" s="119"/>
      <c r="N18" s="119"/>
      <c r="O18" s="119"/>
      <c r="P18" s="209" t="str">
        <f>Cen!A183</f>
        <v>Korpusové lišty BLUMOTION, 500mm, 40kg</v>
      </c>
      <c r="Q18" s="209" t="str">
        <f>Cen!B183</f>
        <v>750.5001B</v>
      </c>
      <c r="R18" s="209" t="str">
        <f>Cen!C183</f>
        <v>ZN</v>
      </c>
      <c r="S18" s="385">
        <f>IF($E$28&gt;0, $E$28*$E$26, 4*$E$26)+IF($K$28&gt;0, $K$28*$K$26, 2*$K$26)</f>
        <v>0</v>
      </c>
      <c r="T18" s="261">
        <f>Cen!F183</f>
        <v>22.680199999999999</v>
      </c>
      <c r="U18" s="261">
        <f t="shared" si="1"/>
        <v>0</v>
      </c>
    </row>
    <row r="19" spans="1:21" ht="14.5" x14ac:dyDescent="0.35">
      <c r="A19" s="119"/>
      <c r="B19" s="701" t="str">
        <f>"   "&amp;List!B295</f>
        <v xml:space="preserve">   Zadejte počty skříní podle šířky korpusu a délky výsuvů</v>
      </c>
      <c r="C19" s="714"/>
      <c r="D19" s="715"/>
      <c r="E19" s="715"/>
      <c r="F19" s="715"/>
      <c r="G19" s="714"/>
      <c r="H19" s="714"/>
      <c r="I19" s="714"/>
      <c r="J19" s="715"/>
      <c r="K19" s="715"/>
      <c r="L19" s="715"/>
      <c r="M19" s="119"/>
      <c r="N19" s="119"/>
      <c r="O19" s="119"/>
      <c r="P19" s="209" t="str">
        <f>Cen!A184</f>
        <v>Korpusové lišty BLUMOTION, 500mm, 70kg</v>
      </c>
      <c r="Q19" s="209" t="str">
        <f>Cen!B184</f>
        <v>753.5001B</v>
      </c>
      <c r="R19" s="209" t="str">
        <f>Cen!C184</f>
        <v>ZN</v>
      </c>
      <c r="S19" s="385">
        <f>IF($E$28&gt;0, $E$29*$E$26, 1*$E$26)+IF($K$28&gt;0, $K$29*$K$26, 3*$K$26)</f>
        <v>0</v>
      </c>
      <c r="T19" s="261">
        <f>Cen!F184</f>
        <v>28.059809999999999</v>
      </c>
      <c r="U19" s="261">
        <f t="shared" si="1"/>
        <v>0</v>
      </c>
    </row>
    <row r="20" spans="1:21" ht="14.5" x14ac:dyDescent="0.35">
      <c r="A20" s="119"/>
      <c r="B20" s="701" t="str">
        <f>"   "&amp;List!B299</f>
        <v xml:space="preserve">   Zadejte počet korpusových lišt, pokud chcete jiné, než přednastavené složení</v>
      </c>
      <c r="C20" s="714"/>
      <c r="D20" s="715"/>
      <c r="E20" s="715"/>
      <c r="F20" s="715"/>
      <c r="G20" s="714"/>
      <c r="H20" s="714"/>
      <c r="I20" s="714"/>
      <c r="J20" s="715"/>
      <c r="K20" s="715"/>
      <c r="L20" s="715"/>
      <c r="M20" s="119"/>
      <c r="N20" s="119"/>
      <c r="O20" s="119"/>
      <c r="P20" s="209" t="str">
        <f>Cen!A185</f>
        <v>Korpusové lišty BLUMOTION, 550mm, 40kg</v>
      </c>
      <c r="Q20" s="209" t="str">
        <f>Cen!B185</f>
        <v>750.5501B</v>
      </c>
      <c r="R20" s="209" t="str">
        <f>Cen!C185</f>
        <v>ZN</v>
      </c>
      <c r="S20" s="385">
        <f>IF($F$28&gt;0, $F$28*$F$26, 4*$F$26)+IF($L$28&gt;0, $L$28*$L$26, 2*$L$26)</f>
        <v>0</v>
      </c>
      <c r="T20" s="261">
        <f>Cen!F185</f>
        <v>24.254210000000004</v>
      </c>
      <c r="U20" s="261">
        <f t="shared" si="1"/>
        <v>0</v>
      </c>
    </row>
    <row r="21" spans="1:21" ht="14.5" x14ac:dyDescent="0.35">
      <c r="A21" s="119"/>
      <c r="B21" s="701" t="str">
        <f>"         "&amp;List!B297</f>
        <v xml:space="preserve">         Zadejte počty 40kg korpusových lišt, 70kg lišty se dopočítají</v>
      </c>
      <c r="C21" s="714"/>
      <c r="D21" s="715"/>
      <c r="E21" s="715"/>
      <c r="F21" s="715"/>
      <c r="G21" s="714"/>
      <c r="H21" s="714"/>
      <c r="I21" s="714"/>
      <c r="J21" s="715"/>
      <c r="K21" s="715"/>
      <c r="L21" s="715"/>
      <c r="M21" s="119"/>
      <c r="N21" s="119"/>
      <c r="O21" s="119"/>
      <c r="P21" s="209" t="str">
        <f>Cen!A186</f>
        <v>Korpusové lišty BLUMOTION, 550mm, 70kg</v>
      </c>
      <c r="Q21" s="209" t="str">
        <f>Cen!B186</f>
        <v>753.5501B</v>
      </c>
      <c r="R21" s="209" t="str">
        <f>Cen!C186</f>
        <v>ZN</v>
      </c>
      <c r="S21" s="385">
        <f>IF($F$28&gt;0, $F$29*$F$26, 1*$F$26)+IF($L$28&gt;0, $L$29*$L$26, 3*$L$26)</f>
        <v>0</v>
      </c>
      <c r="T21" s="261">
        <f>Cen!F186</f>
        <v>29.550529999999998</v>
      </c>
      <c r="U21" s="261">
        <f t="shared" si="1"/>
        <v>0</v>
      </c>
    </row>
    <row r="22" spans="1:21" ht="9" customHeight="1" x14ac:dyDescent="0.35">
      <c r="A22" s="119"/>
      <c r="B22" s="24"/>
      <c r="C22" s="24"/>
      <c r="D22"/>
      <c r="E22"/>
      <c r="F22"/>
      <c r="G22" s="27"/>
      <c r="H22" s="24"/>
      <c r="I22" s="24"/>
      <c r="J22"/>
      <c r="K22"/>
      <c r="L22"/>
      <c r="M22" s="119"/>
      <c r="N22" s="119"/>
      <c r="O22" s="119"/>
      <c r="P22" s="364" t="str">
        <f>Cen!A187</f>
        <v>Korpusové lišty BLUMOTION, 600mm, 40kg</v>
      </c>
      <c r="Q22" s="364" t="str">
        <f>Cen!B187</f>
        <v>750.6001B</v>
      </c>
      <c r="R22" s="364" t="str">
        <f>Cen!C187</f>
        <v>ZN</v>
      </c>
      <c r="S22" s="428"/>
      <c r="T22" s="366">
        <f>Cen!F187</f>
        <v>27.259979999999999</v>
      </c>
      <c r="U22" s="366">
        <f t="shared" si="1"/>
        <v>0</v>
      </c>
    </row>
    <row r="23" spans="1:21" ht="19.5" customHeight="1" x14ac:dyDescent="0.35">
      <c r="A23"/>
      <c r="B23" s="346" t="str">
        <f>"▼   "&amp;List!$B$112&amp;" KB 450 mm"</f>
        <v>▼   Šířka korpusu KB 450 mm</v>
      </c>
      <c r="C23" s="51"/>
      <c r="H23" s="346" t="str">
        <f>"▼   "&amp;List!$B$112&amp;" KB 600 mm"</f>
        <v>▼   Šířka korpusu KB 600 mm</v>
      </c>
      <c r="I23" s="290"/>
      <c r="J23" s="290"/>
      <c r="K23" s="290"/>
      <c r="L23" s="290"/>
      <c r="M23"/>
      <c r="N23"/>
      <c r="O23" s="119"/>
      <c r="P23" s="364" t="str">
        <f>Cen!A188</f>
        <v>Korpusové lišty BLUMOTION, 600mm, 70kg</v>
      </c>
      <c r="Q23" s="364" t="str">
        <f>Cen!B188</f>
        <v>753.6001B</v>
      </c>
      <c r="R23" s="364" t="str">
        <f>Cen!C188</f>
        <v>ZN</v>
      </c>
      <c r="S23" s="428"/>
      <c r="T23" s="366">
        <f>Cen!F188</f>
        <v>32.5563</v>
      </c>
      <c r="U23" s="366">
        <f t="shared" si="1"/>
        <v>0</v>
      </c>
    </row>
    <row r="24" spans="1:21" ht="22.5" customHeight="1" x14ac:dyDescent="0.35">
      <c r="A24"/>
      <c r="B24" s="717" t="s">
        <v>1253</v>
      </c>
      <c r="C24" s="7"/>
      <c r="H24" s="717" t="s">
        <v>1253</v>
      </c>
      <c r="I24" s="290"/>
      <c r="J24" s="290"/>
      <c r="K24" s="290"/>
      <c r="L24" s="290"/>
      <c r="M24"/>
      <c r="N24"/>
      <c r="O24" s="119"/>
      <c r="P24" s="209"/>
      <c r="Q24" s="209"/>
      <c r="R24" s="209"/>
      <c r="S24" s="260"/>
      <c r="T24" s="261"/>
      <c r="U24" s="261"/>
    </row>
    <row r="25" spans="1:21" ht="14" x14ac:dyDescent="0.3">
      <c r="A25" s="119"/>
      <c r="B25" s="6"/>
      <c r="C25" s="320" t="str">
        <f>List!$B$115&amp;":"</f>
        <v>Jmenovitá délka:</v>
      </c>
      <c r="D25" s="308">
        <v>450</v>
      </c>
      <c r="E25" s="429">
        <v>500</v>
      </c>
      <c r="F25" s="307">
        <v>550</v>
      </c>
      <c r="G25" s="348"/>
      <c r="H25" s="6"/>
      <c r="I25" s="373" t="str">
        <f>List!$B$115&amp;":"</f>
        <v>Jmenovitá délka:</v>
      </c>
      <c r="J25" s="314">
        <v>450</v>
      </c>
      <c r="K25" s="429">
        <v>500</v>
      </c>
      <c r="L25" s="307">
        <v>550</v>
      </c>
      <c r="M25" s="119"/>
      <c r="N25" s="119"/>
      <c r="O25" s="119"/>
      <c r="P25" s="209"/>
      <c r="Q25" s="209"/>
      <c r="R25" s="209"/>
      <c r="S25" s="260"/>
      <c r="T25" s="261"/>
      <c r="U25" s="261"/>
    </row>
    <row r="26" spans="1:21" ht="14" x14ac:dyDescent="0.3">
      <c r="A26" s="119"/>
      <c r="B26" s="374"/>
      <c r="C26" s="320" t="str">
        <f>List!$B$99&amp;":"</f>
        <v>Počet skříní:</v>
      </c>
      <c r="D26" s="317"/>
      <c r="E26" s="317"/>
      <c r="F26" s="371"/>
      <c r="G26" s="295"/>
      <c r="H26" s="374"/>
      <c r="I26" s="320" t="str">
        <f>List!$B$99&amp;":"</f>
        <v>Počet skříní:</v>
      </c>
      <c r="J26" s="317"/>
      <c r="K26" s="317"/>
      <c r="L26" s="318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9.5" customHeight="1" x14ac:dyDescent="0.35">
      <c r="A27" s="119"/>
      <c r="B27" s="372" t="str">
        <f>List!$B$126</f>
        <v>Korpusové lišty</v>
      </c>
      <c r="C27" s="320"/>
      <c r="D27" s="24"/>
      <c r="E27" s="24"/>
      <c r="F27" s="24"/>
      <c r="G27" s="27"/>
      <c r="H27" s="372" t="str">
        <f>List!$B$126</f>
        <v>Korpusové lišty</v>
      </c>
      <c r="I27" s="320"/>
      <c r="J27"/>
      <c r="K27"/>
      <c r="L27"/>
      <c r="M27" s="119"/>
      <c r="N27" s="119"/>
      <c r="O27" s="119"/>
      <c r="P27" s="209"/>
      <c r="Q27" s="209"/>
      <c r="R27" s="209"/>
      <c r="S27" s="260"/>
      <c r="T27" s="261"/>
      <c r="U27" s="261"/>
    </row>
    <row r="28" spans="1:21" ht="15" customHeight="1" thickBot="1" x14ac:dyDescent="0.4">
      <c r="A28" s="119"/>
      <c r="B28" s="297" t="s">
        <v>505</v>
      </c>
      <c r="C28" s="384" t="s">
        <v>887</v>
      </c>
      <c r="D28" s="387"/>
      <c r="E28" s="387"/>
      <c r="F28" s="388"/>
      <c r="G28" s="295"/>
      <c r="H28" s="297" t="s">
        <v>505</v>
      </c>
      <c r="I28" s="298" t="str">
        <f>"2 ks*"</f>
        <v>2 ks*</v>
      </c>
      <c r="J28" s="389"/>
      <c r="K28" s="389"/>
      <c r="L28" s="390"/>
      <c r="M28"/>
      <c r="N28" s="119"/>
      <c r="O28" s="119"/>
      <c r="P28" s="209"/>
      <c r="Q28" s="209"/>
      <c r="R28" s="209"/>
      <c r="S28" s="260"/>
      <c r="T28" s="261"/>
      <c r="U28" s="261"/>
    </row>
    <row r="29" spans="1:21" ht="15" customHeight="1" x14ac:dyDescent="0.35">
      <c r="A29" s="119"/>
      <c r="B29" s="301" t="s">
        <v>506</v>
      </c>
      <c r="C29" s="382" t="s">
        <v>888</v>
      </c>
      <c r="D29" s="386">
        <f>IF(D28&gt;0, IF(D28&gt;5,0, 5-D28),0)</f>
        <v>0</v>
      </c>
      <c r="E29" s="386">
        <f t="shared" ref="E29:F29" si="2">IF(E28&gt;0, IF(E28&gt;5,0, 5-E28),0)</f>
        <v>0</v>
      </c>
      <c r="F29" s="712">
        <f t="shared" si="2"/>
        <v>0</v>
      </c>
      <c r="G29" s="295"/>
      <c r="H29" s="301" t="s">
        <v>506</v>
      </c>
      <c r="I29" s="382" t="str">
        <f>"3 ks*"</f>
        <v>3 ks*</v>
      </c>
      <c r="J29" s="386">
        <f>IF(J28&gt;0, IF(J28&gt;5,0, 5-J28),0)</f>
        <v>0</v>
      </c>
      <c r="K29" s="386">
        <f t="shared" ref="K29:L29" si="3">IF(K28&gt;0, IF(K28&gt;5,0, 5-K28),0)</f>
        <v>0</v>
      </c>
      <c r="L29" s="712">
        <f t="shared" si="3"/>
        <v>0</v>
      </c>
      <c r="M29"/>
      <c r="N29" s="119"/>
      <c r="O29" s="119"/>
      <c r="P29" s="209"/>
      <c r="Q29" s="209"/>
      <c r="R29" s="209"/>
      <c r="S29" s="260"/>
      <c r="T29" s="261"/>
      <c r="U29" s="261"/>
    </row>
    <row r="30" spans="1:21" ht="13.5" customHeight="1" x14ac:dyDescent="0.35">
      <c r="A30" s="119"/>
      <c r="C30"/>
      <c r="D30" s="711" t="str">
        <f>IF(D28&gt;5,"Max. 5!"," ")</f>
        <v xml:space="preserve"> </v>
      </c>
      <c r="E30" s="711" t="str">
        <f t="shared" ref="E30:F30" si="4">IF(E28&gt;5,"Max. 5!"," ")</f>
        <v xml:space="preserve"> </v>
      </c>
      <c r="F30" s="711" t="str">
        <f t="shared" si="4"/>
        <v xml:space="preserve"> </v>
      </c>
      <c r="G30" s="27"/>
      <c r="H30"/>
      <c r="I30"/>
      <c r="J30" s="711" t="str">
        <f>IF(J28&gt;5,"Max. 5!"," ")</f>
        <v xml:space="preserve"> </v>
      </c>
      <c r="K30" s="711" t="str">
        <f t="shared" ref="K30:L30" si="5">IF(K28&gt;5,"Max. 5!"," ")</f>
        <v xml:space="preserve"> </v>
      </c>
      <c r="L30" s="711" t="str">
        <f t="shared" si="5"/>
        <v xml:space="preserve"> </v>
      </c>
      <c r="M30"/>
      <c r="N30" s="119"/>
      <c r="O30" s="119"/>
      <c r="P30" s="209"/>
      <c r="Q30" s="209"/>
      <c r="R30" s="209"/>
      <c r="S30" s="260"/>
      <c r="T30" s="261"/>
      <c r="U30" s="261"/>
    </row>
    <row r="31" spans="1:21" ht="9" customHeight="1" x14ac:dyDescent="0.35">
      <c r="A31" s="179"/>
      <c r="G31" s="27"/>
      <c r="H31" s="716"/>
      <c r="I31" s="716"/>
      <c r="J31" s="716"/>
      <c r="K31" s="716"/>
      <c r="L31" s="716"/>
      <c r="M31" s="119"/>
      <c r="N31" s="119"/>
      <c r="O31" s="119"/>
      <c r="P31" s="209"/>
      <c r="Q31" s="209"/>
      <c r="R31" s="209"/>
      <c r="S31" s="260"/>
      <c r="T31" s="261"/>
      <c r="U31" s="261"/>
    </row>
    <row r="32" spans="1:21" ht="15.75" customHeight="1" x14ac:dyDescent="0.25">
      <c r="A32" s="179"/>
      <c r="B32" s="312" t="s">
        <v>1254</v>
      </c>
      <c r="C32" s="7"/>
      <c r="H32" s="312" t="s">
        <v>1254</v>
      </c>
      <c r="I32" s="290"/>
      <c r="J32" s="290"/>
      <c r="K32" s="290"/>
      <c r="L32" s="290"/>
      <c r="M32" s="119"/>
      <c r="N32" s="119"/>
      <c r="O32" s="119"/>
      <c r="P32" s="209"/>
      <c r="Q32" s="209"/>
      <c r="R32" s="209"/>
      <c r="S32" s="260"/>
      <c r="T32" s="261"/>
      <c r="U32" s="261"/>
    </row>
    <row r="33" spans="1:21" ht="15" customHeight="1" x14ac:dyDescent="0.3">
      <c r="A33" s="179"/>
      <c r="B33" s="6"/>
      <c r="C33" s="320" t="str">
        <f>List!$B$115&amp;":"</f>
        <v>Jmenovitá délka:</v>
      </c>
      <c r="D33" s="308">
        <v>450</v>
      </c>
      <c r="E33" s="429">
        <v>500</v>
      </c>
      <c r="F33" s="307">
        <v>550</v>
      </c>
      <c r="G33" s="348"/>
      <c r="H33" s="6"/>
      <c r="I33" s="373" t="str">
        <f>List!$B$115&amp;":"</f>
        <v>Jmenovitá délka:</v>
      </c>
      <c r="J33" s="314">
        <v>450</v>
      </c>
      <c r="K33" s="429">
        <v>500</v>
      </c>
      <c r="L33" s="307">
        <v>550</v>
      </c>
      <c r="M33" s="119"/>
      <c r="N33" s="119"/>
      <c r="O33" s="119"/>
      <c r="P33" s="209"/>
      <c r="Q33" s="209"/>
      <c r="R33" s="209"/>
      <c r="S33" s="260"/>
      <c r="T33" s="261"/>
      <c r="U33" s="261"/>
    </row>
    <row r="34" spans="1:21" ht="15" customHeight="1" x14ac:dyDescent="0.3">
      <c r="A34" s="179"/>
      <c r="B34" s="374"/>
      <c r="C34" s="320" t="str">
        <f>List!$B$99&amp;":"</f>
        <v>Počet skříní:</v>
      </c>
      <c r="D34" s="317"/>
      <c r="E34" s="317"/>
      <c r="F34" s="371"/>
      <c r="G34" s="295"/>
      <c r="H34" s="374"/>
      <c r="I34" s="320" t="str">
        <f>List!$B$99&amp;":"</f>
        <v>Počet skříní:</v>
      </c>
      <c r="J34" s="317"/>
      <c r="K34" s="317"/>
      <c r="L34" s="318"/>
      <c r="M34" s="144"/>
      <c r="N34" s="144"/>
      <c r="O34" s="119"/>
      <c r="P34" s="209"/>
      <c r="Q34" s="209"/>
      <c r="R34" s="209"/>
      <c r="S34" s="260"/>
      <c r="T34" s="261"/>
      <c r="U34" s="261"/>
    </row>
    <row r="35" spans="1:21" ht="19.5" customHeight="1" x14ac:dyDescent="0.35">
      <c r="A35" s="179"/>
      <c r="B35" s="372" t="str">
        <f>List!$B$126&amp;"**"</f>
        <v>Korpusové lišty**</v>
      </c>
      <c r="C35" s="320"/>
      <c r="D35" s="24"/>
      <c r="E35" s="24"/>
      <c r="F35" s="24"/>
      <c r="G35" s="27"/>
      <c r="H35" s="372" t="str">
        <f>List!$B$126&amp;"**"</f>
        <v>Korpusové lišty**</v>
      </c>
      <c r="I35" s="320"/>
      <c r="J35"/>
      <c r="K35"/>
      <c r="L35"/>
      <c r="M35" s="144"/>
      <c r="N35" s="144"/>
      <c r="P35" s="122"/>
      <c r="Q35" s="122"/>
      <c r="R35" s="122"/>
      <c r="S35" s="123"/>
      <c r="T35" s="118"/>
      <c r="U35" s="261"/>
    </row>
    <row r="36" spans="1:21" ht="15" customHeight="1" thickBot="1" x14ac:dyDescent="0.35">
      <c r="A36" s="179"/>
      <c r="B36" s="297" t="s">
        <v>505</v>
      </c>
      <c r="C36" s="384" t="s">
        <v>887</v>
      </c>
      <c r="D36" s="387"/>
      <c r="E36" s="387"/>
      <c r="F36" s="388"/>
      <c r="G36" s="295"/>
      <c r="H36" s="297" t="s">
        <v>505</v>
      </c>
      <c r="I36" s="298" t="str">
        <f>"2 ks*"</f>
        <v>2 ks*</v>
      </c>
      <c r="J36" s="389"/>
      <c r="K36" s="389"/>
      <c r="L36" s="390"/>
      <c r="M36" s="144"/>
      <c r="N36" s="144"/>
      <c r="P36" s="122"/>
      <c r="Q36" s="122"/>
      <c r="R36" s="122"/>
      <c r="S36" s="123"/>
      <c r="T36" s="118"/>
      <c r="U36" s="693"/>
    </row>
    <row r="37" spans="1:21" ht="15" customHeight="1" x14ac:dyDescent="0.3">
      <c r="A37" s="179"/>
      <c r="B37" s="301" t="s">
        <v>506</v>
      </c>
      <c r="C37" s="382" t="s">
        <v>888</v>
      </c>
      <c r="D37" s="386">
        <f>IF(D36&gt;0,IF(D36&gt;5,0,5-D36),0)</f>
        <v>0</v>
      </c>
      <c r="E37" s="386">
        <f t="shared" ref="E37:F37" si="6">IF(E36&gt;0,IF(E36&gt;5,0,5-E36),0)</f>
        <v>0</v>
      </c>
      <c r="F37" s="712">
        <f t="shared" si="6"/>
        <v>0</v>
      </c>
      <c r="G37" s="295"/>
      <c r="H37" s="301" t="s">
        <v>506</v>
      </c>
      <c r="I37" s="382" t="str">
        <f>"3 ks*"</f>
        <v>3 ks*</v>
      </c>
      <c r="J37" s="386">
        <f>IF(J36&gt;0,IF(J36&gt;5,0,5-J36),0)</f>
        <v>0</v>
      </c>
      <c r="K37" s="386">
        <f t="shared" ref="K37:L37" si="7">IF(K36&gt;0,IF(K36&gt;5,0,5-K36),0)</f>
        <v>0</v>
      </c>
      <c r="L37" s="712">
        <f t="shared" si="7"/>
        <v>0</v>
      </c>
      <c r="M37" s="144"/>
      <c r="N37" s="144"/>
      <c r="P37" s="122"/>
      <c r="Q37" s="122"/>
      <c r="R37" s="122"/>
      <c r="S37" s="123"/>
      <c r="T37" s="118"/>
      <c r="U37" s="693"/>
    </row>
    <row r="38" spans="1:21" ht="13.5" customHeight="1" x14ac:dyDescent="0.3">
      <c r="A38" s="179"/>
      <c r="C38" s="316"/>
      <c r="D38" s="711" t="str">
        <f>IF(D36&gt;5,"Max. 5!"," ")</f>
        <v xml:space="preserve"> </v>
      </c>
      <c r="E38" s="711" t="str">
        <f t="shared" ref="E38:F38" si="8">IF(E36&gt;5,"Max. 5!"," ")</f>
        <v xml:space="preserve"> </v>
      </c>
      <c r="F38" s="711" t="str">
        <f t="shared" si="8"/>
        <v xml:space="preserve"> </v>
      </c>
      <c r="G38" s="295"/>
      <c r="H38" s="383"/>
      <c r="I38" s="316"/>
      <c r="J38" s="711" t="str">
        <f>IF(J36&gt;5,"Max. 5!"," ")</f>
        <v xml:space="preserve"> </v>
      </c>
      <c r="K38" s="711" t="str">
        <f t="shared" ref="K38:L38" si="9">IF(K36&gt;5,"Max. 5!"," ")</f>
        <v xml:space="preserve"> </v>
      </c>
      <c r="L38" s="711" t="str">
        <f t="shared" si="9"/>
        <v xml:space="preserve"> </v>
      </c>
      <c r="M38" s="144"/>
      <c r="N38" s="144"/>
      <c r="P38" s="122"/>
      <c r="Q38" s="122"/>
      <c r="R38" s="122"/>
      <c r="S38" s="123"/>
      <c r="T38" s="118"/>
      <c r="U38" s="693"/>
    </row>
    <row r="39" spans="1:21" ht="13.5" customHeight="1" x14ac:dyDescent="0.3">
      <c r="A39" s="179"/>
      <c r="C39" s="347"/>
      <c r="D39" s="348"/>
      <c r="E39" s="348"/>
      <c r="F39" s="348"/>
      <c r="G39" s="348"/>
      <c r="H39" s="348"/>
      <c r="I39" s="348"/>
      <c r="J39" s="295"/>
      <c r="K39" s="348"/>
      <c r="L39" s="348"/>
      <c r="M39" s="144"/>
      <c r="N39" s="144"/>
      <c r="P39" s="122"/>
      <c r="Q39" s="122"/>
      <c r="R39" s="122"/>
      <c r="S39" s="123"/>
      <c r="T39" s="118"/>
      <c r="U39" s="693"/>
    </row>
    <row r="40" spans="1:21" ht="13.5" customHeight="1" x14ac:dyDescent="0.3">
      <c r="A40" s="179"/>
      <c r="B40" s="119" t="str">
        <f>"       * "&amp;List!$B$162</f>
        <v xml:space="preserve">       * Nastavené počty korpusových lišt</v>
      </c>
      <c r="C40" s="347"/>
      <c r="D40" s="348"/>
      <c r="E40" s="348"/>
      <c r="F40" s="348"/>
      <c r="G40" s="348"/>
      <c r="H40" s="348"/>
      <c r="I40" s="348"/>
      <c r="J40" s="295"/>
      <c r="K40" s="348"/>
      <c r="L40" s="348"/>
      <c r="M40" s="144"/>
      <c r="N40" s="144"/>
      <c r="P40" s="122"/>
      <c r="Q40" s="122"/>
      <c r="R40" s="122"/>
      <c r="S40" s="123"/>
      <c r="T40" s="118"/>
      <c r="U40" s="693"/>
    </row>
    <row r="41" spans="1:21" ht="13.5" customHeight="1" x14ac:dyDescent="0.3">
      <c r="A41" s="179"/>
      <c r="B41" s="119" t="str">
        <f>"     ** "&amp;List!$B$313</f>
        <v xml:space="preserve">     ** Jednotky TIP-ON BLUMOTION budou přidány automaticky</v>
      </c>
      <c r="C41" s="347"/>
      <c r="D41" s="348"/>
      <c r="E41" s="348"/>
      <c r="F41" s="348"/>
      <c r="G41" s="348"/>
      <c r="H41" s="348"/>
      <c r="I41" s="348"/>
      <c r="J41" s="295"/>
      <c r="K41" s="348"/>
      <c r="L41" s="348"/>
      <c r="M41" s="144"/>
      <c r="N41" s="144"/>
      <c r="P41" s="364" t="str">
        <f>Cen!A209</f>
        <v>Korpusové lišty TIP-ON BLUMOTION, 270mm, 40kg</v>
      </c>
      <c r="Q41" s="364" t="str">
        <f>Cen!B209</f>
        <v>750.2700M</v>
      </c>
      <c r="R41" s="364" t="str">
        <f>Cen!C209</f>
        <v>ZN</v>
      </c>
      <c r="S41" s="365"/>
      <c r="T41" s="366">
        <f>Cen!F209</f>
        <v>21.925909999999998</v>
      </c>
      <c r="U41" s="366">
        <f>S41*T41</f>
        <v>0</v>
      </c>
    </row>
    <row r="42" spans="1:21" ht="13.5" customHeight="1" x14ac:dyDescent="0.3">
      <c r="A42" s="179"/>
      <c r="B42" s="2" t="str">
        <f>"         "&amp;List!B303</f>
        <v xml:space="preserve">         Synchronizaci vyberte v sekci "Výběr doplňků"</v>
      </c>
      <c r="C42" s="347"/>
      <c r="D42" s="348"/>
      <c r="E42" s="348"/>
      <c r="F42" s="348"/>
      <c r="G42" s="348"/>
      <c r="H42" s="348"/>
      <c r="I42" s="348"/>
      <c r="J42" s="295"/>
      <c r="K42" s="348"/>
      <c r="L42" s="348"/>
      <c r="M42" s="144"/>
      <c r="N42" s="144"/>
      <c r="P42" s="364" t="str">
        <f>Cen!A210</f>
        <v>Korpusové lišty TIP-ON BLUMOTION, 300mm, 40kg</v>
      </c>
      <c r="Q42" s="364" t="str">
        <f>Cen!B210</f>
        <v>750.3001M</v>
      </c>
      <c r="R42" s="364" t="str">
        <f>Cen!C210</f>
        <v>ZN</v>
      </c>
      <c r="S42" s="365"/>
      <c r="T42" s="366">
        <f>Cen!F210</f>
        <v>21.925909999999998</v>
      </c>
      <c r="U42" s="366">
        <f t="shared" ref="U42:U58" si="10">S42*T42</f>
        <v>0</v>
      </c>
    </row>
    <row r="43" spans="1:21" ht="14" x14ac:dyDescent="0.3">
      <c r="A43" s="179"/>
      <c r="B43" s="119" t="str">
        <f>"    *** "&amp;List!$B$170&amp;": "&amp;List!$C$68&amp;" 3x, "&amp;List!$C$69&amp;" 2x"</f>
        <v xml:space="preserve">    *** Složení čelních zásuvných prvků: vysoký 3x, nízký 2x</v>
      </c>
      <c r="C43" s="348"/>
      <c r="D43" s="295"/>
      <c r="E43" s="295"/>
      <c r="F43" s="295"/>
      <c r="G43" s="295"/>
      <c r="H43" s="295"/>
      <c r="I43" s="295"/>
      <c r="J43" s="295"/>
      <c r="K43" s="295"/>
      <c r="L43" s="295"/>
      <c r="M43" s="119"/>
      <c r="N43" s="119"/>
      <c r="P43" s="364" t="str">
        <f>Cen!A211</f>
        <v>Korpusové lišty TIP-ON BLUMOTION, 350mm, 40kg</v>
      </c>
      <c r="Q43" s="364" t="str">
        <f>Cen!B211</f>
        <v>750.3501M</v>
      </c>
      <c r="R43" s="364" t="str">
        <f>Cen!C211</f>
        <v>ZN</v>
      </c>
      <c r="S43" s="365"/>
      <c r="T43" s="366">
        <f>Cen!F211</f>
        <v>21.925909999999998</v>
      </c>
      <c r="U43" s="366">
        <f t="shared" si="10"/>
        <v>0</v>
      </c>
    </row>
    <row r="44" spans="1:21" ht="14" x14ac:dyDescent="0.3">
      <c r="A44" s="179"/>
      <c r="B44" s="119" t="str">
        <f>"         "&amp;List!$B$171</f>
        <v xml:space="preserve">         Chcete-li jiné složení zásuvných prvků, upravte počty v objednávce</v>
      </c>
      <c r="C44" s="348"/>
      <c r="D44" s="295"/>
      <c r="E44" s="295"/>
      <c r="F44" s="295"/>
      <c r="G44" s="295"/>
      <c r="H44" s="295"/>
      <c r="I44" s="295"/>
      <c r="J44" s="295"/>
      <c r="K44" s="295"/>
      <c r="L44" s="295"/>
      <c r="M44" s="119"/>
      <c r="N44" s="119"/>
      <c r="P44" s="364" t="str">
        <f>Cen!A212</f>
        <v>Korpusové lišty TIP-ON BLUMOTION, 400mm, 40kg</v>
      </c>
      <c r="Q44" s="364" t="str">
        <f>Cen!B212</f>
        <v>750.4001M</v>
      </c>
      <c r="R44" s="364" t="str">
        <f>Cen!C212</f>
        <v>ZN</v>
      </c>
      <c r="S44" s="365"/>
      <c r="T44" s="366">
        <f>Cen!F212</f>
        <v>22.204979999999999</v>
      </c>
      <c r="U44" s="366">
        <f t="shared" si="10"/>
        <v>0</v>
      </c>
    </row>
    <row r="45" spans="1:21" ht="14" x14ac:dyDescent="0.3">
      <c r="A45" s="179"/>
      <c r="B45" s="119" t="str">
        <f>"         "&amp;List!$B$173</f>
        <v xml:space="preserve">         Máte-li zásuvné prvky vlastní, upravte počty v objednávce</v>
      </c>
      <c r="C45" s="348"/>
      <c r="D45" s="295"/>
      <c r="E45" s="295"/>
      <c r="F45" s="295"/>
      <c r="G45" s="295"/>
      <c r="H45" s="295"/>
      <c r="I45" s="295"/>
      <c r="J45" s="295"/>
      <c r="K45" s="295"/>
      <c r="L45" s="295"/>
      <c r="M45" s="119"/>
      <c r="N45" s="119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385">
        <f>IF($D$36&gt;0, $D$36*$D$34, 4*$D$34)+IF($J$36&gt;0, $J$36*$J$34, 2*$J$34)</f>
        <v>0</v>
      </c>
      <c r="T45" s="118">
        <f>Cen!F213</f>
        <v>23.667639999999995</v>
      </c>
      <c r="U45" s="118">
        <f>S45*T45</f>
        <v>0</v>
      </c>
    </row>
    <row r="46" spans="1:21" ht="14" x14ac:dyDescent="0.3">
      <c r="A46" s="179"/>
      <c r="C46" s="348"/>
      <c r="D46" s="295"/>
      <c r="E46" s="295"/>
      <c r="F46" s="295"/>
      <c r="G46" s="295"/>
      <c r="H46" s="295"/>
      <c r="I46" s="295"/>
      <c r="J46" s="295"/>
      <c r="K46" s="295"/>
      <c r="L46" s="295"/>
      <c r="M46" s="119"/>
      <c r="N46" s="119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385">
        <f>IF($D$36&gt;0, $D$37*$D$34, 1*$D$34)+IF($J$36&gt;0, $J$37*$J$34, 3*$J$34)</f>
        <v>0</v>
      </c>
      <c r="T46" s="118">
        <f>Cen!F214</f>
        <v>27.780560000000001</v>
      </c>
      <c r="U46" s="118">
        <f>S46*T46</f>
        <v>0</v>
      </c>
    </row>
    <row r="47" spans="1:21" ht="14" x14ac:dyDescent="0.3">
      <c r="A47" s="179"/>
      <c r="C47" s="348"/>
      <c r="D47" s="295"/>
      <c r="E47" s="295"/>
      <c r="F47" s="295"/>
      <c r="G47" s="295"/>
      <c r="H47" s="295"/>
      <c r="I47" s="295"/>
      <c r="J47" s="295"/>
      <c r="K47" s="295"/>
      <c r="L47" s="295"/>
      <c r="M47" s="119"/>
      <c r="N47" s="11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385">
        <f>IF($E$36&gt;0, $E$36*$E$34, 4*$E$34)+IF($K$36&gt;0, $K$36*$K$34, 2*$K$34)</f>
        <v>0</v>
      </c>
      <c r="T47" s="696">
        <f>Cen!F215</f>
        <v>23.961559999999999</v>
      </c>
      <c r="U47" s="696">
        <f>S47*T47</f>
        <v>0</v>
      </c>
    </row>
    <row r="48" spans="1:21" ht="14" x14ac:dyDescent="0.3">
      <c r="A48" s="179"/>
      <c r="C48" s="348"/>
      <c r="D48" s="295"/>
      <c r="E48" s="295"/>
      <c r="F48" s="295"/>
      <c r="G48" s="295"/>
      <c r="H48" s="295"/>
      <c r="I48" s="295"/>
      <c r="J48" s="295"/>
      <c r="K48" s="295"/>
      <c r="L48" s="295"/>
      <c r="M48" s="119"/>
      <c r="N48" s="11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385">
        <f>IF($E$36&gt;0, $E$37*$E$34, 1*$E$34)+IF($K$36&gt;0, $K$37*$K$34, 3*$K$34)</f>
        <v>0</v>
      </c>
      <c r="T48" s="696">
        <f>Cen!F216</f>
        <v>28.059809999999999</v>
      </c>
      <c r="U48" s="696">
        <f>S48*T48</f>
        <v>0</v>
      </c>
    </row>
    <row r="49" spans="1:21" ht="14" x14ac:dyDescent="0.3">
      <c r="A49" s="179"/>
      <c r="C49" s="348"/>
      <c r="D49" s="295"/>
      <c r="E49" s="295"/>
      <c r="F49" s="295"/>
      <c r="G49" s="295"/>
      <c r="H49" s="295"/>
      <c r="I49" s="295"/>
      <c r="J49" s="295"/>
      <c r="K49" s="295"/>
      <c r="L49" s="295"/>
      <c r="M49" s="119"/>
      <c r="N49" s="119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385">
        <f>IF($F$36&gt;0, $F$36*$F$34, 4*$F$34)+IF($L$36&gt;0, $L$36*$L$34, 2*$L$34)</f>
        <v>0</v>
      </c>
      <c r="T49" s="118">
        <f>Cen!F217</f>
        <v>24.254210000000004</v>
      </c>
      <c r="U49" s="118">
        <f t="shared" si="10"/>
        <v>0</v>
      </c>
    </row>
    <row r="50" spans="1:21" ht="14" x14ac:dyDescent="0.3">
      <c r="A50" s="179"/>
      <c r="C50" s="348"/>
      <c r="D50" s="295"/>
      <c r="E50" s="295"/>
      <c r="F50" s="295"/>
      <c r="G50" s="295"/>
      <c r="H50" s="295"/>
      <c r="I50" s="295"/>
      <c r="J50" s="295"/>
      <c r="K50" s="295"/>
      <c r="L50" s="295"/>
      <c r="M50" s="119"/>
      <c r="N50" s="119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385">
        <f>IF($F$36&gt;0, $F$37*$F$34, 1*$F$34)+IF($L$36&gt;0, $L$37*$L$34, 3*$L$34)</f>
        <v>0</v>
      </c>
      <c r="T50" s="118">
        <f>Cen!F218</f>
        <v>29.550529999999998</v>
      </c>
      <c r="U50" s="118">
        <f t="shared" si="10"/>
        <v>0</v>
      </c>
    </row>
    <row r="51" spans="1:21" ht="14" x14ac:dyDescent="0.3">
      <c r="A51" s="179"/>
      <c r="C51" s="348"/>
      <c r="D51" s="295"/>
      <c r="E51" s="295"/>
      <c r="F51" s="295"/>
      <c r="G51" s="295"/>
      <c r="H51" s="295"/>
      <c r="I51" s="295"/>
      <c r="J51" s="295"/>
      <c r="K51" s="295"/>
      <c r="L51" s="295"/>
      <c r="M51" s="119"/>
      <c r="N51" s="119"/>
      <c r="P51" s="364" t="str">
        <f>Cen!A219</f>
        <v>Korpusové lišty TIP-ON BLUMOTION, 600mm, 40kg</v>
      </c>
      <c r="Q51" s="364" t="str">
        <f>Cen!B219</f>
        <v>750.6001M</v>
      </c>
      <c r="R51" s="364" t="str">
        <f>Cen!C219</f>
        <v>ZN</v>
      </c>
      <c r="S51" s="365"/>
      <c r="T51" s="366">
        <f>Cen!F219</f>
        <v>27.259979999999999</v>
      </c>
      <c r="U51" s="366">
        <f t="shared" si="10"/>
        <v>0</v>
      </c>
    </row>
    <row r="52" spans="1:21" ht="14" x14ac:dyDescent="0.3">
      <c r="A52" s="179"/>
      <c r="C52" s="348"/>
      <c r="D52" s="295"/>
      <c r="E52" s="295"/>
      <c r="F52" s="295"/>
      <c r="G52" s="295"/>
      <c r="H52" s="295"/>
      <c r="I52" s="295"/>
      <c r="J52" s="295"/>
      <c r="K52" s="295"/>
      <c r="L52" s="295"/>
      <c r="M52" s="119"/>
      <c r="N52" s="119"/>
      <c r="P52" s="364" t="str">
        <f>Cen!A220</f>
        <v>Korpusové lišty TIP-ON BLUMOTION, 600mm, 70kg</v>
      </c>
      <c r="Q52" s="364" t="str">
        <f>Cen!B220</f>
        <v>753.6001M</v>
      </c>
      <c r="R52" s="364" t="str">
        <f>Cen!C220</f>
        <v>ZN</v>
      </c>
      <c r="S52" s="365"/>
      <c r="T52" s="366">
        <f>Cen!F220</f>
        <v>32.5563</v>
      </c>
      <c r="U52" s="366">
        <f t="shared" si="10"/>
        <v>0</v>
      </c>
    </row>
    <row r="53" spans="1:21" ht="14" x14ac:dyDescent="0.3">
      <c r="A53" s="179"/>
      <c r="C53" s="348"/>
      <c r="D53" s="295"/>
      <c r="E53" s="295"/>
      <c r="F53" s="295"/>
      <c r="G53" s="295"/>
      <c r="H53" s="295"/>
      <c r="I53" s="295"/>
      <c r="J53" s="295"/>
      <c r="K53" s="295"/>
      <c r="L53" s="295"/>
      <c r="M53" s="119"/>
      <c r="N53" s="119"/>
      <c r="P53" s="364" t="str">
        <f>Cen!A221</f>
        <v>Korpusové lišty TIP-ON BLUMOTION, 650mm, 70kg</v>
      </c>
      <c r="Q53" s="364" t="str">
        <f>Cen!B221</f>
        <v>753.6501M</v>
      </c>
      <c r="R53" s="364" t="str">
        <f>Cen!C221</f>
        <v>ZN</v>
      </c>
      <c r="S53" s="365"/>
      <c r="T53" s="366">
        <f>Cen!F221</f>
        <v>34.047020000000003</v>
      </c>
      <c r="U53" s="366">
        <f t="shared" si="10"/>
        <v>0</v>
      </c>
    </row>
    <row r="54" spans="1:21" ht="14" x14ac:dyDescent="0.3">
      <c r="A54" s="179"/>
      <c r="C54" s="348"/>
      <c r="D54" s="295"/>
      <c r="E54" s="295"/>
      <c r="F54" s="295"/>
      <c r="G54" s="295"/>
      <c r="H54" s="295"/>
      <c r="I54" s="295"/>
      <c r="J54" s="295"/>
      <c r="K54" s="295"/>
      <c r="L54" s="295"/>
      <c r="M54" s="119"/>
      <c r="N54" s="119"/>
      <c r="P54" s="122"/>
      <c r="Q54" s="122"/>
      <c r="R54" s="122"/>
      <c r="S54" s="123"/>
      <c r="T54" s="118"/>
      <c r="U54" s="118"/>
    </row>
    <row r="55" spans="1:21" ht="14" x14ac:dyDescent="0.3">
      <c r="A55" s="179"/>
      <c r="C55" s="348"/>
      <c r="D55" s="295"/>
      <c r="E55" s="295"/>
      <c r="F55" s="295"/>
      <c r="G55" s="295"/>
      <c r="H55" s="295"/>
      <c r="I55" s="295"/>
      <c r="J55" s="295"/>
      <c r="K55" s="295"/>
      <c r="L55" s="295"/>
      <c r="M55" s="119"/>
      <c r="N55" s="11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/>
      <c r="T55" s="118">
        <f>Cen!F223</f>
        <v>15.883479999999999</v>
      </c>
      <c r="U55" s="118">
        <f t="shared" si="10"/>
        <v>0</v>
      </c>
    </row>
    <row r="56" spans="1:21" ht="14" x14ac:dyDescent="0.3">
      <c r="A56" s="179"/>
      <c r="C56" s="348"/>
      <c r="D56" s="295"/>
      <c r="E56" s="295"/>
      <c r="F56" s="295"/>
      <c r="G56" s="295"/>
      <c r="H56" s="295"/>
      <c r="I56" s="295"/>
      <c r="J56" s="295"/>
      <c r="K56" s="295"/>
      <c r="L56" s="295"/>
      <c r="M56" s="119"/>
      <c r="N56" s="11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/>
      <c r="T56" s="118">
        <f>Cen!F224</f>
        <v>15.883479999999999</v>
      </c>
      <c r="U56" s="118">
        <f t="shared" si="10"/>
        <v>0</v>
      </c>
    </row>
    <row r="57" spans="1:21" ht="14" x14ac:dyDescent="0.3">
      <c r="A57" s="179"/>
      <c r="C57" s="348"/>
      <c r="D57" s="295"/>
      <c r="E57" s="295"/>
      <c r="F57" s="295"/>
      <c r="G57" s="295"/>
      <c r="H57" s="295"/>
      <c r="I57" s="295"/>
      <c r="J57" s="295"/>
      <c r="K57" s="295"/>
      <c r="L57" s="295"/>
      <c r="M57" s="119"/>
      <c r="N57" s="11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SUM(S45,S47,S49)</f>
        <v>0</v>
      </c>
      <c r="T57" s="118">
        <f>Cen!F225</f>
        <v>15.883479999999999</v>
      </c>
      <c r="U57" s="118">
        <f t="shared" si="10"/>
        <v>0</v>
      </c>
    </row>
    <row r="58" spans="1:21" ht="14" x14ac:dyDescent="0.3">
      <c r="A58" s="179"/>
      <c r="C58" s="348"/>
      <c r="D58" s="295"/>
      <c r="E58" s="295"/>
      <c r="F58" s="295"/>
      <c r="G58" s="295"/>
      <c r="H58" s="295"/>
      <c r="I58" s="295"/>
      <c r="J58" s="295"/>
      <c r="K58" s="295"/>
      <c r="L58" s="295"/>
      <c r="M58" s="119"/>
      <c r="N58" s="11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SUM(S46,S48,S50)</f>
        <v>0</v>
      </c>
      <c r="T58" s="118">
        <f>Cen!F226</f>
        <v>15.883479999999999</v>
      </c>
      <c r="U58" s="118">
        <f t="shared" si="10"/>
        <v>0</v>
      </c>
    </row>
    <row r="59" spans="1:21" ht="14" x14ac:dyDescent="0.3">
      <c r="A59" s="179"/>
      <c r="C59" s="348"/>
      <c r="D59" s="295"/>
      <c r="E59" s="295"/>
      <c r="F59" s="295"/>
      <c r="G59" s="295"/>
      <c r="H59" s="295"/>
      <c r="I59" s="295"/>
      <c r="J59" s="295"/>
      <c r="K59" s="295"/>
      <c r="L59" s="295"/>
      <c r="M59" s="119"/>
      <c r="N59" s="119"/>
      <c r="P59" s="144"/>
      <c r="Q59" s="144"/>
      <c r="R59" s="144"/>
      <c r="S59" s="150"/>
      <c r="T59" s="154"/>
      <c r="U59" s="154"/>
    </row>
    <row r="60" spans="1:21" ht="14" x14ac:dyDescent="0.3">
      <c r="A60" s="179"/>
      <c r="C60" s="316"/>
      <c r="D60" s="359"/>
      <c r="E60" s="359"/>
      <c r="F60" s="359"/>
      <c r="G60" s="359"/>
      <c r="H60" s="359"/>
      <c r="I60" s="295"/>
      <c r="J60" s="295"/>
      <c r="K60" s="295"/>
      <c r="L60" s="295"/>
      <c r="M60" s="119"/>
      <c r="P60" s="122" t="str">
        <f>Cen!A251</f>
        <v>Držáky zadní stěny M, Orion šedé</v>
      </c>
      <c r="Q60" s="122" t="str">
        <f>Cen!B251</f>
        <v>ZB7M000S</v>
      </c>
      <c r="R60" s="122" t="str">
        <f>Cen!C251</f>
        <v>OG-M</v>
      </c>
      <c r="S60" s="123">
        <f>SUM(S3:S6)</f>
        <v>0</v>
      </c>
      <c r="T60" s="118">
        <f>Cen!F251</f>
        <v>1.20011</v>
      </c>
      <c r="U60" s="118">
        <f t="shared" ref="U60:U69" si="11">S60*T60</f>
        <v>0</v>
      </c>
    </row>
    <row r="61" spans="1:21" ht="13" x14ac:dyDescent="0.3">
      <c r="A61" s="179"/>
      <c r="B61" s="119"/>
      <c r="C61" s="294"/>
      <c r="D61" s="179"/>
      <c r="E61" s="179"/>
      <c r="F61" s="179"/>
      <c r="G61" s="179"/>
      <c r="H61" s="179"/>
      <c r="I61" s="288"/>
      <c r="J61" s="288"/>
      <c r="K61" s="288"/>
      <c r="L61" s="288"/>
      <c r="M61" s="119"/>
      <c r="P61" s="122" t="str">
        <f>Cen!A259</f>
        <v>Držáky zadní stěny C, Orion šedé</v>
      </c>
      <c r="Q61" s="122" t="str">
        <f>Cen!B259</f>
        <v>ZB7C000S</v>
      </c>
      <c r="R61" s="122" t="str">
        <f>Cen!C259</f>
        <v>OG-M</v>
      </c>
      <c r="S61" s="123">
        <f>SUM(S7:S10)</f>
        <v>0</v>
      </c>
      <c r="T61" s="118">
        <f>Cen!$F259</f>
        <v>1.59894</v>
      </c>
      <c r="U61" s="118">
        <f t="shared" si="11"/>
        <v>0</v>
      </c>
    </row>
    <row r="62" spans="1:21" ht="13" x14ac:dyDescent="0.3">
      <c r="B62" s="119"/>
      <c r="C62" s="294"/>
      <c r="D62" s="179"/>
      <c r="E62" s="179"/>
      <c r="F62" s="179"/>
      <c r="G62" s="179"/>
      <c r="H62" s="179"/>
      <c r="I62" s="179"/>
      <c r="J62" s="179"/>
      <c r="K62" s="179"/>
      <c r="L62" s="179"/>
      <c r="M62" s="119"/>
      <c r="P62" s="122" t="str">
        <f>Cen!A293</f>
        <v>Sada kování vnitř.výs. C, se zás.prvkem, Orion šedá</v>
      </c>
      <c r="Q62" s="122" t="str">
        <f>Cen!B293</f>
        <v>ZI7.2CS0</v>
      </c>
      <c r="R62" s="122" t="str">
        <f>Cen!C293</f>
        <v>OG-M</v>
      </c>
      <c r="S62" s="123">
        <f>SUM(S7:S10)</f>
        <v>0</v>
      </c>
      <c r="T62" s="118">
        <f>Cen!F293</f>
        <v>19.402619999999999</v>
      </c>
      <c r="U62" s="118">
        <f t="shared" si="11"/>
        <v>0</v>
      </c>
    </row>
    <row r="63" spans="1:21" ht="14.5" x14ac:dyDescent="0.35">
      <c r="B63" s="24"/>
      <c r="C63" s="287"/>
      <c r="I63" s="289"/>
      <c r="J63" s="289"/>
      <c r="K63" s="289"/>
      <c r="L63" s="289"/>
      <c r="M63" s="119"/>
      <c r="P63" s="122" t="str">
        <f>Cen!A285</f>
        <v>Sada kování vnitřní zásuvky M, Orion šedá</v>
      </c>
      <c r="Q63" s="122" t="str">
        <f>Cen!B285</f>
        <v>ZI7.0MS0</v>
      </c>
      <c r="R63" s="122" t="str">
        <f>Cen!C285</f>
        <v>OG-M</v>
      </c>
      <c r="S63" s="123">
        <f>SUM(S3:S6)</f>
        <v>0</v>
      </c>
      <c r="T63" s="118">
        <f>Cen!F285</f>
        <v>13.714750000000002</v>
      </c>
      <c r="U63" s="118">
        <f t="shared" si="11"/>
        <v>0</v>
      </c>
    </row>
    <row r="64" spans="1:21" ht="13" x14ac:dyDescent="0.3">
      <c r="B64" s="119"/>
      <c r="C64" s="287"/>
      <c r="I64" s="290"/>
      <c r="J64" s="290"/>
      <c r="K64" s="290"/>
      <c r="L64" s="290"/>
      <c r="P64" s="122" t="str">
        <f>Cen!A306</f>
        <v>Přední díl vnitřní zásuvky, s drážkou, Orion šedý</v>
      </c>
      <c r="Q64" s="122" t="str">
        <f>Cen!B306</f>
        <v>ZV7.1043MN1</v>
      </c>
      <c r="R64" s="122" t="str">
        <f>Cen!C306</f>
        <v>OG-M</v>
      </c>
      <c r="S64" s="336">
        <f>ROUNDUP(SUM($D$26/3*5, $E$26/3*5, $F$26/3*5, $D$34/3*5, $E$34/3*5, $F$34/3*5),0)+ROUNDUP(SUM($J$26/2*5, $K$26/2*5, $L$26/2*5, $J$34/2*5, $K$34/2*5, $L$34/2*5),0)</f>
        <v>0</v>
      </c>
      <c r="T64" s="118">
        <f>Cen!F306</f>
        <v>14.808439999999997</v>
      </c>
      <c r="U64" s="118">
        <f t="shared" si="11"/>
        <v>0</v>
      </c>
    </row>
    <row r="65" spans="2:21" ht="13" x14ac:dyDescent="0.3">
      <c r="B65" s="119"/>
      <c r="C65" s="287"/>
      <c r="I65" s="288"/>
      <c r="J65" s="288"/>
      <c r="K65" s="288"/>
      <c r="L65" s="288"/>
      <c r="P65" s="122" t="str">
        <f>Cen!A310</f>
        <v>Přední díl vnitřní zásuvky, bez drážky, Orion šedý</v>
      </c>
      <c r="Q65" s="122" t="str">
        <f>Cen!B310</f>
        <v>ZV7.1043C01</v>
      </c>
      <c r="R65" s="122" t="str">
        <f>Cen!C310</f>
        <v>OG-M</v>
      </c>
      <c r="S65" s="336">
        <f>ROUNDUP(SUM($D$26, $E$26, $F$26, $D$34, $E$34, $F$34)/3*1, 0)+ROUNDUP(SUM($J$26, $K$26, $L$26, $J$34, $K$34, $L$34)/2*1,0)</f>
        <v>0</v>
      </c>
      <c r="T65" s="122">
        <f>Cen!F310</f>
        <v>15.491620000000001</v>
      </c>
      <c r="U65" s="118">
        <f t="shared" si="11"/>
        <v>0</v>
      </c>
    </row>
    <row r="66" spans="2:21" ht="14" x14ac:dyDescent="0.3">
      <c r="B66" s="119"/>
      <c r="C66" s="291"/>
      <c r="D66" s="347"/>
      <c r="E66" s="348"/>
      <c r="F66" s="349"/>
      <c r="G66" s="349"/>
      <c r="H66" s="348"/>
      <c r="I66" s="348"/>
      <c r="J66" s="291"/>
      <c r="K66" s="291"/>
      <c r="L66" s="291"/>
      <c r="P66" s="126" t="str">
        <f>Cen!A322</f>
        <v>Přední zásuvný prvek vysoký, sklo, KB 450mm</v>
      </c>
      <c r="Q66" s="126" t="str">
        <f>Cen!B322</f>
        <v>ZE7W332G</v>
      </c>
      <c r="R66" s="126" t="str">
        <f>Cen!C322</f>
        <v>KLA</v>
      </c>
      <c r="S66" s="334">
        <f>SUM($D$26:$F$26, $D$34:$F$34)*3</f>
        <v>0</v>
      </c>
      <c r="T66" s="335">
        <f>Cen!F322</f>
        <v>12.912559999999999</v>
      </c>
      <c r="U66" s="335">
        <f t="shared" si="11"/>
        <v>0</v>
      </c>
    </row>
    <row r="67" spans="2:21" ht="14" x14ac:dyDescent="0.3">
      <c r="B67" s="383"/>
      <c r="C67" s="291"/>
      <c r="D67" s="351"/>
      <c r="E67" s="295"/>
      <c r="F67" s="295"/>
      <c r="G67" s="295"/>
      <c r="H67" s="295"/>
      <c r="I67" s="295"/>
      <c r="J67" s="289"/>
      <c r="K67" s="289"/>
      <c r="L67" s="289"/>
      <c r="P67" s="127" t="str">
        <f>Cen!A323</f>
        <v>Přední zásuvný prvek vysoký, sklo, KB 600mm</v>
      </c>
      <c r="Q67" s="127" t="str">
        <f>Cen!B323</f>
        <v>ZE7W482G</v>
      </c>
      <c r="R67" s="127" t="str">
        <f>Cen!C323</f>
        <v>KLA</v>
      </c>
      <c r="S67" s="262">
        <f>SUM($J$26:$L$26, $J$34:$L$34)*3</f>
        <v>0</v>
      </c>
      <c r="T67" s="263">
        <f>Cen!F323</f>
        <v>14.673980000000002</v>
      </c>
      <c r="U67" s="263">
        <f t="shared" si="11"/>
        <v>0</v>
      </c>
    </row>
    <row r="68" spans="2:21" ht="14" x14ac:dyDescent="0.3">
      <c r="B68" s="119"/>
      <c r="C68" s="291"/>
      <c r="D68" s="351"/>
      <c r="E68" s="295"/>
      <c r="F68" s="295"/>
      <c r="G68" s="295"/>
      <c r="H68" s="295"/>
      <c r="I68" s="295"/>
      <c r="J68" s="289"/>
      <c r="K68" s="289"/>
      <c r="L68" s="289"/>
      <c r="P68" s="360" t="str">
        <f>Cen!A324</f>
        <v>Přední zásuvný prvek vysoký, sklo, KB 900mm</v>
      </c>
      <c r="Q68" s="360" t="str">
        <f>Cen!B324</f>
        <v>ZE7W782G</v>
      </c>
      <c r="R68" s="360" t="str">
        <f>Cen!C324</f>
        <v>KLA</v>
      </c>
      <c r="S68" s="361">
        <f>H67</f>
        <v>0</v>
      </c>
      <c r="T68" s="363">
        <f>Cen!F324</f>
        <v>24.45665</v>
      </c>
      <c r="U68" s="363">
        <f t="shared" si="11"/>
        <v>0</v>
      </c>
    </row>
    <row r="69" spans="2:21" ht="14" x14ac:dyDescent="0.3">
      <c r="B69" s="119"/>
      <c r="C69" s="316"/>
      <c r="D69" s="295"/>
      <c r="E69" s="295"/>
      <c r="F69" s="295"/>
      <c r="G69" s="295"/>
      <c r="H69" s="295"/>
      <c r="J69" s="290"/>
      <c r="K69" s="290"/>
      <c r="L69" s="290"/>
      <c r="P69" s="430" t="str">
        <f>Cen!A325</f>
        <v>Přední zásuvný prvek vysoký, sklo, KB 1200mm</v>
      </c>
      <c r="Q69" s="430" t="str">
        <f>Cen!B325</f>
        <v>ZE7W1082G</v>
      </c>
      <c r="R69" s="430" t="str">
        <f>Cen!C325</f>
        <v>KLA</v>
      </c>
      <c r="S69" s="418">
        <f>I67</f>
        <v>0</v>
      </c>
      <c r="T69" s="431">
        <f>Cen!F325</f>
        <v>31.500150000000005</v>
      </c>
      <c r="U69" s="431">
        <f t="shared" si="11"/>
        <v>0</v>
      </c>
    </row>
    <row r="70" spans="2:21" ht="13" x14ac:dyDescent="0.3">
      <c r="B70" s="119"/>
      <c r="C70" s="287"/>
      <c r="I70" s="288"/>
      <c r="J70" s="288"/>
      <c r="K70" s="288"/>
      <c r="L70" s="288"/>
      <c r="P70" s="122"/>
      <c r="Q70" s="122"/>
      <c r="R70" s="122"/>
      <c r="S70" s="123"/>
      <c r="T70" s="118"/>
      <c r="U70" s="118"/>
    </row>
    <row r="71" spans="2:21" ht="14" x14ac:dyDescent="0.3">
      <c r="B71" s="291"/>
      <c r="C71" s="291"/>
      <c r="D71" s="347"/>
      <c r="E71" s="348"/>
      <c r="F71" s="349"/>
      <c r="G71" s="349"/>
      <c r="H71" s="348"/>
      <c r="I71" s="348"/>
      <c r="J71" s="291"/>
      <c r="K71" s="291"/>
      <c r="L71" s="291"/>
      <c r="P71" s="126" t="str">
        <f>Cen!A330</f>
        <v>Přední zásuvný prvek nízký, sklo, KB 450mm</v>
      </c>
      <c r="Q71" s="126" t="str">
        <f>Cen!B330</f>
        <v>ZE7V332G</v>
      </c>
      <c r="R71" s="126" t="str">
        <f>Cen!C330</f>
        <v>KLA</v>
      </c>
      <c r="S71" s="334">
        <f>SUM($D$26:$F$26, $D$34:$F$34)</f>
        <v>0</v>
      </c>
      <c r="T71" s="335">
        <f>Cen!F330</f>
        <v>8.02196</v>
      </c>
      <c r="U71" s="335">
        <f>S71*T71</f>
        <v>0</v>
      </c>
    </row>
    <row r="72" spans="2:21" ht="14" x14ac:dyDescent="0.3">
      <c r="B72" s="350"/>
      <c r="C72" s="291"/>
      <c r="D72" s="351"/>
      <c r="E72" s="295"/>
      <c r="F72" s="295"/>
      <c r="G72" s="295"/>
      <c r="H72" s="295"/>
      <c r="I72" s="295"/>
      <c r="J72" s="289"/>
      <c r="K72" s="289"/>
      <c r="L72" s="289"/>
      <c r="P72" s="127" t="str">
        <f>Cen!A331</f>
        <v>Přední zásuvný prvek nízký, sklo, KB 600mm</v>
      </c>
      <c r="Q72" s="127" t="str">
        <f>Cen!B331</f>
        <v>ZE7V482G</v>
      </c>
      <c r="R72" s="127" t="str">
        <f>Cen!C331</f>
        <v>KLA</v>
      </c>
      <c r="S72" s="262">
        <f>SUM($J$26:$L$26, $J$34:$L$34)</f>
        <v>0</v>
      </c>
      <c r="T72" s="263">
        <f>Cen!F331</f>
        <v>9.1958699999999993</v>
      </c>
      <c r="U72" s="263">
        <f>S72*T72</f>
        <v>0</v>
      </c>
    </row>
    <row r="73" spans="2:21" ht="14" x14ac:dyDescent="0.3">
      <c r="B73" s="350"/>
      <c r="C73" s="291"/>
      <c r="D73" s="351"/>
      <c r="E73" s="295"/>
      <c r="F73" s="295"/>
      <c r="G73" s="295"/>
      <c r="H73" s="295"/>
      <c r="I73" s="295"/>
      <c r="J73" s="289"/>
      <c r="K73" s="289"/>
      <c r="L73" s="289"/>
      <c r="P73" s="360" t="str">
        <f>Cen!A332</f>
        <v>Přední zásuvný prvek nízký, sklo, KB 900mm</v>
      </c>
      <c r="Q73" s="360" t="str">
        <f>Cen!B332</f>
        <v>ZE7V782G</v>
      </c>
      <c r="R73" s="360" t="str">
        <f>Cen!C332</f>
        <v>KLA</v>
      </c>
      <c r="S73" s="361">
        <f>H72</f>
        <v>0</v>
      </c>
      <c r="T73" s="363">
        <f>Cen!F332</f>
        <v>16.2394</v>
      </c>
      <c r="U73" s="363">
        <f>S73*T73</f>
        <v>0</v>
      </c>
    </row>
    <row r="74" spans="2:21" ht="14" x14ac:dyDescent="0.3">
      <c r="B74" s="315"/>
      <c r="C74" s="316"/>
      <c r="D74" s="295"/>
      <c r="E74" s="295"/>
      <c r="F74" s="295"/>
      <c r="G74" s="295"/>
      <c r="H74" s="295"/>
      <c r="J74" s="290"/>
      <c r="K74" s="290"/>
      <c r="L74" s="290"/>
      <c r="P74" s="430" t="str">
        <f>Cen!A333</f>
        <v>Přední zásuvný prvek nízký, sklo, KB 1200mm</v>
      </c>
      <c r="Q74" s="430" t="str">
        <f>Cen!B333</f>
        <v>ZE7V1082G</v>
      </c>
      <c r="R74" s="430" t="str">
        <f>Cen!C333</f>
        <v>KLA</v>
      </c>
      <c r="S74" s="418">
        <f>I72</f>
        <v>0</v>
      </c>
      <c r="T74" s="431">
        <f>Cen!F333</f>
        <v>20.93506</v>
      </c>
      <c r="U74" s="431">
        <f>S74*T74</f>
        <v>0</v>
      </c>
    </row>
    <row r="75" spans="2:21" ht="13" x14ac:dyDescent="0.3">
      <c r="C75" s="287"/>
      <c r="I75" s="288"/>
      <c r="J75" s="288"/>
      <c r="K75" s="288"/>
      <c r="L75" s="288"/>
      <c r="P75" s="119"/>
      <c r="Q75" s="119"/>
    </row>
    <row r="76" spans="2:21" ht="13" x14ac:dyDescent="0.3">
      <c r="C76" s="287"/>
      <c r="I76" s="291"/>
      <c r="J76" s="291"/>
      <c r="K76" s="291"/>
      <c r="L76" s="291"/>
      <c r="P76" s="119"/>
      <c r="Q76" s="119"/>
    </row>
    <row r="77" spans="2:21" ht="13" x14ac:dyDescent="0.3">
      <c r="B77" s="119"/>
      <c r="C77" s="287"/>
      <c r="I77" s="291"/>
      <c r="J77" s="291"/>
      <c r="K77" s="291"/>
      <c r="L77" s="291"/>
      <c r="P77" s="119"/>
      <c r="Q77" s="119"/>
    </row>
    <row r="78" spans="2:21" ht="13" x14ac:dyDescent="0.3">
      <c r="C78" s="287"/>
      <c r="I78" s="288"/>
      <c r="J78" s="288"/>
      <c r="K78" s="288"/>
      <c r="L78" s="288"/>
      <c r="P78" s="119"/>
      <c r="Q78" s="119"/>
    </row>
    <row r="79" spans="2:21" x14ac:dyDescent="0.25">
      <c r="G79" s="2"/>
      <c r="P79" s="209" t="str">
        <f>Cen!A168</f>
        <v>Boční zásuvné prvky, sklo, pro 350 mm</v>
      </c>
      <c r="Q79" s="209" t="str">
        <f>Cen!B168</f>
        <v>ZE7S238G</v>
      </c>
      <c r="R79" s="209" t="str">
        <f>Cen!C168</f>
        <v>KLA</v>
      </c>
      <c r="S79" s="260"/>
      <c r="T79" s="607">
        <f>Cen!F168</f>
        <v>20.738469999999996</v>
      </c>
      <c r="U79" s="261">
        <f>S79*T79</f>
        <v>0</v>
      </c>
    </row>
    <row r="80" spans="2:21" x14ac:dyDescent="0.25">
      <c r="G80" s="2"/>
      <c r="P80" s="127" t="str">
        <f>Cen!A169</f>
        <v>Boční zásuvné prvky, sklo, pro 400 mm</v>
      </c>
      <c r="Q80" s="127" t="str">
        <f>Cen!B169</f>
        <v>ZE7S288G</v>
      </c>
      <c r="R80" s="127" t="str">
        <f>Cen!C169</f>
        <v>KLA</v>
      </c>
      <c r="S80" s="262"/>
      <c r="T80" s="266">
        <f>Cen!F169</f>
        <v>21.912770000000002</v>
      </c>
      <c r="U80" s="263">
        <f t="shared" ref="U80:U85" si="12">S80*T80</f>
        <v>0</v>
      </c>
    </row>
    <row r="81" spans="1:21" x14ac:dyDescent="0.25">
      <c r="G81" s="2"/>
      <c r="P81" s="127" t="str">
        <f>Cen!A170</f>
        <v>Boční zásuvné prvky, sklo, pro 450 mm</v>
      </c>
      <c r="Q81" s="127" t="str">
        <f>Cen!B170</f>
        <v>ZE7S338G</v>
      </c>
      <c r="R81" s="127" t="str">
        <f>Cen!C170</f>
        <v>KLA</v>
      </c>
      <c r="S81" s="262">
        <f>S7</f>
        <v>0</v>
      </c>
      <c r="T81" s="266">
        <f>Cen!F170</f>
        <v>23.087060000000001</v>
      </c>
      <c r="U81" s="263">
        <f t="shared" si="12"/>
        <v>0</v>
      </c>
    </row>
    <row r="82" spans="1:21" x14ac:dyDescent="0.25">
      <c r="G82" s="2"/>
      <c r="P82" s="127" t="str">
        <f>Cen!A171</f>
        <v>Boční zásuvné prvky, sklo, pro 500 mm</v>
      </c>
      <c r="Q82" s="127" t="str">
        <f>Cen!B171</f>
        <v>ZE7S388G</v>
      </c>
      <c r="R82" s="127" t="str">
        <f>Cen!C171</f>
        <v>KLA</v>
      </c>
      <c r="S82" s="262">
        <f>S8</f>
        <v>0</v>
      </c>
      <c r="T82" s="266">
        <f>Cen!F171</f>
        <v>24.26136</v>
      </c>
      <c r="U82" s="263">
        <f t="shared" si="12"/>
        <v>0</v>
      </c>
    </row>
    <row r="83" spans="1:21" x14ac:dyDescent="0.25">
      <c r="G83" s="2"/>
      <c r="P83" s="127" t="str">
        <f>Cen!A172</f>
        <v>Boční zásuvné prvky, sklo, pro 550 mm</v>
      </c>
      <c r="Q83" s="127" t="str">
        <f>Cen!B172</f>
        <v>ZE7S438G</v>
      </c>
      <c r="R83" s="127" t="str">
        <f>Cen!C172</f>
        <v>KLA</v>
      </c>
      <c r="S83" s="262">
        <f>S9</f>
        <v>0</v>
      </c>
      <c r="T83" s="266">
        <f>Cen!F172</f>
        <v>26.609179999999995</v>
      </c>
      <c r="U83" s="263">
        <f t="shared" si="12"/>
        <v>0</v>
      </c>
    </row>
    <row r="84" spans="1:21" x14ac:dyDescent="0.25">
      <c r="G84" s="2"/>
      <c r="P84" s="127" t="str">
        <f>Cen!A173</f>
        <v>Boční zásuvné prvky, sklo, pro 600 mm</v>
      </c>
      <c r="Q84" s="127" t="str">
        <f>Cen!B173</f>
        <v>ZE7S488G</v>
      </c>
      <c r="R84" s="127" t="str">
        <f>Cen!C173</f>
        <v>KLA</v>
      </c>
      <c r="S84" s="262">
        <f>S10</f>
        <v>0</v>
      </c>
      <c r="T84" s="266">
        <f>Cen!F173</f>
        <v>28.957020000000004</v>
      </c>
      <c r="U84" s="263">
        <f t="shared" si="12"/>
        <v>0</v>
      </c>
    </row>
    <row r="85" spans="1:21" ht="13" thickBot="1" x14ac:dyDescent="0.3">
      <c r="G85" s="2"/>
      <c r="P85" s="608" t="str">
        <f>Cen!A174</f>
        <v>Boční zásuvné prvky, sklo, pro 650 mm</v>
      </c>
      <c r="Q85" s="608" t="str">
        <f>Cen!B174</f>
        <v>ZE7S538G</v>
      </c>
      <c r="R85" s="608" t="str">
        <f>Cen!C174</f>
        <v>KLA</v>
      </c>
      <c r="S85" s="609">
        <f>S11</f>
        <v>0</v>
      </c>
      <c r="T85" s="610">
        <f>Cen!F174</f>
        <v>31.304870000000001</v>
      </c>
      <c r="U85" s="611">
        <f t="shared" si="12"/>
        <v>0</v>
      </c>
    </row>
    <row r="86" spans="1:21" ht="14" x14ac:dyDescent="0.3">
      <c r="A86" s="179"/>
      <c r="C86" s="348"/>
      <c r="D86" s="295"/>
      <c r="E86" s="295"/>
      <c r="F86" s="295"/>
      <c r="G86" s="295"/>
      <c r="H86" s="295"/>
      <c r="I86" s="295"/>
      <c r="J86" s="295"/>
      <c r="K86" s="295"/>
      <c r="L86" s="295"/>
      <c r="M86" s="119"/>
      <c r="N86" s="119"/>
      <c r="P86" s="122"/>
      <c r="Q86" s="122"/>
      <c r="R86" s="122"/>
      <c r="S86" s="123"/>
      <c r="T86" s="118"/>
      <c r="U86" s="118"/>
    </row>
    <row r="87" spans="1:21" ht="14" x14ac:dyDescent="0.3">
      <c r="A87" s="179"/>
      <c r="C87" s="348"/>
      <c r="D87" s="295"/>
      <c r="E87" s="295"/>
      <c r="F87" s="295"/>
      <c r="G87" s="295"/>
      <c r="H87" s="295"/>
      <c r="I87" s="295"/>
      <c r="J87" s="295"/>
      <c r="K87" s="295"/>
      <c r="L87" s="295"/>
      <c r="M87" s="119"/>
      <c r="N87" s="119"/>
      <c r="P87" s="122" t="str">
        <f>Cen!$A$621</f>
        <v>CLIP top 155° s nulovým přesahem, EXPANDO</v>
      </c>
      <c r="Q87" s="122" t="str">
        <f>Cen!$B$621</f>
        <v>71T753EN</v>
      </c>
      <c r="R87" s="122" t="str">
        <f>Cen!$C$621</f>
        <v>NI</v>
      </c>
      <c r="S87" s="123">
        <f>SUM($D$26:$F$26, $J$26:$L$26, $D$34:$F$34, $J$34:$L$34)*4</f>
        <v>0</v>
      </c>
      <c r="T87" s="118">
        <f>Cen!$F$621</f>
        <v>4.42394</v>
      </c>
      <c r="U87" s="118">
        <f t="shared" ref="U87:U90" si="13">S87*T87</f>
        <v>0</v>
      </c>
    </row>
    <row r="88" spans="1:21" ht="14" x14ac:dyDescent="0.3">
      <c r="A88" s="179"/>
      <c r="C88" s="348"/>
      <c r="D88" s="295"/>
      <c r="E88" s="295"/>
      <c r="F88" s="295"/>
      <c r="G88" s="295"/>
      <c r="H88" s="295"/>
      <c r="I88" s="295"/>
      <c r="J88" s="295"/>
      <c r="K88" s="295"/>
      <c r="L88" s="295"/>
      <c r="M88" s="119"/>
      <c r="N88" s="119"/>
      <c r="P88" s="122" t="str">
        <f>Cen!$A$630</f>
        <v>Podložka CLIP top přímá, EXPANDO</v>
      </c>
      <c r="Q88" s="122" t="str">
        <f>Cen!$B$630</f>
        <v>177H5400E</v>
      </c>
      <c r="R88" s="122" t="str">
        <f>Cen!$C$630</f>
        <v>NI</v>
      </c>
      <c r="S88" s="123">
        <f>$S87</f>
        <v>0</v>
      </c>
      <c r="T88" s="118">
        <f>Cen!$F$630</f>
        <v>0.81311999999999995</v>
      </c>
      <c r="U88" s="118">
        <f t="shared" si="13"/>
        <v>0</v>
      </c>
    </row>
    <row r="89" spans="1:21" ht="14" x14ac:dyDescent="0.3">
      <c r="A89" s="179"/>
      <c r="C89" s="348"/>
      <c r="D89" s="295"/>
      <c r="E89" s="295"/>
      <c r="F89" s="295"/>
      <c r="G89" s="295"/>
      <c r="H89" s="295"/>
      <c r="I89" s="295"/>
      <c r="J89" s="295"/>
      <c r="K89" s="295"/>
      <c r="L89" s="295"/>
      <c r="M89" s="119"/>
      <c r="N89" s="119"/>
      <c r="P89" s="122" t="str">
        <f>Cen!$A$633</f>
        <v>BLUMOTION pro nasazení na závěs 155° a 125°</v>
      </c>
      <c r="Q89" s="122" t="str">
        <f>Cen!$B$633</f>
        <v>973A7000</v>
      </c>
      <c r="R89" s="122" t="str">
        <f>Cen!$C$633</f>
        <v>NI</v>
      </c>
      <c r="S89" s="123">
        <f>$S87/4*2</f>
        <v>0</v>
      </c>
      <c r="T89" s="118">
        <f>Cen!$F$633</f>
        <v>1.5222899999999999</v>
      </c>
      <c r="U89" s="118">
        <f t="shared" si="13"/>
        <v>0</v>
      </c>
    </row>
    <row r="90" spans="1:21" ht="14" x14ac:dyDescent="0.3">
      <c r="A90" s="179"/>
      <c r="C90" s="348"/>
      <c r="D90" s="295"/>
      <c r="E90" s="295"/>
      <c r="F90" s="295"/>
      <c r="G90" s="295"/>
      <c r="H90" s="295"/>
      <c r="I90" s="295"/>
      <c r="J90" s="295"/>
      <c r="K90" s="295"/>
      <c r="L90" s="295"/>
      <c r="M90" s="119"/>
      <c r="N90" s="119"/>
      <c r="P90" s="122">
        <f>Cen!A258</f>
        <v>0</v>
      </c>
      <c r="Q90" s="122">
        <f>Cen!B258</f>
        <v>0</v>
      </c>
      <c r="R90" s="122">
        <f>Cen!C258</f>
        <v>0</v>
      </c>
      <c r="S90" s="123"/>
      <c r="T90" s="118">
        <f>Cen!F258</f>
        <v>0</v>
      </c>
      <c r="U90" s="118">
        <f t="shared" si="13"/>
        <v>0</v>
      </c>
    </row>
    <row r="91" spans="1:21" ht="13" x14ac:dyDescent="0.3">
      <c r="C91" s="287"/>
      <c r="I91" s="288"/>
      <c r="J91" s="288"/>
      <c r="K91" s="288"/>
      <c r="L91" s="288"/>
      <c r="P91" s="119"/>
      <c r="Q91" s="119"/>
    </row>
    <row r="92" spans="1:21" ht="13" x14ac:dyDescent="0.3">
      <c r="B92" s="119"/>
      <c r="C92" s="287"/>
      <c r="I92" s="289"/>
      <c r="J92" s="289"/>
      <c r="K92" s="289"/>
      <c r="L92" s="289"/>
      <c r="P92" s="119"/>
      <c r="Q92" s="119"/>
      <c r="S92" s="73" t="str">
        <f>List!$B$94</f>
        <v>cena kování</v>
      </c>
      <c r="U92" s="353">
        <f>SUM(U3:U85)</f>
        <v>0</v>
      </c>
    </row>
    <row r="93" spans="1:21" x14ac:dyDescent="0.25">
      <c r="B93" s="119"/>
      <c r="I93" s="290"/>
      <c r="J93" s="290"/>
      <c r="K93" s="290"/>
      <c r="L93" s="290"/>
      <c r="P93" s="119"/>
      <c r="Q93" s="119"/>
    </row>
    <row r="94" spans="1:21" ht="13" x14ac:dyDescent="0.3">
      <c r="I94" s="288"/>
      <c r="J94" s="288"/>
      <c r="K94" s="288"/>
      <c r="L94" s="288"/>
      <c r="P94" s="119"/>
      <c r="Q94" s="119"/>
    </row>
    <row r="104" spans="1:1" x14ac:dyDescent="0.25">
      <c r="A104" s="783"/>
    </row>
    <row r="105" spans="1:1" x14ac:dyDescent="0.25">
      <c r="A105" s="783"/>
    </row>
    <row r="106" spans="1:1" x14ac:dyDescent="0.25">
      <c r="A106" s="783"/>
    </row>
    <row r="107" spans="1:1" x14ac:dyDescent="0.25">
      <c r="A107" s="783"/>
    </row>
    <row r="108" spans="1:1" x14ac:dyDescent="0.25">
      <c r="A108" s="783"/>
    </row>
    <row r="109" spans="1:1" x14ac:dyDescent="0.25">
      <c r="A109" s="783"/>
    </row>
    <row r="110" spans="1:1" x14ac:dyDescent="0.25">
      <c r="A110" s="783"/>
    </row>
    <row r="111" spans="1:1" x14ac:dyDescent="0.25">
      <c r="A111" s="783"/>
    </row>
    <row r="112" spans="1:1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  <row r="141" spans="1:1" x14ac:dyDescent="0.25">
      <c r="A141" s="783"/>
    </row>
    <row r="142" spans="1:1" x14ac:dyDescent="0.25">
      <c r="A142" s="783"/>
    </row>
    <row r="143" spans="1:1" x14ac:dyDescent="0.25">
      <c r="A143" s="783"/>
    </row>
    <row r="144" spans="1:1" x14ac:dyDescent="0.25">
      <c r="A144" s="783"/>
    </row>
    <row r="145" spans="1:1" x14ac:dyDescent="0.25">
      <c r="A145" s="783"/>
    </row>
  </sheetData>
  <sheetProtection algorithmName="SHA-512" hashValue="Tm4Sp3vOvC8aaZbTsJDBRLfTcx1qOMHAPlEV4IzE57gmN3D+0hILeLZq85LiXzfF2n1U0/mhoEgg6CJRQn4upg==" saltValue="c/P8+8iUTBx/SMDJyXSeng==" spinCount="100000" sheet="1" objects="1" scenarios="1"/>
  <mergeCells count="1">
    <mergeCell ref="A104:A145"/>
  </mergeCells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2" tint="-0.499984740745262"/>
  </sheetPr>
  <dimension ref="A1:U140"/>
  <sheetViews>
    <sheetView showGridLines="0" showRowColHeaders="0" showZero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91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8164062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1.4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7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79"/>
      <c r="H2" s="119"/>
      <c r="I2" s="119"/>
      <c r="J2" s="119"/>
      <c r="K2" s="119"/>
      <c r="L2" s="120" t="str">
        <f>"SPACE-TOWER, "&amp;List!$B$63&amp;" 4xC/1xM"</f>
        <v>SPACE-TOWER, sestava 4xC/1xM</v>
      </c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8" thickBot="1" x14ac:dyDescent="0.4">
      <c r="A3" s="119"/>
      <c r="B3" s="119"/>
      <c r="C3" s="119"/>
      <c r="D3" s="119"/>
      <c r="E3" s="119"/>
      <c r="F3" s="119"/>
      <c r="G3" s="179"/>
      <c r="H3" s="119"/>
      <c r="I3" s="121"/>
      <c r="J3" s="121"/>
      <c r="K3" s="121"/>
      <c r="L3" s="159" t="str">
        <f>List!$B$71</f>
        <v>přední reling</v>
      </c>
      <c r="M3" s="119"/>
      <c r="N3" s="151" t="str">
        <f>" "&amp;List!$B$13</f>
        <v xml:space="preserve"> Úvod</v>
      </c>
      <c r="O3" s="119"/>
      <c r="P3" s="397" t="str">
        <f>Cen!A35</f>
        <v>Bočnice M 450mm, Orion šedé</v>
      </c>
      <c r="Q3" s="397" t="str">
        <f>Cen!B35</f>
        <v>770M4502S</v>
      </c>
      <c r="R3" s="375" t="str">
        <f>Cen!C75</f>
        <v>OG-M</v>
      </c>
      <c r="S3" s="424">
        <f>SUM(D26, J26, D34, J34)</f>
        <v>0</v>
      </c>
      <c r="T3" s="425">
        <f>Cen!F35</f>
        <v>19.977319999999999</v>
      </c>
      <c r="U3" s="398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79"/>
      <c r="H4" s="119"/>
      <c r="I4" s="122" t="str">
        <f>List!$B$79&amp;":"</f>
        <v>bočnice:</v>
      </c>
      <c r="J4" s="122"/>
      <c r="K4" s="122" t="s">
        <v>898</v>
      </c>
      <c r="L4" s="122"/>
      <c r="M4" s="119"/>
      <c r="N4" s="152" t="str">
        <f>" "&amp;List!$B$4</f>
        <v xml:space="preserve"> Výběr zásuvek a výsuvů</v>
      </c>
      <c r="O4" s="119"/>
      <c r="P4" s="397" t="str">
        <f>Cen!A39</f>
        <v>Bočnice M 500mm, Orion šedé</v>
      </c>
      <c r="Q4" s="397" t="str">
        <f>Cen!B39</f>
        <v>770M5002S</v>
      </c>
      <c r="R4" s="375" t="str">
        <f>Cen!C79</f>
        <v>OG-M</v>
      </c>
      <c r="S4" s="424">
        <f>SUM(E26, K26, E34, K34)</f>
        <v>0</v>
      </c>
      <c r="T4" s="425">
        <f>Cen!F39</f>
        <v>20.211580000000001</v>
      </c>
      <c r="U4" s="39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79"/>
      <c r="H5" s="119"/>
      <c r="I5" s="121" t="str">
        <f>List!$B$27&amp;":"</f>
        <v>barva:</v>
      </c>
      <c r="J5" s="121"/>
      <c r="K5" s="121" t="str">
        <f>Form!$O$2</f>
        <v>Orion šedá (OG-M)</v>
      </c>
      <c r="L5" s="121"/>
      <c r="M5" s="119"/>
      <c r="O5" s="119"/>
      <c r="P5" s="397" t="str">
        <f>Cen!A43</f>
        <v>Bočnice M 550mm, Orion šedé</v>
      </c>
      <c r="Q5" s="397" t="str">
        <f>Cen!B43</f>
        <v>770M5502S</v>
      </c>
      <c r="R5" s="375" t="str">
        <f>Cen!C83</f>
        <v>OG-M</v>
      </c>
      <c r="S5" s="424">
        <f>SUM(F26, L26, F34, L34)</f>
        <v>0</v>
      </c>
      <c r="T5" s="425">
        <f>Cen!F43</f>
        <v>20.980989999999998</v>
      </c>
      <c r="U5" s="39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79"/>
      <c r="H6" s="119"/>
      <c r="I6" s="620" t="str">
        <f>List!$B$80&amp;":"</f>
        <v>provedení:</v>
      </c>
      <c r="J6" s="122"/>
      <c r="K6" s="121" t="s">
        <v>951</v>
      </c>
      <c r="L6" s="122"/>
      <c r="M6" s="119"/>
      <c r="N6" s="2" t="str">
        <f>List!$B$12&amp;":"</f>
        <v>Pokračovat na:</v>
      </c>
      <c r="O6" s="119"/>
      <c r="P6" s="360" t="str">
        <f>Cen!A47</f>
        <v>Bočnice M 600mm, Orion šedé</v>
      </c>
      <c r="Q6" s="360" t="str">
        <f>Cen!B47</f>
        <v>770M6002S</v>
      </c>
      <c r="R6" s="375" t="str">
        <f>Cen!C87</f>
        <v>OG-M</v>
      </c>
      <c r="S6" s="376"/>
      <c r="T6" s="362">
        <f>Cen!F47</f>
        <v>23.762070000000005</v>
      </c>
      <c r="U6" s="3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79"/>
      <c r="H7" s="119"/>
      <c r="I7" s="121"/>
      <c r="J7" s="122"/>
      <c r="K7" s="121"/>
      <c r="L7" s="122"/>
      <c r="M7" s="119"/>
      <c r="N7" s="151" t="str">
        <f>" "&amp;List!$B$5</f>
        <v xml:space="preserve"> Výběr doplňků</v>
      </c>
      <c r="O7" s="119"/>
      <c r="P7" s="397" t="str">
        <f>Cen!A91</f>
        <v>Bočnice C pure, 450mm, Orion šedé</v>
      </c>
      <c r="Q7" s="397" t="str">
        <f>Cen!B91</f>
        <v>770C4502S</v>
      </c>
      <c r="R7" s="397" t="str">
        <f>Cen!C91</f>
        <v>OG-M</v>
      </c>
      <c r="S7" s="424">
        <f>SUM(D26, J26, D34, J34)*4</f>
        <v>0</v>
      </c>
      <c r="T7" s="425">
        <f>Cen!F91</f>
        <v>31.28134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79"/>
      <c r="H8" s="119"/>
      <c r="I8" s="122" t="str">
        <f>List!$B$94&amp;":"</f>
        <v>cena kování:</v>
      </c>
      <c r="J8" s="122"/>
      <c r="K8" s="122"/>
      <c r="L8" s="118">
        <f>$U$67</f>
        <v>0</v>
      </c>
      <c r="M8" s="119"/>
      <c r="N8" s="151" t="str">
        <f>" "&amp;List!$B$6</f>
        <v xml:space="preserve"> Výběr SERVO-DRIVE</v>
      </c>
      <c r="O8" s="119"/>
      <c r="P8" s="127" t="str">
        <f>Cen!A95</f>
        <v>Bočnice C pure, 500mm, Orion šedé</v>
      </c>
      <c r="Q8" s="127" t="str">
        <f>Cen!B95</f>
        <v>770C5002S</v>
      </c>
      <c r="R8" s="127" t="str">
        <f>Cen!C95</f>
        <v>OG-M</v>
      </c>
      <c r="S8" s="424">
        <f>SUM(E26, K26, E34, K34)*4</f>
        <v>0</v>
      </c>
      <c r="T8" s="266">
        <f>Cen!F95</f>
        <v>31.656259999999996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7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Cen!A99</f>
        <v>Bočnice C pure, 550mm, Orion šedé</v>
      </c>
      <c r="Q9" s="127" t="str">
        <f>Cen!B99</f>
        <v>770C5502S</v>
      </c>
      <c r="R9" s="127" t="str">
        <f>Cen!C99</f>
        <v>OG-M</v>
      </c>
      <c r="S9" s="424">
        <f>SUM(F26, L26, F34, L34)*4</f>
        <v>0</v>
      </c>
      <c r="T9" s="266">
        <f>Cen!F99</f>
        <v>31.853429999999999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79"/>
      <c r="H10" s="119"/>
      <c r="I10" s="259"/>
      <c r="J10" s="259"/>
      <c r="K10" s="292"/>
      <c r="L10" s="292"/>
      <c r="M10" s="119"/>
      <c r="N10" s="152" t="str">
        <f>" "&amp;List!$B$18</f>
        <v xml:space="preserve"> Souhrn</v>
      </c>
      <c r="O10" s="119"/>
      <c r="P10" s="360" t="str">
        <f>Cen!A103</f>
        <v>Bočnice C pure, 600mm, Orion šedé</v>
      </c>
      <c r="Q10" s="360" t="str">
        <f>Cen!B103</f>
        <v>770C6002S</v>
      </c>
      <c r="R10" s="360" t="str">
        <f>Cen!C103</f>
        <v>OG-M</v>
      </c>
      <c r="S10" s="361"/>
      <c r="T10" s="362">
        <f>Cen!F103</f>
        <v>35.537379999999999</v>
      </c>
      <c r="U10" s="3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79"/>
      <c r="H11" s="119"/>
      <c r="I11" s="119" t="str">
        <f>"  "&amp;List!$B$146&amp;":"</f>
        <v xml:space="preserve">  Přířezy prvků:</v>
      </c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2"/>
      <c r="Q11" s="122"/>
      <c r="R11" s="122"/>
      <c r="S11" s="123"/>
      <c r="T11" s="117"/>
      <c r="U11" s="118"/>
    </row>
    <row r="12" spans="1:21" x14ac:dyDescent="0.25">
      <c r="A12" s="119"/>
      <c r="B12" s="119"/>
      <c r="C12" s="119"/>
      <c r="D12" s="119"/>
      <c r="E12" s="119"/>
      <c r="F12" s="119"/>
      <c r="G12" s="179"/>
      <c r="H12" s="119"/>
      <c r="I12" s="119" t="str">
        <f>List!$C$150&amp;":   LW - 126"</f>
        <v>Přední díl:   LW - 126</v>
      </c>
      <c r="J12" s="291"/>
      <c r="K12" s="291"/>
      <c r="L12" s="291"/>
      <c r="M12" s="119"/>
      <c r="N12" s="119"/>
      <c r="O12" s="119"/>
      <c r="P12" s="379" t="str">
        <f>Cen!A177</f>
        <v>Korpusové lišty BLUMOTION, 270mm, 40kg</v>
      </c>
      <c r="Q12" s="379" t="str">
        <f>Cen!B177</f>
        <v>750.2701B</v>
      </c>
      <c r="R12" s="379" t="str">
        <f>Cen!C177</f>
        <v>ZN</v>
      </c>
      <c r="S12" s="380"/>
      <c r="T12" s="381">
        <f>Cen!F177</f>
        <v>21.845690000000001</v>
      </c>
      <c r="U12" s="381">
        <f t="shared" ref="U12:U23" si="1">S12*T12</f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79"/>
      <c r="H13" s="119"/>
      <c r="I13" s="119" t="str">
        <f>List!$C$151&amp;":   LW - 90"</f>
        <v>Příčný reling:   LW - 90</v>
      </c>
      <c r="J13" s="293"/>
      <c r="K13" s="293"/>
      <c r="L13" s="293"/>
      <c r="M13" s="119"/>
      <c r="N13" s="119"/>
      <c r="O13" s="119"/>
      <c r="P13" s="379" t="str">
        <f>Cen!A178</f>
        <v>Korpusové lišty BLUMOTION, 300mm, 40kg</v>
      </c>
      <c r="Q13" s="379" t="str">
        <f>Cen!B178</f>
        <v>750.3001B</v>
      </c>
      <c r="R13" s="379" t="str">
        <f>Cen!C178</f>
        <v>ZN</v>
      </c>
      <c r="S13" s="380"/>
      <c r="T13" s="381">
        <f>Cen!F178</f>
        <v>21.925909999999998</v>
      </c>
      <c r="U13" s="381">
        <f t="shared" si="1"/>
        <v>0</v>
      </c>
    </row>
    <row r="14" spans="1:21" x14ac:dyDescent="0.25">
      <c r="A14" s="119"/>
      <c r="B14" s="119"/>
      <c r="C14" s="119"/>
      <c r="D14" s="119"/>
      <c r="E14" s="119"/>
      <c r="F14" s="119"/>
      <c r="G14" s="179"/>
      <c r="H14" s="119"/>
      <c r="I14" s="119"/>
      <c r="J14" s="290"/>
      <c r="K14" s="290"/>
      <c r="L14" s="290"/>
      <c r="M14" s="119"/>
      <c r="N14" s="119"/>
      <c r="O14" s="119"/>
      <c r="P14" s="379" t="str">
        <f>Cen!A179</f>
        <v>Korpusové lišty BLUMOTION, 350mm, 40kg</v>
      </c>
      <c r="Q14" s="379" t="str">
        <f>Cen!B179</f>
        <v>750.3501B</v>
      </c>
      <c r="R14" s="379" t="str">
        <f>Cen!C179</f>
        <v>ZN</v>
      </c>
      <c r="S14" s="380"/>
      <c r="T14" s="381">
        <f>Cen!F179</f>
        <v>21.845690000000001</v>
      </c>
      <c r="U14" s="38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79"/>
      <c r="H15" s="119"/>
      <c r="I15" s="119"/>
      <c r="J15" s="288"/>
      <c r="K15" s="288"/>
      <c r="L15" s="288"/>
      <c r="M15" s="119"/>
      <c r="N15" s="119"/>
      <c r="O15" s="119"/>
      <c r="P15" s="379" t="str">
        <f>Cen!A180</f>
        <v>Korpusové lišty BLUMOTION, 400mm, 40kg</v>
      </c>
      <c r="Q15" s="379" t="str">
        <f>Cen!B180</f>
        <v>750.4001B</v>
      </c>
      <c r="R15" s="379" t="str">
        <f>Cen!C180</f>
        <v>ZN</v>
      </c>
      <c r="S15" s="380"/>
      <c r="T15" s="381">
        <f>Cen!F180</f>
        <v>22.204979999999999</v>
      </c>
      <c r="U15" s="38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79"/>
      <c r="H16" s="119"/>
      <c r="I16" s="179"/>
      <c r="J16" s="179"/>
      <c r="K16" s="179"/>
      <c r="L16" s="179"/>
      <c r="M16" s="119"/>
      <c r="N16" s="119"/>
      <c r="O16" s="119"/>
      <c r="P16" s="426" t="str">
        <f>Cen!A181</f>
        <v>Korpusové lišty BLUMOTION, 450mm, 40kg</v>
      </c>
      <c r="Q16" s="426" t="str">
        <f>Cen!B181</f>
        <v>750.4501B</v>
      </c>
      <c r="R16" s="426" t="str">
        <f>Cen!C181</f>
        <v>ZN</v>
      </c>
      <c r="S16" s="385">
        <f>IF($D$28&gt;0, $D$28*$D$26, 4*$D$26)+IF($J$28&gt;0, $J$28*$J$26, 2*$J$26)</f>
        <v>0</v>
      </c>
      <c r="T16" s="427">
        <f>Cen!F181</f>
        <v>23.667639999999995</v>
      </c>
      <c r="U16" s="427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79"/>
      <c r="H17" s="119"/>
      <c r="I17" s="294"/>
      <c r="J17" s="294"/>
      <c r="K17" s="294"/>
      <c r="L17" s="294"/>
      <c r="M17" s="119"/>
      <c r="N17" s="119"/>
      <c r="O17" s="119"/>
      <c r="P17" s="426" t="str">
        <f>Cen!A182</f>
        <v>Korpusové lišty BLUMOTION, 450mm, 70kg</v>
      </c>
      <c r="Q17" s="426" t="str">
        <f>Cen!B182</f>
        <v>753.4501B</v>
      </c>
      <c r="R17" s="426" t="str">
        <f>Cen!C182</f>
        <v>ZN</v>
      </c>
      <c r="S17" s="385">
        <f>IF($D$28&gt;0, $D$29*$D$26, 1*$D$26)+IF($J$28&gt;0, $J$29*$J$26, 3*$J$26)</f>
        <v>0</v>
      </c>
      <c r="T17" s="427">
        <f>Cen!F182</f>
        <v>27.780560000000001</v>
      </c>
      <c r="U17" s="427">
        <f t="shared" si="1"/>
        <v>0</v>
      </c>
    </row>
    <row r="18" spans="1:21" ht="12" customHeight="1" x14ac:dyDescent="0.25">
      <c r="A18" s="119"/>
      <c r="C18" s="119"/>
      <c r="D18" s="119"/>
      <c r="E18" s="119"/>
      <c r="F18" s="119"/>
      <c r="G18" s="478"/>
      <c r="H18" s="119"/>
      <c r="I18" s="290"/>
      <c r="J18" s="290"/>
      <c r="K18" s="290"/>
      <c r="L18" s="290"/>
      <c r="M18" s="119"/>
      <c r="N18" s="119"/>
      <c r="O18" s="119"/>
      <c r="P18" s="209" t="str">
        <f>Cen!A183</f>
        <v>Korpusové lišty BLUMOTION, 500mm, 40kg</v>
      </c>
      <c r="Q18" s="209" t="str">
        <f>Cen!B183</f>
        <v>750.5001B</v>
      </c>
      <c r="R18" s="209" t="str">
        <f>Cen!C183</f>
        <v>ZN</v>
      </c>
      <c r="S18" s="385">
        <f>IF($E$28&gt;0, $E$28*$E$26, 4*$E$26)+IF($K$28&gt;0, $K$28*$K$26, 2*$K$26)</f>
        <v>0</v>
      </c>
      <c r="T18" s="261">
        <f>Cen!F183</f>
        <v>22.680199999999999</v>
      </c>
      <c r="U18" s="261">
        <f t="shared" si="1"/>
        <v>0</v>
      </c>
    </row>
    <row r="19" spans="1:21" ht="14.5" x14ac:dyDescent="0.35">
      <c r="A19" s="119"/>
      <c r="B19" s="701" t="str">
        <f>"   "&amp;List!B295</f>
        <v xml:space="preserve">   Zadejte počty skříní podle šířky korpusu a délky výsuvů</v>
      </c>
      <c r="C19" s="714"/>
      <c r="D19" s="715"/>
      <c r="E19" s="715"/>
      <c r="F19" s="715"/>
      <c r="G19" s="714"/>
      <c r="H19" s="714"/>
      <c r="I19" s="714"/>
      <c r="J19" s="715"/>
      <c r="K19" s="715"/>
      <c r="L19" s="715"/>
      <c r="M19" s="119"/>
      <c r="N19" s="119"/>
      <c r="O19" s="119"/>
      <c r="P19" s="209" t="str">
        <f>Cen!A184</f>
        <v>Korpusové lišty BLUMOTION, 500mm, 70kg</v>
      </c>
      <c r="Q19" s="209" t="str">
        <f>Cen!B184</f>
        <v>753.5001B</v>
      </c>
      <c r="R19" s="209" t="str">
        <f>Cen!C184</f>
        <v>ZN</v>
      </c>
      <c r="S19" s="385">
        <f>IF($E$28&gt;0, $E$29*$E$26, 1*$E$26)+IF($K$28&gt;0, $K$29*$K$26, 3*$K$26)</f>
        <v>0</v>
      </c>
      <c r="T19" s="261">
        <f>Cen!F184</f>
        <v>28.059809999999999</v>
      </c>
      <c r="U19" s="261">
        <f t="shared" si="1"/>
        <v>0</v>
      </c>
    </row>
    <row r="20" spans="1:21" ht="14.5" x14ac:dyDescent="0.35">
      <c r="A20" s="119"/>
      <c r="B20" s="701" t="str">
        <f>"   "&amp;List!B299</f>
        <v xml:space="preserve">   Zadejte počet korpusových lišt, pokud chcete jiné, než přednastavené složení</v>
      </c>
      <c r="C20" s="714"/>
      <c r="D20" s="715"/>
      <c r="E20" s="715"/>
      <c r="F20" s="715"/>
      <c r="G20" s="714"/>
      <c r="H20" s="714"/>
      <c r="I20" s="714"/>
      <c r="J20" s="715"/>
      <c r="K20" s="715"/>
      <c r="L20" s="715"/>
      <c r="M20" s="119"/>
      <c r="N20" s="119"/>
      <c r="O20" s="119"/>
      <c r="P20" s="209" t="str">
        <f>Cen!A185</f>
        <v>Korpusové lišty BLUMOTION, 550mm, 40kg</v>
      </c>
      <c r="Q20" s="209" t="str">
        <f>Cen!B185</f>
        <v>750.5501B</v>
      </c>
      <c r="R20" s="209" t="str">
        <f>Cen!C185</f>
        <v>ZN</v>
      </c>
      <c r="S20" s="385">
        <f>IF($F$28&gt;0, $F$28*$F$26, 4*$F$26)+IF($L$28&gt;0, $L$28*$L$26, 2*$L$26)</f>
        <v>0</v>
      </c>
      <c r="T20" s="261">
        <f>Cen!F185</f>
        <v>24.254210000000004</v>
      </c>
      <c r="U20" s="261">
        <f t="shared" si="1"/>
        <v>0</v>
      </c>
    </row>
    <row r="21" spans="1:21" ht="14.5" x14ac:dyDescent="0.35">
      <c r="A21" s="119"/>
      <c r="B21" s="701" t="str">
        <f>"         "&amp;List!B297</f>
        <v xml:space="preserve">         Zadejte počty 40kg korpusových lišt, 70kg lišty se dopočítají</v>
      </c>
      <c r="C21" s="714"/>
      <c r="D21" s="715"/>
      <c r="E21" s="715"/>
      <c r="F21" s="715"/>
      <c r="G21" s="714"/>
      <c r="H21" s="714"/>
      <c r="I21" s="714"/>
      <c r="J21" s="715"/>
      <c r="K21" s="715"/>
      <c r="L21" s="715"/>
      <c r="M21" s="119"/>
      <c r="N21" s="119"/>
      <c r="O21" s="119"/>
      <c r="P21" s="209" t="str">
        <f>Cen!A186</f>
        <v>Korpusové lišty BLUMOTION, 550mm, 70kg</v>
      </c>
      <c r="Q21" s="209" t="str">
        <f>Cen!B186</f>
        <v>753.5501B</v>
      </c>
      <c r="R21" s="209" t="str">
        <f>Cen!C186</f>
        <v>ZN</v>
      </c>
      <c r="S21" s="385">
        <f>IF($F$28&gt;0, $F$29*$F$26, 1*$F$26)+IF($L$28&gt;0, $L$29*$L$26, 3*$L$26)</f>
        <v>0</v>
      </c>
      <c r="T21" s="261">
        <f>Cen!F186</f>
        <v>29.550529999999998</v>
      </c>
      <c r="U21" s="261">
        <f t="shared" si="1"/>
        <v>0</v>
      </c>
    </row>
    <row r="22" spans="1:21" ht="9" customHeight="1" x14ac:dyDescent="0.35">
      <c r="A22" s="119"/>
      <c r="B22" s="24"/>
      <c r="C22" s="24"/>
      <c r="D22"/>
      <c r="E22"/>
      <c r="F22"/>
      <c r="G22" s="27"/>
      <c r="H22" s="24"/>
      <c r="I22" s="24"/>
      <c r="J22"/>
      <c r="K22"/>
      <c r="L22"/>
      <c r="M22" s="119"/>
      <c r="N22" s="119"/>
      <c r="O22" s="119"/>
      <c r="P22" s="364" t="str">
        <f>Cen!A187</f>
        <v>Korpusové lišty BLUMOTION, 600mm, 40kg</v>
      </c>
      <c r="Q22" s="364" t="str">
        <f>Cen!B187</f>
        <v>750.6001B</v>
      </c>
      <c r="R22" s="364" t="str">
        <f>Cen!C187</f>
        <v>ZN</v>
      </c>
      <c r="S22" s="428"/>
      <c r="T22" s="366">
        <f>Cen!F187</f>
        <v>27.259979999999999</v>
      </c>
      <c r="U22" s="366">
        <f t="shared" si="1"/>
        <v>0</v>
      </c>
    </row>
    <row r="23" spans="1:21" ht="19.5" customHeight="1" x14ac:dyDescent="0.35">
      <c r="A23"/>
      <c r="B23" s="346" t="str">
        <f>"▼   "&amp;List!$B$112&amp;" KB 450 mm"</f>
        <v>▼   Šířka korpusu KB 450 mm</v>
      </c>
      <c r="C23" s="51"/>
      <c r="H23" s="346" t="str">
        <f>"▼   "&amp;List!$B$112&amp;" KB 600 mm"</f>
        <v>▼   Šířka korpusu KB 600 mm</v>
      </c>
      <c r="I23" s="290"/>
      <c r="J23" s="290"/>
      <c r="K23" s="290"/>
      <c r="L23" s="290"/>
      <c r="M23"/>
      <c r="N23"/>
      <c r="O23" s="119"/>
      <c r="P23" s="364" t="str">
        <f>Cen!A188</f>
        <v>Korpusové lišty BLUMOTION, 600mm, 70kg</v>
      </c>
      <c r="Q23" s="364" t="str">
        <f>Cen!B188</f>
        <v>753.6001B</v>
      </c>
      <c r="R23" s="364" t="str">
        <f>Cen!C188</f>
        <v>ZN</v>
      </c>
      <c r="S23" s="428"/>
      <c r="T23" s="366">
        <f>Cen!F188</f>
        <v>32.5563</v>
      </c>
      <c r="U23" s="366">
        <f t="shared" si="1"/>
        <v>0</v>
      </c>
    </row>
    <row r="24" spans="1:21" ht="22.5" customHeight="1" x14ac:dyDescent="0.35">
      <c r="A24"/>
      <c r="B24" s="717" t="s">
        <v>1253</v>
      </c>
      <c r="C24" s="7"/>
      <c r="H24" s="717" t="s">
        <v>1253</v>
      </c>
      <c r="I24" s="290"/>
      <c r="J24" s="290"/>
      <c r="K24" s="290"/>
      <c r="L24" s="290"/>
      <c r="M24"/>
      <c r="N24"/>
      <c r="O24" s="119"/>
      <c r="P24" s="209"/>
      <c r="Q24" s="209"/>
      <c r="R24" s="209"/>
      <c r="S24" s="260"/>
      <c r="T24" s="261"/>
      <c r="U24" s="261"/>
    </row>
    <row r="25" spans="1:21" ht="14" x14ac:dyDescent="0.3">
      <c r="A25" s="119"/>
      <c r="B25" s="6"/>
      <c r="C25" s="320" t="str">
        <f>List!$B$115&amp;":"</f>
        <v>Jmenovitá délka:</v>
      </c>
      <c r="D25" s="308">
        <v>450</v>
      </c>
      <c r="E25" s="429">
        <v>500</v>
      </c>
      <c r="F25" s="307">
        <v>550</v>
      </c>
      <c r="G25" s="348"/>
      <c r="H25" s="6"/>
      <c r="I25" s="373" t="str">
        <f>List!$B$115&amp;":"</f>
        <v>Jmenovitá délka:</v>
      </c>
      <c r="J25" s="314">
        <v>450</v>
      </c>
      <c r="K25" s="429">
        <v>500</v>
      </c>
      <c r="L25" s="307">
        <v>550</v>
      </c>
      <c r="M25" s="119"/>
      <c r="N25" s="119"/>
      <c r="O25" s="119"/>
      <c r="P25" s="209"/>
      <c r="Q25" s="209"/>
      <c r="R25" s="209"/>
      <c r="S25" s="260"/>
      <c r="T25" s="261"/>
      <c r="U25" s="261"/>
    </row>
    <row r="26" spans="1:21" ht="14" x14ac:dyDescent="0.3">
      <c r="A26" s="119"/>
      <c r="B26" s="374"/>
      <c r="C26" s="320" t="str">
        <f>List!$B$99&amp;":"</f>
        <v>Počet skříní:</v>
      </c>
      <c r="D26" s="317"/>
      <c r="E26" s="317"/>
      <c r="F26" s="371"/>
      <c r="G26" s="295"/>
      <c r="H26" s="374"/>
      <c r="I26" s="320" t="str">
        <f>List!$B$99&amp;":"</f>
        <v>Počet skříní:</v>
      </c>
      <c r="J26" s="317"/>
      <c r="K26" s="317"/>
      <c r="L26" s="318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9.5" customHeight="1" x14ac:dyDescent="0.35">
      <c r="A27" s="119"/>
      <c r="B27" s="372" t="str">
        <f>List!$B$126</f>
        <v>Korpusové lišty</v>
      </c>
      <c r="C27" s="320"/>
      <c r="D27" s="24"/>
      <c r="E27" s="24"/>
      <c r="F27" s="24"/>
      <c r="G27" s="27"/>
      <c r="H27" s="372" t="str">
        <f>List!$B$126</f>
        <v>Korpusové lišty</v>
      </c>
      <c r="I27" s="320"/>
      <c r="J27"/>
      <c r="K27"/>
      <c r="L27"/>
      <c r="M27" s="119"/>
      <c r="N27" s="119"/>
      <c r="O27" s="119"/>
      <c r="P27" s="209"/>
      <c r="Q27" s="209"/>
      <c r="R27" s="209"/>
      <c r="S27" s="260"/>
      <c r="T27" s="261"/>
      <c r="U27" s="261"/>
    </row>
    <row r="28" spans="1:21" ht="15" customHeight="1" thickBot="1" x14ac:dyDescent="0.4">
      <c r="A28" s="119"/>
      <c r="B28" s="297" t="s">
        <v>505</v>
      </c>
      <c r="C28" s="384" t="s">
        <v>887</v>
      </c>
      <c r="D28" s="387"/>
      <c r="E28" s="387"/>
      <c r="F28" s="388"/>
      <c r="G28" s="295"/>
      <c r="H28" s="297" t="s">
        <v>505</v>
      </c>
      <c r="I28" s="298" t="str">
        <f>"2 ks*"</f>
        <v>2 ks*</v>
      </c>
      <c r="J28" s="389"/>
      <c r="K28" s="389"/>
      <c r="L28" s="390"/>
      <c r="M28"/>
      <c r="N28" s="119"/>
      <c r="O28" s="119"/>
      <c r="P28" s="209"/>
      <c r="Q28" s="209"/>
      <c r="R28" s="209"/>
      <c r="S28" s="260"/>
      <c r="T28" s="261"/>
      <c r="U28" s="261"/>
    </row>
    <row r="29" spans="1:21" ht="15" customHeight="1" x14ac:dyDescent="0.35">
      <c r="A29" s="119"/>
      <c r="B29" s="301" t="s">
        <v>506</v>
      </c>
      <c r="C29" s="382" t="s">
        <v>888</v>
      </c>
      <c r="D29" s="386">
        <f>IF(D28&gt;0, IF(D28&gt;5,0, 5-D28),0)</f>
        <v>0</v>
      </c>
      <c r="E29" s="386">
        <f t="shared" ref="E29:F29" si="2">IF(E28&gt;0, IF(E28&gt;5,0, 5-E28),0)</f>
        <v>0</v>
      </c>
      <c r="F29" s="712">
        <f t="shared" si="2"/>
        <v>0</v>
      </c>
      <c r="G29" s="295"/>
      <c r="H29" s="301" t="s">
        <v>506</v>
      </c>
      <c r="I29" s="382" t="str">
        <f>"3 ks*"</f>
        <v>3 ks*</v>
      </c>
      <c r="J29" s="386">
        <f>IF(J28&gt;0, IF(J28&gt;5,0, 5-J28),0)</f>
        <v>0</v>
      </c>
      <c r="K29" s="386">
        <f t="shared" ref="K29:L29" si="3">IF(K28&gt;0, IF(K28&gt;5,0, 5-K28),0)</f>
        <v>0</v>
      </c>
      <c r="L29" s="712">
        <f t="shared" si="3"/>
        <v>0</v>
      </c>
      <c r="M29"/>
      <c r="N29" s="119"/>
      <c r="O29" s="119"/>
      <c r="P29" s="209"/>
      <c r="Q29" s="209"/>
      <c r="R29" s="209"/>
      <c r="S29" s="260"/>
      <c r="T29" s="261"/>
      <c r="U29" s="261"/>
    </row>
    <row r="30" spans="1:21" ht="13.5" customHeight="1" x14ac:dyDescent="0.35">
      <c r="A30" s="119"/>
      <c r="C30"/>
      <c r="D30" s="711" t="str">
        <f>IF(D28&gt;5,"Max. 5!"," ")</f>
        <v xml:space="preserve"> </v>
      </c>
      <c r="E30" s="711" t="str">
        <f t="shared" ref="E30:F30" si="4">IF(E28&gt;5,"Max. 5!"," ")</f>
        <v xml:space="preserve"> </v>
      </c>
      <c r="F30" s="711" t="str">
        <f t="shared" si="4"/>
        <v xml:space="preserve"> </v>
      </c>
      <c r="G30" s="27"/>
      <c r="H30"/>
      <c r="I30"/>
      <c r="J30" s="711" t="str">
        <f>IF(J28&gt;5,"Max. 5!"," ")</f>
        <v xml:space="preserve"> </v>
      </c>
      <c r="K30" s="711" t="str">
        <f t="shared" ref="K30:L30" si="5">IF(K28&gt;5,"Max. 5!"," ")</f>
        <v xml:space="preserve"> </v>
      </c>
      <c r="L30" s="711" t="str">
        <f t="shared" si="5"/>
        <v xml:space="preserve"> </v>
      </c>
      <c r="M30"/>
      <c r="N30" s="119"/>
      <c r="O30" s="119"/>
      <c r="P30" s="209"/>
      <c r="Q30" s="209"/>
      <c r="R30" s="209"/>
      <c r="S30" s="260"/>
      <c r="T30" s="261"/>
      <c r="U30" s="261"/>
    </row>
    <row r="31" spans="1:21" ht="9" customHeight="1" x14ac:dyDescent="0.35">
      <c r="A31" s="179"/>
      <c r="G31" s="27"/>
      <c r="H31" s="716"/>
      <c r="I31" s="716"/>
      <c r="J31" s="716"/>
      <c r="K31" s="716"/>
      <c r="L31" s="716"/>
      <c r="M31" s="119"/>
      <c r="N31" s="119"/>
      <c r="O31" s="119"/>
      <c r="P31" s="209"/>
      <c r="Q31" s="209"/>
      <c r="R31" s="209"/>
      <c r="S31" s="260"/>
      <c r="T31" s="261"/>
      <c r="U31" s="261"/>
    </row>
    <row r="32" spans="1:21" ht="15.75" customHeight="1" x14ac:dyDescent="0.25">
      <c r="A32" s="179"/>
      <c r="B32" s="312" t="s">
        <v>1254</v>
      </c>
      <c r="C32" s="7"/>
      <c r="H32" s="312" t="s">
        <v>1254</v>
      </c>
      <c r="I32" s="290"/>
      <c r="J32" s="290"/>
      <c r="K32" s="290"/>
      <c r="L32" s="290"/>
      <c r="M32" s="119"/>
      <c r="N32" s="119"/>
      <c r="O32" s="119"/>
      <c r="P32" s="209"/>
      <c r="Q32" s="209"/>
      <c r="R32" s="209"/>
      <c r="S32" s="260"/>
      <c r="T32" s="261"/>
      <c r="U32" s="261"/>
    </row>
    <row r="33" spans="1:21" ht="15" customHeight="1" x14ac:dyDescent="0.3">
      <c r="A33" s="179"/>
      <c r="B33" s="6"/>
      <c r="C33" s="320" t="str">
        <f>List!$B$115&amp;":"</f>
        <v>Jmenovitá délka:</v>
      </c>
      <c r="D33" s="308">
        <v>450</v>
      </c>
      <c r="E33" s="429">
        <v>500</v>
      </c>
      <c r="F33" s="307">
        <v>550</v>
      </c>
      <c r="G33" s="348"/>
      <c r="H33" s="6"/>
      <c r="I33" s="373" t="str">
        <f>List!$B$115&amp;":"</f>
        <v>Jmenovitá délka:</v>
      </c>
      <c r="J33" s="314">
        <v>450</v>
      </c>
      <c r="K33" s="429">
        <v>500</v>
      </c>
      <c r="L33" s="307">
        <v>550</v>
      </c>
      <c r="M33" s="119"/>
      <c r="N33" s="119"/>
      <c r="O33" s="119"/>
      <c r="P33" s="209"/>
      <c r="Q33" s="209"/>
      <c r="R33" s="209"/>
      <c r="S33" s="260"/>
      <c r="T33" s="261"/>
      <c r="U33" s="261"/>
    </row>
    <row r="34" spans="1:21" ht="15" customHeight="1" x14ac:dyDescent="0.3">
      <c r="A34" s="179"/>
      <c r="B34" s="374"/>
      <c r="C34" s="320" t="str">
        <f>List!$B$99&amp;":"</f>
        <v>Počet skříní:</v>
      </c>
      <c r="D34" s="317"/>
      <c r="E34" s="317"/>
      <c r="F34" s="371"/>
      <c r="G34" s="295"/>
      <c r="H34" s="374"/>
      <c r="I34" s="320" t="str">
        <f>List!$B$99&amp;":"</f>
        <v>Počet skříní:</v>
      </c>
      <c r="J34" s="317"/>
      <c r="K34" s="317"/>
      <c r="L34" s="318"/>
      <c r="M34" s="144"/>
      <c r="N34" s="144"/>
      <c r="O34" s="119"/>
      <c r="P34" s="209"/>
      <c r="Q34" s="209"/>
      <c r="R34" s="209"/>
      <c r="S34" s="260"/>
      <c r="T34" s="261"/>
      <c r="U34" s="261"/>
    </row>
    <row r="35" spans="1:21" ht="19.5" customHeight="1" x14ac:dyDescent="0.35">
      <c r="A35" s="179"/>
      <c r="B35" s="372" t="str">
        <f>List!$B$126&amp;"**"</f>
        <v>Korpusové lišty**</v>
      </c>
      <c r="C35" s="320"/>
      <c r="D35" s="24"/>
      <c r="E35" s="24"/>
      <c r="F35" s="24"/>
      <c r="G35" s="27"/>
      <c r="H35" s="372" t="str">
        <f>List!$B$126&amp;"**"</f>
        <v>Korpusové lišty**</v>
      </c>
      <c r="I35" s="320"/>
      <c r="J35"/>
      <c r="K35"/>
      <c r="L35"/>
      <c r="M35" s="144"/>
      <c r="N35" s="144"/>
      <c r="P35" s="122"/>
      <c r="Q35" s="122"/>
      <c r="R35" s="122"/>
      <c r="S35" s="123"/>
      <c r="T35" s="118"/>
      <c r="U35" s="261"/>
    </row>
    <row r="36" spans="1:21" ht="15" customHeight="1" thickBot="1" x14ac:dyDescent="0.35">
      <c r="A36" s="179"/>
      <c r="B36" s="297" t="s">
        <v>505</v>
      </c>
      <c r="C36" s="384" t="s">
        <v>887</v>
      </c>
      <c r="D36" s="387"/>
      <c r="E36" s="387"/>
      <c r="F36" s="388"/>
      <c r="G36" s="295"/>
      <c r="H36" s="297" t="s">
        <v>505</v>
      </c>
      <c r="I36" s="298" t="str">
        <f>"2 ks*"</f>
        <v>2 ks*</v>
      </c>
      <c r="J36" s="389"/>
      <c r="K36" s="389"/>
      <c r="L36" s="390"/>
      <c r="M36" s="144"/>
      <c r="N36" s="144"/>
      <c r="P36" s="122"/>
      <c r="Q36" s="122"/>
      <c r="R36" s="122"/>
      <c r="S36" s="123"/>
      <c r="T36" s="118"/>
      <c r="U36" s="693"/>
    </row>
    <row r="37" spans="1:21" ht="15" customHeight="1" x14ac:dyDescent="0.3">
      <c r="A37" s="179"/>
      <c r="B37" s="301" t="s">
        <v>506</v>
      </c>
      <c r="C37" s="382" t="s">
        <v>888</v>
      </c>
      <c r="D37" s="386">
        <f>IF(D36&gt;0,IF(D36&gt;5,0,5-D36),0)</f>
        <v>0</v>
      </c>
      <c r="E37" s="386">
        <f t="shared" ref="E37:F37" si="6">IF(E36&gt;0,IF(E36&gt;5,0,5-E36),0)</f>
        <v>0</v>
      </c>
      <c r="F37" s="712">
        <f t="shared" si="6"/>
        <v>0</v>
      </c>
      <c r="G37" s="295"/>
      <c r="H37" s="301" t="s">
        <v>506</v>
      </c>
      <c r="I37" s="382" t="str">
        <f>"3 ks*"</f>
        <v>3 ks*</v>
      </c>
      <c r="J37" s="386">
        <f>IF(J36&gt;0,IF(J36&gt;5,0,5-J36),0)</f>
        <v>0</v>
      </c>
      <c r="K37" s="386">
        <f t="shared" ref="K37:L37" si="7">IF(K36&gt;0,IF(K36&gt;5,0,5-K36),0)</f>
        <v>0</v>
      </c>
      <c r="L37" s="712">
        <f t="shared" si="7"/>
        <v>0</v>
      </c>
      <c r="M37" s="144"/>
      <c r="N37" s="144"/>
      <c r="P37" s="122"/>
      <c r="Q37" s="122"/>
      <c r="R37" s="122"/>
      <c r="S37" s="123"/>
      <c r="T37" s="118"/>
      <c r="U37" s="693"/>
    </row>
    <row r="38" spans="1:21" ht="13.5" customHeight="1" x14ac:dyDescent="0.3">
      <c r="A38" s="179"/>
      <c r="C38" s="316"/>
      <c r="D38" s="711" t="str">
        <f>IF(D36&gt;5,"Max. 5!"," ")</f>
        <v xml:space="preserve"> </v>
      </c>
      <c r="E38" s="711" t="str">
        <f t="shared" ref="E38:F38" si="8">IF(E36&gt;5,"Max. 5!"," ")</f>
        <v xml:space="preserve"> </v>
      </c>
      <c r="F38" s="711" t="str">
        <f t="shared" si="8"/>
        <v xml:space="preserve"> </v>
      </c>
      <c r="G38" s="295"/>
      <c r="H38" s="383"/>
      <c r="I38" s="316"/>
      <c r="J38" s="711" t="str">
        <f>IF(J36&gt;5,"Max. 5!"," ")</f>
        <v xml:space="preserve"> </v>
      </c>
      <c r="K38" s="711" t="str">
        <f t="shared" ref="K38:L38" si="9">IF(K36&gt;5,"Max. 5!"," ")</f>
        <v xml:space="preserve"> </v>
      </c>
      <c r="L38" s="711" t="str">
        <f t="shared" si="9"/>
        <v xml:space="preserve"> </v>
      </c>
      <c r="M38" s="144"/>
      <c r="N38" s="144"/>
      <c r="P38" s="122"/>
      <c r="Q38" s="122"/>
      <c r="R38" s="122"/>
      <c r="S38" s="123"/>
      <c r="T38" s="118"/>
      <c r="U38" s="693"/>
    </row>
    <row r="39" spans="1:21" ht="13.5" customHeight="1" x14ac:dyDescent="0.3">
      <c r="A39" s="179"/>
      <c r="C39" s="347"/>
      <c r="D39" s="348"/>
      <c r="E39" s="348"/>
      <c r="F39" s="348"/>
      <c r="G39" s="348"/>
      <c r="H39" s="348"/>
      <c r="I39" s="348"/>
      <c r="J39" s="295"/>
      <c r="K39" s="348"/>
      <c r="L39" s="348"/>
      <c r="M39" s="144"/>
      <c r="N39" s="144"/>
      <c r="P39" s="122"/>
      <c r="Q39" s="122"/>
      <c r="R39" s="122"/>
      <c r="S39" s="123"/>
      <c r="T39" s="118"/>
      <c r="U39" s="693"/>
    </row>
    <row r="40" spans="1:21" ht="13.5" customHeight="1" x14ac:dyDescent="0.3">
      <c r="A40" s="179"/>
      <c r="B40" s="119" t="str">
        <f>"       * "&amp;List!$B$162</f>
        <v xml:space="preserve">       * Nastavené počty korpusových lišt</v>
      </c>
      <c r="C40" s="347"/>
      <c r="D40" s="348"/>
      <c r="E40" s="348"/>
      <c r="F40" s="348"/>
      <c r="G40" s="348"/>
      <c r="H40" s="348"/>
      <c r="I40" s="348"/>
      <c r="J40" s="295"/>
      <c r="K40" s="348"/>
      <c r="L40" s="348"/>
      <c r="M40" s="144"/>
      <c r="N40" s="144"/>
      <c r="P40" s="122"/>
      <c r="Q40" s="122"/>
      <c r="R40" s="122"/>
      <c r="S40" s="123"/>
      <c r="T40" s="118"/>
      <c r="U40" s="693"/>
    </row>
    <row r="41" spans="1:21" ht="13.5" customHeight="1" x14ac:dyDescent="0.3">
      <c r="A41" s="179"/>
      <c r="B41" s="119" t="str">
        <f>"     ** "&amp;List!$B$313</f>
        <v xml:space="preserve">     ** Jednotky TIP-ON BLUMOTION budou přidány automaticky</v>
      </c>
      <c r="C41" s="347"/>
      <c r="D41" s="348"/>
      <c r="E41" s="348"/>
      <c r="F41" s="348"/>
      <c r="G41" s="348"/>
      <c r="H41" s="348"/>
      <c r="I41" s="348"/>
      <c r="J41" s="295"/>
      <c r="K41" s="348"/>
      <c r="L41" s="348"/>
      <c r="M41" s="144"/>
      <c r="N41" s="144"/>
      <c r="P41" s="364" t="str">
        <f>Cen!A209</f>
        <v>Korpusové lišty TIP-ON BLUMOTION, 270mm, 40kg</v>
      </c>
      <c r="Q41" s="364" t="str">
        <f>Cen!B209</f>
        <v>750.2700M</v>
      </c>
      <c r="R41" s="364" t="str">
        <f>Cen!C209</f>
        <v>ZN</v>
      </c>
      <c r="S41" s="365"/>
      <c r="T41" s="366">
        <f>Cen!F209</f>
        <v>21.925909999999998</v>
      </c>
      <c r="U41" s="366">
        <f>S41*T41</f>
        <v>0</v>
      </c>
    </row>
    <row r="42" spans="1:21" ht="13.5" customHeight="1" x14ac:dyDescent="0.3">
      <c r="A42" s="179"/>
      <c r="B42" s="2" t="str">
        <f>"         "&amp;List!B303</f>
        <v xml:space="preserve">         Synchronizaci vyberte v sekci "Výběr doplňků"</v>
      </c>
      <c r="C42" s="347"/>
      <c r="D42" s="348"/>
      <c r="E42" s="348"/>
      <c r="F42" s="348"/>
      <c r="G42" s="348"/>
      <c r="H42" s="348"/>
      <c r="I42" s="348"/>
      <c r="J42" s="295"/>
      <c r="K42" s="348"/>
      <c r="L42" s="348"/>
      <c r="M42" s="144"/>
      <c r="N42" s="144"/>
      <c r="P42" s="364" t="str">
        <f>Cen!A210</f>
        <v>Korpusové lišty TIP-ON BLUMOTION, 300mm, 40kg</v>
      </c>
      <c r="Q42" s="364" t="str">
        <f>Cen!B210</f>
        <v>750.3001M</v>
      </c>
      <c r="R42" s="364" t="str">
        <f>Cen!C210</f>
        <v>ZN</v>
      </c>
      <c r="S42" s="365"/>
      <c r="T42" s="366">
        <f>Cen!F210</f>
        <v>21.925909999999998</v>
      </c>
      <c r="U42" s="366">
        <f t="shared" ref="U42:U58" si="10">S42*T42</f>
        <v>0</v>
      </c>
    </row>
    <row r="43" spans="1:21" ht="14" x14ac:dyDescent="0.3">
      <c r="A43" s="179"/>
      <c r="B43" s="119" t="str">
        <f>"    *** "&amp;List!$B$170&amp;": "&amp;List!$C$68&amp;" 3x, "&amp;List!$C$69&amp;" 2x"</f>
        <v xml:space="preserve">    *** Složení čelních zásuvných prvků: vysoký 3x, nízký 2x</v>
      </c>
      <c r="C43" s="348"/>
      <c r="D43" s="295"/>
      <c r="E43" s="295"/>
      <c r="F43" s="295"/>
      <c r="G43" s="295"/>
      <c r="H43" s="295"/>
      <c r="I43" s="295"/>
      <c r="J43" s="295"/>
      <c r="K43" s="295"/>
      <c r="L43" s="295"/>
      <c r="M43" s="119"/>
      <c r="N43" s="119"/>
      <c r="P43" s="364" t="str">
        <f>Cen!A211</f>
        <v>Korpusové lišty TIP-ON BLUMOTION, 350mm, 40kg</v>
      </c>
      <c r="Q43" s="364" t="str">
        <f>Cen!B211</f>
        <v>750.3501M</v>
      </c>
      <c r="R43" s="364" t="str">
        <f>Cen!C211</f>
        <v>ZN</v>
      </c>
      <c r="S43" s="365"/>
      <c r="T43" s="366">
        <f>Cen!F211</f>
        <v>21.925909999999998</v>
      </c>
      <c r="U43" s="366">
        <f t="shared" si="10"/>
        <v>0</v>
      </c>
    </row>
    <row r="44" spans="1:21" ht="14" x14ac:dyDescent="0.3">
      <c r="A44" s="179"/>
      <c r="B44" s="119" t="str">
        <f>"         "&amp;List!$B$171</f>
        <v xml:space="preserve">         Chcete-li jiné složení zásuvných prvků, upravte počty v objednávce</v>
      </c>
      <c r="C44" s="348"/>
      <c r="D44" s="295"/>
      <c r="E44" s="295"/>
      <c r="F44" s="295"/>
      <c r="G44" s="295"/>
      <c r="H44" s="295"/>
      <c r="I44" s="295"/>
      <c r="J44" s="295"/>
      <c r="K44" s="295"/>
      <c r="L44" s="295"/>
      <c r="M44" s="119"/>
      <c r="N44" s="119"/>
      <c r="P44" s="364" t="str">
        <f>Cen!A212</f>
        <v>Korpusové lišty TIP-ON BLUMOTION, 400mm, 40kg</v>
      </c>
      <c r="Q44" s="364" t="str">
        <f>Cen!B212</f>
        <v>750.4001M</v>
      </c>
      <c r="R44" s="364" t="str">
        <f>Cen!C212</f>
        <v>ZN</v>
      </c>
      <c r="S44" s="365"/>
      <c r="T44" s="366">
        <f>Cen!F212</f>
        <v>22.204979999999999</v>
      </c>
      <c r="U44" s="366">
        <f t="shared" si="10"/>
        <v>0</v>
      </c>
    </row>
    <row r="45" spans="1:21" ht="14" x14ac:dyDescent="0.3">
      <c r="A45" s="179"/>
      <c r="B45" s="119" t="str">
        <f>"         "&amp;List!$B$173</f>
        <v xml:space="preserve">         Máte-li zásuvné prvky vlastní, upravte počty v objednávce</v>
      </c>
      <c r="C45" s="348"/>
      <c r="D45" s="295"/>
      <c r="E45" s="295"/>
      <c r="F45" s="295"/>
      <c r="G45" s="295"/>
      <c r="H45" s="295"/>
      <c r="I45" s="295"/>
      <c r="J45" s="295"/>
      <c r="K45" s="295"/>
      <c r="L45" s="295"/>
      <c r="M45" s="119"/>
      <c r="N45" s="119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385">
        <f>IF($D$36&gt;0, $D$36*$D$34, 4*$D$34)+IF($J$36&gt;0, $J$36*$J$34, 2*$J$34)</f>
        <v>0</v>
      </c>
      <c r="T45" s="118">
        <f>Cen!F213</f>
        <v>23.667639999999995</v>
      </c>
      <c r="U45" s="118">
        <f>S45*T45</f>
        <v>0</v>
      </c>
    </row>
    <row r="46" spans="1:21" ht="14" x14ac:dyDescent="0.3">
      <c r="A46" s="179"/>
      <c r="C46" s="348"/>
      <c r="D46" s="295"/>
      <c r="E46" s="295"/>
      <c r="F46" s="295"/>
      <c r="G46" s="295"/>
      <c r="H46" s="295"/>
      <c r="I46" s="295"/>
      <c r="J46" s="295"/>
      <c r="K46" s="295"/>
      <c r="L46" s="295"/>
      <c r="M46" s="119"/>
      <c r="N46" s="119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385">
        <f>IF($D$36&gt;0, $D$37*$D$34, 1*$D$34)+IF($J$36&gt;0, $J$37*$J$34, 3*$J$34)</f>
        <v>0</v>
      </c>
      <c r="T46" s="118">
        <f>Cen!F214</f>
        <v>27.780560000000001</v>
      </c>
      <c r="U46" s="118">
        <f>S46*T46</f>
        <v>0</v>
      </c>
    </row>
    <row r="47" spans="1:21" ht="14" x14ac:dyDescent="0.3">
      <c r="A47" s="179"/>
      <c r="C47" s="348"/>
      <c r="D47" s="295"/>
      <c r="E47" s="295"/>
      <c r="F47" s="295"/>
      <c r="G47" s="295"/>
      <c r="H47" s="295"/>
      <c r="I47" s="295"/>
      <c r="J47" s="295"/>
      <c r="K47" s="295"/>
      <c r="L47" s="295"/>
      <c r="M47" s="119"/>
      <c r="N47" s="11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385">
        <f>IF($E$36&gt;0, $E$36*$E$34, 4*$E$34)+IF($K$36&gt;0, $K$36*$K$34, 2*$K$34)</f>
        <v>0</v>
      </c>
      <c r="T47" s="696">
        <f>Cen!F215</f>
        <v>23.961559999999999</v>
      </c>
      <c r="U47" s="696">
        <f>S47*T47</f>
        <v>0</v>
      </c>
    </row>
    <row r="48" spans="1:21" ht="14" x14ac:dyDescent="0.3">
      <c r="A48" s="179"/>
      <c r="C48" s="348"/>
      <c r="D48" s="295"/>
      <c r="E48" s="295"/>
      <c r="F48" s="295"/>
      <c r="G48" s="295"/>
      <c r="H48" s="295"/>
      <c r="I48" s="295"/>
      <c r="J48" s="295"/>
      <c r="K48" s="295"/>
      <c r="L48" s="295"/>
      <c r="M48" s="119"/>
      <c r="N48" s="11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385">
        <f>IF($E$36&gt;0, $E$37*$E$34, 1*$E$34)+IF($K$36&gt;0, $K$37*$K$34, 3*$K$34)</f>
        <v>0</v>
      </c>
      <c r="T48" s="696">
        <f>Cen!F216</f>
        <v>28.059809999999999</v>
      </c>
      <c r="U48" s="696">
        <f>S48*T48</f>
        <v>0</v>
      </c>
    </row>
    <row r="49" spans="1:21" ht="14" x14ac:dyDescent="0.3">
      <c r="A49" s="179"/>
      <c r="C49" s="348"/>
      <c r="D49" s="295"/>
      <c r="E49" s="295"/>
      <c r="F49" s="295"/>
      <c r="G49" s="295"/>
      <c r="H49" s="295"/>
      <c r="I49" s="295"/>
      <c r="J49" s="295"/>
      <c r="K49" s="295"/>
      <c r="L49" s="295"/>
      <c r="M49" s="119"/>
      <c r="N49" s="119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385">
        <f>IF($F$36&gt;0, $F$36*$F$34, 4*$F$34)+IF($L$36&gt;0, $L$36*$L$34, 2*$L$34)</f>
        <v>0</v>
      </c>
      <c r="T49" s="118">
        <f>Cen!F217</f>
        <v>24.254210000000004</v>
      </c>
      <c r="U49" s="118">
        <f t="shared" si="10"/>
        <v>0</v>
      </c>
    </row>
    <row r="50" spans="1:21" ht="14" x14ac:dyDescent="0.3">
      <c r="A50" s="179"/>
      <c r="C50" s="348"/>
      <c r="D50" s="295"/>
      <c r="E50" s="295"/>
      <c r="F50" s="295"/>
      <c r="G50" s="295"/>
      <c r="H50" s="295"/>
      <c r="I50" s="295"/>
      <c r="J50" s="295"/>
      <c r="K50" s="295"/>
      <c r="L50" s="295"/>
      <c r="M50" s="119"/>
      <c r="N50" s="119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385">
        <f>IF($F$36&gt;0, $F$37*$F$34, 1*$F$34)+IF($L$36&gt;0, $L$37*$L$34, 3*$L$34)</f>
        <v>0</v>
      </c>
      <c r="T50" s="118">
        <f>Cen!F218</f>
        <v>29.550529999999998</v>
      </c>
      <c r="U50" s="118">
        <f t="shared" si="10"/>
        <v>0</v>
      </c>
    </row>
    <row r="51" spans="1:21" ht="14" x14ac:dyDescent="0.3">
      <c r="A51" s="179"/>
      <c r="C51" s="348"/>
      <c r="D51" s="295"/>
      <c r="E51" s="295"/>
      <c r="F51" s="295"/>
      <c r="G51" s="295"/>
      <c r="H51" s="295"/>
      <c r="I51" s="295"/>
      <c r="J51" s="295"/>
      <c r="K51" s="295"/>
      <c r="L51" s="295"/>
      <c r="M51" s="119"/>
      <c r="N51" s="119"/>
      <c r="P51" s="364" t="str">
        <f>Cen!A219</f>
        <v>Korpusové lišty TIP-ON BLUMOTION, 600mm, 40kg</v>
      </c>
      <c r="Q51" s="364" t="str">
        <f>Cen!B219</f>
        <v>750.6001M</v>
      </c>
      <c r="R51" s="364" t="str">
        <f>Cen!C219</f>
        <v>ZN</v>
      </c>
      <c r="S51" s="365"/>
      <c r="T51" s="366">
        <f>Cen!F219</f>
        <v>27.259979999999999</v>
      </c>
      <c r="U51" s="366">
        <f t="shared" si="10"/>
        <v>0</v>
      </c>
    </row>
    <row r="52" spans="1:21" ht="14" x14ac:dyDescent="0.3">
      <c r="A52" s="179"/>
      <c r="C52" s="348"/>
      <c r="D52" s="295"/>
      <c r="E52" s="295"/>
      <c r="F52" s="295"/>
      <c r="G52" s="295"/>
      <c r="H52" s="295"/>
      <c r="I52" s="295"/>
      <c r="J52" s="295"/>
      <c r="K52" s="295"/>
      <c r="L52" s="295"/>
      <c r="M52" s="119"/>
      <c r="N52" s="119"/>
      <c r="P52" s="364" t="str">
        <f>Cen!A220</f>
        <v>Korpusové lišty TIP-ON BLUMOTION, 600mm, 70kg</v>
      </c>
      <c r="Q52" s="364" t="str">
        <f>Cen!B220</f>
        <v>753.6001M</v>
      </c>
      <c r="R52" s="364" t="str">
        <f>Cen!C220</f>
        <v>ZN</v>
      </c>
      <c r="S52" s="365"/>
      <c r="T52" s="366">
        <f>Cen!F220</f>
        <v>32.5563</v>
      </c>
      <c r="U52" s="366">
        <f t="shared" si="10"/>
        <v>0</v>
      </c>
    </row>
    <row r="53" spans="1:21" ht="14" x14ac:dyDescent="0.3">
      <c r="A53" s="179"/>
      <c r="C53" s="348"/>
      <c r="D53" s="295"/>
      <c r="E53" s="295"/>
      <c r="F53" s="295"/>
      <c r="G53" s="295"/>
      <c r="H53" s="295"/>
      <c r="I53" s="295"/>
      <c r="J53" s="295"/>
      <c r="K53" s="295"/>
      <c r="L53" s="295"/>
      <c r="M53" s="119"/>
      <c r="N53" s="119"/>
      <c r="P53" s="364" t="str">
        <f>Cen!A221</f>
        <v>Korpusové lišty TIP-ON BLUMOTION, 650mm, 70kg</v>
      </c>
      <c r="Q53" s="364" t="str">
        <f>Cen!B221</f>
        <v>753.6501M</v>
      </c>
      <c r="R53" s="364" t="str">
        <f>Cen!C221</f>
        <v>ZN</v>
      </c>
      <c r="S53" s="365"/>
      <c r="T53" s="366">
        <f>Cen!F221</f>
        <v>34.047020000000003</v>
      </c>
      <c r="U53" s="366">
        <f t="shared" si="10"/>
        <v>0</v>
      </c>
    </row>
    <row r="54" spans="1:21" ht="14" x14ac:dyDescent="0.3">
      <c r="A54" s="179"/>
      <c r="C54" s="348"/>
      <c r="D54" s="295"/>
      <c r="E54" s="295"/>
      <c r="F54" s="295"/>
      <c r="G54" s="295"/>
      <c r="H54" s="295"/>
      <c r="I54" s="295"/>
      <c r="J54" s="295"/>
      <c r="K54" s="295"/>
      <c r="L54" s="295"/>
      <c r="M54" s="119"/>
      <c r="N54" s="119"/>
      <c r="P54" s="122"/>
      <c r="Q54" s="122"/>
      <c r="R54" s="122"/>
      <c r="S54" s="123"/>
      <c r="T54" s="118"/>
      <c r="U54" s="118"/>
    </row>
    <row r="55" spans="1:21" ht="14" x14ac:dyDescent="0.3">
      <c r="A55" s="179"/>
      <c r="C55" s="348"/>
      <c r="D55" s="295"/>
      <c r="E55" s="295"/>
      <c r="F55" s="295"/>
      <c r="G55" s="295"/>
      <c r="H55" s="295"/>
      <c r="I55" s="295"/>
      <c r="J55" s="295"/>
      <c r="K55" s="295"/>
      <c r="L55" s="295"/>
      <c r="M55" s="119"/>
      <c r="N55" s="11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/>
      <c r="T55" s="118">
        <f>Cen!F223</f>
        <v>15.883479999999999</v>
      </c>
      <c r="U55" s="118">
        <f t="shared" si="10"/>
        <v>0</v>
      </c>
    </row>
    <row r="56" spans="1:21" ht="14" x14ac:dyDescent="0.3">
      <c r="A56" s="179"/>
      <c r="C56" s="348"/>
      <c r="D56" s="295"/>
      <c r="E56" s="295"/>
      <c r="F56" s="295"/>
      <c r="G56" s="295"/>
      <c r="H56" s="295"/>
      <c r="I56" s="295"/>
      <c r="J56" s="295"/>
      <c r="K56" s="295"/>
      <c r="L56" s="295"/>
      <c r="M56" s="119"/>
      <c r="N56" s="11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/>
      <c r="T56" s="118">
        <f>Cen!F224</f>
        <v>15.883479999999999</v>
      </c>
      <c r="U56" s="118">
        <f t="shared" si="10"/>
        <v>0</v>
      </c>
    </row>
    <row r="57" spans="1:21" ht="14" x14ac:dyDescent="0.3">
      <c r="A57" s="179"/>
      <c r="C57" s="348"/>
      <c r="D57" s="295"/>
      <c r="E57" s="295"/>
      <c r="F57" s="295"/>
      <c r="G57" s="295"/>
      <c r="H57" s="295"/>
      <c r="I57" s="295"/>
      <c r="J57" s="295"/>
      <c r="K57" s="295"/>
      <c r="L57" s="295"/>
      <c r="M57" s="119"/>
      <c r="N57" s="11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SUM(S45,S47,S49)</f>
        <v>0</v>
      </c>
      <c r="T57" s="118">
        <f>Cen!F225</f>
        <v>15.883479999999999</v>
      </c>
      <c r="U57" s="118">
        <f t="shared" si="10"/>
        <v>0</v>
      </c>
    </row>
    <row r="58" spans="1:21" ht="14" x14ac:dyDescent="0.3">
      <c r="A58" s="179"/>
      <c r="C58" s="348"/>
      <c r="D58" s="295"/>
      <c r="E58" s="295"/>
      <c r="F58" s="295"/>
      <c r="G58" s="295"/>
      <c r="H58" s="295"/>
      <c r="I58" s="295"/>
      <c r="J58" s="295"/>
      <c r="K58" s="295"/>
      <c r="L58" s="295"/>
      <c r="M58" s="119"/>
      <c r="N58" s="11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SUM(S46,S48,S50)</f>
        <v>0</v>
      </c>
      <c r="T58" s="118">
        <f>Cen!F226</f>
        <v>15.883479999999999</v>
      </c>
      <c r="U58" s="118">
        <f t="shared" si="10"/>
        <v>0</v>
      </c>
    </row>
    <row r="59" spans="1:21" ht="14" x14ac:dyDescent="0.3">
      <c r="A59" s="179"/>
      <c r="C59" s="348"/>
      <c r="D59" s="295"/>
      <c r="E59" s="295"/>
      <c r="F59" s="295"/>
      <c r="G59" s="295"/>
      <c r="H59" s="295"/>
      <c r="I59" s="295"/>
      <c r="J59" s="295"/>
      <c r="K59" s="295"/>
      <c r="L59" s="295"/>
      <c r="M59" s="119"/>
      <c r="N59" s="119"/>
      <c r="P59" s="144"/>
      <c r="Q59" s="144"/>
      <c r="R59" s="144"/>
      <c r="S59" s="150"/>
      <c r="T59" s="154"/>
      <c r="U59" s="154"/>
    </row>
    <row r="60" spans="1:21" ht="14" x14ac:dyDescent="0.3">
      <c r="A60" s="179"/>
      <c r="C60" s="316"/>
      <c r="D60" s="359"/>
      <c r="E60" s="359"/>
      <c r="F60" s="359"/>
      <c r="G60" s="359"/>
      <c r="H60" s="359"/>
      <c r="I60" s="295"/>
      <c r="J60" s="295"/>
      <c r="K60" s="295"/>
      <c r="L60" s="295"/>
      <c r="M60" s="119"/>
      <c r="P60" s="122" t="str">
        <f>Cen!A251</f>
        <v>Držáky zadní stěny M, Orion šedé</v>
      </c>
      <c r="Q60" s="122" t="str">
        <f>Cen!B251</f>
        <v>ZB7M000S</v>
      </c>
      <c r="R60" s="122" t="str">
        <f>Cen!C251</f>
        <v>OG-M</v>
      </c>
      <c r="S60" s="123">
        <f>SUM(S3:S6)</f>
        <v>0</v>
      </c>
      <c r="T60" s="118">
        <f>Cen!F251</f>
        <v>1.20011</v>
      </c>
      <c r="U60" s="118">
        <f t="shared" ref="U60:U65" si="11">S60*T60</f>
        <v>0</v>
      </c>
    </row>
    <row r="61" spans="1:21" ht="13" x14ac:dyDescent="0.3">
      <c r="A61" s="179"/>
      <c r="B61" s="119"/>
      <c r="C61" s="294"/>
      <c r="D61" s="179"/>
      <c r="E61" s="179"/>
      <c r="F61" s="179"/>
      <c r="G61" s="179"/>
      <c r="H61" s="179"/>
      <c r="I61" s="288"/>
      <c r="J61" s="288"/>
      <c r="K61" s="288"/>
      <c r="L61" s="288"/>
      <c r="M61" s="119"/>
      <c r="P61" s="122" t="str">
        <f>Cen!A259</f>
        <v>Držáky zadní stěny C, Orion šedé</v>
      </c>
      <c r="Q61" s="122" t="str">
        <f>Cen!B259</f>
        <v>ZB7C000S</v>
      </c>
      <c r="R61" s="122" t="str">
        <f>Cen!C259</f>
        <v>OG-M</v>
      </c>
      <c r="S61" s="123">
        <f>SUM(S7:S10)</f>
        <v>0</v>
      </c>
      <c r="T61" s="118">
        <f>Cen!$F259</f>
        <v>1.59894</v>
      </c>
      <c r="U61" s="118">
        <f t="shared" si="11"/>
        <v>0</v>
      </c>
    </row>
    <row r="62" spans="1:21" ht="13" x14ac:dyDescent="0.3">
      <c r="B62" s="119"/>
      <c r="C62" s="294"/>
      <c r="D62" s="179"/>
      <c r="E62" s="179"/>
      <c r="F62" s="179"/>
      <c r="G62" s="179"/>
      <c r="H62" s="179"/>
      <c r="I62" s="179"/>
      <c r="J62" s="179"/>
      <c r="K62" s="179"/>
      <c r="L62" s="179"/>
      <c r="M62" s="119"/>
      <c r="P62" s="122" t="str">
        <f>Cen!A297</f>
        <v>Sada kování vnitř.výs. C, s relingem, Orion šedá</v>
      </c>
      <c r="Q62" s="122" t="str">
        <f>Cen!B297</f>
        <v>ZI7.3CS0</v>
      </c>
      <c r="R62" s="122" t="str">
        <f>Cen!C297</f>
        <v>OG-M</v>
      </c>
      <c r="S62" s="123">
        <f>SUM(S7:S10)</f>
        <v>0</v>
      </c>
      <c r="T62" s="118">
        <f>Cen!F297</f>
        <v>18.150179999999999</v>
      </c>
      <c r="U62" s="118">
        <f t="shared" si="11"/>
        <v>0</v>
      </c>
    </row>
    <row r="63" spans="1:21" ht="14.5" x14ac:dyDescent="0.35">
      <c r="B63" s="24"/>
      <c r="C63" s="287"/>
      <c r="I63" s="289"/>
      <c r="J63" s="289"/>
      <c r="K63" s="289"/>
      <c r="L63" s="289"/>
      <c r="M63" s="119"/>
      <c r="P63" s="122" t="str">
        <f>Cen!A285</f>
        <v>Sada kování vnitřní zásuvky M, Orion šedá</v>
      </c>
      <c r="Q63" s="122" t="str">
        <f>Cen!B285</f>
        <v>ZI7.0MS0</v>
      </c>
      <c r="R63" s="122" t="str">
        <f>Cen!C285</f>
        <v>OG-M</v>
      </c>
      <c r="S63" s="123">
        <f>SUM(S3:S6)</f>
        <v>0</v>
      </c>
      <c r="T63" s="118">
        <f>Cen!F285</f>
        <v>13.714750000000002</v>
      </c>
      <c r="U63" s="118">
        <f t="shared" si="11"/>
        <v>0</v>
      </c>
    </row>
    <row r="64" spans="1:21" ht="14" x14ac:dyDescent="0.3">
      <c r="B64" s="359"/>
      <c r="C64" s="287"/>
      <c r="I64" s="290"/>
      <c r="J64" s="290"/>
      <c r="K64" s="290"/>
      <c r="L64" s="290"/>
      <c r="P64" s="122" t="str">
        <f>Cen!A310</f>
        <v>Přední díl vnitřní zásuvky, bez drážky, Orion šedý</v>
      </c>
      <c r="Q64" s="122" t="str">
        <f>Cen!B310</f>
        <v>ZV7.1043C01</v>
      </c>
      <c r="R64" s="122" t="str">
        <f>Cen!C310</f>
        <v>OG-M</v>
      </c>
      <c r="S64" s="336">
        <f>ROUNDUP(SUM($D$26, $E$26, $F$26, $D$34, $E$34, $F$34)/3*5, 0)+ROUNDUP(SUM($J$26, $K$26, $L$26, $J$34, $K$34, $L$34)/2*5,0)</f>
        <v>0</v>
      </c>
      <c r="T64" s="118">
        <f>Cen!F310</f>
        <v>15.491620000000001</v>
      </c>
      <c r="U64" s="118">
        <f t="shared" si="11"/>
        <v>0</v>
      </c>
    </row>
    <row r="65" spans="1:21" ht="14" x14ac:dyDescent="0.3">
      <c r="B65" s="350"/>
      <c r="C65" s="287"/>
      <c r="I65" s="288"/>
      <c r="J65" s="288"/>
      <c r="K65" s="288"/>
      <c r="L65" s="288"/>
      <c r="P65" s="122" t="str">
        <f>Cen!A338</f>
        <v>Příčný reling vnitřní zásuvky, Orion šedý</v>
      </c>
      <c r="Q65" s="122" t="str">
        <f>Cen!B338</f>
        <v>ZR7.1080U</v>
      </c>
      <c r="R65" s="122" t="str">
        <f>Cen!C338</f>
        <v>OG-M</v>
      </c>
      <c r="S65" s="336">
        <f>ROUNDUP(SUM($D$26, $E$26, $F$26, $D$34, $E$34, $F$34)/3*4, 0)+ROUNDUP(SUM($J$26, $K$26, $L$26, $J$34, $K$34, $L$34)/2*4,0)</f>
        <v>0</v>
      </c>
      <c r="T65" s="118">
        <f>Cen!F338</f>
        <v>6.60684</v>
      </c>
      <c r="U65" s="118">
        <f t="shared" si="11"/>
        <v>0</v>
      </c>
    </row>
    <row r="66" spans="1:21" ht="14" x14ac:dyDescent="0.3">
      <c r="A66" s="179"/>
      <c r="C66" s="348"/>
      <c r="D66" s="295"/>
      <c r="E66" s="295"/>
      <c r="F66" s="295"/>
      <c r="G66" s="295"/>
      <c r="H66" s="295"/>
      <c r="I66" s="295"/>
      <c r="J66" s="295"/>
      <c r="K66" s="295"/>
      <c r="L66" s="295"/>
      <c r="M66" s="119"/>
      <c r="N66" s="119"/>
      <c r="P66" s="122"/>
      <c r="Q66" s="122"/>
      <c r="R66" s="122"/>
      <c r="S66" s="123"/>
      <c r="T66" s="118"/>
      <c r="U66" s="118"/>
    </row>
    <row r="67" spans="1:21" ht="14" x14ac:dyDescent="0.3">
      <c r="A67" s="179"/>
      <c r="C67" s="348"/>
      <c r="D67" s="295"/>
      <c r="E67" s="295"/>
      <c r="F67" s="295"/>
      <c r="G67" s="295"/>
      <c r="H67" s="295"/>
      <c r="I67" s="295"/>
      <c r="J67" s="295"/>
      <c r="K67" s="295"/>
      <c r="L67" s="295"/>
      <c r="M67" s="119"/>
      <c r="N67" s="119"/>
      <c r="P67" s="122" t="str">
        <f>Cen!$A$621</f>
        <v>CLIP top 155° s nulovým přesahem, EXPANDO</v>
      </c>
      <c r="Q67" s="122" t="str">
        <f>Cen!$B$621</f>
        <v>71T753EN</v>
      </c>
      <c r="R67" s="122" t="str">
        <f>Cen!$C$621</f>
        <v>NI</v>
      </c>
      <c r="S67" s="123">
        <f>SUM($D$26:$F$26, $J$26:$L$26, $D$34:$F$34, $J$34:$L$34)*4</f>
        <v>0</v>
      </c>
      <c r="T67" s="118">
        <f>Cen!$F$621</f>
        <v>4.42394</v>
      </c>
      <c r="U67" s="118">
        <f t="shared" ref="U67:U70" si="12">S67*T67</f>
        <v>0</v>
      </c>
    </row>
    <row r="68" spans="1:21" ht="14" x14ac:dyDescent="0.3">
      <c r="A68" s="179"/>
      <c r="C68" s="348"/>
      <c r="D68" s="295"/>
      <c r="E68" s="295"/>
      <c r="F68" s="295"/>
      <c r="G68" s="295"/>
      <c r="H68" s="295"/>
      <c r="I68" s="295"/>
      <c r="J68" s="295"/>
      <c r="K68" s="295"/>
      <c r="L68" s="295"/>
      <c r="M68" s="119"/>
      <c r="N68" s="119"/>
      <c r="P68" s="122" t="str">
        <f>Cen!$A$630</f>
        <v>Podložka CLIP top přímá, EXPANDO</v>
      </c>
      <c r="Q68" s="122" t="str">
        <f>Cen!$B$630</f>
        <v>177H5400E</v>
      </c>
      <c r="R68" s="122" t="str">
        <f>Cen!$C$630</f>
        <v>NI</v>
      </c>
      <c r="S68" s="123">
        <f>$S67</f>
        <v>0</v>
      </c>
      <c r="T68" s="118">
        <f>Cen!$F$630</f>
        <v>0.81311999999999995</v>
      </c>
      <c r="U68" s="118">
        <f t="shared" si="12"/>
        <v>0</v>
      </c>
    </row>
    <row r="69" spans="1:21" ht="14" x14ac:dyDescent="0.3">
      <c r="A69" s="179"/>
      <c r="C69" s="348"/>
      <c r="D69" s="295"/>
      <c r="E69" s="295"/>
      <c r="F69" s="295"/>
      <c r="G69" s="295"/>
      <c r="H69" s="295"/>
      <c r="I69" s="295"/>
      <c r="J69" s="295"/>
      <c r="K69" s="295"/>
      <c r="L69" s="295"/>
      <c r="M69" s="119"/>
      <c r="N69" s="119"/>
      <c r="P69" s="122" t="str">
        <f>Cen!$A$633</f>
        <v>BLUMOTION pro nasazení na závěs 155° a 125°</v>
      </c>
      <c r="Q69" s="122" t="str">
        <f>Cen!$B$633</f>
        <v>973A7000</v>
      </c>
      <c r="R69" s="122" t="str">
        <f>Cen!$C$633</f>
        <v>NI</v>
      </c>
      <c r="S69" s="123">
        <f>$S67/4*2</f>
        <v>0</v>
      </c>
      <c r="T69" s="118">
        <f>Cen!$F$633</f>
        <v>1.5222899999999999</v>
      </c>
      <c r="U69" s="118">
        <f t="shared" si="12"/>
        <v>0</v>
      </c>
    </row>
    <row r="70" spans="1:21" ht="14" x14ac:dyDescent="0.3">
      <c r="A70" s="179"/>
      <c r="C70" s="348"/>
      <c r="D70" s="295"/>
      <c r="E70" s="295"/>
      <c r="F70" s="295"/>
      <c r="G70" s="295"/>
      <c r="H70" s="295"/>
      <c r="I70" s="295"/>
      <c r="J70" s="295"/>
      <c r="K70" s="295"/>
      <c r="L70" s="295"/>
      <c r="M70" s="119"/>
      <c r="N70" s="119"/>
      <c r="P70" s="122">
        <f>Cen!A238</f>
        <v>0</v>
      </c>
      <c r="Q70" s="122">
        <f>Cen!B238</f>
        <v>0</v>
      </c>
      <c r="R70" s="122">
        <f>Cen!C238</f>
        <v>0</v>
      </c>
      <c r="S70" s="123"/>
      <c r="T70" s="118">
        <f>Cen!F238</f>
        <v>0</v>
      </c>
      <c r="U70" s="118">
        <f t="shared" si="12"/>
        <v>0</v>
      </c>
    </row>
    <row r="71" spans="1:21" ht="14" x14ac:dyDescent="0.3">
      <c r="A71" s="179"/>
      <c r="C71" s="348"/>
      <c r="D71" s="295"/>
      <c r="E71" s="295"/>
      <c r="F71" s="295"/>
      <c r="G71" s="295"/>
      <c r="H71" s="295"/>
      <c r="I71" s="295"/>
      <c r="J71" s="295"/>
      <c r="K71" s="295"/>
      <c r="L71" s="295"/>
      <c r="M71" s="119"/>
      <c r="N71" s="119"/>
      <c r="P71" s="144"/>
      <c r="Q71" s="144"/>
      <c r="R71" s="144"/>
      <c r="S71" s="150"/>
      <c r="T71" s="154"/>
      <c r="U71" s="154"/>
    </row>
    <row r="72" spans="1:21" ht="13" x14ac:dyDescent="0.3">
      <c r="B72" s="119"/>
      <c r="C72" s="287"/>
      <c r="I72" s="291"/>
      <c r="J72" s="291"/>
      <c r="K72" s="291"/>
      <c r="L72" s="291"/>
      <c r="P72" s="119"/>
      <c r="Q72" s="119"/>
    </row>
    <row r="73" spans="1:21" ht="13" x14ac:dyDescent="0.3">
      <c r="B73" s="119"/>
      <c r="C73" s="287"/>
      <c r="I73" s="289"/>
      <c r="J73" s="289"/>
      <c r="K73" s="289"/>
      <c r="L73" s="289"/>
      <c r="P73" s="119"/>
      <c r="Q73" s="119"/>
    </row>
    <row r="74" spans="1:21" x14ac:dyDescent="0.25">
      <c r="B74" s="119"/>
      <c r="I74" s="290"/>
      <c r="J74" s="290"/>
      <c r="K74" s="290"/>
      <c r="L74" s="290"/>
      <c r="P74" s="119"/>
      <c r="Q74" s="119"/>
    </row>
    <row r="75" spans="1:21" ht="13" x14ac:dyDescent="0.3">
      <c r="I75" s="288"/>
      <c r="J75" s="288"/>
      <c r="K75" s="288"/>
      <c r="L75" s="288"/>
      <c r="P75" s="119"/>
      <c r="Q75" s="119"/>
    </row>
    <row r="99" spans="1:1" x14ac:dyDescent="0.25">
      <c r="A99" s="783"/>
    </row>
    <row r="100" spans="1:1" x14ac:dyDescent="0.25">
      <c r="A100" s="783"/>
    </row>
    <row r="101" spans="1:1" x14ac:dyDescent="0.25">
      <c r="A101" s="783"/>
    </row>
    <row r="102" spans="1:1" x14ac:dyDescent="0.25">
      <c r="A102" s="783"/>
    </row>
    <row r="103" spans="1:1" x14ac:dyDescent="0.25">
      <c r="A103" s="783"/>
    </row>
    <row r="104" spans="1:1" x14ac:dyDescent="0.25">
      <c r="A104" s="783"/>
    </row>
    <row r="105" spans="1:1" x14ac:dyDescent="0.25">
      <c r="A105" s="783"/>
    </row>
    <row r="106" spans="1:1" x14ac:dyDescent="0.25">
      <c r="A106" s="783"/>
    </row>
    <row r="107" spans="1:1" x14ac:dyDescent="0.25">
      <c r="A107" s="783"/>
    </row>
    <row r="108" spans="1:1" x14ac:dyDescent="0.25">
      <c r="A108" s="783"/>
    </row>
    <row r="109" spans="1:1" x14ac:dyDescent="0.25">
      <c r="A109" s="783"/>
    </row>
    <row r="110" spans="1:1" x14ac:dyDescent="0.25">
      <c r="A110" s="783"/>
    </row>
    <row r="111" spans="1:1" x14ac:dyDescent="0.25">
      <c r="A111" s="783"/>
    </row>
    <row r="112" spans="1:1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aB8Ou9uuAxhTC1RuZS4Ro2wPXqFms4sBnDlirb+t/UvXvfiINy2iDVM5rySpobHxHVsCc3C6GCQK27LS7FBd0g==" saltValue="FJjel5Q6orZtN3F3hnFtDg==" spinCount="100000" sheet="1" objects="1" scenarios="1"/>
  <mergeCells count="1">
    <mergeCell ref="A99:A140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indexed="22"/>
  </sheetPr>
  <dimension ref="A1:U140"/>
  <sheetViews>
    <sheetView showGridLines="0" showRowColHeaders="0" workbookViewId="0">
      <selection activeCell="W15" sqref="W15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7" style="2" customWidth="1"/>
    <col min="16" max="16" width="41" style="2" hidden="1" customWidth="1"/>
    <col min="17" max="17" width="11.54296875" style="2" hidden="1" customWidth="1"/>
    <col min="18" max="21" width="9.179687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List!$B$49&amp;" N"</f>
        <v>Zásuvka N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/>
      <c r="Q3" s="127"/>
      <c r="R3" s="127"/>
      <c r="S3" s="262"/>
      <c r="T3" s="266"/>
      <c r="U3" s="263"/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189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/>
      <c r="Q4" s="127"/>
      <c r="R4" s="127"/>
      <c r="S4" s="262"/>
      <c r="T4" s="266"/>
      <c r="U4" s="263"/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/>
      <c r="Q5" s="127"/>
      <c r="R5" s="127"/>
      <c r="S5" s="262"/>
      <c r="T5" s="266"/>
      <c r="U5" s="263"/>
    </row>
    <row r="6" spans="1:21" x14ac:dyDescent="0.25">
      <c r="A6" s="119"/>
      <c r="B6" s="119"/>
      <c r="C6" s="119"/>
      <c r="D6" s="119"/>
      <c r="E6" s="119"/>
      <c r="F6" s="119"/>
      <c r="G6" s="119"/>
      <c r="H6" s="122"/>
      <c r="I6" s="122"/>
      <c r="J6" s="121"/>
      <c r="K6" s="122"/>
      <c r="L6" s="144"/>
      <c r="M6" s="119"/>
      <c r="N6" s="2" t="str">
        <f>List!$B$12&amp;":"</f>
        <v>Pokračovat na:</v>
      </c>
      <c r="O6" s="119"/>
      <c r="P6" s="127"/>
      <c r="Q6" s="127"/>
      <c r="R6" s="127"/>
      <c r="S6" s="262"/>
      <c r="T6" s="266"/>
      <c r="U6" s="263"/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54"/>
      <c r="M7" s="119"/>
      <c r="N7" s="151" t="str">
        <f>" "&amp;List!$B$5</f>
        <v xml:space="preserve"> Výběr doplňků</v>
      </c>
      <c r="O7" s="119"/>
      <c r="P7" s="127" t="str">
        <f>Cen!A11</f>
        <v>Bočnice N 450mm, Orion šedé</v>
      </c>
      <c r="Q7" s="127" t="str">
        <f>Cen!B11</f>
        <v>770N4502S</v>
      </c>
      <c r="R7" s="127" t="str">
        <f>Cen!C11</f>
        <v>OG-M</v>
      </c>
      <c r="S7" s="262">
        <f>SUM(H21,H27,H33)</f>
        <v>0</v>
      </c>
      <c r="T7" s="266">
        <f>Cen!$F11</f>
        <v>18.978459999999998</v>
      </c>
      <c r="U7" s="263">
        <f>S7*T7</f>
        <v>0</v>
      </c>
    </row>
    <row r="8" spans="1:21" ht="13.5" thickBot="1" x14ac:dyDescent="0.35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$U$63</f>
        <v>0</v>
      </c>
      <c r="L8" s="154"/>
      <c r="M8" s="119"/>
      <c r="N8" s="151" t="str">
        <f>" "&amp;List!$B$6</f>
        <v xml:space="preserve"> Výběr SERVO-DRIVE</v>
      </c>
      <c r="O8" s="119"/>
      <c r="P8" s="340" t="str">
        <f>Cen!A15</f>
        <v>Bočnice N 500mm, Orion šedé</v>
      </c>
      <c r="Q8" s="340" t="str">
        <f>Cen!B15</f>
        <v>770N5002S</v>
      </c>
      <c r="R8" s="340" t="str">
        <f>Cen!C15</f>
        <v>OG-M</v>
      </c>
      <c r="S8" s="262">
        <f>SUM(I21,I27,I33)</f>
        <v>0</v>
      </c>
      <c r="T8" s="341">
        <f>Cen!$F15</f>
        <v>19.201000000000001</v>
      </c>
      <c r="U8" s="342">
        <f>S8*T8</f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/>
      <c r="Q9" s="127"/>
      <c r="R9" s="127"/>
      <c r="S9" s="262"/>
      <c r="T9" s="266"/>
      <c r="U9" s="263"/>
    </row>
    <row r="10" spans="1:21" ht="13.5" thickBot="1" x14ac:dyDescent="0.3">
      <c r="A10" s="119"/>
      <c r="B10" s="119"/>
      <c r="C10" s="119"/>
      <c r="D10" s="119"/>
      <c r="E10" s="119"/>
      <c r="F10" s="119"/>
      <c r="G10" s="119"/>
      <c r="H10" s="119"/>
      <c r="I10" s="8"/>
      <c r="J10" s="119"/>
      <c r="K10" s="119"/>
      <c r="L10" s="119"/>
      <c r="M10" s="119"/>
      <c r="N10" s="152" t="str">
        <f>" "&amp;List!$B$18</f>
        <v xml:space="preserve"> Souhrn</v>
      </c>
      <c r="O10" s="119"/>
      <c r="P10" s="127"/>
      <c r="Q10" s="127"/>
      <c r="R10" s="127"/>
      <c r="S10" s="262"/>
      <c r="T10" s="266"/>
      <c r="U10" s="263"/>
    </row>
    <row r="11" spans="1:21" x14ac:dyDescent="0.25">
      <c r="A11" s="119"/>
      <c r="B11" s="119"/>
      <c r="C11" s="119"/>
      <c r="D11" s="119"/>
      <c r="E11" s="119"/>
      <c r="F11" s="119"/>
      <c r="G11" s="119"/>
      <c r="H11" s="338"/>
      <c r="I11" s="338"/>
      <c r="J11" s="339"/>
      <c r="K11" s="339"/>
      <c r="L11" s="339"/>
      <c r="M11" s="119"/>
      <c r="N11" s="152" t="str">
        <f>" "&amp;List!$B$20</f>
        <v xml:space="preserve"> Objednávka</v>
      </c>
      <c r="O11" s="119"/>
      <c r="P11" s="122"/>
      <c r="Q11" s="122"/>
      <c r="R11" s="122"/>
      <c r="S11" s="123"/>
      <c r="T11" s="117"/>
      <c r="U11" s="118"/>
    </row>
    <row r="12" spans="1:21" ht="13" x14ac:dyDescent="0.25">
      <c r="A12" s="119"/>
      <c r="B12" s="119"/>
      <c r="C12" s="119"/>
      <c r="D12" s="119"/>
      <c r="E12" s="119"/>
      <c r="F12" s="119"/>
      <c r="G12" s="119"/>
      <c r="H12" s="231"/>
      <c r="I12" s="231"/>
      <c r="J12" s="231"/>
      <c r="K12" s="231"/>
      <c r="L12" s="231"/>
      <c r="M12" s="119"/>
      <c r="N12" s="119"/>
      <c r="O12" s="119"/>
      <c r="P12" s="209"/>
      <c r="Q12" s="209"/>
      <c r="R12" s="209"/>
      <c r="S12" s="260"/>
      <c r="T12" s="261"/>
      <c r="U12" s="261"/>
    </row>
    <row r="13" spans="1:21" x14ac:dyDescent="0.25">
      <c r="A13" s="119"/>
      <c r="B13" s="119"/>
      <c r="C13" s="119"/>
      <c r="D13" s="119"/>
      <c r="E13" s="119"/>
      <c r="F13" s="119"/>
      <c r="G13" s="119"/>
      <c r="H13" s="290"/>
      <c r="I13" s="290"/>
      <c r="J13" s="290"/>
      <c r="K13" s="290"/>
      <c r="L13" s="290"/>
      <c r="M13" s="119"/>
      <c r="N13" s="119"/>
      <c r="O13" s="119"/>
      <c r="P13" s="209"/>
      <c r="Q13" s="209"/>
      <c r="R13" s="209"/>
      <c r="S13" s="260"/>
      <c r="T13" s="261"/>
      <c r="U13" s="261"/>
    </row>
    <row r="14" spans="1:21" ht="13" x14ac:dyDescent="0.3">
      <c r="A14" s="119"/>
      <c r="B14" s="119"/>
      <c r="C14" s="119"/>
      <c r="D14" s="119"/>
      <c r="E14" s="119"/>
      <c r="F14" s="119"/>
      <c r="G14" s="119"/>
      <c r="H14" s="288"/>
      <c r="I14" s="288"/>
      <c r="J14" s="288"/>
      <c r="K14" s="288"/>
      <c r="L14" s="288"/>
      <c r="M14" s="119"/>
      <c r="N14" s="119"/>
      <c r="O14" s="119"/>
      <c r="P14" s="209"/>
      <c r="Q14" s="209"/>
      <c r="R14" s="209"/>
      <c r="S14" s="260"/>
      <c r="T14" s="261"/>
      <c r="U14" s="261"/>
    </row>
    <row r="15" spans="1:21" x14ac:dyDescent="0.25">
      <c r="A15" s="119"/>
      <c r="B15" s="119"/>
      <c r="C15" s="119"/>
      <c r="D15" s="119"/>
      <c r="E15" s="119"/>
      <c r="F15" s="119"/>
      <c r="G15" s="119"/>
      <c r="H15" s="337"/>
      <c r="I15" s="337"/>
      <c r="J15" s="337"/>
      <c r="K15" s="337"/>
      <c r="L15" s="337"/>
      <c r="M15" s="119"/>
      <c r="N15" s="119"/>
      <c r="O15" s="119"/>
      <c r="P15" s="209"/>
      <c r="Q15" s="209"/>
      <c r="R15" s="209"/>
      <c r="S15" s="260"/>
      <c r="T15" s="261"/>
      <c r="U15" s="261"/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Cen!A181</f>
        <v>Korpusové lišty BLUMOTION, 450mm, 40kg</v>
      </c>
      <c r="Q16" s="209" t="str">
        <f>Cen!B181</f>
        <v>750.4501B</v>
      </c>
      <c r="R16" s="209" t="str">
        <f>Cen!C181</f>
        <v>ZN</v>
      </c>
      <c r="S16" s="260">
        <f>H21</f>
        <v>0</v>
      </c>
      <c r="T16" s="261">
        <f>Cen!F181</f>
        <v>23.667639999999995</v>
      </c>
      <c r="U16" s="261">
        <f>S16*T16</f>
        <v>0</v>
      </c>
    </row>
    <row r="17" spans="1:21" x14ac:dyDescent="0.25">
      <c r="A17" s="119"/>
      <c r="B17" s="119"/>
      <c r="C17" s="119"/>
      <c r="D17" s="119"/>
      <c r="E17" s="119"/>
      <c r="F17" s="119"/>
      <c r="G17" s="119"/>
      <c r="H17" s="179"/>
      <c r="I17" s="179"/>
      <c r="J17" s="179"/>
      <c r="K17" s="179"/>
      <c r="L17" s="179"/>
      <c r="M17" s="119"/>
      <c r="N17" s="119"/>
      <c r="O17" s="119"/>
      <c r="P17" s="209"/>
      <c r="Q17" s="209"/>
      <c r="R17" s="209"/>
      <c r="S17" s="260"/>
      <c r="T17" s="261"/>
      <c r="U17" s="261"/>
    </row>
    <row r="18" spans="1:21" ht="12.75" customHeight="1" x14ac:dyDescent="0.3">
      <c r="A18" s="119"/>
      <c r="B18" s="119"/>
      <c r="C18" s="119"/>
      <c r="D18" s="119"/>
      <c r="E18" s="119"/>
      <c r="F18" s="119"/>
      <c r="G18" s="478"/>
      <c r="H18" s="179"/>
      <c r="I18" s="179"/>
      <c r="J18" s="179"/>
      <c r="K18" s="179"/>
      <c r="L18" s="179"/>
      <c r="M18" s="119"/>
      <c r="N18" s="119"/>
      <c r="O18" s="119"/>
      <c r="P18" s="343" t="str">
        <f>Cen!A183</f>
        <v>Korpusové lišty BLUMOTION, 500mm, 40kg</v>
      </c>
      <c r="Q18" s="343" t="str">
        <f>Cen!B183</f>
        <v>750.5001B</v>
      </c>
      <c r="R18" s="343" t="str">
        <f>Cen!C183</f>
        <v>ZN</v>
      </c>
      <c r="S18" s="344">
        <f>I21</f>
        <v>0</v>
      </c>
      <c r="T18" s="345">
        <f>Cen!F183</f>
        <v>22.680199999999999</v>
      </c>
      <c r="U18" s="261">
        <f>S18*T18</f>
        <v>0</v>
      </c>
    </row>
    <row r="19" spans="1:21" ht="15.5" x14ac:dyDescent="0.3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343"/>
      <c r="Q19" s="343"/>
      <c r="R19" s="343"/>
      <c r="S19" s="344"/>
      <c r="T19" s="345"/>
      <c r="U19" s="261"/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5"/>
      <c r="G20" s="305"/>
      <c r="H20" s="479" t="s">
        <v>122</v>
      </c>
      <c r="I20" s="306" t="s">
        <v>617</v>
      </c>
      <c r="J20" s="305"/>
      <c r="K20" s="305"/>
      <c r="L20" s="307"/>
      <c r="M20" s="119"/>
      <c r="N20" s="119"/>
      <c r="O20" s="119"/>
      <c r="P20" s="209"/>
      <c r="Q20" s="209"/>
      <c r="R20" s="209"/>
      <c r="S20" s="260"/>
      <c r="T20" s="261"/>
      <c r="U20" s="261"/>
    </row>
    <row r="21" spans="1:21" ht="14.5" thickBot="1" x14ac:dyDescent="0.35">
      <c r="A21" s="119"/>
      <c r="B21" s="297" t="s">
        <v>504</v>
      </c>
      <c r="C21" s="298" t="s">
        <v>505</v>
      </c>
      <c r="D21" s="352"/>
      <c r="E21" s="352"/>
      <c r="F21" s="352"/>
      <c r="G21" s="352"/>
      <c r="H21" s="299"/>
      <c r="I21" s="299"/>
      <c r="J21" s="352"/>
      <c r="K21" s="352"/>
      <c r="L21" s="352"/>
      <c r="M21" s="179"/>
      <c r="N21" s="119"/>
      <c r="O21" s="119"/>
      <c r="P21" s="209"/>
      <c r="Q21" s="209"/>
      <c r="R21" s="209"/>
      <c r="S21" s="260"/>
      <c r="T21" s="261"/>
      <c r="U21" s="261"/>
    </row>
    <row r="22" spans="1:21" ht="14" x14ac:dyDescent="0.3">
      <c r="A22" s="119"/>
      <c r="B22" s="412"/>
      <c r="C22" s="413"/>
      <c r="D22" s="302"/>
      <c r="E22" s="302"/>
      <c r="F22" s="302"/>
      <c r="G22" s="302"/>
      <c r="H22" s="513" t="str">
        <f>IF(H21&gt;0,List!$B$184&amp;"!"," ")</f>
        <v xml:space="preserve"> </v>
      </c>
      <c r="I22" s="302"/>
      <c r="J22" s="302"/>
      <c r="K22" s="302"/>
      <c r="L22" s="698"/>
      <c r="M22" s="179"/>
      <c r="N22" s="119"/>
      <c r="O22" s="119"/>
      <c r="P22" s="209"/>
      <c r="Q22" s="209"/>
      <c r="R22" s="209"/>
      <c r="S22" s="260"/>
      <c r="T22" s="261"/>
      <c r="U22" s="261"/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79"/>
      <c r="N23" s="119"/>
      <c r="O23" s="119"/>
      <c r="P23" s="209"/>
      <c r="Q23" s="209"/>
      <c r="R23" s="209"/>
      <c r="S23" s="260"/>
      <c r="T23" s="261"/>
      <c r="U23" s="261"/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79"/>
      <c r="N24" s="119"/>
      <c r="O24" s="119"/>
      <c r="P24" s="209"/>
      <c r="Q24" s="209"/>
      <c r="R24" s="209"/>
      <c r="S24" s="260"/>
      <c r="T24" s="261"/>
      <c r="U24" s="261"/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79"/>
      <c r="N25" s="119"/>
      <c r="O25" s="119"/>
      <c r="P25" s="209"/>
      <c r="Q25" s="209"/>
      <c r="R25" s="209"/>
      <c r="S25" s="260"/>
      <c r="T25" s="261"/>
      <c r="U25" s="261"/>
    </row>
    <row r="26" spans="1:21" ht="15.5" x14ac:dyDescent="0.35">
      <c r="A26" s="119"/>
      <c r="B26" s="313"/>
      <c r="C26" s="320" t="str">
        <f>List!$B$115&amp;":"</f>
        <v>Jmenovitá délka:</v>
      </c>
      <c r="D26" s="308"/>
      <c r="E26" s="305"/>
      <c r="F26" s="305"/>
      <c r="G26" s="305"/>
      <c r="H26" s="479" t="s">
        <v>122</v>
      </c>
      <c r="I26" s="306" t="s">
        <v>617</v>
      </c>
      <c r="J26" s="305"/>
      <c r="K26" s="305"/>
      <c r="L26" s="307"/>
      <c r="M26" s="17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503</v>
      </c>
      <c r="C27" s="298" t="s">
        <v>505</v>
      </c>
      <c r="D27" s="352"/>
      <c r="E27" s="352"/>
      <c r="F27" s="352"/>
      <c r="G27" s="352"/>
      <c r="H27" s="299"/>
      <c r="I27" s="299"/>
      <c r="J27" s="352"/>
      <c r="K27" s="352"/>
      <c r="L27" s="352"/>
      <c r="M27" s="179"/>
      <c r="N27" s="119"/>
      <c r="O27" s="119"/>
      <c r="P27" s="209"/>
      <c r="Q27" s="209"/>
      <c r="R27" s="209"/>
      <c r="S27" s="260"/>
      <c r="T27" s="261"/>
      <c r="U27" s="261"/>
    </row>
    <row r="28" spans="1:21" ht="14" x14ac:dyDescent="0.3">
      <c r="A28" s="119"/>
      <c r="B28" s="412"/>
      <c r="C28" s="413"/>
      <c r="D28" s="302"/>
      <c r="E28" s="302"/>
      <c r="F28" s="302"/>
      <c r="G28" s="302"/>
      <c r="H28" s="513" t="str">
        <f>IF(H27&gt;0,List!$B$184&amp;"!"," ")</f>
        <v xml:space="preserve"> </v>
      </c>
      <c r="I28" s="302"/>
      <c r="J28" s="302"/>
      <c r="K28" s="302"/>
      <c r="L28" s="698"/>
      <c r="M28" s="179"/>
      <c r="N28" s="119"/>
      <c r="O28" s="119"/>
      <c r="P28" s="209"/>
      <c r="Q28" s="209"/>
      <c r="R28" s="209"/>
      <c r="S28" s="260"/>
      <c r="T28" s="261"/>
      <c r="U28" s="261"/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79"/>
      <c r="N29" s="119"/>
      <c r="O29" s="119"/>
      <c r="P29" s="209" t="str">
        <f>Cen!A197</f>
        <v>Korpusové lišty TIP-ON, 450mm, 40kg</v>
      </c>
      <c r="Q29" s="209" t="str">
        <f>Cen!B197</f>
        <v>750.4501T</v>
      </c>
      <c r="R29" s="209" t="str">
        <f>Cen!C197</f>
        <v>ZN</v>
      </c>
      <c r="S29" s="260">
        <f>H27</f>
        <v>0</v>
      </c>
      <c r="T29" s="261">
        <f>Cen!F197</f>
        <v>32.552599999999998</v>
      </c>
      <c r="U29" s="261">
        <f>S29*T29</f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79"/>
      <c r="N30" s="119"/>
      <c r="O30" s="119"/>
      <c r="P30" s="209"/>
      <c r="Q30" s="209"/>
      <c r="R30" s="209"/>
      <c r="S30" s="260"/>
      <c r="T30" s="261"/>
      <c r="U30" s="261"/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343" t="str">
        <f>Cen!A199</f>
        <v>Korpusové lišty TIP-ON, 500mm, 40kg</v>
      </c>
      <c r="Q31" s="343" t="str">
        <f>Cen!B199</f>
        <v>750.5001T</v>
      </c>
      <c r="R31" s="343" t="str">
        <f>Cen!C199</f>
        <v>ZN</v>
      </c>
      <c r="S31" s="344">
        <f>I27</f>
        <v>0</v>
      </c>
      <c r="T31" s="345">
        <f>Cen!F199</f>
        <v>32.846359999999997</v>
      </c>
      <c r="U31" s="261">
        <f>S31*T31</f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/>
      <c r="E32" s="305"/>
      <c r="F32" s="305"/>
      <c r="G32" s="305"/>
      <c r="H32" s="479" t="s">
        <v>122</v>
      </c>
      <c r="I32" s="306" t="s">
        <v>617</v>
      </c>
      <c r="J32" s="305"/>
      <c r="K32" s="305"/>
      <c r="L32" s="307"/>
      <c r="M32" s="179"/>
      <c r="N32" s="152" t="str">
        <f>" "&amp;List!$B$293</f>
        <v xml:space="preserve"> Výběr sady jednotek</v>
      </c>
      <c r="O32" s="119"/>
      <c r="P32" s="343"/>
      <c r="Q32" s="343"/>
      <c r="R32" s="343"/>
      <c r="S32" s="344"/>
      <c r="T32" s="345"/>
      <c r="U32" s="261"/>
    </row>
    <row r="33" spans="1:21" ht="15.75" customHeight="1" thickBot="1" x14ac:dyDescent="0.35">
      <c r="A33" s="119"/>
      <c r="B33" s="297" t="s">
        <v>1189</v>
      </c>
      <c r="C33" s="298" t="s">
        <v>505</v>
      </c>
      <c r="D33" s="352"/>
      <c r="E33" s="352"/>
      <c r="F33" s="352"/>
      <c r="G33" s="352"/>
      <c r="H33" s="299"/>
      <c r="I33" s="299"/>
      <c r="J33" s="352"/>
      <c r="K33" s="352"/>
      <c r="L33" s="352"/>
      <c r="M33" s="119"/>
      <c r="N33" s="119"/>
      <c r="O33" s="119"/>
      <c r="P33" s="209"/>
      <c r="Q33" s="209"/>
      <c r="R33" s="209"/>
      <c r="S33" s="260"/>
      <c r="T33" s="261"/>
      <c r="U33" s="261"/>
    </row>
    <row r="34" spans="1:21" ht="12.75" customHeight="1" x14ac:dyDescent="0.3">
      <c r="A34" s="119"/>
      <c r="B34" s="412"/>
      <c r="C34" s="413"/>
      <c r="D34" s="302"/>
      <c r="E34" s="302"/>
      <c r="F34" s="302"/>
      <c r="G34" s="302"/>
      <c r="H34" s="513" t="str">
        <f>IF(H33&gt;0,List!$B$184&amp;"!"," ")</f>
        <v xml:space="preserve"> </v>
      </c>
      <c r="I34" s="302"/>
      <c r="J34" s="302"/>
      <c r="K34" s="302"/>
      <c r="L34" s="698"/>
      <c r="M34" s="119"/>
      <c r="N34" s="119"/>
      <c r="O34" s="119"/>
      <c r="P34" s="209"/>
      <c r="Q34" s="209"/>
      <c r="R34" s="209"/>
      <c r="S34" s="260"/>
      <c r="T34" s="261"/>
      <c r="U34" s="261"/>
    </row>
    <row r="35" spans="1:21" ht="12.75" customHeight="1" x14ac:dyDescent="0.3">
      <c r="A35" s="119"/>
      <c r="B35" s="350"/>
      <c r="C35" s="291"/>
      <c r="D35" s="351"/>
      <c r="E35" s="295"/>
      <c r="F35" s="295"/>
      <c r="G35" s="295"/>
      <c r="H35" s="295"/>
      <c r="I35" s="289"/>
      <c r="J35" s="289"/>
      <c r="K35" s="289"/>
      <c r="L35" s="289"/>
      <c r="M35" s="119"/>
      <c r="N35" s="119"/>
      <c r="O35" s="119"/>
      <c r="P35" s="209"/>
      <c r="Q35" s="209"/>
      <c r="R35" s="209"/>
      <c r="S35" s="260"/>
      <c r="T35" s="261"/>
      <c r="U35" s="261"/>
    </row>
    <row r="36" spans="1:21" ht="12.75" customHeight="1" x14ac:dyDescent="0.25">
      <c r="A36" s="119"/>
      <c r="C36" s="179"/>
      <c r="D36" s="69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O36" s="119"/>
      <c r="P36" s="209"/>
      <c r="Q36" s="209"/>
      <c r="R36" s="209"/>
      <c r="S36" s="260"/>
      <c r="T36" s="261"/>
      <c r="U36" s="261"/>
    </row>
    <row r="37" spans="1:21" ht="15.75" customHeight="1" x14ac:dyDescent="0.3">
      <c r="A37" s="119"/>
      <c r="B37" s="291"/>
      <c r="C37" s="291"/>
      <c r="D37" s="308"/>
      <c r="E37" s="305" t="s">
        <v>1193</v>
      </c>
      <c r="F37" s="305" t="s">
        <v>1194</v>
      </c>
      <c r="G37" s="307"/>
      <c r="H37" s="291"/>
      <c r="I37" s="804"/>
      <c r="J37" s="804"/>
      <c r="K37" s="804"/>
      <c r="L37" s="804"/>
      <c r="O37" s="119"/>
      <c r="P37" s="209"/>
      <c r="Q37" s="209"/>
      <c r="R37" s="209"/>
      <c r="S37" s="260"/>
      <c r="T37" s="261"/>
      <c r="U37" s="261"/>
    </row>
    <row r="38" spans="1:21" ht="15.75" customHeight="1" thickBot="1" x14ac:dyDescent="0.35">
      <c r="A38" s="119"/>
      <c r="B38" s="179"/>
      <c r="C38" s="291"/>
      <c r="D38" s="352"/>
      <c r="E38" s="299"/>
      <c r="F38" s="299"/>
      <c r="G38" s="352"/>
      <c r="H38" s="662" t="str">
        <f>IF(SUM(F33:K33)=SUM(E38:G38)," ",P82)</f>
        <v xml:space="preserve"> </v>
      </c>
      <c r="I38" s="291"/>
      <c r="O38" s="119"/>
      <c r="P38" s="209"/>
      <c r="Q38" s="209"/>
      <c r="R38" s="209"/>
      <c r="S38" s="260"/>
      <c r="T38" s="261"/>
      <c r="U38" s="261"/>
    </row>
    <row r="39" spans="1:21" ht="12.75" customHeight="1" x14ac:dyDescent="0.25">
      <c r="A39" s="119"/>
      <c r="C39" s="661"/>
      <c r="D39" s="660"/>
      <c r="E39" s="291"/>
      <c r="F39" s="291"/>
      <c r="G39" s="291"/>
      <c r="H39" s="291"/>
      <c r="I39" s="291"/>
      <c r="O39" s="119"/>
      <c r="P39" s="209"/>
      <c r="Q39" s="209"/>
      <c r="R39" s="209"/>
      <c r="S39" s="260"/>
      <c r="T39" s="261"/>
      <c r="U39" s="261"/>
    </row>
    <row r="40" spans="1:21" ht="12.75" customHeight="1" x14ac:dyDescent="0.25">
      <c r="A40" s="119"/>
      <c r="B40" s="661"/>
      <c r="C40" s="661"/>
      <c r="D40" s="660"/>
      <c r="O40" s="119"/>
      <c r="P40" s="209"/>
      <c r="Q40" s="209"/>
      <c r="R40" s="209"/>
      <c r="S40" s="260"/>
      <c r="T40" s="261"/>
      <c r="U40" s="261"/>
    </row>
    <row r="41" spans="1:21" ht="12.75" customHeight="1" x14ac:dyDescent="0.35">
      <c r="A41" s="119"/>
      <c r="B41" s="321"/>
      <c r="C41" s="287"/>
      <c r="H41" s="288"/>
      <c r="I41" s="288"/>
      <c r="J41" s="288"/>
      <c r="K41" s="288"/>
      <c r="L41" s="288"/>
      <c r="M41" s="119"/>
      <c r="N41" s="119"/>
      <c r="O41" s="119"/>
      <c r="P41" s="209"/>
      <c r="Q41" s="209"/>
      <c r="R41" s="209"/>
      <c r="S41" s="260"/>
      <c r="T41" s="261"/>
      <c r="U41" s="261"/>
    </row>
    <row r="42" spans="1:21" ht="12.75" customHeight="1" x14ac:dyDescent="0.3">
      <c r="A42" s="119"/>
      <c r="B42" s="346"/>
      <c r="C42" s="291"/>
      <c r="D42" s="347"/>
      <c r="E42" s="348"/>
      <c r="F42" s="349"/>
      <c r="G42" s="348"/>
      <c r="H42" s="348"/>
      <c r="I42" s="291"/>
      <c r="J42" s="291"/>
      <c r="K42" s="291"/>
      <c r="L42" s="291"/>
      <c r="M42" s="119"/>
      <c r="N42" s="119"/>
      <c r="O42" s="119"/>
      <c r="P42" s="209"/>
      <c r="Q42" s="209"/>
      <c r="R42" s="209"/>
      <c r="S42" s="260"/>
      <c r="T42" s="261"/>
      <c r="U42" s="261"/>
    </row>
    <row r="43" spans="1:21" ht="12.75" customHeight="1" x14ac:dyDescent="0.3">
      <c r="A43" s="119"/>
      <c r="B43" s="346"/>
      <c r="C43" s="291"/>
      <c r="D43" s="347"/>
      <c r="E43" s="348"/>
      <c r="F43" s="349"/>
      <c r="G43" s="348"/>
      <c r="H43" s="348"/>
      <c r="I43" s="291"/>
      <c r="J43" s="291"/>
      <c r="K43" s="291"/>
      <c r="L43" s="291"/>
      <c r="M43" s="119"/>
      <c r="N43" s="119"/>
      <c r="O43" s="119"/>
      <c r="P43" s="178"/>
      <c r="Q43" s="178"/>
      <c r="R43" s="178"/>
      <c r="S43" s="692"/>
      <c r="T43" s="693"/>
      <c r="U43" s="261"/>
    </row>
    <row r="44" spans="1:21" ht="12.75" customHeight="1" x14ac:dyDescent="0.3">
      <c r="A44" s="119"/>
      <c r="B44" s="346"/>
      <c r="C44" s="291"/>
      <c r="D44" s="347"/>
      <c r="E44" s="348"/>
      <c r="F44" s="349"/>
      <c r="G44" s="348"/>
      <c r="H44" s="348"/>
      <c r="I44" s="291"/>
      <c r="J44" s="291"/>
      <c r="K44" s="291"/>
      <c r="L44" s="291"/>
      <c r="M44" s="119"/>
      <c r="N44" s="119"/>
      <c r="O44" s="119"/>
      <c r="P44" s="178"/>
      <c r="Q44" s="178"/>
      <c r="R44" s="178"/>
      <c r="S44" s="692"/>
      <c r="T44" s="693"/>
      <c r="U44" s="261"/>
    </row>
    <row r="45" spans="1:21" ht="12.75" customHeight="1" x14ac:dyDescent="0.3">
      <c r="A45" s="119"/>
      <c r="B45" s="346"/>
      <c r="C45" s="291"/>
      <c r="D45" s="347"/>
      <c r="E45" s="348"/>
      <c r="F45" s="349"/>
      <c r="G45" s="348"/>
      <c r="H45" s="348"/>
      <c r="I45" s="291"/>
      <c r="J45" s="291"/>
      <c r="K45" s="291"/>
      <c r="L45" s="291"/>
      <c r="M45" s="119"/>
      <c r="N45" s="119"/>
      <c r="O45" s="119"/>
      <c r="P45" s="178" t="str">
        <f>Cen!A213</f>
        <v>Korpusové lišty TIP-ON BLUMOTION, 450mm, 40kg</v>
      </c>
      <c r="Q45" s="178" t="str">
        <f>Cen!B213</f>
        <v>750.4501M</v>
      </c>
      <c r="R45" s="178" t="str">
        <f>Cen!C213</f>
        <v>ZN</v>
      </c>
      <c r="S45" s="692">
        <f>H33</f>
        <v>0</v>
      </c>
      <c r="T45" s="693">
        <f>Cen!F213</f>
        <v>23.667639999999995</v>
      </c>
      <c r="U45" s="261">
        <f>S45*T45</f>
        <v>0</v>
      </c>
    </row>
    <row r="46" spans="1:21" ht="12.75" customHeight="1" x14ac:dyDescent="0.3">
      <c r="A46" s="119"/>
      <c r="B46" s="350"/>
      <c r="C46" s="291"/>
      <c r="D46" s="351"/>
      <c r="E46" s="295"/>
      <c r="F46" s="295"/>
      <c r="G46" s="295"/>
      <c r="H46" s="295"/>
      <c r="I46" s="289"/>
      <c r="J46" s="289"/>
      <c r="K46" s="289"/>
      <c r="L46" s="289"/>
      <c r="M46" s="119"/>
      <c r="N46" s="119"/>
      <c r="O46" s="119"/>
      <c r="P46" s="122"/>
      <c r="Q46" s="122"/>
      <c r="R46" s="122"/>
      <c r="S46" s="123"/>
      <c r="T46" s="118"/>
      <c r="U46" s="261"/>
    </row>
    <row r="47" spans="1:21" ht="13" x14ac:dyDescent="0.3">
      <c r="A47" s="119"/>
      <c r="B47" s="179"/>
      <c r="C47" s="179"/>
      <c r="D47" s="179"/>
      <c r="E47" s="179"/>
      <c r="F47" s="179"/>
      <c r="G47" s="179"/>
      <c r="H47" s="179"/>
      <c r="I47" s="179"/>
      <c r="J47" s="119"/>
      <c r="K47" s="119"/>
      <c r="L47" s="119"/>
      <c r="M47" s="119"/>
      <c r="N47" s="119"/>
      <c r="O47" s="11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>S47*T47</f>
        <v>0</v>
      </c>
    </row>
    <row r="48" spans="1:21" ht="13" x14ac:dyDescent="0.3">
      <c r="A48" s="119"/>
      <c r="B48" s="179"/>
      <c r="C48" s="179"/>
      <c r="D48" s="179"/>
      <c r="E48" s="179"/>
      <c r="F48" s="179"/>
      <c r="G48" s="179"/>
      <c r="H48" s="179"/>
      <c r="I48" s="179"/>
      <c r="J48" s="119"/>
      <c r="K48" s="119"/>
      <c r="L48" s="119"/>
      <c r="M48" s="119"/>
      <c r="N48" s="119"/>
      <c r="O48" s="119"/>
      <c r="P48" s="694"/>
      <c r="Q48" s="694"/>
      <c r="R48" s="694"/>
      <c r="S48" s="695"/>
      <c r="T48" s="696"/>
      <c r="U48" s="696"/>
    </row>
    <row r="49" spans="1:21" ht="13" x14ac:dyDescent="0.3">
      <c r="A49" s="119"/>
      <c r="B49" s="179"/>
      <c r="C49" s="179"/>
      <c r="D49" s="179"/>
      <c r="E49" s="179"/>
      <c r="F49" s="179"/>
      <c r="G49" s="179"/>
      <c r="H49" s="179"/>
      <c r="I49" s="179"/>
      <c r="J49" s="119"/>
      <c r="K49" s="119"/>
      <c r="L49" s="119"/>
      <c r="M49" s="119"/>
      <c r="N49" s="119"/>
      <c r="O49" s="119"/>
      <c r="P49" s="694"/>
      <c r="Q49" s="694"/>
      <c r="R49" s="694"/>
      <c r="S49" s="695"/>
      <c r="T49" s="696"/>
      <c r="U49" s="696"/>
    </row>
    <row r="50" spans="1:21" ht="13" x14ac:dyDescent="0.3">
      <c r="A50" s="119"/>
      <c r="B50" s="179"/>
      <c r="C50" s="179"/>
      <c r="D50" s="179"/>
      <c r="E50" s="179"/>
      <c r="F50" s="179"/>
      <c r="G50" s="179"/>
      <c r="H50" s="179"/>
      <c r="I50" s="179"/>
      <c r="J50" s="119"/>
      <c r="K50" s="119"/>
      <c r="L50" s="119"/>
      <c r="M50" s="119"/>
      <c r="N50" s="119"/>
      <c r="O50" s="119"/>
      <c r="P50" s="694"/>
      <c r="Q50" s="694"/>
      <c r="R50" s="694"/>
      <c r="S50" s="695"/>
      <c r="T50" s="696"/>
      <c r="U50" s="696"/>
    </row>
    <row r="51" spans="1:21" ht="13" x14ac:dyDescent="0.3">
      <c r="A51" s="119"/>
      <c r="B51" s="179"/>
      <c r="C51" s="179"/>
      <c r="D51" s="179"/>
      <c r="E51" s="179"/>
      <c r="F51" s="179"/>
      <c r="G51" s="179"/>
      <c r="H51" s="179"/>
      <c r="I51" s="179"/>
      <c r="J51" s="119"/>
      <c r="K51" s="119"/>
      <c r="L51" s="119"/>
      <c r="M51" s="119"/>
      <c r="N51" s="119"/>
      <c r="O51" s="119"/>
      <c r="P51" s="694"/>
      <c r="Q51" s="694"/>
      <c r="R51" s="694"/>
      <c r="S51" s="695"/>
      <c r="T51" s="696"/>
      <c r="U51" s="696"/>
    </row>
    <row r="52" spans="1:21" ht="13" x14ac:dyDescent="0.3">
      <c r="A52" s="119"/>
      <c r="B52" s="179"/>
      <c r="C52" s="179"/>
      <c r="D52" s="179"/>
      <c r="E52" s="179"/>
      <c r="F52" s="179"/>
      <c r="G52" s="179"/>
      <c r="H52" s="179"/>
      <c r="I52" s="179"/>
      <c r="J52" s="119"/>
      <c r="K52" s="119"/>
      <c r="L52" s="119"/>
      <c r="M52" s="119"/>
      <c r="N52" s="119"/>
      <c r="O52" s="119"/>
      <c r="P52" s="694"/>
      <c r="Q52" s="694"/>
      <c r="R52" s="694"/>
      <c r="S52" s="695"/>
      <c r="T52" s="696"/>
      <c r="U52" s="696"/>
    </row>
    <row r="53" spans="1:21" ht="13" x14ac:dyDescent="0.3">
      <c r="A53" s="119"/>
      <c r="B53" s="179"/>
      <c r="C53" s="179"/>
      <c r="D53" s="179"/>
      <c r="E53" s="179"/>
      <c r="F53" s="179"/>
      <c r="G53" s="179"/>
      <c r="H53" s="179"/>
      <c r="I53" s="179"/>
      <c r="J53" s="119"/>
      <c r="K53" s="119"/>
      <c r="L53" s="119"/>
      <c r="M53" s="119"/>
      <c r="N53" s="119"/>
      <c r="O53" s="119"/>
      <c r="P53" s="694"/>
      <c r="Q53" s="694"/>
      <c r="R53" s="694"/>
      <c r="S53" s="695"/>
      <c r="T53" s="696"/>
      <c r="U53" s="696"/>
    </row>
    <row r="54" spans="1:21" ht="13" x14ac:dyDescent="0.3">
      <c r="A54" s="119"/>
      <c r="B54" s="179"/>
      <c r="C54" s="179"/>
      <c r="D54" s="179"/>
      <c r="E54" s="179"/>
      <c r="F54" s="179"/>
      <c r="G54" s="179"/>
      <c r="H54" s="179"/>
      <c r="I54" s="179"/>
      <c r="J54" s="119"/>
      <c r="K54" s="119"/>
      <c r="L54" s="119"/>
      <c r="M54" s="119"/>
      <c r="N54" s="119"/>
      <c r="O54" s="119"/>
      <c r="P54" s="694"/>
      <c r="Q54" s="694"/>
      <c r="R54" s="694"/>
      <c r="S54" s="695"/>
      <c r="T54" s="696"/>
      <c r="U54" s="696"/>
    </row>
    <row r="55" spans="1:21" ht="13" x14ac:dyDescent="0.3">
      <c r="A55" s="119"/>
      <c r="B55" s="179"/>
      <c r="C55" s="179"/>
      <c r="D55" s="179"/>
      <c r="E55" s="179"/>
      <c r="F55" s="179"/>
      <c r="G55" s="179"/>
      <c r="H55" s="179"/>
      <c r="I55" s="179"/>
      <c r="J55" s="119"/>
      <c r="K55" s="119"/>
      <c r="L55" s="119"/>
      <c r="M55" s="119"/>
      <c r="N55" s="119"/>
      <c r="O55" s="119"/>
      <c r="P55" s="694"/>
      <c r="Q55" s="694"/>
      <c r="R55" s="694"/>
      <c r="S55" s="695"/>
      <c r="T55" s="696"/>
      <c r="U55" s="696"/>
    </row>
    <row r="56" spans="1:21" x14ac:dyDescent="0.25">
      <c r="A56" s="119"/>
      <c r="B56" s="179"/>
      <c r="C56" s="179"/>
      <c r="D56" s="179"/>
      <c r="E56" s="179"/>
      <c r="F56" s="179"/>
      <c r="G56" s="179"/>
      <c r="H56" s="179"/>
      <c r="I56" s="179"/>
      <c r="J56" s="119"/>
      <c r="K56" s="119"/>
      <c r="L56" s="119"/>
      <c r="M56" s="119"/>
      <c r="N56" s="119"/>
      <c r="O56" s="11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>S56*T56</f>
        <v>0</v>
      </c>
    </row>
    <row r="57" spans="1:21" x14ac:dyDescent="0.25">
      <c r="A57" s="119"/>
      <c r="B57" s="179"/>
      <c r="C57" s="179"/>
      <c r="D57" s="179"/>
      <c r="E57" s="179"/>
      <c r="F57" s="179"/>
      <c r="G57" s="179"/>
      <c r="H57" s="179"/>
      <c r="I57" s="179"/>
      <c r="J57" s="119"/>
      <c r="K57" s="119"/>
      <c r="L57" s="119"/>
      <c r="M57" s="119"/>
      <c r="N57" s="119"/>
      <c r="O57" s="11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>S57*T57</f>
        <v>0</v>
      </c>
    </row>
    <row r="58" spans="1:21" ht="13" x14ac:dyDescent="0.3">
      <c r="A58" s="119"/>
      <c r="B58" s="179"/>
      <c r="C58" s="179"/>
      <c r="D58" s="179"/>
      <c r="E58" s="179"/>
      <c r="F58" s="179"/>
      <c r="G58" s="179"/>
      <c r="H58" s="179"/>
      <c r="I58" s="179"/>
      <c r="J58" s="119"/>
      <c r="K58" s="119"/>
      <c r="L58" s="119"/>
      <c r="M58" s="119"/>
      <c r="N58" s="119"/>
      <c r="O58" s="119"/>
      <c r="P58" s="694"/>
      <c r="Q58" s="694"/>
      <c r="R58" s="694"/>
      <c r="S58" s="695"/>
      <c r="T58" s="696"/>
      <c r="U58" s="696"/>
    </row>
    <row r="59" spans="1:21" ht="13" x14ac:dyDescent="0.3">
      <c r="B59" s="291"/>
      <c r="C59" s="291"/>
      <c r="D59" s="291"/>
      <c r="E59" s="291"/>
      <c r="F59" s="291"/>
      <c r="G59" s="291"/>
      <c r="H59" s="291"/>
      <c r="I59" s="291"/>
      <c r="P59" s="694"/>
      <c r="Q59" s="694"/>
      <c r="R59" s="694"/>
      <c r="S59" s="695"/>
      <c r="T59" s="696"/>
      <c r="U59" s="696"/>
    </row>
    <row r="60" spans="1:21" x14ac:dyDescent="0.25">
      <c r="B60" s="179"/>
      <c r="C60" s="291"/>
      <c r="D60" s="291"/>
      <c r="E60" s="291"/>
      <c r="F60" s="291"/>
      <c r="G60" s="291"/>
      <c r="H60" s="291"/>
      <c r="I60" s="291"/>
      <c r="P60" s="122" t="str">
        <f>Cen!A247</f>
        <v>Držáky zadní stěny N, Orion šedé</v>
      </c>
      <c r="Q60" s="122" t="str">
        <f>Cen!B247</f>
        <v>ZB7N000S</v>
      </c>
      <c r="R60" s="122" t="str">
        <f>Cen!C247</f>
        <v>OG-M</v>
      </c>
      <c r="S60" s="123">
        <f>SUM($S$3:$S$10)</f>
        <v>0</v>
      </c>
      <c r="T60" s="118">
        <f>Cen!$F247</f>
        <v>1.20011</v>
      </c>
      <c r="U60" s="118">
        <f>S60*T60</f>
        <v>0</v>
      </c>
    </row>
    <row r="61" spans="1:21" x14ac:dyDescent="0.25">
      <c r="B61" s="179"/>
      <c r="C61" s="291"/>
      <c r="D61" s="291"/>
      <c r="E61" s="291"/>
      <c r="F61" s="291"/>
      <c r="G61" s="291"/>
      <c r="H61" s="291"/>
      <c r="I61" s="291"/>
      <c r="P61" s="122" t="str">
        <f>Cen!A272</f>
        <v>Čelní kování N, EXPANDO</v>
      </c>
      <c r="Q61" s="122" t="str">
        <f>Cen!B272</f>
        <v>ZF7N70E2</v>
      </c>
      <c r="R61" s="122" t="str">
        <f>Cen!C272</f>
        <v>BL</v>
      </c>
      <c r="S61" s="123">
        <f>SUM($S$3:$S$10)*2</f>
        <v>0</v>
      </c>
      <c r="T61" s="118">
        <f>Cen!F272</f>
        <v>0.76114999999999999</v>
      </c>
      <c r="U61" s="118">
        <f>S61*T61</f>
        <v>0</v>
      </c>
    </row>
    <row r="62" spans="1:21" x14ac:dyDescent="0.25">
      <c r="P62" s="119"/>
      <c r="Q62" s="119"/>
    </row>
    <row r="63" spans="1:21" x14ac:dyDescent="0.25">
      <c r="P63" s="119"/>
      <c r="Q63" s="119"/>
      <c r="S63" s="73" t="str">
        <f>List!$B$94</f>
        <v>cena kování</v>
      </c>
      <c r="U63" s="353">
        <f>SUM(U3:U62)</f>
        <v>0</v>
      </c>
    </row>
    <row r="64" spans="1:21" x14ac:dyDescent="0.25">
      <c r="P64" s="119"/>
      <c r="Q64" s="119"/>
    </row>
    <row r="65" spans="16:17" x14ac:dyDescent="0.25">
      <c r="Q65" s="119"/>
    </row>
    <row r="80" spans="16:17" x14ac:dyDescent="0.25">
      <c r="P80" s="119" t="str">
        <f>List!B305&amp;"!"</f>
        <v>S1 pouze pro jmenovitou délku 270 a 300 mm!</v>
      </c>
    </row>
    <row r="81" spans="16:16" x14ac:dyDescent="0.25">
      <c r="P81" s="119" t="str">
        <f>List!B306&amp;"!"</f>
        <v>Pro výsuvy délky 270 a 300 mm vyberte jednotky S1!</v>
      </c>
    </row>
    <row r="82" spans="16:16" x14ac:dyDescent="0.25">
      <c r="P82" s="119" t="str">
        <f>List!B307&amp;"!"</f>
        <v>Počet jednotek L neodpovídá počtu korpusových lišt!</v>
      </c>
    </row>
    <row r="83" spans="16:16" x14ac:dyDescent="0.25">
      <c r="P83" s="119" t="str">
        <f>List!B308&amp;"!"</f>
        <v>Počet jednotek S1 neodpovídá počtu korpusových lišt!</v>
      </c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19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19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3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3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3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3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2" x14ac:dyDescent="0.25">
      <c r="A113" s="783"/>
    </row>
    <row r="114" spans="1:12" x14ac:dyDescent="0.25">
      <c r="A114" s="783"/>
    </row>
    <row r="115" spans="1:12" x14ac:dyDescent="0.25">
      <c r="A115" s="783"/>
    </row>
    <row r="116" spans="1:12" x14ac:dyDescent="0.25">
      <c r="A116" s="783"/>
    </row>
    <row r="117" spans="1:12" x14ac:dyDescent="0.25">
      <c r="A117" s="783"/>
    </row>
    <row r="118" spans="1:12" x14ac:dyDescent="0.25">
      <c r="A118" s="783"/>
    </row>
    <row r="119" spans="1:12" x14ac:dyDescent="0.25">
      <c r="A119" s="783"/>
      <c r="L119" s="51"/>
    </row>
    <row r="120" spans="1:12" x14ac:dyDescent="0.25">
      <c r="A120" s="783"/>
      <c r="L120" s="256"/>
    </row>
    <row r="121" spans="1:12" x14ac:dyDescent="0.25">
      <c r="A121" s="783"/>
      <c r="L121" s="51"/>
    </row>
    <row r="122" spans="1:12" x14ac:dyDescent="0.25">
      <c r="A122" s="783"/>
    </row>
    <row r="123" spans="1:12" x14ac:dyDescent="0.25">
      <c r="A123" s="783"/>
    </row>
    <row r="124" spans="1:12" x14ac:dyDescent="0.25">
      <c r="A124" s="783"/>
    </row>
    <row r="125" spans="1:12" x14ac:dyDescent="0.25">
      <c r="A125" s="783"/>
    </row>
    <row r="126" spans="1:12" x14ac:dyDescent="0.25">
      <c r="A126" s="783"/>
    </row>
    <row r="127" spans="1:12" x14ac:dyDescent="0.25">
      <c r="A127" s="783"/>
    </row>
    <row r="128" spans="1:12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iiYRlD19EAew3K+v7x2iqPeXv8PiEPnZW4VjXNbDjP+4Tz7HkwgwIDDQjL0l+I+bQ9qbhr+Mh4K46T8MGC+8oA==" saltValue="IYCzWDhoWy+qhabUICyeWA==" spinCount="100000" sheet="1" objects="1" scenarios="1"/>
  <mergeCells count="19">
    <mergeCell ref="H108:I108"/>
    <mergeCell ref="J108:K108"/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10" location="Sum!A1" tooltip=" " display="Sum!A1"/>
    <hyperlink ref="N8" location="SD!A1" tooltip=" " display="SD!A1"/>
    <hyperlink ref="N11" location="Ord!A1" tooltip=" " display="Ord!A1"/>
    <hyperlink ref="N9" location="AL!A1" tooltip=" " display="AL!A1"/>
    <hyperlink ref="N32" location="'7N400P'!A100" tooltip=" " display="'7N400P'!A100"/>
    <hyperlink ref="N111" location="'7N400P'!A1" tooltip=" " display="'7N400P'!A1"/>
  </hyperlinks>
  <pageMargins left="0.7" right="0.7" top="0.78740157499999996" bottom="0.78740157499999996" header="0.3" footer="0.3"/>
  <pageSetup paperSize="9" orientation="landscape" verticalDpi="599" r:id="rId1"/>
  <headerFooter alignWithMargins="0"/>
  <ignoredErrors>
    <ignoredError sqref="H38" formulaRange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>
    <tabColor theme="5" tint="0.39997558519241921"/>
  </sheetPr>
  <dimension ref="A1:U140"/>
  <sheetViews>
    <sheetView showGridLines="0" showRowColHeaders="0" showZero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91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8164062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1.4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7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79"/>
      <c r="H2" s="119"/>
      <c r="I2" s="119"/>
      <c r="J2" s="119"/>
      <c r="K2" s="119"/>
      <c r="L2" s="120" t="str">
        <f>"SPACE-TOWER, "&amp;List!$B$63&amp;" 4xC/1xM"</f>
        <v>SPACE-TOWER, sestava 4xC/1xM</v>
      </c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8" thickBot="1" x14ac:dyDescent="0.4">
      <c r="A3" s="119"/>
      <c r="B3" s="119"/>
      <c r="C3" s="119"/>
      <c r="D3" s="119"/>
      <c r="E3" s="119"/>
      <c r="F3" s="119"/>
      <c r="G3" s="179"/>
      <c r="H3" s="119"/>
      <c r="I3" s="121"/>
      <c r="J3" s="121"/>
      <c r="K3" s="121"/>
      <c r="L3" s="159" t="str">
        <f>List!$B$71</f>
        <v>přední reling</v>
      </c>
      <c r="M3" s="119"/>
      <c r="N3" s="151" t="str">
        <f>" "&amp;List!$B$13</f>
        <v xml:space="preserve"> Úvod</v>
      </c>
      <c r="O3" s="119"/>
      <c r="P3" s="375" t="str">
        <f>Cen!A35</f>
        <v>Bočnice M 450mm, Orion šedé</v>
      </c>
      <c r="Q3" s="375" t="str">
        <f>Cen!B35</f>
        <v>770M4502S</v>
      </c>
      <c r="R3" s="360" t="str">
        <f>Cen!C75</f>
        <v>OG-M</v>
      </c>
      <c r="S3" s="424">
        <f>SUM(D26, J26, D34, J34)</f>
        <v>0</v>
      </c>
      <c r="T3" s="377">
        <f>Cen!F35</f>
        <v>19.977319999999999</v>
      </c>
      <c r="U3" s="378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79"/>
      <c r="H4" s="119"/>
      <c r="I4" s="122" t="str">
        <f>List!$B$79&amp;":"</f>
        <v>bočnice:</v>
      </c>
      <c r="J4" s="122"/>
      <c r="K4" s="122" t="s">
        <v>898</v>
      </c>
      <c r="L4" s="122"/>
      <c r="M4" s="119"/>
      <c r="N4" s="152" t="str">
        <f>" "&amp;List!$B$4</f>
        <v xml:space="preserve"> Výběr zásuvek a výsuvů</v>
      </c>
      <c r="O4" s="119"/>
      <c r="P4" s="375" t="str">
        <f>Cen!A39</f>
        <v>Bočnice M 500mm, Orion šedé</v>
      </c>
      <c r="Q4" s="375" t="str">
        <f>Cen!B39</f>
        <v>770M5002S</v>
      </c>
      <c r="R4" s="360" t="str">
        <f>Cen!C79</f>
        <v>OG-M</v>
      </c>
      <c r="S4" s="424">
        <f>SUM(E26, K26, E34, K34)</f>
        <v>0</v>
      </c>
      <c r="T4" s="377">
        <f>Cen!F39</f>
        <v>20.211580000000001</v>
      </c>
      <c r="U4" s="378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79"/>
      <c r="H5" s="119"/>
      <c r="I5" s="121" t="str">
        <f>List!$B$27&amp;":"</f>
        <v>barva:</v>
      </c>
      <c r="J5" s="121"/>
      <c r="K5" s="121" t="str">
        <f>Form!$O$2</f>
        <v>Orion šedá (OG-M)</v>
      </c>
      <c r="L5" s="121"/>
      <c r="M5" s="119"/>
      <c r="O5" s="119"/>
      <c r="P5" s="375" t="str">
        <f>Cen!A43</f>
        <v>Bočnice M 550mm, Orion šedé</v>
      </c>
      <c r="Q5" s="375" t="str">
        <f>Cen!B43</f>
        <v>770M5502S</v>
      </c>
      <c r="R5" s="360" t="str">
        <f>Cen!C83</f>
        <v>OG-M</v>
      </c>
      <c r="S5" s="424">
        <f>SUM(F26, L26, F34, L34)</f>
        <v>0</v>
      </c>
      <c r="T5" s="377">
        <f>Cen!F43</f>
        <v>20.980989999999998</v>
      </c>
      <c r="U5" s="378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79"/>
      <c r="H6" s="119"/>
      <c r="I6" s="620" t="str">
        <f>List!$B$80&amp;":"</f>
        <v>provedení:</v>
      </c>
      <c r="J6" s="122"/>
      <c r="K6" s="121" t="s">
        <v>952</v>
      </c>
      <c r="L6" s="122"/>
      <c r="M6" s="119"/>
      <c r="N6" s="2" t="str">
        <f>List!$B$12&amp;":"</f>
        <v>Pokračovat na:</v>
      </c>
      <c r="O6" s="119"/>
      <c r="P6" s="360" t="str">
        <f>Cen!A47</f>
        <v>Bočnice M 600mm, Orion šedé</v>
      </c>
      <c r="Q6" s="360" t="str">
        <f>Cen!B47</f>
        <v>770M6002S</v>
      </c>
      <c r="R6" s="375" t="str">
        <f>Cen!C87</f>
        <v>OG-M</v>
      </c>
      <c r="S6" s="376"/>
      <c r="T6" s="362">
        <f>Cen!F47</f>
        <v>23.762070000000005</v>
      </c>
      <c r="U6" s="3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79"/>
      <c r="H7" s="119"/>
      <c r="I7" s="121"/>
      <c r="J7" s="122"/>
      <c r="K7" s="121"/>
      <c r="L7" s="122"/>
      <c r="M7" s="119"/>
      <c r="N7" s="151" t="str">
        <f>" "&amp;List!$B$5</f>
        <v xml:space="preserve"> Výběr doplňků</v>
      </c>
      <c r="O7" s="119"/>
      <c r="P7" s="397" t="str">
        <f>Cen!A127</f>
        <v>Bočnice C free, 450mm, Orion šedé</v>
      </c>
      <c r="Q7" s="397" t="str">
        <f>Cen!B127</f>
        <v>780C4502S</v>
      </c>
      <c r="R7" s="397" t="str">
        <f>Cen!C91</f>
        <v>OG-M</v>
      </c>
      <c r="S7" s="424">
        <f>SUM(D26, J26, D34, J34)*4</f>
        <v>0</v>
      </c>
      <c r="T7" s="425">
        <f>Cen!F127</f>
        <v>30.602429999999998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79"/>
      <c r="H8" s="119"/>
      <c r="I8" s="122" t="str">
        <f>List!$B$94&amp;":"</f>
        <v>cena kování:</v>
      </c>
      <c r="J8" s="122"/>
      <c r="K8" s="122"/>
      <c r="L8" s="118">
        <f>$U$76</f>
        <v>0</v>
      </c>
      <c r="M8" s="119"/>
      <c r="N8" s="151" t="str">
        <f>" "&amp;List!$B$6</f>
        <v xml:space="preserve"> Výběr SERVO-DRIVE</v>
      </c>
      <c r="O8" s="119"/>
      <c r="P8" s="127" t="str">
        <f>Cen!A131</f>
        <v>Bočnice C free, 500mm, Orion šedé</v>
      </c>
      <c r="Q8" s="127" t="str">
        <f>Cen!B131</f>
        <v>780C5002S</v>
      </c>
      <c r="R8" s="127" t="str">
        <f>Cen!C95</f>
        <v>OG-M</v>
      </c>
      <c r="S8" s="424">
        <f>SUM(E26, K26, E34, K34)*4</f>
        <v>0</v>
      </c>
      <c r="T8" s="266">
        <f>Cen!F131</f>
        <v>30.824969999999997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7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Cen!A135</f>
        <v>Bočnice C free, 550mm, Orion šedé</v>
      </c>
      <c r="Q9" s="127" t="str">
        <f>Cen!B135</f>
        <v>780C5502S</v>
      </c>
      <c r="R9" s="127" t="str">
        <f>Cen!C99</f>
        <v>OG-M</v>
      </c>
      <c r="S9" s="424">
        <f>SUM(F26, L26, F34, L34)*4</f>
        <v>0</v>
      </c>
      <c r="T9" s="266">
        <f>Cen!F135</f>
        <v>32.604779999999998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79"/>
      <c r="H10" s="119"/>
      <c r="I10" s="259"/>
      <c r="J10" s="259"/>
      <c r="K10" s="292"/>
      <c r="L10" s="292"/>
      <c r="M10" s="119"/>
      <c r="N10" s="152" t="str">
        <f>" "&amp;List!$B$18</f>
        <v xml:space="preserve"> Souhrn</v>
      </c>
      <c r="O10" s="119"/>
      <c r="P10" s="375" t="str">
        <f>Cen!A139</f>
        <v>Bočnice C free, 600mm, Orion šedé</v>
      </c>
      <c r="Q10" s="375" t="str">
        <f>Cen!B139</f>
        <v>780C6002S</v>
      </c>
      <c r="R10" s="360" t="str">
        <f>Cen!C103</f>
        <v>OG-M</v>
      </c>
      <c r="S10" s="361"/>
      <c r="T10" s="377">
        <f>Cen!F139</f>
        <v>35.385860000000001</v>
      </c>
      <c r="U10" s="378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79"/>
      <c r="H11" s="119"/>
      <c r="I11" s="119" t="str">
        <f>"  "&amp;List!$B$146&amp;":"</f>
        <v xml:space="preserve">  Přířezy prvků:</v>
      </c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2"/>
      <c r="Q11" s="122"/>
      <c r="R11" s="122"/>
      <c r="S11" s="123"/>
      <c r="T11" s="117"/>
      <c r="U11" s="118"/>
    </row>
    <row r="12" spans="1:21" x14ac:dyDescent="0.25">
      <c r="A12" s="119"/>
      <c r="B12" s="119"/>
      <c r="C12" s="119"/>
      <c r="D12" s="119"/>
      <c r="E12" s="119"/>
      <c r="F12" s="119"/>
      <c r="G12" s="179"/>
      <c r="H12" s="119"/>
      <c r="I12" s="119" t="str">
        <f>List!$C$150&amp;":   LW - 126"</f>
        <v>Přední díl:   LW - 126</v>
      </c>
      <c r="J12" s="291"/>
      <c r="K12" s="291"/>
      <c r="L12" s="291"/>
      <c r="M12" s="119"/>
      <c r="N12" s="119"/>
      <c r="O12" s="119"/>
      <c r="P12" s="379" t="str">
        <f>Cen!A177</f>
        <v>Korpusové lišty BLUMOTION, 270mm, 40kg</v>
      </c>
      <c r="Q12" s="379" t="str">
        <f>Cen!B177</f>
        <v>750.2701B</v>
      </c>
      <c r="R12" s="379" t="str">
        <f>Cen!C177</f>
        <v>ZN</v>
      </c>
      <c r="S12" s="380"/>
      <c r="T12" s="381">
        <f>Cen!F177</f>
        <v>21.845690000000001</v>
      </c>
      <c r="U12" s="381">
        <f t="shared" ref="U12:U23" si="1">S12*T12</f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79"/>
      <c r="H13" s="119"/>
      <c r="I13" s="119" t="str">
        <f>List!$C$151&amp;":   LW - 90"</f>
        <v>Příčný reling:   LW - 90</v>
      </c>
      <c r="J13" s="293"/>
      <c r="K13" s="293"/>
      <c r="L13" s="293"/>
      <c r="M13" s="119"/>
      <c r="N13" s="119"/>
      <c r="O13" s="119"/>
      <c r="P13" s="379" t="str">
        <f>Cen!A178</f>
        <v>Korpusové lišty BLUMOTION, 300mm, 40kg</v>
      </c>
      <c r="Q13" s="379" t="str">
        <f>Cen!B178</f>
        <v>750.3001B</v>
      </c>
      <c r="R13" s="379" t="str">
        <f>Cen!C178</f>
        <v>ZN</v>
      </c>
      <c r="S13" s="380"/>
      <c r="T13" s="381">
        <f>Cen!F178</f>
        <v>21.925909999999998</v>
      </c>
      <c r="U13" s="381">
        <f t="shared" si="1"/>
        <v>0</v>
      </c>
    </row>
    <row r="14" spans="1:21" x14ac:dyDescent="0.25">
      <c r="A14" s="119"/>
      <c r="B14" s="119"/>
      <c r="C14" s="119"/>
      <c r="D14" s="119"/>
      <c r="E14" s="119"/>
      <c r="F14" s="119"/>
      <c r="G14" s="179"/>
      <c r="H14" s="119"/>
      <c r="I14" s="119"/>
      <c r="J14" s="290"/>
      <c r="K14" s="290"/>
      <c r="L14" s="290"/>
      <c r="M14" s="119"/>
      <c r="N14" s="119"/>
      <c r="O14" s="119"/>
      <c r="P14" s="379" t="str">
        <f>Cen!A179</f>
        <v>Korpusové lišty BLUMOTION, 350mm, 40kg</v>
      </c>
      <c r="Q14" s="379" t="str">
        <f>Cen!B179</f>
        <v>750.3501B</v>
      </c>
      <c r="R14" s="379" t="str">
        <f>Cen!C179</f>
        <v>ZN</v>
      </c>
      <c r="S14" s="380"/>
      <c r="T14" s="381">
        <f>Cen!F179</f>
        <v>21.845690000000001</v>
      </c>
      <c r="U14" s="38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79"/>
      <c r="H15" s="119"/>
      <c r="I15" s="119"/>
      <c r="J15" s="288"/>
      <c r="K15" s="288"/>
      <c r="L15" s="288"/>
      <c r="M15" s="119"/>
      <c r="N15" s="119"/>
      <c r="O15" s="119"/>
      <c r="P15" s="379" t="str">
        <f>Cen!A180</f>
        <v>Korpusové lišty BLUMOTION, 400mm, 40kg</v>
      </c>
      <c r="Q15" s="379" t="str">
        <f>Cen!B180</f>
        <v>750.4001B</v>
      </c>
      <c r="R15" s="379" t="str">
        <f>Cen!C180</f>
        <v>ZN</v>
      </c>
      <c r="S15" s="380"/>
      <c r="T15" s="381">
        <f>Cen!F180</f>
        <v>22.204979999999999</v>
      </c>
      <c r="U15" s="38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79"/>
      <c r="H16" s="119"/>
      <c r="I16" s="179"/>
      <c r="J16" s="179"/>
      <c r="K16" s="179"/>
      <c r="L16" s="179"/>
      <c r="M16" s="119"/>
      <c r="N16" s="119"/>
      <c r="O16" s="119"/>
      <c r="P16" s="426" t="str">
        <f>Cen!A181</f>
        <v>Korpusové lišty BLUMOTION, 450mm, 40kg</v>
      </c>
      <c r="Q16" s="426" t="str">
        <f>Cen!B181</f>
        <v>750.4501B</v>
      </c>
      <c r="R16" s="426" t="str">
        <f>Cen!C181</f>
        <v>ZN</v>
      </c>
      <c r="S16" s="385">
        <f>IF($D$28&gt;0, $D$28*$D$26, 4*$D$26)+IF($J$28&gt;0, $J$28*$J$26, 2*$J$26)</f>
        <v>0</v>
      </c>
      <c r="T16" s="427">
        <f>Cen!F181</f>
        <v>23.667639999999995</v>
      </c>
      <c r="U16" s="427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79"/>
      <c r="H17" s="119"/>
      <c r="I17" s="294"/>
      <c r="J17" s="294"/>
      <c r="K17" s="294"/>
      <c r="L17" s="294"/>
      <c r="M17" s="119"/>
      <c r="N17" s="119"/>
      <c r="O17" s="119"/>
      <c r="P17" s="426" t="str">
        <f>Cen!A182</f>
        <v>Korpusové lišty BLUMOTION, 450mm, 70kg</v>
      </c>
      <c r="Q17" s="426" t="str">
        <f>Cen!B182</f>
        <v>753.4501B</v>
      </c>
      <c r="R17" s="426" t="str">
        <f>Cen!C182</f>
        <v>ZN</v>
      </c>
      <c r="S17" s="385">
        <f>IF($D$28&gt;0, $D$29*$D$26, 1*$D$26)+IF($J$28&gt;0, $J$29*$J$26, 3*$J$26)</f>
        <v>0</v>
      </c>
      <c r="T17" s="427">
        <f>Cen!F182</f>
        <v>27.780560000000001</v>
      </c>
      <c r="U17" s="427">
        <f t="shared" si="1"/>
        <v>0</v>
      </c>
    </row>
    <row r="18" spans="1:21" ht="12" customHeight="1" x14ac:dyDescent="0.25">
      <c r="A18" s="119"/>
      <c r="C18" s="119"/>
      <c r="D18" s="119"/>
      <c r="E18" s="119"/>
      <c r="F18" s="119"/>
      <c r="G18" s="478"/>
      <c r="H18" s="119"/>
      <c r="I18" s="290"/>
      <c r="J18" s="290"/>
      <c r="K18" s="290"/>
      <c r="L18" s="290"/>
      <c r="M18" s="119"/>
      <c r="N18" s="119"/>
      <c r="O18" s="119"/>
      <c r="P18" s="209" t="str">
        <f>Cen!A183</f>
        <v>Korpusové lišty BLUMOTION, 500mm, 40kg</v>
      </c>
      <c r="Q18" s="209" t="str">
        <f>Cen!B183</f>
        <v>750.5001B</v>
      </c>
      <c r="R18" s="209" t="str">
        <f>Cen!C183</f>
        <v>ZN</v>
      </c>
      <c r="S18" s="385">
        <f>IF($E$28&gt;0, $E$28*$E$26, 4*$E$26)+IF($K$28&gt;0, $K$28*$K$26, 2*$K$26)</f>
        <v>0</v>
      </c>
      <c r="T18" s="261">
        <f>Cen!F183</f>
        <v>22.680199999999999</v>
      </c>
      <c r="U18" s="261">
        <f t="shared" si="1"/>
        <v>0</v>
      </c>
    </row>
    <row r="19" spans="1:21" ht="14.5" x14ac:dyDescent="0.35">
      <c r="A19" s="119"/>
      <c r="B19" s="701" t="str">
        <f>"   "&amp;List!B295</f>
        <v xml:space="preserve">   Zadejte počty skříní podle šířky korpusu a délky výsuvů</v>
      </c>
      <c r="C19" s="714"/>
      <c r="D19" s="715"/>
      <c r="E19" s="715"/>
      <c r="F19" s="715"/>
      <c r="G19" s="714"/>
      <c r="H19" s="714"/>
      <c r="I19" s="714"/>
      <c r="J19" s="715"/>
      <c r="K19" s="715"/>
      <c r="L19" s="715"/>
      <c r="M19" s="119"/>
      <c r="N19" s="119"/>
      <c r="O19" s="119"/>
      <c r="P19" s="209" t="str">
        <f>Cen!A184</f>
        <v>Korpusové lišty BLUMOTION, 500mm, 70kg</v>
      </c>
      <c r="Q19" s="209" t="str">
        <f>Cen!B184</f>
        <v>753.5001B</v>
      </c>
      <c r="R19" s="209" t="str">
        <f>Cen!C184</f>
        <v>ZN</v>
      </c>
      <c r="S19" s="385">
        <f>IF($E$28&gt;0, $E$29*$E$26, 1*$E$26)+IF($K$28&gt;0, $K$29*$K$26, 3*$K$26)</f>
        <v>0</v>
      </c>
      <c r="T19" s="261">
        <f>Cen!F184</f>
        <v>28.059809999999999</v>
      </c>
      <c r="U19" s="261">
        <f t="shared" si="1"/>
        <v>0</v>
      </c>
    </row>
    <row r="20" spans="1:21" ht="14.5" x14ac:dyDescent="0.35">
      <c r="A20" s="119"/>
      <c r="B20" s="701" t="str">
        <f>"   "&amp;List!B299</f>
        <v xml:space="preserve">   Zadejte počet korpusových lišt, pokud chcete jiné, než přednastavené složení</v>
      </c>
      <c r="C20" s="714"/>
      <c r="D20" s="715"/>
      <c r="E20" s="715"/>
      <c r="F20" s="715"/>
      <c r="G20" s="714"/>
      <c r="H20" s="714"/>
      <c r="I20" s="714"/>
      <c r="J20" s="715"/>
      <c r="K20" s="715"/>
      <c r="L20" s="715"/>
      <c r="M20" s="119"/>
      <c r="N20" s="119"/>
      <c r="O20" s="119"/>
      <c r="P20" s="209" t="str">
        <f>Cen!A185</f>
        <v>Korpusové lišty BLUMOTION, 550mm, 40kg</v>
      </c>
      <c r="Q20" s="209" t="str">
        <f>Cen!B185</f>
        <v>750.5501B</v>
      </c>
      <c r="R20" s="209" t="str">
        <f>Cen!C185</f>
        <v>ZN</v>
      </c>
      <c r="S20" s="385">
        <f>IF($F$28&gt;0, $F$28*$F$26, 4*$F$26)+IF($L$28&gt;0, $L$28*$L$26, 2*$L$26)</f>
        <v>0</v>
      </c>
      <c r="T20" s="261">
        <f>Cen!F185</f>
        <v>24.254210000000004</v>
      </c>
      <c r="U20" s="261">
        <f t="shared" si="1"/>
        <v>0</v>
      </c>
    </row>
    <row r="21" spans="1:21" ht="14.5" x14ac:dyDescent="0.35">
      <c r="A21" s="119"/>
      <c r="B21" s="701" t="str">
        <f>"         "&amp;List!B297</f>
        <v xml:space="preserve">         Zadejte počty 40kg korpusových lišt, 70kg lišty se dopočítají</v>
      </c>
      <c r="C21" s="714"/>
      <c r="D21" s="715"/>
      <c r="E21" s="715"/>
      <c r="F21" s="715"/>
      <c r="G21" s="714"/>
      <c r="H21" s="714"/>
      <c r="I21" s="714"/>
      <c r="J21" s="715"/>
      <c r="K21" s="715"/>
      <c r="L21" s="715"/>
      <c r="M21" s="119"/>
      <c r="N21" s="119"/>
      <c r="O21" s="119"/>
      <c r="P21" s="209" t="str">
        <f>Cen!A186</f>
        <v>Korpusové lišty BLUMOTION, 550mm, 70kg</v>
      </c>
      <c r="Q21" s="209" t="str">
        <f>Cen!B186</f>
        <v>753.5501B</v>
      </c>
      <c r="R21" s="209" t="str">
        <f>Cen!C186</f>
        <v>ZN</v>
      </c>
      <c r="S21" s="385">
        <f>IF($F$28&gt;0, $F$29*$F$26, 1*$F$26)+IF($L$28&gt;0, $L$29*$L$26, 3*$L$26)</f>
        <v>0</v>
      </c>
      <c r="T21" s="261">
        <f>Cen!F186</f>
        <v>29.550529999999998</v>
      </c>
      <c r="U21" s="261">
        <f t="shared" si="1"/>
        <v>0</v>
      </c>
    </row>
    <row r="22" spans="1:21" ht="9" customHeight="1" x14ac:dyDescent="0.35">
      <c r="A22" s="119"/>
      <c r="B22" s="24"/>
      <c r="C22" s="24"/>
      <c r="D22"/>
      <c r="E22"/>
      <c r="F22"/>
      <c r="G22" s="27"/>
      <c r="H22" s="24"/>
      <c r="I22" s="24"/>
      <c r="J22"/>
      <c r="K22"/>
      <c r="L22"/>
      <c r="M22" s="119"/>
      <c r="N22" s="119"/>
      <c r="O22" s="119"/>
      <c r="P22" s="364" t="str">
        <f>Cen!A187</f>
        <v>Korpusové lišty BLUMOTION, 600mm, 40kg</v>
      </c>
      <c r="Q22" s="364" t="str">
        <f>Cen!B187</f>
        <v>750.6001B</v>
      </c>
      <c r="R22" s="364" t="str">
        <f>Cen!C187</f>
        <v>ZN</v>
      </c>
      <c r="S22" s="428"/>
      <c r="T22" s="366">
        <f>Cen!F187</f>
        <v>27.259979999999999</v>
      </c>
      <c r="U22" s="366">
        <f t="shared" si="1"/>
        <v>0</v>
      </c>
    </row>
    <row r="23" spans="1:21" ht="19.5" customHeight="1" x14ac:dyDescent="0.35">
      <c r="A23"/>
      <c r="B23" s="346" t="str">
        <f>"▼   "&amp;List!$B$112&amp;" KB 450 mm"</f>
        <v>▼   Šířka korpusu KB 450 mm</v>
      </c>
      <c r="C23" s="51"/>
      <c r="H23" s="346" t="str">
        <f>"▼   "&amp;List!$B$112&amp;" KB 600 mm"</f>
        <v>▼   Šířka korpusu KB 600 mm</v>
      </c>
      <c r="I23" s="290"/>
      <c r="J23" s="290"/>
      <c r="K23" s="290"/>
      <c r="L23" s="290"/>
      <c r="M23"/>
      <c r="N23"/>
      <c r="O23" s="119"/>
      <c r="P23" s="364" t="str">
        <f>Cen!A188</f>
        <v>Korpusové lišty BLUMOTION, 600mm, 70kg</v>
      </c>
      <c r="Q23" s="364" t="str">
        <f>Cen!B188</f>
        <v>753.6001B</v>
      </c>
      <c r="R23" s="364" t="str">
        <f>Cen!C188</f>
        <v>ZN</v>
      </c>
      <c r="S23" s="428"/>
      <c r="T23" s="366">
        <f>Cen!F188</f>
        <v>32.5563</v>
      </c>
      <c r="U23" s="366">
        <f t="shared" si="1"/>
        <v>0</v>
      </c>
    </row>
    <row r="24" spans="1:21" ht="22.5" customHeight="1" x14ac:dyDescent="0.35">
      <c r="A24"/>
      <c r="B24" s="717" t="s">
        <v>1253</v>
      </c>
      <c r="C24" s="7"/>
      <c r="H24" s="717" t="s">
        <v>1253</v>
      </c>
      <c r="I24" s="290"/>
      <c r="J24" s="290"/>
      <c r="K24" s="290"/>
      <c r="L24" s="290"/>
      <c r="M24"/>
      <c r="N24"/>
      <c r="O24" s="119"/>
      <c r="P24" s="209"/>
      <c r="Q24" s="209"/>
      <c r="R24" s="209"/>
      <c r="S24" s="260"/>
      <c r="T24" s="261"/>
      <c r="U24" s="261"/>
    </row>
    <row r="25" spans="1:21" ht="14" x14ac:dyDescent="0.3">
      <c r="A25" s="119"/>
      <c r="B25" s="6"/>
      <c r="C25" s="320" t="str">
        <f>List!$B$115&amp;":"</f>
        <v>Jmenovitá délka:</v>
      </c>
      <c r="D25" s="308">
        <v>450</v>
      </c>
      <c r="E25" s="429">
        <v>500</v>
      </c>
      <c r="F25" s="307">
        <v>550</v>
      </c>
      <c r="G25" s="348"/>
      <c r="H25" s="6"/>
      <c r="I25" s="373" t="str">
        <f>List!$B$115&amp;":"</f>
        <v>Jmenovitá délka:</v>
      </c>
      <c r="J25" s="314">
        <v>450</v>
      </c>
      <c r="K25" s="429">
        <v>500</v>
      </c>
      <c r="L25" s="307">
        <v>550</v>
      </c>
      <c r="M25" s="119"/>
      <c r="N25" s="119"/>
      <c r="O25" s="119"/>
      <c r="P25" s="209"/>
      <c r="Q25" s="209"/>
      <c r="R25" s="209"/>
      <c r="S25" s="260"/>
      <c r="T25" s="261"/>
      <c r="U25" s="261"/>
    </row>
    <row r="26" spans="1:21" ht="14" x14ac:dyDescent="0.3">
      <c r="A26" s="119"/>
      <c r="B26" s="374"/>
      <c r="C26" s="320" t="str">
        <f>List!$B$99&amp;":"</f>
        <v>Počet skříní:</v>
      </c>
      <c r="D26" s="317"/>
      <c r="E26" s="317"/>
      <c r="F26" s="371"/>
      <c r="G26" s="295"/>
      <c r="H26" s="374"/>
      <c r="I26" s="320" t="str">
        <f>List!$B$99&amp;":"</f>
        <v>Počet skříní:</v>
      </c>
      <c r="J26" s="317"/>
      <c r="K26" s="317"/>
      <c r="L26" s="318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9.5" customHeight="1" x14ac:dyDescent="0.35">
      <c r="A27" s="119"/>
      <c r="B27" s="372" t="str">
        <f>List!$B$126</f>
        <v>Korpusové lišty</v>
      </c>
      <c r="C27" s="320"/>
      <c r="D27" s="24"/>
      <c r="E27" s="24"/>
      <c r="F27" s="24"/>
      <c r="G27" s="27"/>
      <c r="H27" s="372" t="str">
        <f>List!$B$126</f>
        <v>Korpusové lišty</v>
      </c>
      <c r="I27" s="320"/>
      <c r="J27"/>
      <c r="K27"/>
      <c r="L27"/>
      <c r="M27" s="119"/>
      <c r="N27" s="119"/>
      <c r="O27" s="119"/>
      <c r="P27" s="209"/>
      <c r="Q27" s="209"/>
      <c r="R27" s="209"/>
      <c r="S27" s="260"/>
      <c r="T27" s="261"/>
      <c r="U27" s="261"/>
    </row>
    <row r="28" spans="1:21" ht="15" customHeight="1" thickBot="1" x14ac:dyDescent="0.4">
      <c r="A28" s="119"/>
      <c r="B28" s="297" t="s">
        <v>505</v>
      </c>
      <c r="C28" s="384" t="s">
        <v>887</v>
      </c>
      <c r="D28" s="387"/>
      <c r="E28" s="387"/>
      <c r="F28" s="388"/>
      <c r="G28" s="295"/>
      <c r="H28" s="297" t="s">
        <v>505</v>
      </c>
      <c r="I28" s="298" t="str">
        <f>"2 ks*"</f>
        <v>2 ks*</v>
      </c>
      <c r="J28" s="389"/>
      <c r="K28" s="389"/>
      <c r="L28" s="390"/>
      <c r="M28"/>
      <c r="N28" s="119"/>
      <c r="O28" s="119"/>
      <c r="P28" s="209"/>
      <c r="Q28" s="209"/>
      <c r="R28" s="209"/>
      <c r="S28" s="260"/>
      <c r="T28" s="261"/>
      <c r="U28" s="261"/>
    </row>
    <row r="29" spans="1:21" ht="15" customHeight="1" x14ac:dyDescent="0.35">
      <c r="A29" s="119"/>
      <c r="B29" s="301" t="s">
        <v>506</v>
      </c>
      <c r="C29" s="382" t="s">
        <v>888</v>
      </c>
      <c r="D29" s="386">
        <f>IF(D28&gt;0, IF(D28&gt;5,0, 5-D28),0)</f>
        <v>0</v>
      </c>
      <c r="E29" s="386">
        <f t="shared" ref="E29:F29" si="2">IF(E28&gt;0, IF(E28&gt;5,0, 5-E28),0)</f>
        <v>0</v>
      </c>
      <c r="F29" s="712">
        <f t="shared" si="2"/>
        <v>0</v>
      </c>
      <c r="G29" s="295"/>
      <c r="H29" s="301" t="s">
        <v>506</v>
      </c>
      <c r="I29" s="382" t="str">
        <f>"3 ks*"</f>
        <v>3 ks*</v>
      </c>
      <c r="J29" s="386">
        <f>IF(J28&gt;0, IF(J28&gt;5,0, 5-J28),0)</f>
        <v>0</v>
      </c>
      <c r="K29" s="386">
        <f t="shared" ref="K29:L29" si="3">IF(K28&gt;0, IF(K28&gt;5,0, 5-K28),0)</f>
        <v>0</v>
      </c>
      <c r="L29" s="712">
        <f t="shared" si="3"/>
        <v>0</v>
      </c>
      <c r="M29"/>
      <c r="N29" s="119"/>
      <c r="O29" s="119"/>
      <c r="P29" s="209"/>
      <c r="Q29" s="209"/>
      <c r="R29" s="209"/>
      <c r="S29" s="260"/>
      <c r="T29" s="261"/>
      <c r="U29" s="261"/>
    </row>
    <row r="30" spans="1:21" ht="13.5" customHeight="1" x14ac:dyDescent="0.35">
      <c r="A30" s="119"/>
      <c r="C30"/>
      <c r="D30" s="711" t="str">
        <f>IF(D28&gt;5,"Max. 5!"," ")</f>
        <v xml:space="preserve"> </v>
      </c>
      <c r="E30" s="711" t="str">
        <f t="shared" ref="E30:F30" si="4">IF(E28&gt;5,"Max. 5!"," ")</f>
        <v xml:space="preserve"> </v>
      </c>
      <c r="F30" s="711" t="str">
        <f t="shared" si="4"/>
        <v xml:space="preserve"> </v>
      </c>
      <c r="G30" s="27"/>
      <c r="H30"/>
      <c r="I30"/>
      <c r="J30" s="711" t="str">
        <f>IF(J28&gt;5,"Max. 5!"," ")</f>
        <v xml:space="preserve"> </v>
      </c>
      <c r="K30" s="711" t="str">
        <f t="shared" ref="K30:L30" si="5">IF(K28&gt;5,"Max. 5!"," ")</f>
        <v xml:space="preserve"> </v>
      </c>
      <c r="L30" s="711" t="str">
        <f t="shared" si="5"/>
        <v xml:space="preserve"> </v>
      </c>
      <c r="M30"/>
      <c r="N30" s="119"/>
      <c r="O30" s="119"/>
      <c r="P30" s="209"/>
      <c r="Q30" s="209"/>
      <c r="R30" s="209"/>
      <c r="S30" s="260"/>
      <c r="T30" s="261"/>
      <c r="U30" s="261"/>
    </row>
    <row r="31" spans="1:21" ht="9" customHeight="1" x14ac:dyDescent="0.35">
      <c r="A31" s="179"/>
      <c r="G31" s="27"/>
      <c r="H31" s="716"/>
      <c r="I31" s="716"/>
      <c r="J31" s="716"/>
      <c r="K31" s="716"/>
      <c r="L31" s="716"/>
      <c r="M31" s="119"/>
      <c r="N31" s="119"/>
      <c r="O31" s="119"/>
      <c r="P31" s="209"/>
      <c r="Q31" s="209"/>
      <c r="R31" s="209"/>
      <c r="S31" s="260"/>
      <c r="T31" s="261"/>
      <c r="U31" s="261"/>
    </row>
    <row r="32" spans="1:21" ht="15.75" customHeight="1" x14ac:dyDescent="0.25">
      <c r="A32" s="179"/>
      <c r="B32" s="312" t="s">
        <v>1254</v>
      </c>
      <c r="C32" s="7"/>
      <c r="H32" s="312" t="s">
        <v>1254</v>
      </c>
      <c r="I32" s="290"/>
      <c r="J32" s="290"/>
      <c r="K32" s="290"/>
      <c r="L32" s="290"/>
      <c r="M32" s="119"/>
      <c r="N32" s="119"/>
      <c r="O32" s="119"/>
      <c r="P32" s="209"/>
      <c r="Q32" s="209"/>
      <c r="R32" s="209"/>
      <c r="S32" s="260"/>
      <c r="T32" s="261"/>
      <c r="U32" s="261"/>
    </row>
    <row r="33" spans="1:21" ht="15" customHeight="1" x14ac:dyDescent="0.3">
      <c r="A33" s="179"/>
      <c r="B33" s="6"/>
      <c r="C33" s="320" t="str">
        <f>List!$B$115&amp;":"</f>
        <v>Jmenovitá délka:</v>
      </c>
      <c r="D33" s="308">
        <v>450</v>
      </c>
      <c r="E33" s="429">
        <v>500</v>
      </c>
      <c r="F33" s="307">
        <v>550</v>
      </c>
      <c r="G33" s="348"/>
      <c r="H33" s="6"/>
      <c r="I33" s="373" t="str">
        <f>List!$B$115&amp;":"</f>
        <v>Jmenovitá délka:</v>
      </c>
      <c r="J33" s="314">
        <v>450</v>
      </c>
      <c r="K33" s="429">
        <v>500</v>
      </c>
      <c r="L33" s="307">
        <v>550</v>
      </c>
      <c r="M33" s="119"/>
      <c r="N33" s="119"/>
      <c r="O33" s="119"/>
      <c r="P33" s="209"/>
      <c r="Q33" s="209"/>
      <c r="R33" s="209"/>
      <c r="S33" s="260"/>
      <c r="T33" s="261"/>
      <c r="U33" s="261"/>
    </row>
    <row r="34" spans="1:21" ht="15" customHeight="1" x14ac:dyDescent="0.3">
      <c r="A34" s="179"/>
      <c r="B34" s="374"/>
      <c r="C34" s="320" t="str">
        <f>List!$B$99&amp;":"</f>
        <v>Počet skříní:</v>
      </c>
      <c r="D34" s="317"/>
      <c r="E34" s="317"/>
      <c r="F34" s="371"/>
      <c r="G34" s="295"/>
      <c r="H34" s="374"/>
      <c r="I34" s="320" t="str">
        <f>List!$B$99&amp;":"</f>
        <v>Počet skříní:</v>
      </c>
      <c r="J34" s="317"/>
      <c r="K34" s="317"/>
      <c r="L34" s="318"/>
      <c r="M34" s="144"/>
      <c r="N34" s="144"/>
      <c r="O34" s="119"/>
      <c r="P34" s="209"/>
      <c r="Q34" s="209"/>
      <c r="R34" s="209"/>
      <c r="S34" s="260"/>
      <c r="T34" s="261"/>
      <c r="U34" s="261"/>
    </row>
    <row r="35" spans="1:21" ht="19.5" customHeight="1" x14ac:dyDescent="0.35">
      <c r="A35" s="179"/>
      <c r="B35" s="372" t="str">
        <f>List!$B$126&amp;"**"</f>
        <v>Korpusové lišty**</v>
      </c>
      <c r="C35" s="320"/>
      <c r="D35" s="24"/>
      <c r="E35" s="24"/>
      <c r="F35" s="24"/>
      <c r="G35" s="27"/>
      <c r="H35" s="372" t="str">
        <f>List!$B$126&amp;"**"</f>
        <v>Korpusové lišty**</v>
      </c>
      <c r="I35" s="320"/>
      <c r="J35"/>
      <c r="K35"/>
      <c r="L35"/>
      <c r="M35" s="144"/>
      <c r="N35" s="144"/>
      <c r="P35" s="122"/>
      <c r="Q35" s="122"/>
      <c r="R35" s="122"/>
      <c r="S35" s="123"/>
      <c r="T35" s="118"/>
      <c r="U35" s="261"/>
    </row>
    <row r="36" spans="1:21" ht="15" customHeight="1" thickBot="1" x14ac:dyDescent="0.35">
      <c r="A36" s="179"/>
      <c r="B36" s="297" t="s">
        <v>505</v>
      </c>
      <c r="C36" s="384" t="s">
        <v>887</v>
      </c>
      <c r="D36" s="387"/>
      <c r="E36" s="387"/>
      <c r="F36" s="388"/>
      <c r="G36" s="295"/>
      <c r="H36" s="297" t="s">
        <v>505</v>
      </c>
      <c r="I36" s="298" t="str">
        <f>"2 ks*"</f>
        <v>2 ks*</v>
      </c>
      <c r="J36" s="389"/>
      <c r="K36" s="389"/>
      <c r="L36" s="390"/>
      <c r="M36" s="144"/>
      <c r="N36" s="144"/>
      <c r="P36" s="122"/>
      <c r="Q36" s="122"/>
      <c r="R36" s="122"/>
      <c r="S36" s="123"/>
      <c r="T36" s="118"/>
      <c r="U36" s="693"/>
    </row>
    <row r="37" spans="1:21" ht="15" customHeight="1" x14ac:dyDescent="0.3">
      <c r="A37" s="179"/>
      <c r="B37" s="301" t="s">
        <v>506</v>
      </c>
      <c r="C37" s="382" t="s">
        <v>888</v>
      </c>
      <c r="D37" s="386">
        <f>IF(D36&gt;0,IF(D36&gt;5,0,5-D36),0)</f>
        <v>0</v>
      </c>
      <c r="E37" s="386">
        <f t="shared" ref="E37:F37" si="6">IF(E36&gt;0,IF(E36&gt;5,0,5-E36),0)</f>
        <v>0</v>
      </c>
      <c r="F37" s="712">
        <f t="shared" si="6"/>
        <v>0</v>
      </c>
      <c r="G37" s="295"/>
      <c r="H37" s="301" t="s">
        <v>506</v>
      </c>
      <c r="I37" s="382" t="str">
        <f>"3 ks*"</f>
        <v>3 ks*</v>
      </c>
      <c r="J37" s="386">
        <f>IF(J36&gt;0,IF(J36&gt;5,0,5-J36),0)</f>
        <v>0</v>
      </c>
      <c r="K37" s="386">
        <f t="shared" ref="K37:L37" si="7">IF(K36&gt;0,IF(K36&gt;5,0,5-K36),0)</f>
        <v>0</v>
      </c>
      <c r="L37" s="712">
        <f t="shared" si="7"/>
        <v>0</v>
      </c>
      <c r="M37" s="144"/>
      <c r="N37" s="144"/>
      <c r="P37" s="122"/>
      <c r="Q37" s="122"/>
      <c r="R37" s="122"/>
      <c r="S37" s="123"/>
      <c r="T37" s="118"/>
      <c r="U37" s="693"/>
    </row>
    <row r="38" spans="1:21" ht="13.5" customHeight="1" x14ac:dyDescent="0.3">
      <c r="A38" s="179"/>
      <c r="C38" s="316"/>
      <c r="D38" s="711" t="str">
        <f>IF(D36&gt;5,"Max. 5!"," ")</f>
        <v xml:space="preserve"> </v>
      </c>
      <c r="E38" s="711" t="str">
        <f t="shared" ref="E38:F38" si="8">IF(E36&gt;5,"Max. 5!"," ")</f>
        <v xml:space="preserve"> </v>
      </c>
      <c r="F38" s="711" t="str">
        <f t="shared" si="8"/>
        <v xml:space="preserve"> </v>
      </c>
      <c r="G38" s="295"/>
      <c r="H38" s="383"/>
      <c r="I38" s="316"/>
      <c r="J38" s="711" t="str">
        <f>IF(J36&gt;5,"Max. 5!"," ")</f>
        <v xml:space="preserve"> </v>
      </c>
      <c r="K38" s="711" t="str">
        <f t="shared" ref="K38:L38" si="9">IF(K36&gt;5,"Max. 5!"," ")</f>
        <v xml:space="preserve"> </v>
      </c>
      <c r="L38" s="711" t="str">
        <f t="shared" si="9"/>
        <v xml:space="preserve"> </v>
      </c>
      <c r="M38" s="144"/>
      <c r="N38" s="144"/>
      <c r="P38" s="122"/>
      <c r="Q38" s="122"/>
      <c r="R38" s="122"/>
      <c r="S38" s="123"/>
      <c r="T38" s="118"/>
      <c r="U38" s="693"/>
    </row>
    <row r="39" spans="1:21" ht="13.5" customHeight="1" x14ac:dyDescent="0.3">
      <c r="A39" s="179"/>
      <c r="C39" s="347"/>
      <c r="D39" s="348"/>
      <c r="E39" s="348"/>
      <c r="F39" s="348"/>
      <c r="G39" s="348"/>
      <c r="H39" s="348"/>
      <c r="I39" s="348"/>
      <c r="J39" s="295"/>
      <c r="K39" s="348"/>
      <c r="L39" s="348"/>
      <c r="M39" s="144"/>
      <c r="N39" s="144"/>
      <c r="P39" s="122"/>
      <c r="Q39" s="122"/>
      <c r="R39" s="122"/>
      <c r="S39" s="123"/>
      <c r="T39" s="118"/>
      <c r="U39" s="693"/>
    </row>
    <row r="40" spans="1:21" ht="13.5" customHeight="1" x14ac:dyDescent="0.3">
      <c r="A40" s="179"/>
      <c r="B40" s="119" t="str">
        <f>"       * "&amp;List!$B$162</f>
        <v xml:space="preserve">       * Nastavené počty korpusových lišt</v>
      </c>
      <c r="C40" s="347"/>
      <c r="D40" s="348"/>
      <c r="E40" s="348"/>
      <c r="F40" s="348"/>
      <c r="G40" s="348"/>
      <c r="H40" s="348"/>
      <c r="I40" s="348"/>
      <c r="J40" s="295"/>
      <c r="K40" s="348"/>
      <c r="L40" s="348"/>
      <c r="M40" s="144"/>
      <c r="N40" s="144"/>
      <c r="P40" s="122"/>
      <c r="Q40" s="122"/>
      <c r="R40" s="122"/>
      <c r="S40" s="123"/>
      <c r="T40" s="118"/>
      <c r="U40" s="693"/>
    </row>
    <row r="41" spans="1:21" ht="13.5" customHeight="1" x14ac:dyDescent="0.3">
      <c r="A41" s="179"/>
      <c r="B41" s="119" t="str">
        <f>"     ** "&amp;List!$B$313</f>
        <v xml:space="preserve">     ** Jednotky TIP-ON BLUMOTION budou přidány automaticky</v>
      </c>
      <c r="C41" s="347"/>
      <c r="D41" s="348"/>
      <c r="E41" s="348"/>
      <c r="F41" s="348"/>
      <c r="G41" s="348"/>
      <c r="H41" s="348"/>
      <c r="I41" s="348"/>
      <c r="J41" s="295"/>
      <c r="K41" s="348"/>
      <c r="L41" s="348"/>
      <c r="M41" s="144"/>
      <c r="N41" s="144"/>
      <c r="P41" s="364" t="str">
        <f>Cen!A209</f>
        <v>Korpusové lišty TIP-ON BLUMOTION, 270mm, 40kg</v>
      </c>
      <c r="Q41" s="364" t="str">
        <f>Cen!B209</f>
        <v>750.2700M</v>
      </c>
      <c r="R41" s="364" t="str">
        <f>Cen!C209</f>
        <v>ZN</v>
      </c>
      <c r="S41" s="365"/>
      <c r="T41" s="366">
        <f>Cen!F209</f>
        <v>21.925909999999998</v>
      </c>
      <c r="U41" s="366">
        <f>S41*T41</f>
        <v>0</v>
      </c>
    </row>
    <row r="42" spans="1:21" ht="13.5" customHeight="1" x14ac:dyDescent="0.3">
      <c r="A42" s="179"/>
      <c r="B42" s="2" t="str">
        <f>"         "&amp;List!B303</f>
        <v xml:space="preserve">         Synchronizaci vyberte v sekci "Výběr doplňků"</v>
      </c>
      <c r="C42" s="347"/>
      <c r="D42" s="348"/>
      <c r="E42" s="348"/>
      <c r="F42" s="348"/>
      <c r="G42" s="348"/>
      <c r="H42" s="348"/>
      <c r="I42" s="348"/>
      <c r="J42" s="295"/>
      <c r="K42" s="348"/>
      <c r="L42" s="348"/>
      <c r="M42" s="144"/>
      <c r="N42" s="144"/>
      <c r="P42" s="364" t="str">
        <f>Cen!A210</f>
        <v>Korpusové lišty TIP-ON BLUMOTION, 300mm, 40kg</v>
      </c>
      <c r="Q42" s="364" t="str">
        <f>Cen!B210</f>
        <v>750.3001M</v>
      </c>
      <c r="R42" s="364" t="str">
        <f>Cen!C210</f>
        <v>ZN</v>
      </c>
      <c r="S42" s="365"/>
      <c r="T42" s="366">
        <f>Cen!F210</f>
        <v>21.925909999999998</v>
      </c>
      <c r="U42" s="366">
        <f t="shared" ref="U42:U58" si="10">S42*T42</f>
        <v>0</v>
      </c>
    </row>
    <row r="43" spans="1:21" ht="14" x14ac:dyDescent="0.3">
      <c r="A43" s="179"/>
      <c r="B43" s="119"/>
      <c r="C43" s="348"/>
      <c r="D43" s="295"/>
      <c r="E43" s="295"/>
      <c r="F43" s="295"/>
      <c r="G43" s="295"/>
      <c r="H43" s="295"/>
      <c r="I43" s="295"/>
      <c r="J43" s="295"/>
      <c r="K43" s="295"/>
      <c r="L43" s="295"/>
      <c r="M43" s="119"/>
      <c r="N43" s="119"/>
      <c r="P43" s="364" t="str">
        <f>Cen!A211</f>
        <v>Korpusové lišty TIP-ON BLUMOTION, 350mm, 40kg</v>
      </c>
      <c r="Q43" s="364" t="str">
        <f>Cen!B211</f>
        <v>750.3501M</v>
      </c>
      <c r="R43" s="364" t="str">
        <f>Cen!C211</f>
        <v>ZN</v>
      </c>
      <c r="S43" s="365"/>
      <c r="T43" s="366">
        <f>Cen!F211</f>
        <v>21.925909999999998</v>
      </c>
      <c r="U43" s="366">
        <f t="shared" si="10"/>
        <v>0</v>
      </c>
    </row>
    <row r="44" spans="1:21" ht="14" x14ac:dyDescent="0.3">
      <c r="A44" s="179"/>
      <c r="B44" s="119" t="str">
        <f>"        "&amp;List!$B$169</f>
        <v xml:space="preserve">        Boční zásuvné prvky se načtou automaticky</v>
      </c>
      <c r="C44" s="348"/>
      <c r="D44" s="295"/>
      <c r="E44" s="295"/>
      <c r="F44" s="295"/>
      <c r="G44" s="295"/>
      <c r="H44" s="295"/>
      <c r="I44" s="295"/>
      <c r="J44" s="295"/>
      <c r="K44" s="295"/>
      <c r="L44" s="295"/>
      <c r="M44" s="119"/>
      <c r="N44" s="119"/>
      <c r="P44" s="364" t="str">
        <f>Cen!A212</f>
        <v>Korpusové lišty TIP-ON BLUMOTION, 400mm, 40kg</v>
      </c>
      <c r="Q44" s="364" t="str">
        <f>Cen!B212</f>
        <v>750.4001M</v>
      </c>
      <c r="R44" s="364" t="str">
        <f>Cen!C212</f>
        <v>ZN</v>
      </c>
      <c r="S44" s="365"/>
      <c r="T44" s="366">
        <f>Cen!F212</f>
        <v>22.204979999999999</v>
      </c>
      <c r="U44" s="366">
        <f t="shared" si="10"/>
        <v>0</v>
      </c>
    </row>
    <row r="45" spans="1:21" ht="14" x14ac:dyDescent="0.3">
      <c r="A45" s="179"/>
      <c r="B45" s="119" t="str">
        <f>"        "&amp;List!$B$173</f>
        <v xml:space="preserve">        Máte-li zásuvné prvky vlastní, upravte počty v objednávce</v>
      </c>
      <c r="C45" s="348"/>
      <c r="D45" s="295"/>
      <c r="E45" s="295"/>
      <c r="F45" s="295"/>
      <c r="G45" s="295"/>
      <c r="H45" s="295"/>
      <c r="I45" s="295"/>
      <c r="J45" s="295"/>
      <c r="K45" s="295"/>
      <c r="L45" s="295"/>
      <c r="M45" s="119"/>
      <c r="N45" s="119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385">
        <f>IF($D$36&gt;0, $D$36*$D$34, 4*$D$34)+IF($J$36&gt;0, $J$36*$J$34, 2*$J$34)</f>
        <v>0</v>
      </c>
      <c r="T45" s="118">
        <f>Cen!F213</f>
        <v>23.667639999999995</v>
      </c>
      <c r="U45" s="118">
        <f>S45*T45</f>
        <v>0</v>
      </c>
    </row>
    <row r="46" spans="1:21" ht="14" x14ac:dyDescent="0.3">
      <c r="A46" s="179"/>
      <c r="C46" s="348"/>
      <c r="D46" s="295"/>
      <c r="E46" s="295"/>
      <c r="F46" s="295"/>
      <c r="G46" s="295"/>
      <c r="H46" s="295"/>
      <c r="I46" s="295"/>
      <c r="J46" s="295"/>
      <c r="K46" s="295"/>
      <c r="L46" s="295"/>
      <c r="M46" s="119"/>
      <c r="N46" s="119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385">
        <f>IF($D$36&gt;0, $D$37*$D$34, 1*$D$34)+IF($J$36&gt;0, $J$37*$J$34, 3*$J$34)</f>
        <v>0</v>
      </c>
      <c r="T46" s="118">
        <f>Cen!F214</f>
        <v>27.780560000000001</v>
      </c>
      <c r="U46" s="118">
        <f>S46*T46</f>
        <v>0</v>
      </c>
    </row>
    <row r="47" spans="1:21" ht="14" x14ac:dyDescent="0.3">
      <c r="A47" s="179"/>
      <c r="C47" s="348"/>
      <c r="D47" s="295"/>
      <c r="E47" s="295"/>
      <c r="F47" s="295"/>
      <c r="G47" s="295"/>
      <c r="H47" s="295"/>
      <c r="I47" s="295"/>
      <c r="J47" s="295"/>
      <c r="K47" s="295"/>
      <c r="L47" s="295"/>
      <c r="M47" s="119"/>
      <c r="N47" s="11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385">
        <f>IF($E$36&gt;0, $E$36*$E$34, 4*$E$34)+IF($K$36&gt;0, $K$36*$K$34, 2*$K$34)</f>
        <v>0</v>
      </c>
      <c r="T47" s="696">
        <f>Cen!F215</f>
        <v>23.961559999999999</v>
      </c>
      <c r="U47" s="696">
        <f>S47*T47</f>
        <v>0</v>
      </c>
    </row>
    <row r="48" spans="1:21" ht="14" x14ac:dyDescent="0.3">
      <c r="A48" s="179"/>
      <c r="C48" s="348"/>
      <c r="D48" s="295"/>
      <c r="E48" s="295"/>
      <c r="F48" s="295"/>
      <c r="G48" s="295"/>
      <c r="H48" s="295"/>
      <c r="I48" s="295"/>
      <c r="J48" s="295"/>
      <c r="K48" s="295"/>
      <c r="L48" s="295"/>
      <c r="M48" s="119"/>
      <c r="N48" s="11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385">
        <f>IF($E$36&gt;0, $E$37*$E$34, 1*$E$34)+IF($K$36&gt;0, $K$37*$K$34, 3*$K$34)</f>
        <v>0</v>
      </c>
      <c r="T48" s="696">
        <f>Cen!F216</f>
        <v>28.059809999999999</v>
      </c>
      <c r="U48" s="696">
        <f>S48*T48</f>
        <v>0</v>
      </c>
    </row>
    <row r="49" spans="1:21" ht="14" x14ac:dyDescent="0.3">
      <c r="A49" s="179"/>
      <c r="C49" s="348"/>
      <c r="D49" s="295"/>
      <c r="E49" s="295"/>
      <c r="F49" s="295"/>
      <c r="G49" s="295"/>
      <c r="H49" s="295"/>
      <c r="I49" s="295"/>
      <c r="J49" s="295"/>
      <c r="K49" s="295"/>
      <c r="L49" s="295"/>
      <c r="M49" s="119"/>
      <c r="N49" s="119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385">
        <f>IF($F$36&gt;0, $F$36*$F$34, 4*$F$34)+IF($L$36&gt;0, $L$36*$L$34, 2*$L$34)</f>
        <v>0</v>
      </c>
      <c r="T49" s="118">
        <f>Cen!F217</f>
        <v>24.254210000000004</v>
      </c>
      <c r="U49" s="118">
        <f t="shared" si="10"/>
        <v>0</v>
      </c>
    </row>
    <row r="50" spans="1:21" ht="14" x14ac:dyDescent="0.3">
      <c r="A50" s="179"/>
      <c r="C50" s="348"/>
      <c r="D50" s="295"/>
      <c r="E50" s="295"/>
      <c r="F50" s="295"/>
      <c r="G50" s="295"/>
      <c r="H50" s="295"/>
      <c r="I50" s="295"/>
      <c r="J50" s="295"/>
      <c r="K50" s="295"/>
      <c r="L50" s="295"/>
      <c r="M50" s="119"/>
      <c r="N50" s="119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385">
        <f>IF($F$36&gt;0, $F$37*$F$34, 1*$F$34)+IF($L$36&gt;0, $L$37*$L$34, 3*$L$34)</f>
        <v>0</v>
      </c>
      <c r="T50" s="118">
        <f>Cen!F218</f>
        <v>29.550529999999998</v>
      </c>
      <c r="U50" s="118">
        <f t="shared" si="10"/>
        <v>0</v>
      </c>
    </row>
    <row r="51" spans="1:21" ht="14" x14ac:dyDescent="0.3">
      <c r="A51" s="179"/>
      <c r="C51" s="348"/>
      <c r="D51" s="295"/>
      <c r="E51" s="295"/>
      <c r="F51" s="295"/>
      <c r="G51" s="295"/>
      <c r="H51" s="295"/>
      <c r="I51" s="295"/>
      <c r="J51" s="295"/>
      <c r="K51" s="295"/>
      <c r="L51" s="295"/>
      <c r="M51" s="119"/>
      <c r="N51" s="119"/>
      <c r="P51" s="364" t="str">
        <f>Cen!A219</f>
        <v>Korpusové lišty TIP-ON BLUMOTION, 600mm, 40kg</v>
      </c>
      <c r="Q51" s="364" t="str">
        <f>Cen!B219</f>
        <v>750.6001M</v>
      </c>
      <c r="R51" s="364" t="str">
        <f>Cen!C219</f>
        <v>ZN</v>
      </c>
      <c r="S51" s="365"/>
      <c r="T51" s="366">
        <f>Cen!F219</f>
        <v>27.259979999999999</v>
      </c>
      <c r="U51" s="366">
        <f t="shared" si="10"/>
        <v>0</v>
      </c>
    </row>
    <row r="52" spans="1:21" ht="14" x14ac:dyDescent="0.3">
      <c r="A52" s="179"/>
      <c r="C52" s="348"/>
      <c r="D52" s="295"/>
      <c r="E52" s="295"/>
      <c r="F52" s="295"/>
      <c r="G52" s="295"/>
      <c r="H52" s="295"/>
      <c r="I52" s="295"/>
      <c r="J52" s="295"/>
      <c r="K52" s="295"/>
      <c r="L52" s="295"/>
      <c r="M52" s="119"/>
      <c r="N52" s="119"/>
      <c r="P52" s="364" t="str">
        <f>Cen!A220</f>
        <v>Korpusové lišty TIP-ON BLUMOTION, 600mm, 70kg</v>
      </c>
      <c r="Q52" s="364" t="str">
        <f>Cen!B220</f>
        <v>753.6001M</v>
      </c>
      <c r="R52" s="364" t="str">
        <f>Cen!C220</f>
        <v>ZN</v>
      </c>
      <c r="S52" s="365"/>
      <c r="T52" s="366">
        <f>Cen!F220</f>
        <v>32.5563</v>
      </c>
      <c r="U52" s="366">
        <f t="shared" si="10"/>
        <v>0</v>
      </c>
    </row>
    <row r="53" spans="1:21" ht="14" x14ac:dyDescent="0.3">
      <c r="A53" s="179"/>
      <c r="C53" s="348"/>
      <c r="D53" s="295"/>
      <c r="E53" s="295"/>
      <c r="F53" s="295"/>
      <c r="G53" s="295"/>
      <c r="H53" s="295"/>
      <c r="I53" s="295"/>
      <c r="J53" s="295"/>
      <c r="K53" s="295"/>
      <c r="L53" s="295"/>
      <c r="M53" s="119"/>
      <c r="N53" s="119"/>
      <c r="P53" s="364" t="str">
        <f>Cen!A221</f>
        <v>Korpusové lišty TIP-ON BLUMOTION, 650mm, 70kg</v>
      </c>
      <c r="Q53" s="364" t="str">
        <f>Cen!B221</f>
        <v>753.6501M</v>
      </c>
      <c r="R53" s="364" t="str">
        <f>Cen!C221</f>
        <v>ZN</v>
      </c>
      <c r="S53" s="365"/>
      <c r="T53" s="366">
        <f>Cen!F221</f>
        <v>34.047020000000003</v>
      </c>
      <c r="U53" s="366">
        <f t="shared" si="10"/>
        <v>0</v>
      </c>
    </row>
    <row r="54" spans="1:21" ht="14" x14ac:dyDescent="0.3">
      <c r="A54" s="179"/>
      <c r="C54" s="348"/>
      <c r="D54" s="295"/>
      <c r="E54" s="295"/>
      <c r="F54" s="295"/>
      <c r="G54" s="295"/>
      <c r="H54" s="295"/>
      <c r="I54" s="295"/>
      <c r="J54" s="295"/>
      <c r="K54" s="295"/>
      <c r="L54" s="295"/>
      <c r="M54" s="119"/>
      <c r="N54" s="119"/>
      <c r="P54" s="122"/>
      <c r="Q54" s="122"/>
      <c r="R54" s="122"/>
      <c r="S54" s="123"/>
      <c r="T54" s="118"/>
      <c r="U54" s="118"/>
    </row>
    <row r="55" spans="1:21" ht="14" x14ac:dyDescent="0.3">
      <c r="A55" s="179"/>
      <c r="C55" s="348"/>
      <c r="D55" s="295"/>
      <c r="E55" s="295"/>
      <c r="F55" s="295"/>
      <c r="G55" s="295"/>
      <c r="H55" s="295"/>
      <c r="I55" s="295"/>
      <c r="J55" s="295"/>
      <c r="K55" s="295"/>
      <c r="L55" s="295"/>
      <c r="M55" s="119"/>
      <c r="N55" s="119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/>
      <c r="T55" s="118">
        <f>Cen!F223</f>
        <v>15.883479999999999</v>
      </c>
      <c r="U55" s="118">
        <f t="shared" si="10"/>
        <v>0</v>
      </c>
    </row>
    <row r="56" spans="1:21" ht="14" x14ac:dyDescent="0.3">
      <c r="A56" s="179"/>
      <c r="C56" s="348"/>
      <c r="D56" s="295"/>
      <c r="E56" s="295"/>
      <c r="F56" s="295"/>
      <c r="G56" s="295"/>
      <c r="H56" s="295"/>
      <c r="I56" s="295"/>
      <c r="J56" s="295"/>
      <c r="K56" s="295"/>
      <c r="L56" s="295"/>
      <c r="M56" s="119"/>
      <c r="N56" s="119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/>
      <c r="T56" s="118">
        <f>Cen!F224</f>
        <v>15.883479999999999</v>
      </c>
      <c r="U56" s="118">
        <f t="shared" si="10"/>
        <v>0</v>
      </c>
    </row>
    <row r="57" spans="1:21" ht="14" x14ac:dyDescent="0.3">
      <c r="A57" s="179"/>
      <c r="C57" s="348"/>
      <c r="D57" s="295"/>
      <c r="E57" s="295"/>
      <c r="F57" s="295"/>
      <c r="G57" s="295"/>
      <c r="H57" s="295"/>
      <c r="I57" s="295"/>
      <c r="J57" s="295"/>
      <c r="K57" s="295"/>
      <c r="L57" s="295"/>
      <c r="M57" s="119"/>
      <c r="N57" s="119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SUM(S45,S47,S49)</f>
        <v>0</v>
      </c>
      <c r="T57" s="118">
        <f>Cen!F225</f>
        <v>15.883479999999999</v>
      </c>
      <c r="U57" s="118">
        <f t="shared" si="10"/>
        <v>0</v>
      </c>
    </row>
    <row r="58" spans="1:21" ht="14" x14ac:dyDescent="0.3">
      <c r="A58" s="179"/>
      <c r="C58" s="348"/>
      <c r="D58" s="295"/>
      <c r="E58" s="295"/>
      <c r="F58" s="295"/>
      <c r="G58" s="295"/>
      <c r="H58" s="295"/>
      <c r="I58" s="295"/>
      <c r="J58" s="295"/>
      <c r="K58" s="295"/>
      <c r="L58" s="295"/>
      <c r="M58" s="119"/>
      <c r="N58" s="119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SUM(S46,S48,S50)</f>
        <v>0</v>
      </c>
      <c r="T58" s="118">
        <f>Cen!F226</f>
        <v>15.883479999999999</v>
      </c>
      <c r="U58" s="118">
        <f t="shared" si="10"/>
        <v>0</v>
      </c>
    </row>
    <row r="59" spans="1:21" ht="14" x14ac:dyDescent="0.3">
      <c r="A59" s="179"/>
      <c r="C59" s="348"/>
      <c r="D59" s="295"/>
      <c r="E59" s="295"/>
      <c r="F59" s="295"/>
      <c r="G59" s="295"/>
      <c r="H59" s="295"/>
      <c r="I59" s="295"/>
      <c r="J59" s="295"/>
      <c r="K59" s="295"/>
      <c r="L59" s="295"/>
      <c r="M59" s="119"/>
      <c r="N59" s="119"/>
      <c r="P59" s="144"/>
      <c r="Q59" s="144"/>
      <c r="R59" s="144"/>
      <c r="S59" s="150"/>
      <c r="T59" s="154"/>
      <c r="U59" s="154"/>
    </row>
    <row r="60" spans="1:21" ht="14" x14ac:dyDescent="0.3">
      <c r="A60" s="179"/>
      <c r="C60" s="316"/>
      <c r="D60" s="359"/>
      <c r="E60" s="359"/>
      <c r="F60" s="359"/>
      <c r="G60" s="359"/>
      <c r="H60" s="359"/>
      <c r="I60" s="295"/>
      <c r="J60" s="295"/>
      <c r="K60" s="295"/>
      <c r="L60" s="295"/>
      <c r="M60" s="119"/>
      <c r="P60" s="122" t="str">
        <f>Cen!A251</f>
        <v>Držáky zadní stěny M, Orion šedé</v>
      </c>
      <c r="Q60" s="122" t="str">
        <f>Cen!B251</f>
        <v>ZB7M000S</v>
      </c>
      <c r="R60" s="122" t="str">
        <f>Cen!C251</f>
        <v>OG-M</v>
      </c>
      <c r="S60" s="123">
        <f>SUM(S3:S6)</f>
        <v>0</v>
      </c>
      <c r="T60" s="118">
        <f>Cen!F251</f>
        <v>1.20011</v>
      </c>
      <c r="U60" s="118">
        <f t="shared" ref="U60:U65" si="11">S60*T60</f>
        <v>0</v>
      </c>
    </row>
    <row r="61" spans="1:21" ht="13" x14ac:dyDescent="0.3">
      <c r="A61" s="179"/>
      <c r="B61" s="119"/>
      <c r="C61" s="294"/>
      <c r="D61" s="179"/>
      <c r="E61" s="179"/>
      <c r="F61" s="179"/>
      <c r="G61" s="179"/>
      <c r="H61" s="179"/>
      <c r="I61" s="288"/>
      <c r="J61" s="288"/>
      <c r="K61" s="288"/>
      <c r="L61" s="288"/>
      <c r="M61" s="119"/>
      <c r="P61" s="122" t="str">
        <f>Cen!A259</f>
        <v>Držáky zadní stěny C, Orion šedé</v>
      </c>
      <c r="Q61" s="122" t="str">
        <f>Cen!B259</f>
        <v>ZB7C000S</v>
      </c>
      <c r="R61" s="122" t="str">
        <f>Cen!C259</f>
        <v>OG-M</v>
      </c>
      <c r="S61" s="123">
        <f>SUM(S7:S10)</f>
        <v>0</v>
      </c>
      <c r="T61" s="118">
        <f>Cen!$F259</f>
        <v>1.59894</v>
      </c>
      <c r="U61" s="118">
        <f t="shared" si="11"/>
        <v>0</v>
      </c>
    </row>
    <row r="62" spans="1:21" ht="13" x14ac:dyDescent="0.3">
      <c r="B62" s="119"/>
      <c r="C62" s="294"/>
      <c r="D62" s="179"/>
      <c r="E62" s="179"/>
      <c r="F62" s="179"/>
      <c r="G62" s="179"/>
      <c r="H62" s="179"/>
      <c r="I62" s="179"/>
      <c r="J62" s="179"/>
      <c r="K62" s="179"/>
      <c r="L62" s="179"/>
      <c r="M62" s="119"/>
      <c r="P62" s="122" t="str">
        <f>Cen!A297</f>
        <v>Sada kování vnitř.výs. C, s relingem, Orion šedá</v>
      </c>
      <c r="Q62" s="122" t="str">
        <f>Cen!B297</f>
        <v>ZI7.3CS0</v>
      </c>
      <c r="R62" s="122" t="str">
        <f>Cen!C297</f>
        <v>OG-M</v>
      </c>
      <c r="S62" s="123">
        <f>SUM(S7:S10)</f>
        <v>0</v>
      </c>
      <c r="T62" s="118">
        <f>Cen!F297</f>
        <v>18.150179999999999</v>
      </c>
      <c r="U62" s="118">
        <f t="shared" si="11"/>
        <v>0</v>
      </c>
    </row>
    <row r="63" spans="1:21" ht="14.5" x14ac:dyDescent="0.35">
      <c r="B63" s="24"/>
      <c r="C63" s="287"/>
      <c r="I63" s="289"/>
      <c r="J63" s="289"/>
      <c r="K63" s="289"/>
      <c r="L63" s="289"/>
      <c r="M63" s="119"/>
      <c r="P63" s="122" t="str">
        <f>Cen!A285</f>
        <v>Sada kování vnitřní zásuvky M, Orion šedá</v>
      </c>
      <c r="Q63" s="122" t="str">
        <f>Cen!B285</f>
        <v>ZI7.0MS0</v>
      </c>
      <c r="R63" s="122" t="str">
        <f>Cen!C285</f>
        <v>OG-M</v>
      </c>
      <c r="S63" s="123">
        <f>SUM(S3:S6)</f>
        <v>0</v>
      </c>
      <c r="T63" s="118">
        <f>Cen!F285</f>
        <v>13.714750000000002</v>
      </c>
      <c r="U63" s="118">
        <f t="shared" si="11"/>
        <v>0</v>
      </c>
    </row>
    <row r="64" spans="1:21" ht="13" x14ac:dyDescent="0.3">
      <c r="C64" s="287"/>
      <c r="I64" s="290"/>
      <c r="J64" s="290"/>
      <c r="K64" s="290"/>
      <c r="L64" s="290"/>
      <c r="P64" s="122" t="str">
        <f>Cen!A310</f>
        <v>Přední díl vnitřní zásuvky, bez drážky, Orion šedý</v>
      </c>
      <c r="Q64" s="122" t="str">
        <f>Cen!B310</f>
        <v>ZV7.1043C01</v>
      </c>
      <c r="R64" s="122" t="str">
        <f>Cen!C310</f>
        <v>OG-M</v>
      </c>
      <c r="S64" s="336">
        <f>ROUNDUP(SUM($D$26, $E$26, $F$26, $D$34, $E$34, $F$34)/3*5, 0)+ROUNDUP(SUM($J$26, $K$26, $L$26, $J$34, $K$34, $L$34)/2*5,0)</f>
        <v>0</v>
      </c>
      <c r="T64" s="118">
        <f>Cen!F310</f>
        <v>15.491620000000001</v>
      </c>
      <c r="U64" s="118">
        <f t="shared" si="11"/>
        <v>0</v>
      </c>
    </row>
    <row r="65" spans="1:21" ht="13" x14ac:dyDescent="0.3">
      <c r="C65" s="287"/>
      <c r="I65" s="288"/>
      <c r="J65" s="288"/>
      <c r="K65" s="288"/>
      <c r="L65" s="288"/>
      <c r="P65" s="122" t="str">
        <f>Cen!A338</f>
        <v>Příčný reling vnitřní zásuvky, Orion šedý</v>
      </c>
      <c r="Q65" s="122" t="str">
        <f>Cen!B338</f>
        <v>ZR7.1080U</v>
      </c>
      <c r="R65" s="122" t="str">
        <f>Cen!C338</f>
        <v>OG-M</v>
      </c>
      <c r="S65" s="336">
        <f>ROUNDUP(SUM($D$26, $E$26, $F$26, $D$34, $E$34, $F$34)/3*4, 0)+ROUNDUP(SUM($J$26, $K$26, $L$26, $J$34, $K$34, $L$34)/2*4,0)</f>
        <v>0</v>
      </c>
      <c r="T65" s="118">
        <f>Cen!F338</f>
        <v>6.60684</v>
      </c>
      <c r="U65" s="118">
        <f t="shared" si="11"/>
        <v>0</v>
      </c>
    </row>
    <row r="66" spans="1:21" ht="15.5" x14ac:dyDescent="0.35">
      <c r="B66" s="391"/>
      <c r="C66" s="291"/>
      <c r="D66" s="347"/>
      <c r="E66" s="348"/>
      <c r="F66" s="349"/>
      <c r="G66" s="349"/>
      <c r="H66" s="348"/>
      <c r="I66" s="348"/>
      <c r="J66" s="291"/>
      <c r="K66" s="291"/>
      <c r="L66" s="291"/>
      <c r="P66" s="144"/>
      <c r="Q66" s="144"/>
      <c r="R66" s="144"/>
      <c r="S66" s="150"/>
      <c r="T66" s="154"/>
      <c r="U66" s="154"/>
    </row>
    <row r="67" spans="1:21" ht="14" x14ac:dyDescent="0.3">
      <c r="B67" s="383"/>
      <c r="C67" s="287"/>
      <c r="I67" s="288"/>
      <c r="J67" s="288"/>
      <c r="K67" s="288"/>
      <c r="L67" s="288"/>
      <c r="P67" s="119"/>
      <c r="Q67" s="119"/>
    </row>
    <row r="68" spans="1:21" x14ac:dyDescent="0.25">
      <c r="B68" s="179"/>
      <c r="G68" s="2"/>
      <c r="P68" s="209" t="str">
        <f>Cen!A168</f>
        <v>Boční zásuvné prvky, sklo, pro 350 mm</v>
      </c>
      <c r="Q68" s="209" t="str">
        <f>Cen!B168</f>
        <v>ZE7S238G</v>
      </c>
      <c r="R68" s="209" t="str">
        <f>Cen!C168</f>
        <v>KLA</v>
      </c>
      <c r="S68" s="260"/>
      <c r="T68" s="607">
        <f>Cen!F168</f>
        <v>20.738469999999996</v>
      </c>
      <c r="U68" s="261">
        <f>S68*T68</f>
        <v>0</v>
      </c>
    </row>
    <row r="69" spans="1:21" x14ac:dyDescent="0.25">
      <c r="B69" s="179"/>
      <c r="G69" s="2"/>
      <c r="P69" s="127" t="str">
        <f>Cen!A169</f>
        <v>Boční zásuvné prvky, sklo, pro 400 mm</v>
      </c>
      <c r="Q69" s="127" t="str">
        <f>Cen!B169</f>
        <v>ZE7S288G</v>
      </c>
      <c r="R69" s="127" t="str">
        <f>Cen!C169</f>
        <v>KLA</v>
      </c>
      <c r="S69" s="262"/>
      <c r="T69" s="266">
        <f>Cen!F169</f>
        <v>21.912770000000002</v>
      </c>
      <c r="U69" s="263">
        <f t="shared" ref="U69:U74" si="12">S69*T69</f>
        <v>0</v>
      </c>
    </row>
    <row r="70" spans="1:21" x14ac:dyDescent="0.25">
      <c r="B70" s="179"/>
      <c r="G70" s="2"/>
      <c r="P70" s="127" t="str">
        <f>Cen!A170</f>
        <v>Boční zásuvné prvky, sklo, pro 450 mm</v>
      </c>
      <c r="Q70" s="127" t="str">
        <f>Cen!B170</f>
        <v>ZE7S338G</v>
      </c>
      <c r="R70" s="127" t="str">
        <f>Cen!C170</f>
        <v>KLA</v>
      </c>
      <c r="S70" s="262">
        <f>S7</f>
        <v>0</v>
      </c>
      <c r="T70" s="266">
        <f>Cen!F170</f>
        <v>23.087060000000001</v>
      </c>
      <c r="U70" s="263">
        <f t="shared" si="12"/>
        <v>0</v>
      </c>
    </row>
    <row r="71" spans="1:21" x14ac:dyDescent="0.25">
      <c r="B71" s="291"/>
      <c r="G71" s="2"/>
      <c r="P71" s="127" t="str">
        <f>Cen!A171</f>
        <v>Boční zásuvné prvky, sklo, pro 500 mm</v>
      </c>
      <c r="Q71" s="127" t="str">
        <f>Cen!B171</f>
        <v>ZE7S388G</v>
      </c>
      <c r="R71" s="127" t="str">
        <f>Cen!C171</f>
        <v>KLA</v>
      </c>
      <c r="S71" s="262">
        <f>S8</f>
        <v>0</v>
      </c>
      <c r="T71" s="266">
        <f>Cen!F171</f>
        <v>24.26136</v>
      </c>
      <c r="U71" s="263">
        <f t="shared" si="12"/>
        <v>0</v>
      </c>
    </row>
    <row r="72" spans="1:21" x14ac:dyDescent="0.25">
      <c r="G72" s="2"/>
      <c r="P72" s="127" t="str">
        <f>Cen!A172</f>
        <v>Boční zásuvné prvky, sklo, pro 550 mm</v>
      </c>
      <c r="Q72" s="127" t="str">
        <f>Cen!B172</f>
        <v>ZE7S438G</v>
      </c>
      <c r="R72" s="127" t="str">
        <f>Cen!C172</f>
        <v>KLA</v>
      </c>
      <c r="S72" s="262">
        <f>S9</f>
        <v>0</v>
      </c>
      <c r="T72" s="266">
        <f>Cen!F172</f>
        <v>26.609179999999995</v>
      </c>
      <c r="U72" s="263">
        <f t="shared" si="12"/>
        <v>0</v>
      </c>
    </row>
    <row r="73" spans="1:21" x14ac:dyDescent="0.25">
      <c r="G73" s="2"/>
      <c r="P73" s="127" t="str">
        <f>Cen!A173</f>
        <v>Boční zásuvné prvky, sklo, pro 600 mm</v>
      </c>
      <c r="Q73" s="127" t="str">
        <f>Cen!B173</f>
        <v>ZE7S488G</v>
      </c>
      <c r="R73" s="127" t="str">
        <f>Cen!C173</f>
        <v>KLA</v>
      </c>
      <c r="S73" s="262">
        <f>S10</f>
        <v>0</v>
      </c>
      <c r="T73" s="266">
        <f>Cen!F173</f>
        <v>28.957020000000004</v>
      </c>
      <c r="U73" s="263">
        <f t="shared" si="12"/>
        <v>0</v>
      </c>
    </row>
    <row r="74" spans="1:21" ht="13" thickBot="1" x14ac:dyDescent="0.3">
      <c r="G74" s="2"/>
      <c r="P74" s="608" t="str">
        <f>Cen!A174</f>
        <v>Boční zásuvné prvky, sklo, pro 650 mm</v>
      </c>
      <c r="Q74" s="608" t="str">
        <f>Cen!B174</f>
        <v>ZE7S538G</v>
      </c>
      <c r="R74" s="608" t="str">
        <f>Cen!C174</f>
        <v>KLA</v>
      </c>
      <c r="S74" s="609">
        <f>S11</f>
        <v>0</v>
      </c>
      <c r="T74" s="610">
        <f>Cen!F174</f>
        <v>31.304870000000001</v>
      </c>
      <c r="U74" s="611">
        <f t="shared" si="12"/>
        <v>0</v>
      </c>
    </row>
    <row r="75" spans="1:21" ht="13" x14ac:dyDescent="0.3">
      <c r="C75" s="287"/>
      <c r="I75" s="288"/>
      <c r="J75" s="288"/>
      <c r="K75" s="288"/>
      <c r="L75" s="288"/>
      <c r="P75" s="119"/>
      <c r="Q75" s="119"/>
    </row>
    <row r="76" spans="1:21" ht="14" x14ac:dyDescent="0.3">
      <c r="A76" s="179"/>
      <c r="C76" s="348"/>
      <c r="D76" s="295"/>
      <c r="E76" s="295"/>
      <c r="F76" s="295"/>
      <c r="G76" s="295"/>
      <c r="H76" s="295"/>
      <c r="I76" s="295"/>
      <c r="J76" s="295"/>
      <c r="K76" s="295"/>
      <c r="L76" s="295"/>
      <c r="M76" s="119"/>
      <c r="N76" s="119"/>
      <c r="P76" s="122" t="str">
        <f>Cen!A621</f>
        <v>CLIP top 155° s nulovým přesahem, EXPANDO</v>
      </c>
      <c r="Q76" s="122" t="str">
        <f>Cen!B621</f>
        <v>71T753EN</v>
      </c>
      <c r="R76" s="122" t="str">
        <f>Cen!C621</f>
        <v>NI</v>
      </c>
      <c r="S76" s="123">
        <f>SUM($D$26:$F$26, $J$26:$L$26, $D$34:$F$34, $J$34:$L$34)*4</f>
        <v>0</v>
      </c>
      <c r="T76" s="118">
        <f>Cen!F621</f>
        <v>4.42394</v>
      </c>
      <c r="U76" s="118">
        <f t="shared" ref="U76" si="13">S76*T76</f>
        <v>0</v>
      </c>
    </row>
    <row r="77" spans="1:21" ht="14" x14ac:dyDescent="0.3">
      <c r="A77" s="179"/>
      <c r="C77" s="348"/>
      <c r="D77" s="295"/>
      <c r="E77" s="295"/>
      <c r="F77" s="295"/>
      <c r="G77" s="295"/>
      <c r="H77" s="295"/>
      <c r="I77" s="295"/>
      <c r="J77" s="295"/>
      <c r="K77" s="295"/>
      <c r="L77" s="295"/>
      <c r="M77" s="119"/>
      <c r="N77" s="119"/>
      <c r="P77" s="122" t="str">
        <f>Cen!A630</f>
        <v>Podložka CLIP top přímá, EXPANDO</v>
      </c>
      <c r="Q77" s="122" t="str">
        <f>Cen!B630</f>
        <v>177H5400E</v>
      </c>
      <c r="R77" s="122" t="str">
        <f>Cen!C630</f>
        <v>NI</v>
      </c>
      <c r="S77" s="123">
        <f>$S$76</f>
        <v>0</v>
      </c>
      <c r="T77" s="118">
        <f>Cen!F630</f>
        <v>0.81311999999999995</v>
      </c>
      <c r="U77" s="118">
        <f t="shared" ref="U77:U80" si="14">S77*T77</f>
        <v>0</v>
      </c>
    </row>
    <row r="78" spans="1:21" ht="14" x14ac:dyDescent="0.3">
      <c r="A78" s="179"/>
      <c r="C78" s="348"/>
      <c r="D78" s="295"/>
      <c r="E78" s="295"/>
      <c r="F78" s="295"/>
      <c r="G78" s="295"/>
      <c r="H78" s="295"/>
      <c r="I78" s="295"/>
      <c r="J78" s="295"/>
      <c r="K78" s="295"/>
      <c r="L78" s="295"/>
      <c r="M78" s="119"/>
      <c r="N78" s="119"/>
      <c r="P78" s="122" t="str">
        <f>Cen!A633</f>
        <v>BLUMOTION pro nasazení na závěs 155° a 125°</v>
      </c>
      <c r="Q78" s="122" t="str">
        <f>Cen!B633</f>
        <v>973A7000</v>
      </c>
      <c r="R78" s="122" t="str">
        <f>Cen!C633</f>
        <v>NI</v>
      </c>
      <c r="S78" s="123">
        <f>$S$76/4*2</f>
        <v>0</v>
      </c>
      <c r="T78" s="118">
        <f>Cen!F633</f>
        <v>1.5222899999999999</v>
      </c>
      <c r="U78" s="118">
        <f t="shared" si="14"/>
        <v>0</v>
      </c>
    </row>
    <row r="79" spans="1:21" ht="14" x14ac:dyDescent="0.3">
      <c r="A79" s="179"/>
      <c r="C79" s="348"/>
      <c r="D79" s="295"/>
      <c r="E79" s="295"/>
      <c r="F79" s="295"/>
      <c r="G79" s="295"/>
      <c r="H79" s="295"/>
      <c r="I79" s="295"/>
      <c r="J79" s="295"/>
      <c r="K79" s="295"/>
      <c r="L79" s="295"/>
      <c r="M79" s="119"/>
      <c r="N79" s="119"/>
      <c r="P79" s="122"/>
      <c r="Q79" s="122"/>
      <c r="R79" s="122"/>
      <c r="S79" s="123"/>
      <c r="T79" s="118"/>
      <c r="U79" s="118"/>
    </row>
    <row r="80" spans="1:21" ht="14" x14ac:dyDescent="0.3">
      <c r="A80" s="179"/>
      <c r="C80" s="348"/>
      <c r="D80" s="295"/>
      <c r="E80" s="295"/>
      <c r="F80" s="295"/>
      <c r="G80" s="295"/>
      <c r="H80" s="295"/>
      <c r="I80" s="295"/>
      <c r="J80" s="295"/>
      <c r="K80" s="295"/>
      <c r="L80" s="295"/>
      <c r="M80" s="119"/>
      <c r="N80" s="119"/>
      <c r="P80" s="122">
        <f>Cen!A248</f>
        <v>0</v>
      </c>
      <c r="Q80" s="122">
        <f>Cen!B248</f>
        <v>0</v>
      </c>
      <c r="R80" s="122">
        <f>Cen!C248</f>
        <v>0</v>
      </c>
      <c r="S80" s="123"/>
      <c r="T80" s="118">
        <f>Cen!F248</f>
        <v>0</v>
      </c>
      <c r="U80" s="118">
        <f t="shared" si="14"/>
        <v>0</v>
      </c>
    </row>
    <row r="81" spans="2:17" ht="13" x14ac:dyDescent="0.3">
      <c r="B81" s="119"/>
      <c r="C81" s="287"/>
      <c r="I81" s="291"/>
      <c r="J81" s="291"/>
      <c r="K81" s="291"/>
      <c r="L81" s="291"/>
      <c r="P81" s="119"/>
      <c r="Q81" s="119"/>
    </row>
    <row r="82" spans="2:17" ht="13" x14ac:dyDescent="0.3">
      <c r="B82" s="119"/>
      <c r="C82" s="287"/>
      <c r="I82" s="289"/>
      <c r="J82" s="289"/>
      <c r="K82" s="289"/>
      <c r="L82" s="289"/>
      <c r="P82" s="119"/>
      <c r="Q82" s="119"/>
    </row>
    <row r="83" spans="2:17" x14ac:dyDescent="0.25">
      <c r="B83" s="119"/>
      <c r="I83" s="290"/>
      <c r="J83" s="290"/>
      <c r="K83" s="290"/>
      <c r="L83" s="290"/>
      <c r="P83" s="119"/>
      <c r="Q83" s="119"/>
    </row>
    <row r="84" spans="2:17" ht="13" x14ac:dyDescent="0.3">
      <c r="I84" s="288"/>
      <c r="J84" s="288"/>
      <c r="K84" s="288"/>
      <c r="L84" s="288"/>
      <c r="P84" s="119"/>
      <c r="Q84" s="119"/>
    </row>
    <row r="99" spans="1:1" x14ac:dyDescent="0.25">
      <c r="A99" s="783"/>
    </row>
    <row r="100" spans="1:1" x14ac:dyDescent="0.25">
      <c r="A100" s="783"/>
    </row>
    <row r="101" spans="1:1" x14ac:dyDescent="0.25">
      <c r="A101" s="783"/>
    </row>
    <row r="102" spans="1:1" x14ac:dyDescent="0.25">
      <c r="A102" s="783"/>
    </row>
    <row r="103" spans="1:1" x14ac:dyDescent="0.25">
      <c r="A103" s="783"/>
    </row>
    <row r="104" spans="1:1" x14ac:dyDescent="0.25">
      <c r="A104" s="783"/>
    </row>
    <row r="105" spans="1:1" x14ac:dyDescent="0.25">
      <c r="A105" s="783"/>
    </row>
    <row r="106" spans="1:1" x14ac:dyDescent="0.25">
      <c r="A106" s="783"/>
    </row>
    <row r="107" spans="1:1" x14ac:dyDescent="0.25">
      <c r="A107" s="783"/>
    </row>
    <row r="108" spans="1:1" x14ac:dyDescent="0.25">
      <c r="A108" s="783"/>
    </row>
    <row r="109" spans="1:1" x14ac:dyDescent="0.25">
      <c r="A109" s="783"/>
    </row>
    <row r="110" spans="1:1" x14ac:dyDescent="0.25">
      <c r="A110" s="783"/>
    </row>
    <row r="111" spans="1:1" x14ac:dyDescent="0.25">
      <c r="A111" s="783"/>
    </row>
    <row r="112" spans="1:1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QkuVKR7WcMzVAVqO0tyJRUbdPPPVsHS25nnfgkZV+A3WiQkx2mbk633/HQzNDO4BmmuBDHoN1NccfkRm5U8zFw==" saltValue="Cs/ka3h/6BfG2ubNd+83dA==" spinCount="100000" sheet="1" objects="1" scenarios="1"/>
  <mergeCells count="1">
    <mergeCell ref="A99:A140"/>
  </mergeCells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indexed="57"/>
  </sheetPr>
  <dimension ref="A1:K323"/>
  <sheetViews>
    <sheetView showGridLines="0" showRowColHeaders="0" workbookViewId="0">
      <selection activeCell="I16" sqref="I16"/>
    </sheetView>
  </sheetViews>
  <sheetFormatPr defaultColWidth="9.1796875" defaultRowHeight="12.5" x14ac:dyDescent="0.25"/>
  <cols>
    <col min="1" max="1" width="7.1796875" style="119" customWidth="1"/>
    <col min="2" max="2" width="44.26953125" style="119" customWidth="1"/>
    <col min="3" max="3" width="17.1796875" style="119" customWidth="1"/>
    <col min="4" max="7" width="10" style="119" customWidth="1"/>
    <col min="8" max="8" width="3.1796875" style="119" customWidth="1"/>
    <col min="9" max="9" width="27.54296875" style="119" customWidth="1"/>
    <col min="10" max="16384" width="9.1796875" style="119"/>
  </cols>
  <sheetData>
    <row r="1" spans="1:9" ht="19.5" customHeight="1" x14ac:dyDescent="0.4">
      <c r="G1" s="193" t="str">
        <f>List!B5</f>
        <v>Výběr doplňků</v>
      </c>
    </row>
    <row r="2" spans="1:9" ht="17.5" x14ac:dyDescent="0.35">
      <c r="A2" s="2"/>
      <c r="B2" s="194" t="str">
        <f>List!$B$155</f>
        <v>Ostatní</v>
      </c>
      <c r="C2" s="7"/>
      <c r="D2" s="7"/>
      <c r="E2" s="191" t="str">
        <f>List!$B$98&amp;":"</f>
        <v>Počet:</v>
      </c>
      <c r="F2" s="113"/>
      <c r="G2" s="116"/>
      <c r="I2" s="153" t="str">
        <f>List!$B$11&amp;":"</f>
        <v>Zpět na:</v>
      </c>
    </row>
    <row r="3" spans="1:9" ht="13" thickBot="1" x14ac:dyDescent="0.3">
      <c r="A3" s="115">
        <v>1</v>
      </c>
      <c r="B3" s="6" t="str">
        <f>Cen!A230</f>
        <v>TIP-ON synchronizace, sada pastorků</v>
      </c>
      <c r="C3" s="6" t="str">
        <f>Cen!B230</f>
        <v>T57.7400.01</v>
      </c>
      <c r="D3" s="6" t="str">
        <f>Cen!C230</f>
        <v>R737</v>
      </c>
      <c r="E3" s="9"/>
      <c r="F3" s="114">
        <f>Cen!F230</f>
        <v>6.60684</v>
      </c>
      <c r="G3" s="3">
        <f t="shared" ref="G3:G9" si="0">E3*F3</f>
        <v>0</v>
      </c>
      <c r="I3" s="151" t="str">
        <f>" "&amp;List!$B$13</f>
        <v xml:space="preserve"> Úvod</v>
      </c>
    </row>
    <row r="4" spans="1:9" x14ac:dyDescent="0.25">
      <c r="A4" s="115">
        <v>2</v>
      </c>
      <c r="B4" s="6" t="str">
        <f>Cen!A231</f>
        <v>TIP-ON synchronizace, tyč ke zkrácení</v>
      </c>
      <c r="C4" s="6" t="str">
        <f>Cen!B231</f>
        <v>ZST.1160W</v>
      </c>
      <c r="D4" s="6" t="str">
        <f>Cen!C231</f>
        <v>ROH</v>
      </c>
      <c r="E4" s="9"/>
      <c r="F4" s="114">
        <f>Cen!F231</f>
        <v>3.6422699999999999</v>
      </c>
      <c r="G4" s="3">
        <f t="shared" si="0"/>
        <v>0</v>
      </c>
      <c r="I4" s="152" t="str">
        <f>" "&amp;List!$B$4</f>
        <v xml:space="preserve"> Výběr zásuvek a výsuvů</v>
      </c>
    </row>
    <row r="5" spans="1:9" x14ac:dyDescent="0.25">
      <c r="A5" s="115" t="s">
        <v>244</v>
      </c>
      <c r="B5" s="6" t="str">
        <f>Cen!A234</f>
        <v>Boční stabilizace, sada NL 250-400mm</v>
      </c>
      <c r="C5" s="6" t="str">
        <f>Cen!B234</f>
        <v>ZS7.400LU</v>
      </c>
      <c r="D5" s="6" t="str">
        <f>Cen!C234</f>
        <v>R737</v>
      </c>
      <c r="E5" s="9"/>
      <c r="F5" s="114">
        <f>Cen!F234</f>
        <v>0</v>
      </c>
      <c r="G5" s="3">
        <f t="shared" si="0"/>
        <v>0</v>
      </c>
      <c r="I5" s="2"/>
    </row>
    <row r="6" spans="1:9" x14ac:dyDescent="0.25">
      <c r="A6" s="115" t="s">
        <v>243</v>
      </c>
      <c r="B6" s="6" t="str">
        <f>Cen!A235</f>
        <v>Boční stabilizace, sada NL 450-600mm</v>
      </c>
      <c r="C6" s="6" t="str">
        <f>Cen!B235</f>
        <v>ZS7.650LU</v>
      </c>
      <c r="D6" s="6" t="str">
        <f>Cen!C235</f>
        <v>R737</v>
      </c>
      <c r="E6" s="9"/>
      <c r="F6" s="114">
        <f>Cen!F235</f>
        <v>0</v>
      </c>
      <c r="G6" s="3">
        <f t="shared" si="0"/>
        <v>0</v>
      </c>
      <c r="I6" s="2" t="str">
        <f>List!$B$12&amp;":"</f>
        <v>Pokračovat na:</v>
      </c>
    </row>
    <row r="7" spans="1:9" ht="13" thickBot="1" x14ac:dyDescent="0.3">
      <c r="A7" s="115">
        <v>4</v>
      </c>
      <c r="B7" s="6" t="str">
        <f>Cen!A239</f>
        <v>TIP-ON BLM synchronizační adaptér</v>
      </c>
      <c r="C7" s="6" t="str">
        <f>Cen!B239</f>
        <v>T60.000D</v>
      </c>
      <c r="D7" s="6" t="str">
        <f>Cen!C239</f>
        <v>R736</v>
      </c>
      <c r="E7" s="9"/>
      <c r="F7" s="114">
        <f>Cen!F239</f>
        <v>0.22786000000000001</v>
      </c>
      <c r="G7" s="3">
        <f t="shared" si="0"/>
        <v>0</v>
      </c>
      <c r="I7" s="151" t="str">
        <f>" "&amp;List!$B$6</f>
        <v xml:space="preserve"> Výběr SERVO-DRIVE</v>
      </c>
    </row>
    <row r="8" spans="1:9" ht="13" thickBot="1" x14ac:dyDescent="0.3">
      <c r="A8" s="115">
        <v>5</v>
      </c>
      <c r="B8" s="6" t="str">
        <f>Cen!A240</f>
        <v>TIP-ON BLM hřídel synchronizace, ke zkrácení</v>
      </c>
      <c r="C8" s="6" t="str">
        <f>Cen!B240</f>
        <v>T60L1125W</v>
      </c>
      <c r="D8" s="6" t="str">
        <f>Cen!C240</f>
        <v>S</v>
      </c>
      <c r="E8" s="9"/>
      <c r="F8" s="114">
        <f>Cen!F240</f>
        <v>3.7524400000000004</v>
      </c>
      <c r="G8" s="3">
        <f t="shared" si="0"/>
        <v>0</v>
      </c>
      <c r="I8" s="247" t="str">
        <f>" "&amp;List!$B$7</f>
        <v xml:space="preserve"> Výběr AMBIA-LINE</v>
      </c>
    </row>
    <row r="9" spans="1:9" ht="13" thickBot="1" x14ac:dyDescent="0.3">
      <c r="A9" s="115">
        <v>8</v>
      </c>
      <c r="B9" s="6" t="str">
        <f>Cen!A318</f>
        <v>Unašeč pro vnirřní zásuvku M, Orion šedý</v>
      </c>
      <c r="C9" s="6" t="str">
        <f>Cen!B318</f>
        <v>ZI7.0M07</v>
      </c>
      <c r="D9" s="6" t="str">
        <f>Cen!C318</f>
        <v>OG-M</v>
      </c>
      <c r="E9" s="9"/>
      <c r="F9" s="114">
        <f>Cen!F318</f>
        <v>5.73271</v>
      </c>
      <c r="G9" s="3">
        <f t="shared" si="0"/>
        <v>0</v>
      </c>
      <c r="I9" s="152" t="str">
        <f>" "&amp;List!$B$18</f>
        <v xml:space="preserve"> Souhrn</v>
      </c>
    </row>
    <row r="10" spans="1:9" x14ac:dyDescent="0.25">
      <c r="A10" s="115"/>
      <c r="B10" s="6"/>
      <c r="C10" s="6"/>
      <c r="D10" s="6"/>
      <c r="E10" s="9"/>
      <c r="F10" s="114"/>
      <c r="G10" s="3"/>
      <c r="I10" s="152" t="str">
        <f>" "&amp;List!$B$20</f>
        <v xml:space="preserve"> Objednávka</v>
      </c>
    </row>
    <row r="11" spans="1:9" x14ac:dyDescent="0.25">
      <c r="A11" s="115">
        <v>11</v>
      </c>
      <c r="B11" s="6" t="str">
        <f>Cen!A550</f>
        <v>Stabilizace čel</v>
      </c>
      <c r="C11" s="6" t="str">
        <f>Cen!B550</f>
        <v>Z96.10E1</v>
      </c>
      <c r="D11" s="6" t="str">
        <f>Cen!C550</f>
        <v>R737</v>
      </c>
      <c r="E11" s="9"/>
      <c r="F11" s="114">
        <f>Cen!F550</f>
        <v>1.3134000000000001</v>
      </c>
      <c r="G11" s="3">
        <f t="shared" ref="G11:G16" si="1">E11*F11</f>
        <v>0</v>
      </c>
    </row>
    <row r="12" spans="1:9" x14ac:dyDescent="0.25">
      <c r="A12" s="115">
        <v>12</v>
      </c>
      <c r="B12" s="6" t="str">
        <f>Cen!A551</f>
        <v>Tlumící čočka k zavrtání</v>
      </c>
      <c r="C12" s="6" t="str">
        <f>Cen!B551</f>
        <v>993.706</v>
      </c>
      <c r="D12" s="6" t="str">
        <f>Cen!C551</f>
        <v>R906</v>
      </c>
      <c r="E12" s="9"/>
      <c r="F12" s="114">
        <f>Cen!F551</f>
        <v>0.13461999999999999</v>
      </c>
      <c r="G12" s="3">
        <f t="shared" si="1"/>
        <v>0</v>
      </c>
      <c r="I12" s="187" t="str">
        <f>"     "&amp;List!$B$25</f>
        <v xml:space="preserve">     Informace k objednávání</v>
      </c>
    </row>
    <row r="13" spans="1:9" x14ac:dyDescent="0.25">
      <c r="A13" s="115">
        <v>13</v>
      </c>
      <c r="B13" s="6" t="str">
        <f>Cen!A549</f>
        <v>Upevňovací šrouby s plochou hlavou 4x15mm</v>
      </c>
      <c r="C13" s="6" t="str">
        <f>Cen!B549</f>
        <v>61D.1500</v>
      </c>
      <c r="D13" s="6" t="str">
        <f>Cen!C549</f>
        <v>ZN</v>
      </c>
      <c r="E13" s="9"/>
      <c r="F13" s="114">
        <f>Cen!F549</f>
        <v>6.13E-2</v>
      </c>
      <c r="G13" s="3">
        <f t="shared" si="1"/>
        <v>0</v>
      </c>
    </row>
    <row r="14" spans="1:9" x14ac:dyDescent="0.25">
      <c r="A14" s="115">
        <v>14</v>
      </c>
      <c r="B14" s="6" t="str">
        <f>Cen!A552</f>
        <v>Torxový šroubovák, T20</v>
      </c>
      <c r="C14" s="6" t="str">
        <f>Cen!B552</f>
        <v>209.093.7</v>
      </c>
      <c r="D14" s="6" t="str">
        <f>Cen!C552</f>
        <v>OR</v>
      </c>
      <c r="E14" s="9"/>
      <c r="F14" s="114">
        <f>Cen!F552</f>
        <v>6.1465699999999996</v>
      </c>
      <c r="G14" s="3">
        <f t="shared" si="1"/>
        <v>0</v>
      </c>
    </row>
    <row r="15" spans="1:9" x14ac:dyDescent="0.25">
      <c r="A15" s="115">
        <v>15</v>
      </c>
      <c r="B15" s="6" t="str">
        <f>Cen!A553</f>
        <v>Transportní pojistka</v>
      </c>
      <c r="C15" s="6" t="str">
        <f>Cen!B553</f>
        <v>780C0009</v>
      </c>
      <c r="D15" s="6" t="str">
        <f>Cen!C553</f>
        <v>GELB</v>
      </c>
      <c r="E15" s="9"/>
      <c r="F15" s="114">
        <f>Cen!F553</f>
        <v>1.1208199999999999</v>
      </c>
      <c r="G15" s="3">
        <f t="shared" si="1"/>
        <v>0</v>
      </c>
    </row>
    <row r="16" spans="1:9" x14ac:dyDescent="0.25">
      <c r="A16" s="115">
        <v>16</v>
      </c>
      <c r="B16" s="6" t="str">
        <f>Cen!A554</f>
        <v>Šablona pro nastavení mezery čela</v>
      </c>
      <c r="C16" s="6" t="str">
        <f>Cen!B554</f>
        <v>65.5631</v>
      </c>
      <c r="D16" s="6" t="str">
        <f>Cen!C554</f>
        <v>OR</v>
      </c>
      <c r="E16" s="9"/>
      <c r="F16" s="114">
        <f>Cen!F554</f>
        <v>5.57395</v>
      </c>
      <c r="G16" s="3">
        <f t="shared" si="1"/>
        <v>0</v>
      </c>
      <c r="I16" s="195"/>
    </row>
    <row r="17" spans="1:9" x14ac:dyDescent="0.25">
      <c r="A17" s="2"/>
      <c r="B17" s="6"/>
      <c r="C17" s="6"/>
      <c r="D17" s="6"/>
      <c r="E17" s="5"/>
      <c r="F17" s="4" t="str">
        <f>List!$B$104&amp;":"</f>
        <v>Celkem:</v>
      </c>
      <c r="G17" s="3">
        <f>SUM(G3:G16)</f>
        <v>0</v>
      </c>
      <c r="I17" s="195"/>
    </row>
    <row r="18" spans="1:9" x14ac:dyDescent="0.25">
      <c r="A18" s="2"/>
      <c r="B18" s="2"/>
      <c r="C18" s="2"/>
      <c r="D18" s="2"/>
      <c r="E18" s="2"/>
      <c r="F18" s="2"/>
      <c r="G18" s="2"/>
      <c r="I18" s="195"/>
    </row>
    <row r="19" spans="1:9" ht="17.5" x14ac:dyDescent="0.35">
      <c r="B19" s="194" t="str">
        <f>List!B156</f>
        <v>Závěsy pro potravinové skříně</v>
      </c>
      <c r="C19" s="7"/>
      <c r="D19" s="7"/>
      <c r="E19" s="191" t="str">
        <f>List!$B$98&amp;":"</f>
        <v>Počet:</v>
      </c>
      <c r="F19" s="113"/>
      <c r="G19" s="116"/>
      <c r="I19" s="195"/>
    </row>
    <row r="20" spans="1:9" x14ac:dyDescent="0.25">
      <c r="A20" s="115" t="s">
        <v>247</v>
      </c>
      <c r="B20" s="6" t="str">
        <f>Cen!A620</f>
        <v>CLIP top 155° s nulovým přesahem</v>
      </c>
      <c r="C20" s="6" t="str">
        <f>Cen!B620</f>
        <v>71T7500N</v>
      </c>
      <c r="D20" s="6" t="str">
        <f>Cen!C620</f>
        <v>NI</v>
      </c>
      <c r="E20" s="9"/>
      <c r="F20" s="114">
        <f>Cen!F620</f>
        <v>4.4192400000000003</v>
      </c>
      <c r="G20" s="3">
        <f>E20*F20</f>
        <v>0</v>
      </c>
      <c r="I20" s="195"/>
    </row>
    <row r="21" spans="1:9" x14ac:dyDescent="0.25">
      <c r="A21" s="115" t="s">
        <v>246</v>
      </c>
      <c r="B21" s="6" t="str">
        <f>Cen!A621</f>
        <v>CLIP top 155° s nulovým přesahem, EXPANDO</v>
      </c>
      <c r="C21" s="6" t="str">
        <f>Cen!B621</f>
        <v>71T753EN</v>
      </c>
      <c r="D21" s="6" t="str">
        <f>Cen!C621</f>
        <v>NI</v>
      </c>
      <c r="E21" s="9"/>
      <c r="F21" s="114">
        <f>Cen!F621</f>
        <v>4.42394</v>
      </c>
      <c r="G21" s="3">
        <f>E21*F21</f>
        <v>0</v>
      </c>
      <c r="I21" s="195"/>
    </row>
    <row r="22" spans="1:9" x14ac:dyDescent="0.25">
      <c r="A22" s="115" t="s">
        <v>245</v>
      </c>
      <c r="B22" s="6" t="str">
        <f>Cen!A622</f>
        <v>CLIP top 155° s nulovým přesahem, bez pružiny</v>
      </c>
      <c r="C22" s="6" t="str">
        <f>Cen!B622</f>
        <v>70T7500NTL</v>
      </c>
      <c r="D22" s="6" t="str">
        <f>Cen!C622</f>
        <v>NI</v>
      </c>
      <c r="E22" s="9"/>
      <c r="F22" s="114">
        <f>Cen!F622</f>
        <v>4.4192400000000003</v>
      </c>
      <c r="G22" s="3">
        <f>E22*F22</f>
        <v>0</v>
      </c>
      <c r="I22" s="195"/>
    </row>
    <row r="23" spans="1:9" ht="12.75" customHeight="1" x14ac:dyDescent="0.25">
      <c r="A23" s="115" t="s">
        <v>59</v>
      </c>
      <c r="B23" s="6" t="str">
        <f>Cen!A623</f>
        <v>CLIP top 125° s nulovým přesahem</v>
      </c>
      <c r="C23" s="6" t="str">
        <f>Cen!B623</f>
        <v>71T7500D</v>
      </c>
      <c r="D23" s="6" t="str">
        <f>Cen!C623</f>
        <v>NI</v>
      </c>
      <c r="E23" s="9"/>
      <c r="F23" s="114">
        <f>Cen!F623</f>
        <v>6.0096900000000009</v>
      </c>
      <c r="G23" s="3">
        <f>E23*F23</f>
        <v>0</v>
      </c>
      <c r="I23" s="195"/>
    </row>
    <row r="24" spans="1:9" x14ac:dyDescent="0.25">
      <c r="A24" s="115" t="s">
        <v>244</v>
      </c>
      <c r="B24" s="6" t="str">
        <f>Cen!A625</f>
        <v>Podložka CLIP na vruty</v>
      </c>
      <c r="C24" s="6" t="str">
        <f>Cen!B625</f>
        <v>173L6100</v>
      </c>
      <c r="D24" s="6" t="str">
        <f>Cen!C625</f>
        <v>NI</v>
      </c>
      <c r="E24" s="9"/>
      <c r="F24" s="114">
        <f>Cen!F625</f>
        <v>0.18021000000000001</v>
      </c>
      <c r="G24" s="3">
        <f t="shared" ref="G24:G36" si="2">E24*F24</f>
        <v>0</v>
      </c>
      <c r="I24" s="195"/>
    </row>
    <row r="25" spans="1:9" ht="12.75" customHeight="1" x14ac:dyDescent="0.25">
      <c r="A25" s="115" t="s">
        <v>243</v>
      </c>
      <c r="B25" s="6" t="str">
        <f>Cen!A626</f>
        <v>Podložka CLIP EXPANDO</v>
      </c>
      <c r="C25" s="6" t="str">
        <f>Cen!B626</f>
        <v>174E6100.01</v>
      </c>
      <c r="D25" s="6" t="str">
        <f>Cen!C626</f>
        <v>NI</v>
      </c>
      <c r="E25" s="9"/>
      <c r="F25" s="114">
        <f>Cen!F626</f>
        <v>0.2883</v>
      </c>
      <c r="G25" s="3">
        <f t="shared" si="2"/>
        <v>0</v>
      </c>
      <c r="I25" s="195"/>
    </row>
    <row r="26" spans="1:9" x14ac:dyDescent="0.25">
      <c r="A26" s="115" t="s">
        <v>99</v>
      </c>
      <c r="B26" s="6" t="str">
        <f>Cen!A627</f>
        <v>Podložka CLIP s excentrem</v>
      </c>
      <c r="C26" s="6" t="str">
        <f>Cen!B627</f>
        <v>173H7100</v>
      </c>
      <c r="D26" s="6" t="str">
        <f>Cen!C627</f>
        <v>NI</v>
      </c>
      <c r="E26" s="9"/>
      <c r="F26" s="114">
        <f>Cen!F627</f>
        <v>0.4849</v>
      </c>
      <c r="G26" s="3">
        <f t="shared" si="2"/>
        <v>0</v>
      </c>
    </row>
    <row r="27" spans="1:9" x14ac:dyDescent="0.25">
      <c r="A27" s="115" t="s">
        <v>100</v>
      </c>
      <c r="B27" s="6" t="str">
        <f>Cen!A628</f>
        <v>Podložka CLIP s excentrem, EXPANDO</v>
      </c>
      <c r="C27" s="6" t="str">
        <f>Cen!B628</f>
        <v>174H7100E</v>
      </c>
      <c r="D27" s="6" t="str">
        <f>Cen!C628</f>
        <v>NI</v>
      </c>
      <c r="E27" s="9"/>
      <c r="F27" s="114">
        <f>Cen!F628</f>
        <v>0.59260999999999997</v>
      </c>
      <c r="G27" s="3">
        <f t="shared" si="2"/>
        <v>0</v>
      </c>
    </row>
    <row r="28" spans="1:9" x14ac:dyDescent="0.25">
      <c r="A28" s="115" t="s">
        <v>331</v>
      </c>
      <c r="B28" s="6" t="str">
        <f>Cen!A629</f>
        <v>Podložka CLIP top přímá</v>
      </c>
      <c r="C28" s="6" t="str">
        <f>Cen!B629</f>
        <v>175H5400</v>
      </c>
      <c r="D28" s="6" t="str">
        <f>Cen!C629</f>
        <v>NI</v>
      </c>
      <c r="E28" s="9"/>
      <c r="F28" s="114">
        <f>Cen!F629</f>
        <v>0.70503000000000005</v>
      </c>
      <c r="G28" s="3">
        <f t="shared" si="2"/>
        <v>0</v>
      </c>
    </row>
    <row r="29" spans="1:9" x14ac:dyDescent="0.25">
      <c r="A29" s="115" t="s">
        <v>101</v>
      </c>
      <c r="B29" s="6" t="str">
        <f>Cen!A630</f>
        <v>Podložka CLIP top přímá, EXPANDO</v>
      </c>
      <c r="C29" s="6" t="str">
        <f>Cen!B630</f>
        <v>177H5400E</v>
      </c>
      <c r="D29" s="6" t="str">
        <f>Cen!C630</f>
        <v>NI</v>
      </c>
      <c r="E29" s="9"/>
      <c r="F29" s="114">
        <f>Cen!F630</f>
        <v>0.81311999999999995</v>
      </c>
      <c r="G29" s="3">
        <f t="shared" si="2"/>
        <v>0</v>
      </c>
      <c r="I29" s="187" t="str">
        <f>"     "&amp;List!$B$25</f>
        <v xml:space="preserve">     Informace k objednávání</v>
      </c>
    </row>
    <row r="30" spans="1:9" x14ac:dyDescent="0.25">
      <c r="A30" s="115" t="s">
        <v>0</v>
      </c>
      <c r="B30" s="6" t="str">
        <f>Cen!A631</f>
        <v>Podložka CLIP top přímá, ocel.</v>
      </c>
      <c r="C30" s="6" t="str">
        <f>Cen!B631</f>
        <v>175H3100</v>
      </c>
      <c r="D30" s="6" t="str">
        <f>Cen!C631</f>
        <v>NI</v>
      </c>
      <c r="E30" s="9"/>
      <c r="F30" s="114">
        <f>Cen!F631</f>
        <v>0.46155000000000002</v>
      </c>
      <c r="G30" s="3">
        <f t="shared" si="2"/>
        <v>0</v>
      </c>
    </row>
    <row r="31" spans="1:9" x14ac:dyDescent="0.25">
      <c r="A31" s="115" t="s">
        <v>1</v>
      </c>
      <c r="B31" s="6" t="str">
        <f>Cen!A632</f>
        <v>Podložka CLIP top přímá, ocel., EXPANDO</v>
      </c>
      <c r="C31" s="6" t="str">
        <f>Cen!B632</f>
        <v>177H3100E</v>
      </c>
      <c r="D31" s="6" t="str">
        <f>Cen!C632</f>
        <v>NI</v>
      </c>
      <c r="E31" s="9"/>
      <c r="F31" s="114">
        <f>Cen!F632</f>
        <v>0.46936999999999995</v>
      </c>
      <c r="G31" s="3">
        <f t="shared" si="2"/>
        <v>0</v>
      </c>
    </row>
    <row r="32" spans="1:9" x14ac:dyDescent="0.25">
      <c r="A32" s="115">
        <v>7</v>
      </c>
      <c r="B32" s="6" t="str">
        <f>Cen!A633</f>
        <v>BLUMOTION pro nasazení na závěs 155° a 125°</v>
      </c>
      <c r="C32" s="6" t="str">
        <f>Cen!B633</f>
        <v>973A7000</v>
      </c>
      <c r="D32" s="6" t="str">
        <f>Cen!C633</f>
        <v>NI</v>
      </c>
      <c r="E32" s="9"/>
      <c r="F32" s="114">
        <f>Cen!F633</f>
        <v>1.5222899999999999</v>
      </c>
      <c r="G32" s="3">
        <f t="shared" si="2"/>
        <v>0</v>
      </c>
    </row>
    <row r="33" spans="1:7" x14ac:dyDescent="0.25">
      <c r="A33" s="115">
        <v>8</v>
      </c>
      <c r="B33" s="6" t="str">
        <f>Cen!A634</f>
        <v>BLUMOTION v křížovém adaptéru</v>
      </c>
      <c r="C33" s="6" t="str">
        <f>Cen!B634</f>
        <v>971A0500</v>
      </c>
      <c r="D33" s="6" t="str">
        <f>Cen!C634</f>
        <v>NI</v>
      </c>
      <c r="E33" s="9"/>
      <c r="F33" s="114">
        <f>Cen!F634</f>
        <v>2.7470500000000002</v>
      </c>
      <c r="G33" s="3">
        <f t="shared" si="2"/>
        <v>0</v>
      </c>
    </row>
    <row r="34" spans="1:7" x14ac:dyDescent="0.25">
      <c r="A34" s="115">
        <v>9</v>
      </c>
      <c r="B34" s="6" t="str">
        <f>Cen!A635</f>
        <v>TIP-ON, prodloužená délka, šedý</v>
      </c>
      <c r="C34" s="6" t="str">
        <f>Cen!B635</f>
        <v>956A1004</v>
      </c>
      <c r="D34" s="6" t="str">
        <f>Cen!C635</f>
        <v>PG</v>
      </c>
      <c r="E34" s="9"/>
      <c r="F34" s="114">
        <f>Cen!F635</f>
        <v>4.4877799999999999</v>
      </c>
      <c r="G34" s="3">
        <f t="shared" si="2"/>
        <v>0</v>
      </c>
    </row>
    <row r="35" spans="1:7" x14ac:dyDescent="0.25">
      <c r="A35" s="115">
        <v>10</v>
      </c>
      <c r="B35" s="6" t="str">
        <f>Cen!A638</f>
        <v>TIP-ON přímý adaptér, prodl.délka, šedý</v>
      </c>
      <c r="C35" s="6" t="str">
        <f>Cen!B638</f>
        <v>956A1201</v>
      </c>
      <c r="D35" s="6" t="str">
        <f>Cen!C638</f>
        <v>PG</v>
      </c>
      <c r="E35" s="9"/>
      <c r="F35" s="114">
        <f>Cen!F638</f>
        <v>0.88392000000000015</v>
      </c>
      <c r="G35" s="3">
        <f t="shared" si="2"/>
        <v>0</v>
      </c>
    </row>
    <row r="36" spans="1:7" x14ac:dyDescent="0.25">
      <c r="A36" s="115">
        <v>11</v>
      </c>
      <c r="B36" s="6" t="str">
        <f>Cen!A641</f>
        <v>TIP-ON křížový adaptér, šedý</v>
      </c>
      <c r="C36" s="6" t="str">
        <f>Cen!B641</f>
        <v>956A1501</v>
      </c>
      <c r="D36" s="6" t="str">
        <f>Cen!C641</f>
        <v>PG</v>
      </c>
      <c r="E36" s="9"/>
      <c r="F36" s="114">
        <f>Cen!F641</f>
        <v>0.65625999999999995</v>
      </c>
      <c r="G36" s="3">
        <f t="shared" si="2"/>
        <v>0</v>
      </c>
    </row>
    <row r="37" spans="1:7" x14ac:dyDescent="0.25">
      <c r="A37" s="115"/>
      <c r="B37" s="6"/>
      <c r="C37" s="6"/>
      <c r="D37" s="6"/>
      <c r="E37" s="9"/>
      <c r="F37" s="114"/>
      <c r="G37" s="3"/>
    </row>
    <row r="38" spans="1:7" x14ac:dyDescent="0.25">
      <c r="B38" s="6"/>
      <c r="C38" s="6"/>
      <c r="D38" s="6"/>
      <c r="E38" s="5"/>
      <c r="F38" s="4" t="str">
        <f>List!$B$104&amp;":"</f>
        <v>Celkem:</v>
      </c>
      <c r="G38" s="3">
        <f>SUM(G20:G37)</f>
        <v>0</v>
      </c>
    </row>
    <row r="44" spans="1:7" ht="12" customHeight="1" x14ac:dyDescent="0.25"/>
    <row r="110" spans="1:11" x14ac:dyDescent="0.25">
      <c r="A110" s="786"/>
    </row>
    <row r="111" spans="1:11" x14ac:dyDescent="0.25">
      <c r="A111" s="786"/>
      <c r="J111" s="835" t="str">
        <f>List!$B$109</f>
        <v>Zpět</v>
      </c>
      <c r="K111" s="835"/>
    </row>
    <row r="112" spans="1:11" x14ac:dyDescent="0.25">
      <c r="A112" s="786"/>
    </row>
    <row r="113" spans="1:1" x14ac:dyDescent="0.25">
      <c r="A113" s="786"/>
    </row>
    <row r="114" spans="1:1" x14ac:dyDescent="0.25">
      <c r="A114" s="786"/>
    </row>
    <row r="115" spans="1:1" x14ac:dyDescent="0.25">
      <c r="A115" s="786"/>
    </row>
    <row r="116" spans="1:1" x14ac:dyDescent="0.25">
      <c r="A116" s="786"/>
    </row>
    <row r="117" spans="1:1" x14ac:dyDescent="0.25">
      <c r="A117" s="786"/>
    </row>
    <row r="118" spans="1:1" x14ac:dyDescent="0.25">
      <c r="A118" s="786"/>
    </row>
    <row r="119" spans="1:1" x14ac:dyDescent="0.25">
      <c r="A119" s="786"/>
    </row>
    <row r="120" spans="1:1" x14ac:dyDescent="0.25">
      <c r="A120" s="786"/>
    </row>
    <row r="121" spans="1:1" x14ac:dyDescent="0.25">
      <c r="A121" s="786"/>
    </row>
    <row r="122" spans="1:1" x14ac:dyDescent="0.25">
      <c r="A122" s="786"/>
    </row>
    <row r="123" spans="1:1" x14ac:dyDescent="0.25">
      <c r="A123" s="786"/>
    </row>
    <row r="124" spans="1:1" x14ac:dyDescent="0.25">
      <c r="A124" s="786"/>
    </row>
    <row r="125" spans="1:1" x14ac:dyDescent="0.25">
      <c r="A125" s="786"/>
    </row>
    <row r="126" spans="1:1" x14ac:dyDescent="0.25">
      <c r="A126" s="786"/>
    </row>
    <row r="127" spans="1:1" x14ac:dyDescent="0.25">
      <c r="A127" s="786"/>
    </row>
    <row r="128" spans="1:1" x14ac:dyDescent="0.25">
      <c r="A128" s="786"/>
    </row>
    <row r="129" spans="1:1" x14ac:dyDescent="0.25">
      <c r="A129" s="786"/>
    </row>
    <row r="130" spans="1:1" x14ac:dyDescent="0.25">
      <c r="A130" s="786"/>
    </row>
    <row r="131" spans="1:1" x14ac:dyDescent="0.25">
      <c r="A131" s="786"/>
    </row>
    <row r="132" spans="1:1" x14ac:dyDescent="0.25">
      <c r="A132" s="786"/>
    </row>
    <row r="133" spans="1:1" x14ac:dyDescent="0.25">
      <c r="A133" s="786"/>
    </row>
    <row r="134" spans="1:1" x14ac:dyDescent="0.25">
      <c r="A134" s="786"/>
    </row>
    <row r="135" spans="1:1" x14ac:dyDescent="0.25">
      <c r="A135" s="786"/>
    </row>
    <row r="136" spans="1:1" x14ac:dyDescent="0.25">
      <c r="A136" s="786"/>
    </row>
    <row r="137" spans="1:1" x14ac:dyDescent="0.25">
      <c r="A137" s="786"/>
    </row>
    <row r="138" spans="1:1" x14ac:dyDescent="0.25">
      <c r="A138" s="786"/>
    </row>
    <row r="139" spans="1:1" x14ac:dyDescent="0.25">
      <c r="A139" s="786"/>
    </row>
    <row r="140" spans="1:1" x14ac:dyDescent="0.25">
      <c r="A140" s="786"/>
    </row>
    <row r="141" spans="1:1" x14ac:dyDescent="0.25">
      <c r="A141" s="786"/>
    </row>
    <row r="142" spans="1:1" x14ac:dyDescent="0.25">
      <c r="A142" s="786"/>
    </row>
    <row r="143" spans="1:1" x14ac:dyDescent="0.25">
      <c r="A143" s="786"/>
    </row>
    <row r="144" spans="1:1" x14ac:dyDescent="0.25">
      <c r="A144" s="786"/>
    </row>
    <row r="145" spans="1:1" x14ac:dyDescent="0.25">
      <c r="A145" s="786"/>
    </row>
    <row r="146" spans="1:1" x14ac:dyDescent="0.25">
      <c r="A146" s="786"/>
    </row>
    <row r="147" spans="1:1" x14ac:dyDescent="0.25">
      <c r="A147" s="786"/>
    </row>
    <row r="148" spans="1:1" x14ac:dyDescent="0.25">
      <c r="A148" s="786"/>
    </row>
    <row r="149" spans="1:1" x14ac:dyDescent="0.25">
      <c r="A149" s="786"/>
    </row>
    <row r="150" spans="1:1" x14ac:dyDescent="0.25">
      <c r="A150" s="786"/>
    </row>
    <row r="151" spans="1:1" x14ac:dyDescent="0.25">
      <c r="A151" s="786"/>
    </row>
    <row r="152" spans="1:1" x14ac:dyDescent="0.25">
      <c r="A152" s="786"/>
    </row>
    <row r="153" spans="1:1" x14ac:dyDescent="0.25">
      <c r="A153" s="786"/>
    </row>
    <row r="154" spans="1:1" x14ac:dyDescent="0.25">
      <c r="A154" s="786"/>
    </row>
    <row r="155" spans="1:1" x14ac:dyDescent="0.25">
      <c r="A155" s="786"/>
    </row>
    <row r="156" spans="1:1" x14ac:dyDescent="0.25">
      <c r="A156" s="786"/>
    </row>
    <row r="157" spans="1:1" x14ac:dyDescent="0.25">
      <c r="A157" s="786"/>
    </row>
    <row r="158" spans="1:1" x14ac:dyDescent="0.25">
      <c r="A158" s="786"/>
    </row>
    <row r="159" spans="1:1" x14ac:dyDescent="0.25">
      <c r="A159" s="786"/>
    </row>
    <row r="160" spans="1:1" x14ac:dyDescent="0.25">
      <c r="A160" s="165"/>
    </row>
    <row r="161" spans="1:1" x14ac:dyDescent="0.25">
      <c r="A161" s="165"/>
    </row>
    <row r="162" spans="1:1" x14ac:dyDescent="0.25">
      <c r="A162" s="165"/>
    </row>
    <row r="163" spans="1:1" x14ac:dyDescent="0.25">
      <c r="A163" s="165"/>
    </row>
    <row r="164" spans="1:1" x14ac:dyDescent="0.25">
      <c r="A164" s="165"/>
    </row>
    <row r="165" spans="1:1" x14ac:dyDescent="0.25">
      <c r="A165" s="165"/>
    </row>
    <row r="166" spans="1:1" x14ac:dyDescent="0.25">
      <c r="A166" s="165"/>
    </row>
    <row r="167" spans="1:1" x14ac:dyDescent="0.25">
      <c r="A167" s="165"/>
    </row>
    <row r="168" spans="1:1" x14ac:dyDescent="0.25">
      <c r="A168" s="165"/>
    </row>
    <row r="169" spans="1:1" x14ac:dyDescent="0.25">
      <c r="A169" s="165"/>
    </row>
    <row r="170" spans="1:1" x14ac:dyDescent="0.25">
      <c r="A170" s="165"/>
    </row>
    <row r="171" spans="1:1" x14ac:dyDescent="0.25">
      <c r="A171" s="165"/>
    </row>
    <row r="172" spans="1:1" x14ac:dyDescent="0.25">
      <c r="A172" s="165"/>
    </row>
    <row r="173" spans="1:1" x14ac:dyDescent="0.25">
      <c r="A173" s="165"/>
    </row>
    <row r="174" spans="1:1" x14ac:dyDescent="0.25">
      <c r="A174" s="165"/>
    </row>
    <row r="175" spans="1:1" x14ac:dyDescent="0.25">
      <c r="A175" s="165"/>
    </row>
    <row r="176" spans="1:1" x14ac:dyDescent="0.25">
      <c r="A176" s="165"/>
    </row>
    <row r="177" spans="1:1" x14ac:dyDescent="0.25">
      <c r="A177" s="165"/>
    </row>
    <row r="178" spans="1:1" x14ac:dyDescent="0.25">
      <c r="A178" s="165"/>
    </row>
    <row r="179" spans="1:1" x14ac:dyDescent="0.25">
      <c r="A179" s="165"/>
    </row>
    <row r="180" spans="1:1" x14ac:dyDescent="0.25">
      <c r="A180" s="165"/>
    </row>
    <row r="181" spans="1:1" x14ac:dyDescent="0.25">
      <c r="A181" s="165"/>
    </row>
    <row r="182" spans="1:1" x14ac:dyDescent="0.25">
      <c r="A182" s="165"/>
    </row>
    <row r="183" spans="1:1" x14ac:dyDescent="0.25">
      <c r="A183" s="165"/>
    </row>
    <row r="184" spans="1:1" x14ac:dyDescent="0.25">
      <c r="A184" s="165"/>
    </row>
    <row r="185" spans="1:1" x14ac:dyDescent="0.25">
      <c r="A185" s="165"/>
    </row>
    <row r="186" spans="1:1" x14ac:dyDescent="0.25">
      <c r="A186" s="165"/>
    </row>
    <row r="187" spans="1:1" x14ac:dyDescent="0.25">
      <c r="A187" s="165"/>
    </row>
    <row r="188" spans="1:1" x14ac:dyDescent="0.25">
      <c r="A188" s="165"/>
    </row>
    <row r="189" spans="1:1" x14ac:dyDescent="0.25">
      <c r="A189" s="165"/>
    </row>
    <row r="190" spans="1:1" x14ac:dyDescent="0.25">
      <c r="A190" s="165"/>
    </row>
    <row r="191" spans="1:1" x14ac:dyDescent="0.25">
      <c r="A191" s="165"/>
    </row>
    <row r="192" spans="1:1" x14ac:dyDescent="0.25">
      <c r="A192" s="165"/>
    </row>
    <row r="193" spans="1:11" x14ac:dyDescent="0.25">
      <c r="A193" s="165"/>
    </row>
    <row r="194" spans="1:11" x14ac:dyDescent="0.25">
      <c r="A194" s="165"/>
    </row>
    <row r="195" spans="1:11" x14ac:dyDescent="0.25">
      <c r="A195" s="165"/>
    </row>
    <row r="196" spans="1:11" x14ac:dyDescent="0.25">
      <c r="A196" s="165"/>
    </row>
    <row r="197" spans="1:11" x14ac:dyDescent="0.25">
      <c r="A197" s="165"/>
    </row>
    <row r="198" spans="1:11" x14ac:dyDescent="0.25">
      <c r="A198" s="165"/>
    </row>
    <row r="199" spans="1:11" x14ac:dyDescent="0.25">
      <c r="A199" s="165"/>
    </row>
    <row r="200" spans="1:11" x14ac:dyDescent="0.25">
      <c r="A200" s="165"/>
    </row>
    <row r="201" spans="1:11" x14ac:dyDescent="0.25">
      <c r="A201" s="165"/>
      <c r="J201" s="835" t="str">
        <f>List!$B$109</f>
        <v>Zpět</v>
      </c>
      <c r="K201" s="835"/>
    </row>
    <row r="202" spans="1:11" x14ac:dyDescent="0.25">
      <c r="A202" s="165"/>
    </row>
    <row r="203" spans="1:11" x14ac:dyDescent="0.25">
      <c r="A203" s="165"/>
    </row>
    <row r="204" spans="1:11" x14ac:dyDescent="0.25">
      <c r="A204" s="165"/>
    </row>
    <row r="205" spans="1:11" x14ac:dyDescent="0.25">
      <c r="A205" s="165"/>
    </row>
    <row r="206" spans="1:11" x14ac:dyDescent="0.25">
      <c r="A206" s="165"/>
    </row>
    <row r="207" spans="1:11" x14ac:dyDescent="0.25">
      <c r="A207" s="165"/>
    </row>
    <row r="208" spans="1:11" x14ac:dyDescent="0.25">
      <c r="A208" s="165"/>
    </row>
    <row r="209" spans="1:1" x14ac:dyDescent="0.25">
      <c r="A209" s="165"/>
    </row>
    <row r="274" spans="1:11" x14ac:dyDescent="0.25">
      <c r="A274" s="786"/>
    </row>
    <row r="275" spans="1:11" x14ac:dyDescent="0.25">
      <c r="A275" s="786"/>
      <c r="J275" s="835" t="str">
        <f>List!$B$109</f>
        <v>Zpět</v>
      </c>
      <c r="K275" s="835"/>
    </row>
    <row r="276" spans="1:11" x14ac:dyDescent="0.25">
      <c r="A276" s="786"/>
    </row>
    <row r="277" spans="1:11" x14ac:dyDescent="0.25">
      <c r="A277" s="786"/>
    </row>
    <row r="278" spans="1:11" x14ac:dyDescent="0.25">
      <c r="A278" s="786"/>
    </row>
    <row r="279" spans="1:11" x14ac:dyDescent="0.25">
      <c r="A279" s="786"/>
    </row>
    <row r="280" spans="1:11" x14ac:dyDescent="0.25">
      <c r="A280" s="786"/>
    </row>
    <row r="281" spans="1:11" x14ac:dyDescent="0.25">
      <c r="A281" s="786"/>
    </row>
    <row r="282" spans="1:11" x14ac:dyDescent="0.25">
      <c r="A282" s="786"/>
    </row>
    <row r="283" spans="1:11" x14ac:dyDescent="0.25">
      <c r="A283" s="786"/>
    </row>
    <row r="284" spans="1:11" x14ac:dyDescent="0.25">
      <c r="A284" s="786"/>
    </row>
    <row r="285" spans="1:11" x14ac:dyDescent="0.25">
      <c r="A285" s="786"/>
    </row>
    <row r="286" spans="1:11" x14ac:dyDescent="0.25">
      <c r="A286" s="786"/>
    </row>
    <row r="287" spans="1:11" x14ac:dyDescent="0.25">
      <c r="A287" s="786"/>
    </row>
    <row r="288" spans="1:11" x14ac:dyDescent="0.25">
      <c r="A288" s="786"/>
    </row>
    <row r="289" spans="1:1" x14ac:dyDescent="0.25">
      <c r="A289" s="786"/>
    </row>
    <row r="290" spans="1:1" x14ac:dyDescent="0.25">
      <c r="A290" s="786"/>
    </row>
    <row r="291" spans="1:1" x14ac:dyDescent="0.25">
      <c r="A291" s="786"/>
    </row>
    <row r="292" spans="1:1" x14ac:dyDescent="0.25">
      <c r="A292" s="786"/>
    </row>
    <row r="293" spans="1:1" x14ac:dyDescent="0.25">
      <c r="A293" s="786"/>
    </row>
    <row r="294" spans="1:1" x14ac:dyDescent="0.25">
      <c r="A294" s="786"/>
    </row>
    <row r="295" spans="1:1" x14ac:dyDescent="0.25">
      <c r="A295" s="786"/>
    </row>
    <row r="296" spans="1:1" x14ac:dyDescent="0.25">
      <c r="A296" s="786"/>
    </row>
    <row r="297" spans="1:1" x14ac:dyDescent="0.25">
      <c r="A297" s="786"/>
    </row>
    <row r="298" spans="1:1" x14ac:dyDescent="0.25">
      <c r="A298" s="786"/>
    </row>
    <row r="299" spans="1:1" x14ac:dyDescent="0.25">
      <c r="A299" s="786"/>
    </row>
    <row r="300" spans="1:1" x14ac:dyDescent="0.25">
      <c r="A300" s="786"/>
    </row>
    <row r="301" spans="1:1" x14ac:dyDescent="0.25">
      <c r="A301" s="786"/>
    </row>
    <row r="302" spans="1:1" x14ac:dyDescent="0.25">
      <c r="A302" s="786"/>
    </row>
    <row r="303" spans="1:1" x14ac:dyDescent="0.25">
      <c r="A303" s="786"/>
    </row>
    <row r="304" spans="1:1" x14ac:dyDescent="0.25">
      <c r="A304" s="786"/>
    </row>
    <row r="305" spans="1:1" x14ac:dyDescent="0.25">
      <c r="A305" s="786"/>
    </row>
    <row r="306" spans="1:1" x14ac:dyDescent="0.25">
      <c r="A306" s="786"/>
    </row>
    <row r="307" spans="1:1" x14ac:dyDescent="0.25">
      <c r="A307" s="786"/>
    </row>
    <row r="308" spans="1:1" x14ac:dyDescent="0.25">
      <c r="A308" s="786"/>
    </row>
    <row r="309" spans="1:1" x14ac:dyDescent="0.25">
      <c r="A309" s="786"/>
    </row>
    <row r="310" spans="1:1" x14ac:dyDescent="0.25">
      <c r="A310" s="786"/>
    </row>
    <row r="311" spans="1:1" x14ac:dyDescent="0.25">
      <c r="A311" s="786"/>
    </row>
    <row r="312" spans="1:1" x14ac:dyDescent="0.25">
      <c r="A312" s="786"/>
    </row>
    <row r="313" spans="1:1" x14ac:dyDescent="0.25">
      <c r="A313" s="786"/>
    </row>
    <row r="314" spans="1:1" x14ac:dyDescent="0.25">
      <c r="A314" s="786"/>
    </row>
    <row r="315" spans="1:1" x14ac:dyDescent="0.25">
      <c r="A315" s="786"/>
    </row>
    <row r="316" spans="1:1" x14ac:dyDescent="0.25">
      <c r="A316" s="786"/>
    </row>
    <row r="317" spans="1:1" x14ac:dyDescent="0.25">
      <c r="A317" s="786"/>
    </row>
    <row r="318" spans="1:1" x14ac:dyDescent="0.25">
      <c r="A318" s="786"/>
    </row>
    <row r="319" spans="1:1" x14ac:dyDescent="0.25">
      <c r="A319" s="786"/>
    </row>
    <row r="320" spans="1:1" x14ac:dyDescent="0.25">
      <c r="A320" s="786"/>
    </row>
    <row r="321" spans="1:1" x14ac:dyDescent="0.25">
      <c r="A321" s="786"/>
    </row>
    <row r="322" spans="1:1" x14ac:dyDescent="0.25">
      <c r="A322" s="786"/>
    </row>
    <row r="323" spans="1:1" x14ac:dyDescent="0.25">
      <c r="A323" s="786"/>
    </row>
  </sheetData>
  <sheetProtection algorithmName="SHA-512" hashValue="MQyfzCUvNtcEt/Smxi8APNGuW2Et0xqAfRQxEMvsI9trZ50rMraPhBUxbBw3TYJVSxxDECuqf169uym1CgrgrQ==" saltValue="8lPmh1IwFbmg5KqN1QqwuA==" spinCount="100000" sheet="1" objects="1" scenarios="1"/>
  <mergeCells count="5">
    <mergeCell ref="J275:K275"/>
    <mergeCell ref="J111:K111"/>
    <mergeCell ref="A110:A159"/>
    <mergeCell ref="A274:A323"/>
    <mergeCell ref="J201:K201"/>
  </mergeCells>
  <phoneticPr fontId="51" type="noConversion"/>
  <hyperlinks>
    <hyperlink ref="I3" location="Form!A1" tooltip=" " display="Form!A1"/>
    <hyperlink ref="I4" location="Menu!A1" tooltip=" " display="Menu!A1"/>
    <hyperlink ref="I12" location="Acs!A150" tooltip=" " display="Acs!A150"/>
    <hyperlink ref="I29" location="Acs!A280" tooltip=" " display="Acs!A280"/>
    <hyperlink ref="J275:K275" location="Acs!A1" tooltip=" " display="Acs!A1"/>
    <hyperlink ref="J111:K111" location="Acs!A1" tooltip=" " display="Acs!A1"/>
    <hyperlink ref="I7" location="SD!A1" tooltip=" " display="SD!A1"/>
    <hyperlink ref="I9" location="Sum!A1" tooltip=" " display="Sum!A1"/>
    <hyperlink ref="I10" location="Ord!A1" tooltip=" " display="Ord!A1"/>
    <hyperlink ref="I8" location="AL!A1" tooltip=" " display="AL!A1"/>
    <hyperlink ref="J201:K201" location="Acs!A1" tooltip=" " display="Acs!A1"/>
  </hyperlinks>
  <pageMargins left="0.31496062992125984" right="0.31496062992125984" top="0.39370078740157483" bottom="0.59055118110236227" header="0.31496062992125984" footer="0.31496062992125984"/>
  <pageSetup paperSize="9" scale="90" orientation="portrait" horizontalDpi="1200" verticalDpi="12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indexed="57"/>
  </sheetPr>
  <dimension ref="A1:K262"/>
  <sheetViews>
    <sheetView showGridLines="0" workbookViewId="0">
      <selection activeCell="I16" sqref="I16"/>
    </sheetView>
  </sheetViews>
  <sheetFormatPr defaultColWidth="9.1796875" defaultRowHeight="12.5" x14ac:dyDescent="0.25"/>
  <cols>
    <col min="1" max="1" width="7.1796875" style="119" customWidth="1"/>
    <col min="2" max="2" width="44.26953125" style="119" customWidth="1"/>
    <col min="3" max="3" width="17.1796875" style="119" customWidth="1"/>
    <col min="4" max="7" width="10" style="119" customWidth="1"/>
    <col min="8" max="8" width="3.1796875" style="119" customWidth="1"/>
    <col min="9" max="9" width="27.54296875" style="119" customWidth="1"/>
    <col min="10" max="16384" width="9.1796875" style="119"/>
  </cols>
  <sheetData>
    <row r="1" spans="1:9" ht="19.5" customHeight="1" x14ac:dyDescent="0.4">
      <c r="G1" s="193" t="s">
        <v>328</v>
      </c>
    </row>
    <row r="2" spans="1:9" ht="17.5" x14ac:dyDescent="0.35">
      <c r="B2" s="194"/>
      <c r="C2" s="7"/>
      <c r="D2" s="7"/>
      <c r="E2" s="191" t="str">
        <f>List!$B$98&amp;":"</f>
        <v>Počet:</v>
      </c>
      <c r="F2" s="113"/>
      <c r="G2" s="116"/>
      <c r="I2" s="153" t="str">
        <f>List!$B$11&amp;":"</f>
        <v>Zpět na:</v>
      </c>
    </row>
    <row r="3" spans="1:9" ht="13" thickBot="1" x14ac:dyDescent="0.3">
      <c r="A3" s="115">
        <v>1</v>
      </c>
      <c r="B3" s="6" t="str">
        <f>Cen!A567</f>
        <v>Distanční doraz Blum, 5mm</v>
      </c>
      <c r="C3" s="6" t="str">
        <f>Cen!B567</f>
        <v>993.0530</v>
      </c>
      <c r="D3" s="6" t="str">
        <f>Cen!C567</f>
        <v>R737</v>
      </c>
      <c r="E3" s="9"/>
      <c r="F3" s="114">
        <f>Cen!F567</f>
        <v>0.69091000000000014</v>
      </c>
      <c r="G3" s="3">
        <f t="shared" ref="G3:G30" si="0">E3*F3</f>
        <v>0</v>
      </c>
      <c r="I3" s="151" t="str">
        <f>" "&amp;List!$B$13</f>
        <v xml:space="preserve"> Úvod</v>
      </c>
    </row>
    <row r="4" spans="1:9" ht="13" thickBot="1" x14ac:dyDescent="0.3">
      <c r="A4" s="115">
        <v>1</v>
      </c>
      <c r="B4" s="6" t="str">
        <f>Cen!A568</f>
        <v>Distanční doraz Blum, 8mm</v>
      </c>
      <c r="C4" s="6" t="str">
        <f>Cen!B568</f>
        <v>993.0830.01</v>
      </c>
      <c r="D4" s="6" t="str">
        <f>Cen!C568</f>
        <v>R737</v>
      </c>
      <c r="E4" s="9"/>
      <c r="F4" s="114">
        <f>Cen!F568</f>
        <v>0.62067000000000005</v>
      </c>
      <c r="G4" s="3">
        <f t="shared" si="0"/>
        <v>0</v>
      </c>
      <c r="I4" s="151" t="str">
        <f>" "&amp;List!$B$4</f>
        <v xml:space="preserve"> Výběr zásuvek a výsuvů</v>
      </c>
    </row>
    <row r="5" spans="1:9" x14ac:dyDescent="0.25">
      <c r="A5" s="115">
        <v>2</v>
      </c>
      <c r="B5" s="6" t="str">
        <f>Cen!A586</f>
        <v xml:space="preserve">Nosník, 670mm, s předmont. kabelem </v>
      </c>
      <c r="C5" s="6" t="str">
        <f>Cen!B586</f>
        <v xml:space="preserve">Z10T670AA </v>
      </c>
      <c r="D5" s="6" t="str">
        <f>Cen!C586</f>
        <v>Alu</v>
      </c>
      <c r="E5" s="9"/>
      <c r="F5" s="114">
        <f>Cen!F586</f>
        <v>34.334380000000003</v>
      </c>
      <c r="G5" s="3">
        <f t="shared" si="0"/>
        <v>0</v>
      </c>
      <c r="I5" s="152" t="s">
        <v>350</v>
      </c>
    </row>
    <row r="6" spans="1:9" x14ac:dyDescent="0.25">
      <c r="A6" s="115">
        <v>2</v>
      </c>
      <c r="B6" s="6" t="str">
        <f>Cen!A587</f>
        <v xml:space="preserve">Nosník, 750mm, s předmont. kabelem </v>
      </c>
      <c r="C6" s="6" t="str">
        <f>Cen!B587</f>
        <v xml:space="preserve">Z10T750AA </v>
      </c>
      <c r="D6" s="6" t="str">
        <f>Cen!C587</f>
        <v>Alu</v>
      </c>
      <c r="E6" s="9"/>
      <c r="F6" s="114">
        <f>Cen!F587</f>
        <v>37.613590000000002</v>
      </c>
      <c r="G6" s="3">
        <f t="shared" si="0"/>
        <v>0</v>
      </c>
      <c r="I6" s="2"/>
    </row>
    <row r="7" spans="1:9" ht="13" thickBot="1" x14ac:dyDescent="0.3">
      <c r="A7" s="115">
        <v>2</v>
      </c>
      <c r="B7" s="6" t="str">
        <f>Cen!A588</f>
        <v>Nosník 1170mm, bez kabelu</v>
      </c>
      <c r="C7" s="6" t="str">
        <f>Cen!B588</f>
        <v>Z10T1170A</v>
      </c>
      <c r="D7" s="6" t="str">
        <f>Cen!C588</f>
        <v>Alu</v>
      </c>
      <c r="E7" s="9"/>
      <c r="F7" s="114">
        <f>Cen!F588</f>
        <v>40.049750000000003</v>
      </c>
      <c r="G7" s="3">
        <f t="shared" si="0"/>
        <v>0</v>
      </c>
      <c r="I7" s="2" t="str">
        <f>List!$B$12&amp;":"</f>
        <v>Pokračovat na:</v>
      </c>
    </row>
    <row r="8" spans="1:9" ht="13" thickBot="1" x14ac:dyDescent="0.3">
      <c r="A8" s="115">
        <v>3.4</v>
      </c>
      <c r="B8" s="6" t="str">
        <f>Cen!A570</f>
        <v>Držák nosníku, vlys naležato</v>
      </c>
      <c r="C8" s="6" t="str">
        <f>Cen!B570</f>
        <v>Z10D01E0.01</v>
      </c>
      <c r="D8" s="6" t="str">
        <f>Cen!C570</f>
        <v>R737</v>
      </c>
      <c r="E8" s="9"/>
      <c r="F8" s="114">
        <f>Cen!F570</f>
        <v>3.29522</v>
      </c>
      <c r="G8" s="3">
        <f t="shared" si="0"/>
        <v>0</v>
      </c>
      <c r="I8" s="247" t="str">
        <f>" "&amp;List!$B$7</f>
        <v xml:space="preserve"> Výběr AMBIA-LINE</v>
      </c>
    </row>
    <row r="9" spans="1:9" ht="13" thickBot="1" x14ac:dyDescent="0.3">
      <c r="A9" s="115" t="s">
        <v>332</v>
      </c>
      <c r="B9" s="6" t="str">
        <f>Cen!A571</f>
        <v>Držák nosníku, vlys nastojato</v>
      </c>
      <c r="C9" s="6" t="str">
        <f>Cen!B571</f>
        <v>Z10D01EA.01</v>
      </c>
      <c r="D9" s="6" t="str">
        <f>Cen!C571</f>
        <v>R737</v>
      </c>
      <c r="E9" s="9"/>
      <c r="F9" s="114">
        <f>Cen!F571</f>
        <v>4.1090900000000001</v>
      </c>
      <c r="G9" s="3">
        <f t="shared" si="0"/>
        <v>0</v>
      </c>
      <c r="I9" s="152" t="str">
        <f>" "&amp;List!$B$18</f>
        <v xml:space="preserve"> Souhrn</v>
      </c>
    </row>
    <row r="10" spans="1:9" x14ac:dyDescent="0.25">
      <c r="A10" s="115">
        <v>5</v>
      </c>
      <c r="B10" s="6" t="str">
        <f>Cen!A569</f>
        <v>Pohonná servo jednotka</v>
      </c>
      <c r="C10" s="6" t="str">
        <f>Cen!B569</f>
        <v>Z10A3000.02</v>
      </c>
      <c r="D10" s="6" t="str">
        <f>Cen!C569</f>
        <v>R737</v>
      </c>
      <c r="E10" s="9"/>
      <c r="F10" s="114">
        <f>Cen!F569</f>
        <v>67.216899999999995</v>
      </c>
      <c r="G10" s="3">
        <f t="shared" si="0"/>
        <v>0</v>
      </c>
      <c r="I10" s="152" t="str">
        <f>" "&amp;List!$B$20</f>
        <v xml:space="preserve"> Objednávka</v>
      </c>
    </row>
    <row r="11" spans="1:9" x14ac:dyDescent="0.25">
      <c r="A11" s="115">
        <v>6.7</v>
      </c>
      <c r="B11" s="6" t="str">
        <f>Cen!A585</f>
        <v>Propojovací svorka s hroty + krytka</v>
      </c>
      <c r="C11" s="6" t="str">
        <f>Cen!B585</f>
        <v>Z10V100E.01</v>
      </c>
      <c r="D11" s="6" t="str">
        <f>Cen!C585</f>
        <v>S</v>
      </c>
      <c r="E11" s="9"/>
      <c r="F11" s="114">
        <f>Cen!F585</f>
        <v>6.2567500000000003</v>
      </c>
      <c r="G11" s="3">
        <f t="shared" si="0"/>
        <v>0</v>
      </c>
    </row>
    <row r="12" spans="1:9" x14ac:dyDescent="0.25">
      <c r="A12" s="115">
        <v>8.6999999999999993</v>
      </c>
      <c r="B12" s="6" t="str">
        <f>Cen!A580</f>
        <v>Elektrokabel, délka 8m + 5 krytek</v>
      </c>
      <c r="C12" s="6" t="str">
        <f>Cen!B580</f>
        <v>Z10K800AE</v>
      </c>
      <c r="D12" s="6" t="str">
        <f>Cen!C580</f>
        <v>S</v>
      </c>
      <c r="E12" s="9"/>
      <c r="F12" s="114">
        <f>Cen!F580</f>
        <v>26.267219999999998</v>
      </c>
      <c r="G12" s="3">
        <f t="shared" si="0"/>
        <v>0</v>
      </c>
      <c r="I12" s="187" t="str">
        <f>"     "&amp;List!$B$25</f>
        <v xml:space="preserve">     Informace k objednávání</v>
      </c>
    </row>
    <row r="13" spans="1:9" x14ac:dyDescent="0.25">
      <c r="A13" s="115">
        <v>9</v>
      </c>
      <c r="B13" s="6" t="str">
        <f>Cen!A582</f>
        <v>Napájecí zdroj 72W</v>
      </c>
      <c r="C13" s="6" t="str">
        <f>Cen!B582</f>
        <v>Z10NE020E</v>
      </c>
      <c r="D13" s="6" t="str">
        <f>Cen!C582</f>
        <v>S</v>
      </c>
      <c r="E13" s="9"/>
      <c r="F13" s="114">
        <f>Cen!F582</f>
        <v>96.961060000000003</v>
      </c>
      <c r="G13" s="3">
        <f t="shared" si="0"/>
        <v>0</v>
      </c>
    </row>
    <row r="14" spans="1:9" x14ac:dyDescent="0.25">
      <c r="A14" s="115">
        <v>10</v>
      </c>
      <c r="B14" s="6" t="str">
        <f>Cen!A581</f>
        <v>Napájecí kabel se zástrčkou, 2m</v>
      </c>
      <c r="C14" s="6" t="str">
        <f>Cen!B581</f>
        <v xml:space="preserve">Z10M200E </v>
      </c>
      <c r="D14" s="6" t="str">
        <f>Cen!C581</f>
        <v>S</v>
      </c>
      <c r="E14" s="9"/>
      <c r="F14" s="114">
        <f>Cen!F581</f>
        <v>6.3704900000000002</v>
      </c>
      <c r="G14" s="3">
        <f t="shared" si="0"/>
        <v>0</v>
      </c>
    </row>
    <row r="15" spans="1:9" x14ac:dyDescent="0.25">
      <c r="A15" s="115">
        <v>11</v>
      </c>
      <c r="B15" s="6" t="str">
        <f>Cen!A583</f>
        <v>Držák napájecího zdroje - montáž do dna</v>
      </c>
      <c r="C15" s="6" t="str">
        <f>Cen!B583</f>
        <v>Z10NG000</v>
      </c>
      <c r="D15" s="6" t="str">
        <f>Cen!C583</f>
        <v>R737</v>
      </c>
      <c r="E15" s="9"/>
      <c r="F15" s="114">
        <f>Cen!F583</f>
        <v>6.557669999999999</v>
      </c>
      <c r="G15" s="3">
        <f t="shared" si="0"/>
        <v>0</v>
      </c>
    </row>
    <row r="16" spans="1:9" x14ac:dyDescent="0.25">
      <c r="A16" s="115">
        <v>12</v>
      </c>
      <c r="B16" s="6" t="str">
        <f>Cen!A584</f>
        <v>Držák napájecího zdroje - montáž na stěnu</v>
      </c>
      <c r="C16" s="6" t="str">
        <f>Cen!B584</f>
        <v>Z10NG120</v>
      </c>
      <c r="D16" s="6" t="str">
        <f>Cen!C584</f>
        <v>WGR</v>
      </c>
      <c r="E16" s="9"/>
      <c r="F16" s="114">
        <f>Cen!F584</f>
        <v>3.5366300000000002</v>
      </c>
      <c r="G16" s="3">
        <f t="shared" si="0"/>
        <v>0</v>
      </c>
    </row>
    <row r="17" spans="1:7" x14ac:dyDescent="0.25">
      <c r="A17" s="115">
        <v>13</v>
      </c>
      <c r="B17" s="6" t="str">
        <f>Cen!A576</f>
        <v>Synchronizační kabel 8cm</v>
      </c>
      <c r="C17" s="6" t="str">
        <f>Cen!B576</f>
        <v xml:space="preserve">Z10K008S </v>
      </c>
      <c r="D17" s="6" t="str">
        <f>Cen!C576</f>
        <v>W</v>
      </c>
      <c r="E17" s="9"/>
      <c r="F17" s="114">
        <f>Cen!F576</f>
        <v>4.2158600000000002</v>
      </c>
      <c r="G17" s="3">
        <f t="shared" si="0"/>
        <v>0</v>
      </c>
    </row>
    <row r="18" spans="1:7" x14ac:dyDescent="0.25">
      <c r="A18" s="115">
        <v>13</v>
      </c>
      <c r="B18" s="6" t="str">
        <f>Cen!A577</f>
        <v>Synchronizační kabel 50cm</v>
      </c>
      <c r="C18" s="6" t="str">
        <f>Cen!B577</f>
        <v>Z10K050S</v>
      </c>
      <c r="D18" s="6" t="str">
        <f>Cen!C577</f>
        <v>W</v>
      </c>
      <c r="E18" s="9"/>
      <c r="F18" s="114">
        <f>Cen!F577</f>
        <v>5.8548999999999998</v>
      </c>
      <c r="G18" s="3">
        <f t="shared" si="0"/>
        <v>0</v>
      </c>
    </row>
    <row r="19" spans="1:7" x14ac:dyDescent="0.25">
      <c r="A19" s="115">
        <v>13</v>
      </c>
      <c r="B19" s="6" t="str">
        <f>Cen!A578</f>
        <v>Synchronizační kabel 120cm</v>
      </c>
      <c r="C19" s="6" t="str">
        <f>Cen!B578</f>
        <v>Z10K120S</v>
      </c>
      <c r="D19" s="6" t="str">
        <f>Cen!C578</f>
        <v>W</v>
      </c>
      <c r="E19" s="9"/>
      <c r="F19" s="114">
        <f>Cen!F578</f>
        <v>9.0636899999999994</v>
      </c>
      <c r="G19" s="3">
        <f t="shared" si="0"/>
        <v>0</v>
      </c>
    </row>
    <row r="20" spans="1:7" x14ac:dyDescent="0.25">
      <c r="A20" s="115">
        <v>13</v>
      </c>
      <c r="B20" s="6" t="str">
        <f>Cen!A579</f>
        <v>Synchronizační kabel 160cm</v>
      </c>
      <c r="C20" s="6" t="str">
        <f>Cen!B579</f>
        <v>Z10K160S</v>
      </c>
      <c r="D20" s="6" t="str">
        <f>Cen!C579</f>
        <v>W</v>
      </c>
      <c r="E20" s="9"/>
      <c r="F20" s="114">
        <f>Cen!F579</f>
        <v>10.234780000000001</v>
      </c>
      <c r="G20" s="3">
        <f t="shared" si="0"/>
        <v>0</v>
      </c>
    </row>
    <row r="21" spans="1:7" x14ac:dyDescent="0.25">
      <c r="A21" s="115">
        <v>14</v>
      </c>
      <c r="B21" s="6" t="str">
        <f>Cen!A573</f>
        <v>Držák servo jednotky zdvojený</v>
      </c>
      <c r="C21" s="6" t="str">
        <f>Cen!B573</f>
        <v>Z10D7201.01</v>
      </c>
      <c r="D21" s="6" t="str">
        <f>Cen!C573</f>
        <v>R737</v>
      </c>
      <c r="E21" s="9"/>
      <c r="F21" s="114">
        <f>Cen!F573</f>
        <v>13.40591</v>
      </c>
      <c r="G21" s="3">
        <f t="shared" si="0"/>
        <v>0</v>
      </c>
    </row>
    <row r="22" spans="1:7" x14ac:dyDescent="0.25">
      <c r="A22" s="115">
        <v>15</v>
      </c>
      <c r="B22" s="6" t="str">
        <f>Cen!A572</f>
        <v>Držák servo jednotky jednoduchý</v>
      </c>
      <c r="C22" s="6" t="str">
        <f>Cen!B572</f>
        <v>Z10D0311</v>
      </c>
      <c r="D22" s="6" t="str">
        <f>Cen!C572</f>
        <v>R737</v>
      </c>
      <c r="E22" s="9"/>
      <c r="F22" s="114">
        <f>Cen!F572</f>
        <v>6.7205600000000008</v>
      </c>
      <c r="G22" s="3">
        <f t="shared" si="0"/>
        <v>0</v>
      </c>
    </row>
    <row r="23" spans="1:7" x14ac:dyDescent="0.25">
      <c r="A23" s="115">
        <v>16</v>
      </c>
      <c r="B23" s="6" t="str">
        <f>Cen!A575</f>
        <v>Držák kabelu s Klebesockel</v>
      </c>
      <c r="C23" s="6" t="str">
        <f>Cen!B575</f>
        <v>Z10K0009</v>
      </c>
      <c r="D23" s="6" t="str">
        <f>Cen!C575</f>
        <v>NA</v>
      </c>
      <c r="E23" s="9"/>
      <c r="F23" s="114">
        <f>Cen!F575</f>
        <v>0.75662999999999991</v>
      </c>
      <c r="G23" s="3">
        <f t="shared" si="0"/>
        <v>0</v>
      </c>
    </row>
    <row r="24" spans="1:7" x14ac:dyDescent="0.25">
      <c r="A24" s="115">
        <v>17</v>
      </c>
      <c r="B24" s="6" t="str">
        <f>Cen!A550</f>
        <v>Stabilizace čel</v>
      </c>
      <c r="C24" s="6" t="str">
        <f>Cen!B550</f>
        <v>Z96.10E1</v>
      </c>
      <c r="D24" s="6" t="str">
        <f>Cen!C550</f>
        <v>R737</v>
      </c>
      <c r="E24" s="9"/>
      <c r="F24" s="114">
        <f>Cen!F550</f>
        <v>1.3134000000000001</v>
      </c>
      <c r="G24" s="3">
        <f t="shared" si="0"/>
        <v>0</v>
      </c>
    </row>
    <row r="25" spans="1:7" x14ac:dyDescent="0.25">
      <c r="A25" s="357">
        <v>18.2</v>
      </c>
      <c r="B25" s="6" t="str">
        <f>Cen!A591</f>
        <v>Adaptér + držák horizont. nosníku</v>
      </c>
      <c r="C25" s="6" t="str">
        <f>Cen!B591</f>
        <v>Z10D5210</v>
      </c>
      <c r="D25" s="6" t="str">
        <f>Cen!C591</f>
        <v>R737</v>
      </c>
      <c r="E25" s="9"/>
      <c r="F25" s="114">
        <f>Cen!F591</f>
        <v>5.199209999999999</v>
      </c>
      <c r="G25" s="3">
        <f t="shared" si="0"/>
        <v>0</v>
      </c>
    </row>
    <row r="26" spans="1:7" x14ac:dyDescent="0.25">
      <c r="A26" s="115">
        <v>19</v>
      </c>
      <c r="B26" s="6" t="str">
        <f>Cen!A590</f>
        <v>Horizontální nosník</v>
      </c>
      <c r="C26" s="6" t="str">
        <f>Cen!B590</f>
        <v>Z10T1143B</v>
      </c>
      <c r="D26" s="6" t="str">
        <f>Cen!C590</f>
        <v>Alu</v>
      </c>
      <c r="E26" s="9"/>
      <c r="F26" s="114">
        <f>Cen!F590</f>
        <v>16.558009999999999</v>
      </c>
      <c r="G26" s="3">
        <f t="shared" si="0"/>
        <v>0</v>
      </c>
    </row>
    <row r="27" spans="1:7" x14ac:dyDescent="0.25">
      <c r="A27" s="115">
        <v>21</v>
      </c>
      <c r="B27" s="6" t="str">
        <f>Cen!A574</f>
        <v>Držák servo jednotky horní</v>
      </c>
      <c r="C27" s="6" t="str">
        <f>Cen!B574</f>
        <v>Z10D6252</v>
      </c>
      <c r="D27" s="6" t="str">
        <f>Cen!C574</f>
        <v>R737</v>
      </c>
      <c r="E27" s="9"/>
      <c r="F27" s="114">
        <f>Cen!F574</f>
        <v>18.91206</v>
      </c>
      <c r="G27" s="3">
        <f t="shared" si="0"/>
        <v>0</v>
      </c>
    </row>
    <row r="28" spans="1:7" x14ac:dyDescent="0.25">
      <c r="A28" s="115">
        <v>22</v>
      </c>
      <c r="B28" s="6" t="str">
        <f>Cen!A589</f>
        <v xml:space="preserve">Mechanizmus vyhazovače </v>
      </c>
      <c r="C28" s="6" t="str">
        <f>Cen!B589</f>
        <v>Z10A3H00</v>
      </c>
      <c r="D28" s="6" t="str">
        <f>Cen!C589</f>
        <v>R737</v>
      </c>
      <c r="E28" s="9"/>
      <c r="F28" s="114">
        <f>Cen!F589</f>
        <v>2.8103199999999999</v>
      </c>
      <c r="G28" s="3">
        <f t="shared" si="0"/>
        <v>0</v>
      </c>
    </row>
    <row r="29" spans="1:7" x14ac:dyDescent="0.25">
      <c r="A29" s="115"/>
      <c r="B29" s="6" t="str">
        <f>Cen!A592</f>
        <v>COMBOX</v>
      </c>
      <c r="C29" s="6" t="str">
        <f>Cen!B592</f>
        <v>Z10ZC00A</v>
      </c>
      <c r="D29" s="6" t="str">
        <f>Cen!C592</f>
        <v>S</v>
      </c>
      <c r="E29" s="9"/>
      <c r="F29" s="114">
        <f>Cen!F592</f>
        <v>110.51904999999999</v>
      </c>
      <c r="G29" s="3">
        <f t="shared" si="0"/>
        <v>0</v>
      </c>
    </row>
    <row r="30" spans="1:7" x14ac:dyDescent="0.25">
      <c r="A30" s="115"/>
      <c r="B30" s="6" t="str">
        <f>Cen!A593</f>
        <v>SD uno - sada pro výsuv na odpad</v>
      </c>
      <c r="C30" s="6" t="str">
        <f>Cen!B593</f>
        <v>Z10NA20EE01</v>
      </c>
      <c r="D30" s="6" t="str">
        <f>Cen!C593</f>
        <v>R737</v>
      </c>
      <c r="E30" s="9"/>
      <c r="F30" s="114">
        <f>Cen!F593</f>
        <v>132.19479999999999</v>
      </c>
      <c r="G30" s="3">
        <f t="shared" si="0"/>
        <v>0</v>
      </c>
    </row>
    <row r="31" spans="1:7" x14ac:dyDescent="0.25">
      <c r="A31" s="115">
        <v>23</v>
      </c>
      <c r="B31" s="6" t="str">
        <f>Cen!A594</f>
        <v>SERVO-DRIVE flex - jednotka (sada)</v>
      </c>
      <c r="C31" s="6" t="str">
        <f>Cen!B594</f>
        <v>Z10C500A</v>
      </c>
      <c r="D31" s="6" t="str">
        <f>Cen!C594</f>
        <v>R736</v>
      </c>
      <c r="E31" s="9"/>
      <c r="F31" s="114">
        <f>Cen!F594</f>
        <v>156.82427999999999</v>
      </c>
      <c r="G31" s="3">
        <f>E31*F31</f>
        <v>0</v>
      </c>
    </row>
    <row r="32" spans="1:7" x14ac:dyDescent="0.25">
      <c r="A32" s="115">
        <v>24</v>
      </c>
      <c r="B32" s="6" t="str">
        <f>Cen!A595</f>
        <v>SERVO-DRIVE flex - bezdrátový přijímač</v>
      </c>
      <c r="C32" s="6" t="str">
        <f>Cen!B595</f>
        <v>Z10C5007</v>
      </c>
      <c r="D32" s="6" t="str">
        <f>Cen!C595</f>
        <v>R736</v>
      </c>
      <c r="E32" s="9"/>
      <c r="F32" s="114">
        <f>Cen!F595</f>
        <v>61.456240000000001</v>
      </c>
      <c r="G32" s="3">
        <f>E32*F32</f>
        <v>0</v>
      </c>
    </row>
    <row r="33" spans="1:7" x14ac:dyDescent="0.25">
      <c r="A33" s="115">
        <v>25</v>
      </c>
      <c r="B33" s="6" t="str">
        <f>Cen!A596</f>
        <v>Spínač SERVO-DRIVE, světle šedý</v>
      </c>
      <c r="C33" s="6" t="str">
        <f>Cen!B596</f>
        <v>21P5020</v>
      </c>
      <c r="D33" s="6" t="str">
        <f>Cen!C596</f>
        <v>HGR</v>
      </c>
      <c r="E33" s="9"/>
      <c r="F33" s="114">
        <f>Cen!F596</f>
        <v>29.275839999999999</v>
      </c>
      <c r="G33" s="3">
        <f>E33*F33</f>
        <v>0</v>
      </c>
    </row>
    <row r="34" spans="1:7" x14ac:dyDescent="0.25">
      <c r="A34" s="115">
        <v>25</v>
      </c>
      <c r="B34" s="6" t="str">
        <f>Cen!A597</f>
        <v>Spínač SERVO-DRIVE, hedvábně bílý</v>
      </c>
      <c r="C34" s="6" t="str">
        <f>Cen!B597</f>
        <v>21P5020</v>
      </c>
      <c r="D34" s="6" t="str">
        <f>Cen!C597</f>
        <v>SW</v>
      </c>
      <c r="E34" s="9"/>
      <c r="F34" s="114">
        <f>Cen!F597</f>
        <v>30.447119999999998</v>
      </c>
      <c r="G34" s="3">
        <f>E34*F34</f>
        <v>0</v>
      </c>
    </row>
    <row r="35" spans="1:7" x14ac:dyDescent="0.25">
      <c r="A35" s="115"/>
      <c r="B35" s="6"/>
      <c r="C35" s="6"/>
      <c r="D35" s="6"/>
      <c r="E35" s="9"/>
      <c r="F35" s="114"/>
      <c r="G35" s="3"/>
    </row>
    <row r="36" spans="1:7" x14ac:dyDescent="0.25">
      <c r="A36" s="115"/>
      <c r="B36" s="6"/>
      <c r="C36" s="6"/>
      <c r="D36" s="6"/>
      <c r="E36" s="9"/>
      <c r="F36" s="114"/>
      <c r="G36" s="3"/>
    </row>
    <row r="37" spans="1:7" x14ac:dyDescent="0.25">
      <c r="A37" s="115"/>
      <c r="B37" s="6"/>
      <c r="C37" s="6"/>
      <c r="D37" s="6"/>
      <c r="E37" s="9"/>
      <c r="F37" s="114"/>
      <c r="G37" s="3"/>
    </row>
    <row r="38" spans="1:7" x14ac:dyDescent="0.25">
      <c r="A38" s="115"/>
      <c r="B38" s="6"/>
      <c r="C38" s="6"/>
      <c r="D38" s="6"/>
      <c r="E38" s="9"/>
      <c r="F38" s="114"/>
      <c r="G38" s="3"/>
    </row>
    <row r="39" spans="1:7" x14ac:dyDescent="0.25">
      <c r="B39" s="6"/>
      <c r="C39" s="6"/>
      <c r="D39" s="6"/>
      <c r="E39" s="5"/>
      <c r="F39" s="4" t="str">
        <f>List!$B$104&amp;":"</f>
        <v>Celkem:</v>
      </c>
      <c r="G39" s="3">
        <f>SUM(G3:G38)</f>
        <v>0</v>
      </c>
    </row>
    <row r="40" spans="1:7" ht="18" customHeight="1" x14ac:dyDescent="0.25">
      <c r="A40" s="245"/>
    </row>
    <row r="41" spans="1:7" x14ac:dyDescent="0.25">
      <c r="A41" s="245"/>
    </row>
    <row r="42" spans="1:7" x14ac:dyDescent="0.25">
      <c r="A42" s="245"/>
    </row>
    <row r="43" spans="1:7" x14ac:dyDescent="0.25">
      <c r="A43" s="245"/>
    </row>
    <row r="44" spans="1:7" x14ac:dyDescent="0.25">
      <c r="A44" s="245"/>
    </row>
    <row r="45" spans="1:7" x14ac:dyDescent="0.25">
      <c r="A45" s="245"/>
    </row>
    <row r="46" spans="1:7" x14ac:dyDescent="0.25">
      <c r="A46" s="245"/>
    </row>
    <row r="47" spans="1:7" x14ac:dyDescent="0.25">
      <c r="A47" s="245"/>
    </row>
    <row r="48" spans="1:7" x14ac:dyDescent="0.25">
      <c r="A48" s="245"/>
    </row>
    <row r="49" spans="1:1" x14ac:dyDescent="0.25">
      <c r="A49" s="245"/>
    </row>
    <row r="50" spans="1:1" x14ac:dyDescent="0.25">
      <c r="A50" s="245"/>
    </row>
    <row r="51" spans="1:1" x14ac:dyDescent="0.25">
      <c r="A51" s="245"/>
    </row>
    <row r="52" spans="1:1" x14ac:dyDescent="0.25">
      <c r="A52" s="245"/>
    </row>
    <row r="53" spans="1:1" x14ac:dyDescent="0.25">
      <c r="A53" s="245"/>
    </row>
    <row r="54" spans="1:1" x14ac:dyDescent="0.25">
      <c r="A54" s="245"/>
    </row>
    <row r="55" spans="1:1" x14ac:dyDescent="0.25">
      <c r="A55" s="245"/>
    </row>
    <row r="56" spans="1:1" x14ac:dyDescent="0.25">
      <c r="A56" s="245"/>
    </row>
    <row r="57" spans="1:1" x14ac:dyDescent="0.25">
      <c r="A57" s="245"/>
    </row>
    <row r="58" spans="1:1" x14ac:dyDescent="0.25">
      <c r="A58" s="245"/>
    </row>
    <row r="59" spans="1:1" x14ac:dyDescent="0.25">
      <c r="A59" s="245"/>
    </row>
    <row r="60" spans="1:1" x14ac:dyDescent="0.25">
      <c r="A60" s="245"/>
    </row>
    <row r="61" spans="1:1" x14ac:dyDescent="0.25">
      <c r="A61" s="245"/>
    </row>
    <row r="62" spans="1:1" x14ac:dyDescent="0.25">
      <c r="A62" s="245"/>
    </row>
    <row r="63" spans="1:1" x14ac:dyDescent="0.25">
      <c r="A63" s="245"/>
    </row>
    <row r="64" spans="1:1" x14ac:dyDescent="0.25">
      <c r="A64" s="245"/>
    </row>
    <row r="65" spans="1:1" x14ac:dyDescent="0.25">
      <c r="A65" s="245"/>
    </row>
    <row r="66" spans="1:1" x14ac:dyDescent="0.25">
      <c r="A66" s="245"/>
    </row>
    <row r="67" spans="1:1" x14ac:dyDescent="0.25">
      <c r="A67" s="245"/>
    </row>
    <row r="68" spans="1:1" x14ac:dyDescent="0.25">
      <c r="A68" s="245"/>
    </row>
    <row r="69" spans="1:1" x14ac:dyDescent="0.25">
      <c r="A69" s="245"/>
    </row>
    <row r="70" spans="1:1" x14ac:dyDescent="0.25">
      <c r="A70" s="245"/>
    </row>
    <row r="71" spans="1:1" x14ac:dyDescent="0.25">
      <c r="A71" s="245"/>
    </row>
    <row r="72" spans="1:1" x14ac:dyDescent="0.25">
      <c r="A72" s="245"/>
    </row>
    <row r="73" spans="1:1" x14ac:dyDescent="0.25">
      <c r="A73" s="245"/>
    </row>
    <row r="74" spans="1:1" x14ac:dyDescent="0.25">
      <c r="A74" s="245"/>
    </row>
    <row r="75" spans="1:1" x14ac:dyDescent="0.25">
      <c r="A75" s="245"/>
    </row>
    <row r="76" spans="1:1" x14ac:dyDescent="0.25">
      <c r="A76" s="245"/>
    </row>
    <row r="77" spans="1:1" x14ac:dyDescent="0.25">
      <c r="A77" s="245"/>
    </row>
    <row r="78" spans="1:1" x14ac:dyDescent="0.25">
      <c r="A78" s="245"/>
    </row>
    <row r="79" spans="1:1" x14ac:dyDescent="0.25">
      <c r="A79" s="245"/>
    </row>
    <row r="80" spans="1:1" x14ac:dyDescent="0.25">
      <c r="A80" s="245"/>
    </row>
    <row r="81" spans="1:1" x14ac:dyDescent="0.25">
      <c r="A81" s="245"/>
    </row>
    <row r="82" spans="1:1" x14ac:dyDescent="0.25">
      <c r="A82" s="245"/>
    </row>
    <row r="83" spans="1:1" x14ac:dyDescent="0.25">
      <c r="A83" s="245"/>
    </row>
    <row r="84" spans="1:1" x14ac:dyDescent="0.25">
      <c r="A84" s="245"/>
    </row>
    <row r="85" spans="1:1" x14ac:dyDescent="0.25">
      <c r="A85" s="245"/>
    </row>
    <row r="86" spans="1:1" x14ac:dyDescent="0.25">
      <c r="A86" s="245"/>
    </row>
    <row r="87" spans="1:1" x14ac:dyDescent="0.25">
      <c r="A87" s="245"/>
    </row>
    <row r="88" spans="1:1" x14ac:dyDescent="0.25">
      <c r="A88" s="245"/>
    </row>
    <row r="89" spans="1:1" x14ac:dyDescent="0.25">
      <c r="A89" s="165"/>
    </row>
    <row r="90" spans="1:1" x14ac:dyDescent="0.25">
      <c r="A90" s="165"/>
    </row>
    <row r="91" spans="1:1" x14ac:dyDescent="0.25">
      <c r="A91" s="165"/>
    </row>
    <row r="92" spans="1:1" x14ac:dyDescent="0.25">
      <c r="A92" s="165"/>
    </row>
    <row r="93" spans="1:1" x14ac:dyDescent="0.25">
      <c r="A93" s="165"/>
    </row>
    <row r="94" spans="1:1" x14ac:dyDescent="0.25">
      <c r="A94" s="165"/>
    </row>
    <row r="95" spans="1:1" x14ac:dyDescent="0.25">
      <c r="A95" s="165"/>
    </row>
    <row r="96" spans="1:1" x14ac:dyDescent="0.25">
      <c r="A96" s="165"/>
    </row>
    <row r="97" spans="1:1" x14ac:dyDescent="0.25">
      <c r="A97" s="165"/>
    </row>
    <row r="98" spans="1:1" x14ac:dyDescent="0.25">
      <c r="A98" s="165"/>
    </row>
    <row r="99" spans="1:1" x14ac:dyDescent="0.25">
      <c r="A99" s="165"/>
    </row>
    <row r="100" spans="1:1" x14ac:dyDescent="0.25">
      <c r="A100" s="165"/>
    </row>
    <row r="101" spans="1:1" x14ac:dyDescent="0.25">
      <c r="A101" s="165"/>
    </row>
    <row r="102" spans="1:1" x14ac:dyDescent="0.25">
      <c r="A102" s="165"/>
    </row>
    <row r="103" spans="1:1" x14ac:dyDescent="0.25">
      <c r="A103" s="165"/>
    </row>
    <row r="104" spans="1:1" x14ac:dyDescent="0.25">
      <c r="A104" s="165"/>
    </row>
    <row r="105" spans="1:1" x14ac:dyDescent="0.25">
      <c r="A105" s="165"/>
    </row>
    <row r="106" spans="1:1" x14ac:dyDescent="0.25">
      <c r="A106" s="165"/>
    </row>
    <row r="107" spans="1:1" x14ac:dyDescent="0.25">
      <c r="A107" s="165"/>
    </row>
    <row r="108" spans="1:1" x14ac:dyDescent="0.25">
      <c r="A108" s="165"/>
    </row>
    <row r="109" spans="1:1" x14ac:dyDescent="0.25">
      <c r="A109" s="165"/>
    </row>
    <row r="110" spans="1:1" x14ac:dyDescent="0.25">
      <c r="A110" s="165"/>
    </row>
    <row r="111" spans="1:1" x14ac:dyDescent="0.25">
      <c r="A111" s="165"/>
    </row>
    <row r="112" spans="1:1" x14ac:dyDescent="0.25">
      <c r="A112" s="165"/>
    </row>
    <row r="113" spans="1:1" x14ac:dyDescent="0.25">
      <c r="A113" s="165"/>
    </row>
    <row r="114" spans="1:1" x14ac:dyDescent="0.25">
      <c r="A114" s="165"/>
    </row>
    <row r="115" spans="1:1" x14ac:dyDescent="0.25">
      <c r="A115" s="165"/>
    </row>
    <row r="116" spans="1:1" x14ac:dyDescent="0.25">
      <c r="A116" s="165"/>
    </row>
    <row r="117" spans="1:1" x14ac:dyDescent="0.25">
      <c r="A117" s="165"/>
    </row>
    <row r="118" spans="1:1" x14ac:dyDescent="0.25">
      <c r="A118" s="165"/>
    </row>
    <row r="119" spans="1:1" x14ac:dyDescent="0.25">
      <c r="A119" s="165"/>
    </row>
    <row r="120" spans="1:1" x14ac:dyDescent="0.25">
      <c r="A120" s="165"/>
    </row>
    <row r="121" spans="1:1" x14ac:dyDescent="0.25">
      <c r="A121" s="165"/>
    </row>
    <row r="122" spans="1:1" x14ac:dyDescent="0.25">
      <c r="A122" s="165"/>
    </row>
    <row r="123" spans="1:1" x14ac:dyDescent="0.25">
      <c r="A123" s="165"/>
    </row>
    <row r="124" spans="1:1" x14ac:dyDescent="0.25">
      <c r="A124" s="165"/>
    </row>
    <row r="125" spans="1:1" x14ac:dyDescent="0.25">
      <c r="A125" s="165"/>
    </row>
    <row r="126" spans="1:1" x14ac:dyDescent="0.25">
      <c r="A126" s="165"/>
    </row>
    <row r="127" spans="1:1" x14ac:dyDescent="0.25">
      <c r="A127" s="165"/>
    </row>
    <row r="128" spans="1:1" x14ac:dyDescent="0.25">
      <c r="A128" s="165"/>
    </row>
    <row r="129" spans="1:11" x14ac:dyDescent="0.25">
      <c r="A129" s="165"/>
    </row>
    <row r="130" spans="1:11" x14ac:dyDescent="0.25">
      <c r="A130" s="165"/>
    </row>
    <row r="131" spans="1:11" x14ac:dyDescent="0.25">
      <c r="A131" s="165"/>
    </row>
    <row r="132" spans="1:11" x14ac:dyDescent="0.25">
      <c r="A132" s="165"/>
    </row>
    <row r="133" spans="1:11" x14ac:dyDescent="0.25">
      <c r="A133" s="165"/>
    </row>
    <row r="134" spans="1:11" x14ac:dyDescent="0.25">
      <c r="A134" s="165"/>
    </row>
    <row r="135" spans="1:11" x14ac:dyDescent="0.25">
      <c r="A135" s="786"/>
    </row>
    <row r="136" spans="1:11" x14ac:dyDescent="0.25">
      <c r="A136" s="786"/>
    </row>
    <row r="137" spans="1:11" x14ac:dyDescent="0.25">
      <c r="A137" s="786"/>
      <c r="J137" s="835" t="str">
        <f>List!$B$109</f>
        <v>Zpět</v>
      </c>
      <c r="K137" s="835"/>
    </row>
    <row r="138" spans="1:11" x14ac:dyDescent="0.25">
      <c r="A138" s="786"/>
    </row>
    <row r="139" spans="1:11" x14ac:dyDescent="0.25">
      <c r="A139" s="786"/>
    </row>
    <row r="140" spans="1:11" x14ac:dyDescent="0.25">
      <c r="A140" s="786"/>
    </row>
    <row r="141" spans="1:11" x14ac:dyDescent="0.25">
      <c r="A141" s="786"/>
    </row>
    <row r="142" spans="1:11" x14ac:dyDescent="0.25">
      <c r="A142" s="786"/>
    </row>
    <row r="143" spans="1:11" x14ac:dyDescent="0.25">
      <c r="A143" s="786"/>
    </row>
    <row r="144" spans="1:11" x14ac:dyDescent="0.25">
      <c r="A144" s="786"/>
    </row>
    <row r="145" spans="1:1" x14ac:dyDescent="0.25">
      <c r="A145" s="786"/>
    </row>
    <row r="146" spans="1:1" x14ac:dyDescent="0.25">
      <c r="A146" s="786"/>
    </row>
    <row r="147" spans="1:1" x14ac:dyDescent="0.25">
      <c r="A147" s="786"/>
    </row>
    <row r="148" spans="1:1" x14ac:dyDescent="0.25">
      <c r="A148" s="786"/>
    </row>
    <row r="149" spans="1:1" x14ac:dyDescent="0.25">
      <c r="A149" s="786"/>
    </row>
    <row r="150" spans="1:1" x14ac:dyDescent="0.25">
      <c r="A150" s="786"/>
    </row>
    <row r="151" spans="1:1" x14ac:dyDescent="0.25">
      <c r="A151" s="786"/>
    </row>
    <row r="152" spans="1:1" x14ac:dyDescent="0.25">
      <c r="A152" s="786"/>
    </row>
    <row r="153" spans="1:1" x14ac:dyDescent="0.25">
      <c r="A153" s="786"/>
    </row>
    <row r="154" spans="1:1" x14ac:dyDescent="0.25">
      <c r="A154" s="786"/>
    </row>
    <row r="155" spans="1:1" x14ac:dyDescent="0.25">
      <c r="A155" s="786"/>
    </row>
    <row r="156" spans="1:1" x14ac:dyDescent="0.25">
      <c r="A156" s="786"/>
    </row>
    <row r="157" spans="1:1" x14ac:dyDescent="0.25">
      <c r="A157" s="786"/>
    </row>
    <row r="158" spans="1:1" x14ac:dyDescent="0.25">
      <c r="A158" s="786"/>
    </row>
    <row r="159" spans="1:1" x14ac:dyDescent="0.25">
      <c r="A159" s="786"/>
    </row>
    <row r="160" spans="1:1" x14ac:dyDescent="0.25">
      <c r="A160" s="786"/>
    </row>
    <row r="161" spans="1:1" x14ac:dyDescent="0.25">
      <c r="A161" s="786"/>
    </row>
    <row r="162" spans="1:1" x14ac:dyDescent="0.25">
      <c r="A162" s="786"/>
    </row>
    <row r="163" spans="1:1" x14ac:dyDescent="0.25">
      <c r="A163" s="786"/>
    </row>
    <row r="164" spans="1:1" x14ac:dyDescent="0.25">
      <c r="A164" s="786"/>
    </row>
    <row r="165" spans="1:1" x14ac:dyDescent="0.25">
      <c r="A165" s="786"/>
    </row>
    <row r="166" spans="1:1" x14ac:dyDescent="0.25">
      <c r="A166" s="786"/>
    </row>
    <row r="167" spans="1:1" x14ac:dyDescent="0.25">
      <c r="A167" s="786"/>
    </row>
    <row r="168" spans="1:1" x14ac:dyDescent="0.25">
      <c r="A168" s="786"/>
    </row>
    <row r="169" spans="1:1" x14ac:dyDescent="0.25">
      <c r="A169" s="786"/>
    </row>
    <row r="170" spans="1:1" x14ac:dyDescent="0.25">
      <c r="A170" s="786"/>
    </row>
    <row r="171" spans="1:1" x14ac:dyDescent="0.25">
      <c r="A171" s="786"/>
    </row>
    <row r="172" spans="1:1" x14ac:dyDescent="0.25">
      <c r="A172" s="786"/>
    </row>
    <row r="173" spans="1:1" x14ac:dyDescent="0.25">
      <c r="A173" s="786"/>
    </row>
    <row r="174" spans="1:1" x14ac:dyDescent="0.25">
      <c r="A174" s="786"/>
    </row>
    <row r="175" spans="1:1" x14ac:dyDescent="0.25">
      <c r="A175" s="786"/>
    </row>
    <row r="176" spans="1:1" x14ac:dyDescent="0.25">
      <c r="A176" s="786"/>
    </row>
    <row r="177" spans="1:1" x14ac:dyDescent="0.25">
      <c r="A177" s="786"/>
    </row>
    <row r="178" spans="1:1" x14ac:dyDescent="0.25">
      <c r="A178" s="786"/>
    </row>
    <row r="179" spans="1:1" x14ac:dyDescent="0.25">
      <c r="A179" s="786"/>
    </row>
    <row r="180" spans="1:1" x14ac:dyDescent="0.25">
      <c r="A180" s="786"/>
    </row>
    <row r="181" spans="1:1" x14ac:dyDescent="0.25">
      <c r="A181" s="786"/>
    </row>
    <row r="182" spans="1:1" x14ac:dyDescent="0.25">
      <c r="A182" s="786"/>
    </row>
    <row r="183" spans="1:1" x14ac:dyDescent="0.25">
      <c r="A183" s="786"/>
    </row>
    <row r="184" spans="1:1" x14ac:dyDescent="0.25">
      <c r="A184" s="786"/>
    </row>
    <row r="185" spans="1:1" x14ac:dyDescent="0.25">
      <c r="A185" s="786"/>
    </row>
    <row r="186" spans="1:1" x14ac:dyDescent="0.25">
      <c r="A186" s="786"/>
    </row>
    <row r="187" spans="1:1" x14ac:dyDescent="0.25">
      <c r="A187" s="786"/>
    </row>
    <row r="188" spans="1:1" x14ac:dyDescent="0.25">
      <c r="A188" s="786"/>
    </row>
    <row r="189" spans="1:1" x14ac:dyDescent="0.25">
      <c r="A189" s="786"/>
    </row>
    <row r="190" spans="1:1" x14ac:dyDescent="0.25">
      <c r="A190" s="786"/>
    </row>
    <row r="191" spans="1:1" x14ac:dyDescent="0.25">
      <c r="A191" s="786"/>
    </row>
    <row r="192" spans="1:1" x14ac:dyDescent="0.25">
      <c r="A192" s="786"/>
    </row>
    <row r="193" spans="1:1" x14ac:dyDescent="0.25">
      <c r="A193" s="786"/>
    </row>
    <row r="194" spans="1:1" x14ac:dyDescent="0.25">
      <c r="A194" s="786"/>
    </row>
    <row r="195" spans="1:1" x14ac:dyDescent="0.25">
      <c r="A195" s="786"/>
    </row>
    <row r="196" spans="1:1" x14ac:dyDescent="0.25">
      <c r="A196" s="786"/>
    </row>
    <row r="197" spans="1:1" x14ac:dyDescent="0.25">
      <c r="A197" s="786"/>
    </row>
    <row r="198" spans="1:1" x14ac:dyDescent="0.25">
      <c r="A198" s="786"/>
    </row>
    <row r="199" spans="1:1" x14ac:dyDescent="0.25">
      <c r="A199" s="786"/>
    </row>
    <row r="200" spans="1:1" x14ac:dyDescent="0.25">
      <c r="A200" s="786"/>
    </row>
    <row r="201" spans="1:1" x14ac:dyDescent="0.25">
      <c r="A201" s="786"/>
    </row>
    <row r="202" spans="1:1" x14ac:dyDescent="0.25">
      <c r="A202" s="786"/>
    </row>
    <row r="203" spans="1:1" x14ac:dyDescent="0.25">
      <c r="A203" s="786"/>
    </row>
    <row r="204" spans="1:1" x14ac:dyDescent="0.25">
      <c r="A204" s="786"/>
    </row>
    <row r="205" spans="1:1" x14ac:dyDescent="0.25">
      <c r="A205" s="786"/>
    </row>
    <row r="206" spans="1:1" x14ac:dyDescent="0.25">
      <c r="A206" s="786"/>
    </row>
    <row r="207" spans="1:1" x14ac:dyDescent="0.25">
      <c r="A207" s="786"/>
    </row>
    <row r="208" spans="1:1" x14ac:dyDescent="0.25">
      <c r="A208" s="786"/>
    </row>
    <row r="209" spans="1:1" x14ac:dyDescent="0.25">
      <c r="A209" s="786"/>
    </row>
    <row r="210" spans="1:1" x14ac:dyDescent="0.25">
      <c r="A210" s="786"/>
    </row>
    <row r="211" spans="1:1" x14ac:dyDescent="0.25">
      <c r="A211" s="786"/>
    </row>
    <row r="212" spans="1:1" x14ac:dyDescent="0.25">
      <c r="A212" s="786"/>
    </row>
    <row r="213" spans="1:1" x14ac:dyDescent="0.25">
      <c r="A213" s="786"/>
    </row>
    <row r="214" spans="1:1" x14ac:dyDescent="0.25">
      <c r="A214" s="786"/>
    </row>
    <row r="215" spans="1:1" x14ac:dyDescent="0.25">
      <c r="A215" s="786"/>
    </row>
    <row r="216" spans="1:1" x14ac:dyDescent="0.25">
      <c r="A216" s="786"/>
    </row>
    <row r="217" spans="1:1" x14ac:dyDescent="0.25">
      <c r="A217" s="786"/>
    </row>
    <row r="218" spans="1:1" x14ac:dyDescent="0.25">
      <c r="A218" s="786"/>
    </row>
    <row r="219" spans="1:1" x14ac:dyDescent="0.25">
      <c r="A219" s="786"/>
    </row>
    <row r="220" spans="1:1" x14ac:dyDescent="0.25">
      <c r="A220" s="786"/>
    </row>
    <row r="221" spans="1:1" x14ac:dyDescent="0.25">
      <c r="A221" s="786"/>
    </row>
    <row r="222" spans="1:1" x14ac:dyDescent="0.25">
      <c r="A222" s="786"/>
    </row>
    <row r="223" spans="1:1" x14ac:dyDescent="0.25">
      <c r="A223" s="786"/>
    </row>
    <row r="224" spans="1:1" x14ac:dyDescent="0.25">
      <c r="A224" s="786"/>
    </row>
    <row r="225" spans="1:11" x14ac:dyDescent="0.25">
      <c r="A225" s="786"/>
    </row>
    <row r="226" spans="1:11" x14ac:dyDescent="0.25">
      <c r="A226" s="786"/>
    </row>
    <row r="227" spans="1:11" x14ac:dyDescent="0.25">
      <c r="A227" s="786"/>
    </row>
    <row r="228" spans="1:11" x14ac:dyDescent="0.25">
      <c r="A228" s="786"/>
    </row>
    <row r="229" spans="1:11" x14ac:dyDescent="0.25">
      <c r="A229" s="786"/>
    </row>
    <row r="230" spans="1:11" x14ac:dyDescent="0.25">
      <c r="A230" s="786"/>
    </row>
    <row r="231" spans="1:11" x14ac:dyDescent="0.25">
      <c r="A231" s="786"/>
    </row>
    <row r="232" spans="1:11" x14ac:dyDescent="0.25">
      <c r="A232" s="786"/>
    </row>
    <row r="233" spans="1:11" x14ac:dyDescent="0.25">
      <c r="A233" s="786"/>
    </row>
    <row r="234" spans="1:11" x14ac:dyDescent="0.25">
      <c r="A234" s="786"/>
    </row>
    <row r="235" spans="1:11" x14ac:dyDescent="0.25">
      <c r="A235" s="786"/>
      <c r="J235" s="835" t="str">
        <f>List!$B$109</f>
        <v>Zpět</v>
      </c>
      <c r="K235" s="835"/>
    </row>
    <row r="236" spans="1:11" x14ac:dyDescent="0.25">
      <c r="A236" s="786"/>
    </row>
    <row r="237" spans="1:11" x14ac:dyDescent="0.25">
      <c r="A237" s="786"/>
    </row>
    <row r="238" spans="1:11" x14ac:dyDescent="0.25">
      <c r="A238" s="786"/>
    </row>
    <row r="239" spans="1:11" x14ac:dyDescent="0.25">
      <c r="A239" s="786"/>
    </row>
    <row r="240" spans="1:11" x14ac:dyDescent="0.25">
      <c r="A240" s="786"/>
    </row>
    <row r="241" spans="1:1" x14ac:dyDescent="0.25">
      <c r="A241" s="786"/>
    </row>
    <row r="242" spans="1:1" x14ac:dyDescent="0.25">
      <c r="A242" s="786"/>
    </row>
    <row r="243" spans="1:1" x14ac:dyDescent="0.25">
      <c r="A243" s="786"/>
    </row>
    <row r="244" spans="1:1" x14ac:dyDescent="0.25">
      <c r="A244" s="786"/>
    </row>
    <row r="245" spans="1:1" x14ac:dyDescent="0.25">
      <c r="A245" s="786"/>
    </row>
    <row r="246" spans="1:1" x14ac:dyDescent="0.25">
      <c r="A246" s="786"/>
    </row>
    <row r="247" spans="1:1" x14ac:dyDescent="0.25">
      <c r="A247" s="786"/>
    </row>
    <row r="248" spans="1:1" x14ac:dyDescent="0.25">
      <c r="A248" s="786"/>
    </row>
    <row r="249" spans="1:1" x14ac:dyDescent="0.25">
      <c r="A249" s="786"/>
    </row>
    <row r="250" spans="1:1" x14ac:dyDescent="0.25">
      <c r="A250" s="786"/>
    </row>
    <row r="251" spans="1:1" x14ac:dyDescent="0.25">
      <c r="A251" s="786"/>
    </row>
    <row r="252" spans="1:1" x14ac:dyDescent="0.25">
      <c r="A252" s="786"/>
    </row>
    <row r="253" spans="1:1" x14ac:dyDescent="0.25">
      <c r="A253" s="786"/>
    </row>
    <row r="254" spans="1:1" x14ac:dyDescent="0.25">
      <c r="A254" s="786"/>
    </row>
    <row r="255" spans="1:1" x14ac:dyDescent="0.25">
      <c r="A255" s="786"/>
    </row>
    <row r="256" spans="1:1" x14ac:dyDescent="0.25">
      <c r="A256" s="786"/>
    </row>
    <row r="257" spans="1:1" x14ac:dyDescent="0.25">
      <c r="A257" s="786"/>
    </row>
    <row r="258" spans="1:1" x14ac:dyDescent="0.25">
      <c r="A258" s="786"/>
    </row>
    <row r="259" spans="1:1" x14ac:dyDescent="0.25">
      <c r="A259" s="786"/>
    </row>
    <row r="260" spans="1:1" x14ac:dyDescent="0.25">
      <c r="A260" s="786"/>
    </row>
    <row r="261" spans="1:1" x14ac:dyDescent="0.25">
      <c r="A261" s="786"/>
    </row>
    <row r="262" spans="1:1" x14ac:dyDescent="0.25">
      <c r="A262" s="786"/>
    </row>
  </sheetData>
  <sheetProtection password="CF3A" sheet="1" objects="1" scenarios="1"/>
  <mergeCells count="3">
    <mergeCell ref="J137:K137"/>
    <mergeCell ref="A135:A262"/>
    <mergeCell ref="J235:K235"/>
  </mergeCells>
  <phoneticPr fontId="51" type="noConversion"/>
  <hyperlinks>
    <hyperlink ref="I3" location="Form!A1" tooltip=" " display="Form!A1"/>
    <hyperlink ref="I4" location="Menu!A1" tooltip=" " display="Menu!A1"/>
    <hyperlink ref="I12" location="SD!A150" tooltip=" " display="SD!A150"/>
    <hyperlink ref="J137:K137" location="SD!A1" tooltip=" " display="SD!A1"/>
    <hyperlink ref="I5" location="Acs!A1" tooltip=" " display="Acs!A1"/>
    <hyperlink ref="J235:K235" location="SD!A1" tooltip=" " display="SD!A1"/>
    <hyperlink ref="I9" location="Sum!A1" tooltip=" " display="Sum!A1"/>
    <hyperlink ref="I10" location="Ord!A1" tooltip=" " display="Ord!A1"/>
    <hyperlink ref="I8" location="AL!A1" tooltip=" " display="AL!A1"/>
  </hyperlinks>
  <pageMargins left="0.31496062992125984" right="0.31496062992125984" top="0.39370078740157483" bottom="0.59055118110236227" header="0.31496062992125984" footer="0.31496062992125984"/>
  <pageSetup paperSize="9" scale="90" orientation="portrait" horizontalDpi="1200" verticalDpi="12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5"/>
  </sheetPr>
  <dimension ref="A1:W37"/>
  <sheetViews>
    <sheetView showGridLines="0" showRowColHeaders="0" workbookViewId="0">
      <selection activeCell="P10" sqref="P10"/>
    </sheetView>
  </sheetViews>
  <sheetFormatPr defaultColWidth="9.1796875" defaultRowHeight="12.5" x14ac:dyDescent="0.25"/>
  <cols>
    <col min="1" max="1" width="2.54296875" style="119" customWidth="1"/>
    <col min="2" max="4" width="9.1796875" style="119"/>
    <col min="5" max="5" width="18.81640625" style="119" customWidth="1"/>
    <col min="6" max="6" width="13.54296875" style="119" customWidth="1"/>
    <col min="7" max="7" width="1.453125" style="119" customWidth="1"/>
    <col min="8" max="8" width="2.81640625" style="119" customWidth="1"/>
    <col min="9" max="11" width="9.1796875" style="119"/>
    <col min="12" max="12" width="18.81640625" style="119" customWidth="1"/>
    <col min="13" max="13" width="13.54296875" style="119" customWidth="1"/>
    <col min="14" max="14" width="1.453125" style="119" customWidth="1"/>
    <col min="15" max="15" width="4.81640625" style="119" customWidth="1"/>
    <col min="16" max="16" width="27.453125" style="119" customWidth="1"/>
    <col min="17" max="16384" width="9.1796875" style="119"/>
  </cols>
  <sheetData>
    <row r="1" spans="2:16" ht="21" customHeight="1" x14ac:dyDescent="0.4">
      <c r="N1" s="551" t="s">
        <v>25</v>
      </c>
      <c r="O1" s="204"/>
    </row>
    <row r="2" spans="2:16" ht="15" customHeight="1" x14ac:dyDescent="0.3">
      <c r="B2" s="180" t="str">
        <f>"AMBIA-LINE "&amp;List!$B$113</f>
        <v>AMBIA-LINE pro zásuvky</v>
      </c>
      <c r="I2" s="180"/>
      <c r="P2" s="153" t="str">
        <f>List!$B$11&amp;":"</f>
        <v>Zpět na:</v>
      </c>
    </row>
    <row r="3" spans="2:16" ht="13.5" thickBot="1" x14ac:dyDescent="0.35">
      <c r="B3" s="178"/>
      <c r="C3" s="178"/>
      <c r="D3" s="178"/>
      <c r="E3" s="836" t="str">
        <f>List!$B$116</f>
        <v>Design ocel</v>
      </c>
      <c r="F3" s="836" t="str">
        <f>List!$B$117</f>
        <v>Design dřevo</v>
      </c>
      <c r="G3" s="181"/>
      <c r="I3" s="178"/>
      <c r="J3" s="178"/>
      <c r="K3" s="178"/>
      <c r="L3" s="836" t="str">
        <f>List!$B$117</f>
        <v>Design dřevo</v>
      </c>
      <c r="M3" s="836" t="str">
        <f>List!$B$117</f>
        <v>Design dřevo</v>
      </c>
      <c r="N3" s="181"/>
      <c r="P3" s="151" t="str">
        <f>" "&amp;List!$B$13</f>
        <v xml:space="preserve"> Úvod</v>
      </c>
    </row>
    <row r="4" spans="2:16" ht="13" thickBot="1" x14ac:dyDescent="0.3">
      <c r="G4" s="146"/>
      <c r="N4" s="146"/>
      <c r="P4" s="152" t="str">
        <f>" "&amp;List!$B$4</f>
        <v xml:space="preserve"> Výběr zásuvek a výsuvů</v>
      </c>
    </row>
    <row r="5" spans="2:16" ht="13" thickBot="1" x14ac:dyDescent="0.3">
      <c r="G5" s="146"/>
      <c r="N5" s="146"/>
      <c r="P5" s="152" t="str">
        <f>" "&amp;List!$B$5</f>
        <v xml:space="preserve"> Výběr doplňků</v>
      </c>
    </row>
    <row r="6" spans="2:16" x14ac:dyDescent="0.25">
      <c r="E6" s="166" t="str">
        <f>List!$B$143&amp;":"</f>
        <v>Základní prvek:</v>
      </c>
      <c r="F6" s="166" t="str">
        <f>List!$B$49&amp;" M"</f>
        <v>Zásuvka M</v>
      </c>
      <c r="G6" s="146"/>
      <c r="L6" s="166" t="str">
        <f>List!$B$143&amp;":"</f>
        <v>Základní prvek:</v>
      </c>
      <c r="M6" s="166" t="str">
        <f>List!$B$49&amp;" M"</f>
        <v>Zásuvka M</v>
      </c>
      <c r="N6" s="146"/>
      <c r="P6" s="152" t="str">
        <f>" "&amp;List!$B$6</f>
        <v xml:space="preserve"> Výběr SERVO-DRIVE</v>
      </c>
    </row>
    <row r="7" spans="2:16" x14ac:dyDescent="0.25">
      <c r="E7" s="166" t="str">
        <f>List!$B$112&amp;" KB:"</f>
        <v>Šířka korpusu KB:</v>
      </c>
      <c r="F7" s="166" t="s">
        <v>47</v>
      </c>
      <c r="G7" s="146"/>
      <c r="L7" s="166" t="str">
        <f>List!$B$112&amp;" KB:"</f>
        <v>Šířka korpusu KB:</v>
      </c>
      <c r="M7" s="166" t="s">
        <v>47</v>
      </c>
      <c r="N7" s="146"/>
      <c r="P7" s="2"/>
    </row>
    <row r="8" spans="2:16" ht="13" thickBot="1" x14ac:dyDescent="0.3">
      <c r="G8" s="146"/>
      <c r="N8" s="146"/>
      <c r="P8" s="2" t="str">
        <f>List!$B$12&amp;":"</f>
        <v>Pokračovat na:</v>
      </c>
    </row>
    <row r="9" spans="2:16" ht="13" thickBot="1" x14ac:dyDescent="0.3">
      <c r="P9" s="152" t="str">
        <f>" "&amp;List!$B$18</f>
        <v xml:space="preserve"> Souhrn</v>
      </c>
    </row>
    <row r="10" spans="2:16" x14ac:dyDescent="0.25">
      <c r="P10" s="152" t="str">
        <f>" "&amp;List!$B$20</f>
        <v xml:space="preserve"> Objednávka</v>
      </c>
    </row>
    <row r="11" spans="2:16" ht="15" customHeight="1" x14ac:dyDescent="0.3">
      <c r="B11" s="180" t="str">
        <f>"AMBIA-LINE "&amp;List!$B$114&amp;" C, F"</f>
        <v>AMBIA-LINE pro čelní výsuvy C, F</v>
      </c>
    </row>
    <row r="12" spans="2:16" ht="13" x14ac:dyDescent="0.3">
      <c r="B12" s="178"/>
      <c r="C12" s="178"/>
      <c r="D12" s="178"/>
      <c r="E12" s="836" t="str">
        <f>List!$B$116</f>
        <v>Design ocel</v>
      </c>
      <c r="F12" s="836" t="str">
        <f>List!$B$116</f>
        <v>Design ocel</v>
      </c>
      <c r="G12" s="181"/>
      <c r="I12" s="178"/>
      <c r="J12" s="178"/>
      <c r="K12" s="178"/>
      <c r="L12" s="836" t="str">
        <f>List!$B$117</f>
        <v>Design dřevo</v>
      </c>
      <c r="M12" s="836" t="str">
        <f>List!$B$117</f>
        <v>Design dřevo</v>
      </c>
      <c r="N12" s="181"/>
      <c r="P12" s="2"/>
    </row>
    <row r="13" spans="2:16" x14ac:dyDescent="0.25">
      <c r="G13" s="146"/>
      <c r="N13" s="146"/>
    </row>
    <row r="14" spans="2:16" x14ac:dyDescent="0.25">
      <c r="G14" s="146"/>
      <c r="N14" s="146"/>
    </row>
    <row r="15" spans="2:16" ht="13" x14ac:dyDescent="0.3">
      <c r="G15" s="146"/>
      <c r="N15" s="146"/>
      <c r="P15" s="185" t="str">
        <f>List!$B$193&amp;":"</f>
        <v>Zóny DYNAMIC SPACE:</v>
      </c>
    </row>
    <row r="16" spans="2:16" x14ac:dyDescent="0.25">
      <c r="E16" s="166" t="str">
        <f>List!$B$143&amp;":"</f>
        <v>Základní prvek:</v>
      </c>
      <c r="F16" s="166" t="str">
        <f>List!$B$51&amp;" C, F"</f>
        <v>Čelní výsuv C, F</v>
      </c>
      <c r="G16" s="146"/>
      <c r="L16" s="166" t="str">
        <f>List!$B$143&amp;":"</f>
        <v>Základní prvek:</v>
      </c>
      <c r="M16" s="166" t="str">
        <f>List!$B$51&amp;" C, F"</f>
        <v>Čelní výsuv C, F</v>
      </c>
      <c r="N16" s="146"/>
    </row>
    <row r="17" spans="1:23" x14ac:dyDescent="0.25">
      <c r="E17" s="166" t="str">
        <f>List!$B$112&amp;" KB:"</f>
        <v>Šířka korpusu KB:</v>
      </c>
      <c r="F17" s="166" t="s">
        <v>47</v>
      </c>
      <c r="G17" s="146"/>
      <c r="L17" s="166" t="str">
        <f>List!$B$112&amp;" KB:"</f>
        <v>Šířka korpusu KB:</v>
      </c>
      <c r="M17" s="166" t="s">
        <v>47</v>
      </c>
      <c r="N17" s="146"/>
      <c r="P17" s="119" t="str">
        <f>"       "&amp;List!$B$194</f>
        <v xml:space="preserve">       Zásoby</v>
      </c>
    </row>
    <row r="18" spans="1:23" ht="13" x14ac:dyDescent="0.25">
      <c r="F18" s="516" t="str">
        <f>IF(Form!$N$2=3,List!$B$184&amp;"!"," ")</f>
        <v xml:space="preserve"> </v>
      </c>
      <c r="G18" s="146"/>
      <c r="M18" s="516" t="str">
        <f>List!$B$184&amp;"!"</f>
        <v>Nutno ověřit dostupnost!</v>
      </c>
      <c r="N18" s="146"/>
    </row>
    <row r="19" spans="1:23" x14ac:dyDescent="0.25">
      <c r="A19" s="179"/>
      <c r="B19" s="179"/>
      <c r="C19" s="179"/>
      <c r="D19" s="179"/>
      <c r="E19" s="179"/>
      <c r="F19" s="179"/>
      <c r="G19" s="182"/>
      <c r="H19" s="179"/>
      <c r="I19" s="179"/>
      <c r="J19" s="179"/>
      <c r="K19" s="179"/>
      <c r="L19" s="179"/>
      <c r="M19" s="179"/>
      <c r="N19" s="182"/>
      <c r="P19" s="119" t="str">
        <f>"       "&amp;List!$B$195</f>
        <v xml:space="preserve">       Ukládání</v>
      </c>
    </row>
    <row r="20" spans="1:23" x14ac:dyDescent="0.25">
      <c r="A20" s="179"/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44"/>
      <c r="M20" s="144"/>
      <c r="N20" s="144"/>
      <c r="O20" s="144"/>
    </row>
    <row r="21" spans="1:23" ht="13" x14ac:dyDescent="0.3">
      <c r="B21" s="178"/>
      <c r="C21" s="178"/>
      <c r="D21" s="178"/>
      <c r="E21" s="836" t="str">
        <f>List!$B$209</f>
        <v>Souprava na lahve</v>
      </c>
      <c r="F21" s="836"/>
      <c r="G21" s="181"/>
      <c r="I21" s="178"/>
      <c r="J21" s="178"/>
      <c r="K21" s="178"/>
      <c r="L21" s="836" t="str">
        <f>List!$B$151</f>
        <v>Příčný reling</v>
      </c>
      <c r="M21" s="836"/>
      <c r="N21" s="181"/>
      <c r="O21" s="144"/>
      <c r="P21" s="119" t="str">
        <f>"       "&amp;List!$B$196</f>
        <v xml:space="preserve">       Mytí</v>
      </c>
    </row>
    <row r="22" spans="1:23" x14ac:dyDescent="0.25">
      <c r="G22" s="146"/>
      <c r="N22" s="146"/>
      <c r="O22" s="144"/>
    </row>
    <row r="23" spans="1:23" x14ac:dyDescent="0.25">
      <c r="G23" s="146"/>
      <c r="N23" s="146"/>
      <c r="O23" s="144"/>
      <c r="P23" s="119" t="str">
        <f>"       "&amp;List!$B$197</f>
        <v xml:space="preserve">       Příprava</v>
      </c>
    </row>
    <row r="24" spans="1:23" x14ac:dyDescent="0.25">
      <c r="G24" s="146"/>
      <c r="N24" s="146"/>
      <c r="O24" s="144"/>
    </row>
    <row r="25" spans="1:23" x14ac:dyDescent="0.25">
      <c r="E25" s="166" t="str">
        <f>List!$B$143&amp;":"</f>
        <v>Základní prvek:</v>
      </c>
      <c r="F25" s="166" t="str">
        <f>List!$B$51&amp;" C, F"</f>
        <v>Čelní výsuv C, F</v>
      </c>
      <c r="G25" s="146"/>
      <c r="L25" s="166" t="str">
        <f>List!$B$143&amp;":"</f>
        <v>Základní prvek:</v>
      </c>
      <c r="M25" s="166" t="str">
        <f>List!$B$51&amp;" C, F"</f>
        <v>Čelní výsuv C, F</v>
      </c>
      <c r="N25" s="146"/>
      <c r="O25" s="144"/>
      <c r="P25" s="119" t="str">
        <f>"       "&amp;List!$B$198</f>
        <v xml:space="preserve">       Vaření / pečení</v>
      </c>
    </row>
    <row r="26" spans="1:23" x14ac:dyDescent="0.25">
      <c r="E26" s="166" t="str">
        <f>List!$B$112&amp;" KB:"</f>
        <v>Šířka korpusu KB:</v>
      </c>
      <c r="F26" s="166" t="s">
        <v>1272</v>
      </c>
      <c r="G26" s="146"/>
      <c r="L26" s="166" t="str">
        <f>List!$B$112&amp;" KB:"</f>
        <v>Šířka korpusu KB:</v>
      </c>
      <c r="M26" s="166" t="s">
        <v>48</v>
      </c>
      <c r="N26" s="146"/>
      <c r="O26" s="144"/>
      <c r="Q26" s="144"/>
      <c r="R26" s="144"/>
      <c r="S26" s="144"/>
      <c r="T26" s="144"/>
      <c r="U26" s="144"/>
      <c r="V26" s="144"/>
      <c r="W26" s="144"/>
    </row>
    <row r="27" spans="1:23" x14ac:dyDescent="0.25">
      <c r="G27" s="146"/>
      <c r="N27" s="146"/>
      <c r="O27" s="144"/>
      <c r="P27" s="144"/>
      <c r="Q27" s="144"/>
      <c r="R27" s="144"/>
      <c r="S27" s="144"/>
      <c r="T27" s="144"/>
      <c r="U27" s="144"/>
      <c r="V27" s="144"/>
      <c r="W27" s="144"/>
    </row>
    <row r="28" spans="1:23" ht="13" x14ac:dyDescent="0.3">
      <c r="A28" s="179"/>
      <c r="B28" s="179"/>
      <c r="C28" s="179"/>
      <c r="D28" s="179"/>
      <c r="E28" s="179"/>
      <c r="F28" s="179"/>
      <c r="G28" s="182"/>
      <c r="H28" s="179"/>
      <c r="I28" s="179"/>
      <c r="J28" s="179"/>
      <c r="K28" s="179"/>
      <c r="L28" s="179"/>
      <c r="M28" s="179"/>
      <c r="N28" s="182"/>
      <c r="O28" s="144"/>
      <c r="P28" s="144"/>
      <c r="Q28" s="144"/>
      <c r="R28" s="144"/>
      <c r="S28" s="144"/>
      <c r="T28" s="144"/>
      <c r="U28" s="192"/>
      <c r="V28" s="144"/>
      <c r="W28" s="144"/>
    </row>
    <row r="29" spans="1:23" x14ac:dyDescent="0.25">
      <c r="I29" s="144"/>
      <c r="J29" s="144"/>
      <c r="K29" s="144"/>
      <c r="L29" s="144"/>
      <c r="M29" s="144"/>
      <c r="N29" s="144"/>
      <c r="O29" s="144"/>
    </row>
    <row r="30" spans="1:23" ht="13" x14ac:dyDescent="0.3">
      <c r="B30" s="178"/>
      <c r="C30" s="178"/>
      <c r="D30" s="178"/>
      <c r="E30" s="836" t="str">
        <f>List!$B$124</f>
        <v>Pomůcky do kuchyně</v>
      </c>
      <c r="F30" s="836"/>
      <c r="G30" s="181"/>
      <c r="I30" s="144"/>
      <c r="J30" s="144"/>
      <c r="K30" s="144"/>
      <c r="L30" s="733"/>
      <c r="M30" s="733"/>
      <c r="N30" s="144"/>
      <c r="O30" s="144"/>
    </row>
    <row r="31" spans="1:23" x14ac:dyDescent="0.25">
      <c r="G31" s="146"/>
      <c r="I31" s="144"/>
      <c r="J31" s="144"/>
      <c r="K31" s="144"/>
      <c r="L31" s="144"/>
      <c r="M31" s="144"/>
      <c r="N31" s="144"/>
      <c r="O31" s="144"/>
    </row>
    <row r="32" spans="1:23" x14ac:dyDescent="0.25">
      <c r="G32" s="146"/>
      <c r="I32" s="144"/>
      <c r="J32" s="144"/>
      <c r="K32" s="144"/>
      <c r="L32" s="144"/>
      <c r="M32" s="144"/>
      <c r="N32" s="144"/>
      <c r="O32" s="144"/>
    </row>
    <row r="33" spans="2:15" x14ac:dyDescent="0.25">
      <c r="G33" s="146"/>
      <c r="I33" s="144"/>
      <c r="J33" s="144"/>
      <c r="K33" s="144"/>
      <c r="L33" s="144"/>
      <c r="M33" s="144"/>
      <c r="N33" s="144"/>
      <c r="O33" s="144"/>
    </row>
    <row r="34" spans="2:15" x14ac:dyDescent="0.25">
      <c r="E34" s="166"/>
      <c r="F34" s="166"/>
      <c r="G34" s="146"/>
      <c r="I34" s="144"/>
      <c r="J34" s="144"/>
      <c r="K34" s="144"/>
      <c r="L34" s="145"/>
      <c r="M34" s="145"/>
      <c r="N34" s="144"/>
      <c r="O34" s="144"/>
    </row>
    <row r="35" spans="2:15" x14ac:dyDescent="0.25">
      <c r="E35" s="166" t="str">
        <f>List!$B$112&amp;" KB:"</f>
        <v>Šířka korpusu KB:</v>
      </c>
      <c r="F35" s="166" t="s">
        <v>48</v>
      </c>
      <c r="G35" s="146"/>
      <c r="I35" s="144"/>
      <c r="J35" s="144"/>
      <c r="K35" s="144"/>
      <c r="L35" s="145"/>
      <c r="M35" s="145"/>
      <c r="N35" s="144"/>
      <c r="O35" s="144"/>
    </row>
    <row r="36" spans="2:15" x14ac:dyDescent="0.25">
      <c r="G36" s="146"/>
      <c r="I36" s="144"/>
      <c r="J36" s="144"/>
      <c r="K36" s="144"/>
      <c r="L36" s="144"/>
      <c r="M36" s="144"/>
      <c r="N36" s="144"/>
      <c r="O36" s="144"/>
    </row>
    <row r="37" spans="2:15" x14ac:dyDescent="0.25">
      <c r="B37" s="179"/>
      <c r="C37" s="179"/>
      <c r="D37" s="179"/>
      <c r="E37" s="179"/>
      <c r="F37" s="179"/>
      <c r="G37" s="182"/>
      <c r="H37" s="179"/>
      <c r="I37" s="179"/>
      <c r="J37" s="179"/>
      <c r="K37" s="179"/>
      <c r="L37" s="179"/>
      <c r="M37" s="179"/>
      <c r="N37" s="179"/>
      <c r="O37" s="144"/>
    </row>
  </sheetData>
  <sheetProtection algorithmName="SHA-512" hashValue="j5m4CctqKiMMav4zjMt52i1WinRbsr35hmWLxkX95HPbBb+oDn5rght2U4Gc/z05Ni8T0SqxBxpKvK8ECCJ18g==" saltValue="6mEaaA3Zmq/gOFPYG89qNQ==" spinCount="100000" sheet="1" objects="1" scenarios="1"/>
  <mergeCells count="7">
    <mergeCell ref="E30:F30"/>
    <mergeCell ref="E21:F21"/>
    <mergeCell ref="L3:M3"/>
    <mergeCell ref="E3:F3"/>
    <mergeCell ref="L12:M12"/>
    <mergeCell ref="E12:F12"/>
    <mergeCell ref="L21:M21"/>
  </mergeCells>
  <phoneticPr fontId="51" type="noConversion"/>
  <hyperlinks>
    <hyperlink ref="P3" location="Form!A1" tooltip=" " display="Form!A1"/>
    <hyperlink ref="P4" location="Menu!A1" tooltip=" " display="Menu!A1"/>
    <hyperlink ref="P9" location="Sum!A1" tooltip=" " display="Sum!A1"/>
    <hyperlink ref="P5" location="Acs!A1" tooltip=" " display="Acs!A1"/>
    <hyperlink ref="P10" location="Ord!A1" tooltip=" " display="Ord!A1"/>
    <hyperlink ref="L3" location="OLRo!A1" tooltip=" " display="OLRo!A1"/>
    <hyperlink ref="E12" location="OLP1!A1" tooltip=" " display="OLP1!A1"/>
    <hyperlink ref="L12" location="OLP2!A1" tooltip=" " display="OLP2!A1"/>
    <hyperlink ref="E21" location="ALkh!A1" tooltip=" " display="ALkh!A1"/>
    <hyperlink ref="P6" location="SD!A1" tooltip=" " display="SD!A1"/>
    <hyperlink ref="E3" location="OLRo!A1" tooltip=" " display="OLRo!A1"/>
    <hyperlink ref="E3:F3" location="ALds!A1" tooltip=" " display="ALds!A1"/>
    <hyperlink ref="E12:F12" location="ALpos!A1" tooltip=" " display="ALpos!A1"/>
    <hyperlink ref="L12:M12" location="ALpow!A1" tooltip=" " display="ALpow!A1"/>
    <hyperlink ref="L3:M3" location="ALdw!A1" tooltip=" " display="ALdw!A1"/>
    <hyperlink ref="E21:F21" location="ALbot!A1" tooltip=" " display="ALbot!A1"/>
    <hyperlink ref="L21" location="ALkh!A1" tooltip=" " display="ALkh!A1"/>
    <hyperlink ref="L21:M21" location="ALrel!A1" tooltip=" " display="ALrel!A1"/>
    <hyperlink ref="E30" location="ALkh!A1" tooltip=" " display="ALkh!A1"/>
  </hyperlinks>
  <pageMargins left="0.7" right="0.7" top="0.78740157499999996" bottom="0.78740157499999996" header="0.3" footer="0.3"/>
  <pageSetup paperSize="9" orientation="landscape" horizontalDpi="4294967293" verticalDpi="12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indexed="53"/>
  </sheetPr>
  <dimension ref="A1:U53"/>
  <sheetViews>
    <sheetView showGridLines="0" showRowColHeaders="0" workbookViewId="0">
      <selection activeCell="I16" sqref="I16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K2" s="10" t="str">
        <f>"AMBIA-LINE"&amp;" - "&amp;List!$B$116</f>
        <v>AMBIA-LINE - Design ocel</v>
      </c>
      <c r="L2" s="1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89"/>
      <c r="I3" s="189" t="str">
        <f>List!$B$143&amp;":"</f>
        <v>Základní prvek:</v>
      </c>
      <c r="J3" s="190"/>
      <c r="K3" s="189" t="str">
        <f>List!$B$49&amp;" M"</f>
        <v>Zásuvka M</v>
      </c>
      <c r="L3" s="665"/>
      <c r="M3" s="119"/>
      <c r="N3" s="151" t="str">
        <f>" "&amp;List!$B$13</f>
        <v xml:space="preserve"> Úvod</v>
      </c>
      <c r="O3" s="119"/>
      <c r="P3" s="436" t="str">
        <f>Cen!A345</f>
        <v>Příborník, 450mm, Orion šedý</v>
      </c>
      <c r="Q3" s="436" t="str">
        <f>Cen!B345</f>
        <v>ZC7S450BS3</v>
      </c>
      <c r="R3" s="436" t="str">
        <f>Cen!C345</f>
        <v>OG-M</v>
      </c>
      <c r="S3" s="437">
        <f>H16</f>
        <v>0</v>
      </c>
      <c r="T3" s="438">
        <f>Cen!F345</f>
        <v>72.901949999999999</v>
      </c>
      <c r="U3" s="438">
        <f t="shared" ref="U3:U12" si="0">S3*T3</f>
        <v>0</v>
      </c>
    </row>
    <row r="4" spans="1:21" ht="13" thickBot="1" x14ac:dyDescent="0.3">
      <c r="A4" s="119"/>
      <c r="B4" s="119"/>
      <c r="C4" s="119"/>
      <c r="D4" s="119"/>
      <c r="E4" s="119"/>
      <c r="F4" s="119"/>
      <c r="G4" s="119"/>
      <c r="K4" s="73" t="str">
        <f>List!$B$50&amp;" M"</f>
        <v>Vnitřní zásuvka M</v>
      </c>
      <c r="L4" s="73"/>
      <c r="M4" s="119"/>
      <c r="N4" s="152" t="str">
        <f>" "&amp;List!$B$4</f>
        <v xml:space="preserve"> Výběr zásuvek a výsuvů</v>
      </c>
      <c r="O4" s="119"/>
      <c r="P4" s="436" t="str">
        <f>Cen!A348</f>
        <v>Příborník, 500mm, Orion šedý</v>
      </c>
      <c r="Q4" s="436" t="str">
        <f>Cen!B348</f>
        <v>ZC7S500BS3</v>
      </c>
      <c r="R4" s="436" t="str">
        <f>Cen!C348</f>
        <v>OG-M</v>
      </c>
      <c r="S4" s="437">
        <f>I16</f>
        <v>0</v>
      </c>
      <c r="T4" s="438">
        <f>Cen!F348</f>
        <v>75.180109999999999</v>
      </c>
      <c r="U4" s="438">
        <f t="shared" si="0"/>
        <v>0</v>
      </c>
    </row>
    <row r="5" spans="1:21" ht="13" thickBot="1" x14ac:dyDescent="0.3">
      <c r="A5" s="119"/>
      <c r="B5" s="119"/>
      <c r="C5" s="119"/>
      <c r="D5" s="119"/>
      <c r="E5" s="119"/>
      <c r="F5" s="119"/>
      <c r="G5" s="119"/>
      <c r="H5" s="7"/>
      <c r="I5" s="7"/>
      <c r="J5" s="7"/>
      <c r="K5" s="116"/>
      <c r="L5" s="665"/>
      <c r="M5" s="119"/>
      <c r="N5" s="152" t="str">
        <f>" "&amp;List!$B$5</f>
        <v xml:space="preserve"> Výběr doplňků</v>
      </c>
      <c r="O5" s="119"/>
      <c r="P5" s="436" t="str">
        <f>Cen!A351</f>
        <v>Příborník, 550mm, Orion šedý</v>
      </c>
      <c r="Q5" s="436" t="str">
        <f>Cen!B351</f>
        <v>ZC7S550BS3</v>
      </c>
      <c r="R5" s="436" t="str">
        <f>Cen!C351</f>
        <v>OG-M</v>
      </c>
      <c r="S5" s="437">
        <f>J16</f>
        <v>0</v>
      </c>
      <c r="T5" s="438">
        <f>Cen!F351</f>
        <v>111.28931</v>
      </c>
      <c r="U5" s="438">
        <f t="shared" si="0"/>
        <v>0</v>
      </c>
    </row>
    <row r="6" spans="1:21" ht="13" thickBot="1" x14ac:dyDescent="0.3">
      <c r="A6" s="119"/>
      <c r="B6" s="119"/>
      <c r="C6" s="119"/>
      <c r="D6" s="119"/>
      <c r="E6" s="119"/>
      <c r="F6" s="119"/>
      <c r="G6" s="119"/>
      <c r="H6" s="121" t="str">
        <f>List!$B$27&amp;":"</f>
        <v>barva:</v>
      </c>
      <c r="I6" s="121"/>
      <c r="J6" s="6"/>
      <c r="K6" s="248" t="str">
        <f>Form!$T$2</f>
        <v>Orion šedá (OG-M)</v>
      </c>
      <c r="L6" s="145"/>
      <c r="M6" s="119"/>
      <c r="N6" s="152" t="str">
        <f>" "&amp;List!$B$6</f>
        <v xml:space="preserve"> Výběr SERVO-DRIVE</v>
      </c>
      <c r="O6" s="119"/>
      <c r="P6" s="127" t="str">
        <f>Cen!A354</f>
        <v>Příborník, 600mm, Orion šedý</v>
      </c>
      <c r="Q6" s="127" t="str">
        <f>Cen!B354</f>
        <v>ZC7S600BS3</v>
      </c>
      <c r="R6" s="127" t="str">
        <f>Cen!C354</f>
        <v>OG-M</v>
      </c>
      <c r="S6" s="262">
        <f>K16</f>
        <v>0</v>
      </c>
      <c r="T6" s="263">
        <f>Cen!F354</f>
        <v>113.56747</v>
      </c>
      <c r="U6" s="263">
        <f t="shared" si="0"/>
        <v>0</v>
      </c>
    </row>
    <row r="7" spans="1:21" x14ac:dyDescent="0.25">
      <c r="A7" s="119"/>
      <c r="B7" s="119"/>
      <c r="C7" s="119"/>
      <c r="D7" s="119"/>
      <c r="E7" s="119"/>
      <c r="F7" s="119"/>
      <c r="G7" s="119"/>
      <c r="H7" s="122"/>
      <c r="I7" s="122"/>
      <c r="J7" s="121"/>
      <c r="K7" s="118"/>
      <c r="L7" s="154"/>
      <c r="M7" s="119"/>
      <c r="N7" s="247" t="str">
        <f>" "&amp;List!$B$7</f>
        <v xml:space="preserve"> Výběr AMBIA-LINE</v>
      </c>
      <c r="O7" s="119"/>
      <c r="P7" s="127" t="str">
        <f>Cen!A357</f>
        <v>Příborník, 650mm, Orion šedý</v>
      </c>
      <c r="Q7" s="127" t="str">
        <f>Cen!B357</f>
        <v>ZC7S650BS3</v>
      </c>
      <c r="R7" s="127" t="str">
        <f>Cen!C357</f>
        <v>OG-M</v>
      </c>
      <c r="S7" s="262">
        <f>L16</f>
        <v>0</v>
      </c>
      <c r="T7" s="263">
        <f>Cen!F357</f>
        <v>142.95611</v>
      </c>
      <c r="U7" s="263">
        <f>S7*T7</f>
        <v>0</v>
      </c>
    </row>
    <row r="8" spans="1:21" x14ac:dyDescent="0.25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U45</f>
        <v>0</v>
      </c>
      <c r="L8" s="154"/>
      <c r="M8" s="119"/>
      <c r="O8" s="119"/>
      <c r="P8" s="122"/>
      <c r="Q8" s="122"/>
      <c r="R8" s="122"/>
      <c r="S8" s="123"/>
      <c r="T8" s="118"/>
      <c r="U8" s="118"/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" t="str">
        <f>List!$B$12&amp;":"</f>
        <v>Pokračovat na:</v>
      </c>
      <c r="O9" s="119"/>
      <c r="P9" s="126" t="str">
        <f>Cen!A361</f>
        <v>Zásuvkové rámečky úzké, 450mm, Orion šedé</v>
      </c>
      <c r="Q9" s="126" t="str">
        <f>Cen!B361</f>
        <v>ZC7S450RS1</v>
      </c>
      <c r="R9" s="126" t="str">
        <f>Cen!C361</f>
        <v>OG-M</v>
      </c>
      <c r="S9" s="334">
        <f>H21</f>
        <v>0</v>
      </c>
      <c r="T9" s="335">
        <f>Cen!F361</f>
        <v>20.207260000000002</v>
      </c>
      <c r="U9" s="335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Cen!A364</f>
        <v>Zásuvkové rámečky úzké, 500mm, Orion šedé</v>
      </c>
      <c r="Q10" s="127" t="str">
        <f>Cen!B364</f>
        <v>ZC7S500RS1</v>
      </c>
      <c r="R10" s="127" t="str">
        <f>Cen!C364</f>
        <v>OG-M</v>
      </c>
      <c r="S10" s="262">
        <f>I21</f>
        <v>0</v>
      </c>
      <c r="T10" s="263">
        <f>Cen!F364</f>
        <v>20.503470000000004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Cen!A367</f>
        <v>Zásuvkové rámečky úzké, 550mm, Orion šedé</v>
      </c>
      <c r="Q11" s="127" t="str">
        <f>Cen!B367</f>
        <v>ZC7S550RS1</v>
      </c>
      <c r="R11" s="127" t="str">
        <f>Cen!C367</f>
        <v>OG-M</v>
      </c>
      <c r="S11" s="262">
        <f>J21</f>
        <v>0</v>
      </c>
      <c r="T11" s="263">
        <f>Cen!F367</f>
        <v>21.027159999999999</v>
      </c>
      <c r="U11" s="263">
        <f t="shared" si="0"/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291"/>
      <c r="M12" s="119"/>
      <c r="N12" s="119"/>
      <c r="O12" s="119"/>
      <c r="P12" s="127" t="str">
        <f>Cen!A370</f>
        <v>Zásuvkové rámečky úzké, 600mm, Orion šedé</v>
      </c>
      <c r="Q12" s="127" t="str">
        <f>Cen!B370</f>
        <v>ZC7S600RS1</v>
      </c>
      <c r="R12" s="127" t="str">
        <f>Cen!C370</f>
        <v>OG-M</v>
      </c>
      <c r="S12" s="262">
        <f>K21</f>
        <v>0</v>
      </c>
      <c r="T12" s="263">
        <f>Cen!F370</f>
        <v>21.551040000000004</v>
      </c>
      <c r="U12" s="263">
        <f t="shared" si="0"/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293"/>
      <c r="M13" s="119"/>
      <c r="N13" s="119"/>
      <c r="O13" s="119"/>
      <c r="P13" s="127" t="str">
        <f>Cen!A373</f>
        <v>Zásuvkové rámečky úzké, 650mm, Orion šedé</v>
      </c>
      <c r="Q13" s="127" t="str">
        <f>Cen!B373</f>
        <v>ZC7S650RS1</v>
      </c>
      <c r="R13" s="127" t="str">
        <f>Cen!C373</f>
        <v>OG-M</v>
      </c>
      <c r="S13" s="262">
        <f>L21</f>
        <v>0</v>
      </c>
      <c r="T13" s="263">
        <f>Cen!F373</f>
        <v>22.07471</v>
      </c>
      <c r="U13" s="263">
        <f>S13*T13</f>
        <v>0</v>
      </c>
    </row>
    <row r="14" spans="1:21" ht="15.5" x14ac:dyDescent="0.25">
      <c r="A14" s="119"/>
      <c r="B14" s="312" t="str">
        <f>"[1]  "&amp;List!$B$203</f>
        <v>[1]  Příborníky</v>
      </c>
      <c r="C14" s="7"/>
      <c r="H14" s="290"/>
      <c r="I14" s="290"/>
      <c r="J14" s="290"/>
      <c r="K14" s="290"/>
      <c r="L14" s="290"/>
      <c r="M14" s="119"/>
      <c r="N14" s="119"/>
      <c r="O14" s="119"/>
      <c r="P14" s="122"/>
      <c r="Q14" s="122"/>
      <c r="R14" s="122"/>
      <c r="S14" s="123"/>
      <c r="T14" s="118"/>
      <c r="U14" s="118"/>
    </row>
    <row r="15" spans="1:21" ht="14" x14ac:dyDescent="0.3">
      <c r="A15" s="119"/>
      <c r="B15" s="6"/>
      <c r="C15" s="320" t="str">
        <f>List!$B$115&amp;":"</f>
        <v>Jmenovitá délka:</v>
      </c>
      <c r="D15" s="308"/>
      <c r="E15" s="305"/>
      <c r="F15" s="305"/>
      <c r="G15" s="305"/>
      <c r="H15" s="305" t="s">
        <v>122</v>
      </c>
      <c r="I15" s="306" t="s">
        <v>617</v>
      </c>
      <c r="J15" s="305" t="s">
        <v>618</v>
      </c>
      <c r="K15" s="305" t="s">
        <v>123</v>
      </c>
      <c r="L15" s="307" t="s">
        <v>950</v>
      </c>
      <c r="M15" s="119"/>
      <c r="N15" s="119"/>
      <c r="O15" s="119"/>
      <c r="P15" s="126" t="str">
        <f>Cen!A380</f>
        <v>Zásuvkové rámečky široké, 450mm, Orion šedé</v>
      </c>
      <c r="Q15" s="126" t="str">
        <f>Cen!B380</f>
        <v>ZC7S450RS2</v>
      </c>
      <c r="R15" s="126" t="str">
        <f>Cen!C380</f>
        <v>OG-M</v>
      </c>
      <c r="S15" s="334">
        <f>H22</f>
        <v>0</v>
      </c>
      <c r="T15" s="335">
        <f>Cen!F380</f>
        <v>24.763960000000001</v>
      </c>
      <c r="U15" s="335">
        <f>S15*T15</f>
        <v>0</v>
      </c>
    </row>
    <row r="16" spans="1:21" ht="14.5" thickBot="1" x14ac:dyDescent="0.35">
      <c r="A16" s="119"/>
      <c r="B16" s="298"/>
      <c r="C16" s="435" t="str">
        <f>List!$B$74&amp;": 300mm"</f>
        <v>šířka: 300mm</v>
      </c>
      <c r="D16" s="355"/>
      <c r="E16" s="355"/>
      <c r="F16" s="355"/>
      <c r="G16" s="355"/>
      <c r="H16" s="299"/>
      <c r="I16" s="299"/>
      <c r="J16" s="299"/>
      <c r="K16" s="299"/>
      <c r="L16" s="300"/>
      <c r="M16" s="119"/>
      <c r="N16" s="119"/>
      <c r="O16" s="119"/>
      <c r="P16" s="127" t="str">
        <f>Cen!A383</f>
        <v>Zásuvkové rámečky široké, 500mm, Orion šedé</v>
      </c>
      <c r="Q16" s="127" t="str">
        <f>Cen!B383</f>
        <v>ZC7S500RS2</v>
      </c>
      <c r="R16" s="127" t="str">
        <f>Cen!C383</f>
        <v>OG-M</v>
      </c>
      <c r="S16" s="262">
        <f>I22</f>
        <v>0</v>
      </c>
      <c r="T16" s="263">
        <f>Cen!F383</f>
        <v>25.059979999999999</v>
      </c>
      <c r="U16" s="263">
        <f>S16*T16</f>
        <v>0</v>
      </c>
    </row>
    <row r="17" spans="1:21" x14ac:dyDescent="0.25">
      <c r="A17" s="119"/>
      <c r="C17" s="119"/>
      <c r="D17" s="119"/>
      <c r="E17" s="119"/>
      <c r="F17" s="119"/>
      <c r="G17" s="119"/>
      <c r="H17" s="290"/>
      <c r="I17" s="290"/>
      <c r="J17" s="290"/>
      <c r="K17" s="290"/>
      <c r="L17" s="290"/>
      <c r="M17" s="119"/>
      <c r="N17" s="119"/>
      <c r="O17" s="119"/>
      <c r="P17" s="127" t="str">
        <f>Cen!A386</f>
        <v>Zásuvkové rámečky široké, 550mm, Orion šedé</v>
      </c>
      <c r="Q17" s="127" t="str">
        <f>Cen!B386</f>
        <v>ZC7S550RS2</v>
      </c>
      <c r="R17" s="127" t="str">
        <f>Cen!C386</f>
        <v>OG-M</v>
      </c>
      <c r="S17" s="262">
        <f>J22</f>
        <v>0</v>
      </c>
      <c r="T17" s="263">
        <f>Cen!F386</f>
        <v>25.583860000000001</v>
      </c>
      <c r="U17" s="263">
        <f>S17*T17</f>
        <v>0</v>
      </c>
    </row>
    <row r="18" spans="1:21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290"/>
      <c r="M18" s="119"/>
      <c r="N18" s="119"/>
      <c r="O18" s="119"/>
      <c r="P18" s="127" t="str">
        <f>Cen!A389</f>
        <v>Zásuvkové rámečky široké, 600mm, Orion šedé</v>
      </c>
      <c r="Q18" s="127" t="str">
        <f>Cen!B389</f>
        <v>ZC7S600RS2</v>
      </c>
      <c r="R18" s="127" t="str">
        <f>Cen!C389</f>
        <v>OG-M</v>
      </c>
      <c r="S18" s="262">
        <f>K22</f>
        <v>0</v>
      </c>
      <c r="T18" s="263">
        <f>Cen!F389</f>
        <v>26.10754</v>
      </c>
      <c r="U18" s="263">
        <f>S18*T18</f>
        <v>0</v>
      </c>
    </row>
    <row r="19" spans="1:21" ht="15.5" x14ac:dyDescent="0.25">
      <c r="A19" s="119"/>
      <c r="B19" s="312" t="str">
        <f>"[2, 3]  "&amp;List!$B$204</f>
        <v>[2, 3]  Zásuvkové rámečky</v>
      </c>
      <c r="C19" s="7"/>
      <c r="H19" s="290"/>
      <c r="I19" s="290"/>
      <c r="J19" s="290"/>
      <c r="K19" s="290"/>
      <c r="L19" s="290"/>
      <c r="M19" s="119"/>
      <c r="N19" s="119"/>
      <c r="O19" s="119"/>
      <c r="P19" s="127" t="str">
        <f>Cen!A392</f>
        <v>Zásuvkové rámečky široké, 650mm, Orion šedé</v>
      </c>
      <c r="Q19" s="127" t="str">
        <f>Cen!B392</f>
        <v>ZC7S650RS2</v>
      </c>
      <c r="R19" s="127" t="str">
        <f>Cen!C392</f>
        <v>OG-M</v>
      </c>
      <c r="S19" s="262">
        <f>L22</f>
        <v>0</v>
      </c>
      <c r="T19" s="263">
        <f>Cen!F392</f>
        <v>26.631230000000002</v>
      </c>
      <c r="U19" s="263">
        <f>S19*T19</f>
        <v>0</v>
      </c>
    </row>
    <row r="20" spans="1:21" ht="14" x14ac:dyDescent="0.3">
      <c r="A20" s="119"/>
      <c r="B20" s="6"/>
      <c r="C20" s="320" t="str">
        <f>List!$B$115&amp;":"</f>
        <v>Jmenovitá délka:</v>
      </c>
      <c r="D20" s="308"/>
      <c r="E20" s="305"/>
      <c r="F20" s="305"/>
      <c r="G20" s="305"/>
      <c r="H20" s="305" t="s">
        <v>122</v>
      </c>
      <c r="I20" s="306" t="s">
        <v>617</v>
      </c>
      <c r="J20" s="305" t="s">
        <v>618</v>
      </c>
      <c r="K20" s="305" t="s">
        <v>123</v>
      </c>
      <c r="L20" s="307" t="s">
        <v>950</v>
      </c>
      <c r="M20" s="119"/>
      <c r="N20" s="119"/>
      <c r="O20" s="119"/>
      <c r="P20" s="122"/>
      <c r="Q20" s="122"/>
      <c r="R20" s="122"/>
      <c r="S20" s="123"/>
      <c r="T20" s="118"/>
      <c r="U20" s="118"/>
    </row>
    <row r="21" spans="1:21" ht="14.5" thickBot="1" x14ac:dyDescent="0.35">
      <c r="A21" s="119"/>
      <c r="B21" s="298"/>
      <c r="C21" s="435" t="str">
        <f>"[2]   "&amp;List!$B$74&amp;" 100mm"</f>
        <v>[2]   šířka 100mm</v>
      </c>
      <c r="D21" s="355"/>
      <c r="E21" s="355"/>
      <c r="F21" s="355"/>
      <c r="G21" s="355"/>
      <c r="H21" s="299"/>
      <c r="I21" s="299"/>
      <c r="J21" s="299"/>
      <c r="K21" s="299"/>
      <c r="L21" s="300"/>
      <c r="M21" s="119"/>
      <c r="N21" s="119"/>
      <c r="O21" s="119"/>
      <c r="P21" s="122" t="str">
        <f>Cen!A399</f>
        <v>Zásuvkové rámečky, od 270mm, Orion šedé</v>
      </c>
      <c r="Q21" s="122" t="str">
        <f>Cen!B399</f>
        <v>ZC7S300RSU</v>
      </c>
      <c r="R21" s="122" t="str">
        <f>Cen!C399</f>
        <v>OG-M</v>
      </c>
      <c r="S21" s="123">
        <f>H26</f>
        <v>0</v>
      </c>
      <c r="T21" s="118">
        <f>Cen!F399</f>
        <v>31.894649999999999</v>
      </c>
      <c r="U21" s="118">
        <f>S21*T21</f>
        <v>0</v>
      </c>
    </row>
    <row r="22" spans="1:21" ht="14" x14ac:dyDescent="0.3">
      <c r="A22" s="119"/>
      <c r="B22" s="433"/>
      <c r="C22" s="434" t="str">
        <f>"[3]   "&amp;List!$B$74&amp;" 200mm"</f>
        <v>[3]   šířka 200mm</v>
      </c>
      <c r="D22" s="432"/>
      <c r="E22" s="432"/>
      <c r="F22" s="432"/>
      <c r="G22" s="432"/>
      <c r="H22" s="303"/>
      <c r="I22" s="303"/>
      <c r="J22" s="303"/>
      <c r="K22" s="303"/>
      <c r="L22" s="304"/>
      <c r="M22" s="119"/>
      <c r="N22" s="119"/>
      <c r="O22" s="119"/>
      <c r="P22" s="122" t="str">
        <f>Cen!A402</f>
        <v>Adaptér pro dřevěná záda M, Orion šedý</v>
      </c>
      <c r="Q22" s="122" t="str">
        <f>Cen!B402</f>
        <v>ZC7A0U0M</v>
      </c>
      <c r="R22" s="122" t="str">
        <f>Cen!C402</f>
        <v>OG-M</v>
      </c>
      <c r="S22" s="123">
        <f>H27</f>
        <v>0</v>
      </c>
      <c r="T22" s="118">
        <f>Cen!F402</f>
        <v>4.1008199999999997</v>
      </c>
      <c r="U22" s="118">
        <f>S22*T22</f>
        <v>0</v>
      </c>
    </row>
    <row r="23" spans="1:21" ht="13" x14ac:dyDescent="0.3">
      <c r="A23" s="119"/>
      <c r="B23" s="287"/>
      <c r="C23" s="287"/>
      <c r="D23" s="51"/>
      <c r="E23" s="51"/>
      <c r="F23" s="51"/>
      <c r="G23" s="51"/>
      <c r="H23" s="290"/>
      <c r="I23" s="290"/>
      <c r="J23" s="290"/>
      <c r="K23" s="290"/>
      <c r="L23" s="290"/>
      <c r="M23" s="119"/>
      <c r="N23" s="119"/>
      <c r="O23" s="119"/>
      <c r="P23" s="122" t="str">
        <f>Cen!A405</f>
        <v>Adaptér pro dřevěná záda K, Orion šedý</v>
      </c>
      <c r="Q23" s="122" t="str">
        <f>Cen!B405</f>
        <v>ZC7A0U0K</v>
      </c>
      <c r="R23" s="122" t="str">
        <f>Cen!C405</f>
        <v>OG-M</v>
      </c>
      <c r="S23" s="123">
        <f>J27</f>
        <v>0</v>
      </c>
      <c r="T23" s="118">
        <f>Cen!F405</f>
        <v>4.55633</v>
      </c>
      <c r="U23" s="118">
        <f>S23*T23</f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126"/>
      <c r="Q24" s="126"/>
      <c r="R24" s="126"/>
      <c r="S24" s="334"/>
      <c r="T24" s="126"/>
      <c r="U24" s="335"/>
    </row>
    <row r="25" spans="1:21" ht="15.5" x14ac:dyDescent="0.25">
      <c r="A25" s="119"/>
      <c r="B25" s="312" t="str">
        <f>"[4]  "&amp;List!$B$205&amp;" 270mm"</f>
        <v>[4]  Zásuvkové rámečky pro jmenovitou délku od  270mm</v>
      </c>
      <c r="C25" s="7"/>
      <c r="D25" s="7"/>
      <c r="E25" s="7"/>
      <c r="F25" s="7"/>
      <c r="G25" s="7"/>
      <c r="H25" s="290"/>
      <c r="I25" s="290"/>
      <c r="J25" s="290"/>
      <c r="K25" s="290"/>
      <c r="L25" s="290"/>
      <c r="M25" s="119"/>
      <c r="N25" s="119"/>
      <c r="O25" s="119"/>
      <c r="P25" s="209"/>
      <c r="Q25" s="209"/>
      <c r="R25" s="209"/>
      <c r="S25" s="260"/>
      <c r="T25" s="261"/>
      <c r="U25" s="261"/>
    </row>
    <row r="26" spans="1:21" ht="14.5" thickBot="1" x14ac:dyDescent="0.35">
      <c r="A26" s="119"/>
      <c r="B26" s="298"/>
      <c r="C26" s="435" t="str">
        <f>List!$B$74&amp;": 242mm"</f>
        <v>šířka: 242mm</v>
      </c>
      <c r="D26" s="355"/>
      <c r="E26" s="355"/>
      <c r="F26" s="355"/>
      <c r="G26" s="355"/>
      <c r="H26" s="299"/>
      <c r="I26" s="119"/>
      <c r="J26" s="119"/>
      <c r="K26" s="119"/>
      <c r="L26" s="119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" x14ac:dyDescent="0.3">
      <c r="A27" s="119"/>
      <c r="B27" s="433"/>
      <c r="C27" s="434" t="str">
        <f>"[4a]   "&amp;List!$B$208&amp;" M"</f>
        <v>[4a]   Adaptér pro zadní stěnu M</v>
      </c>
      <c r="D27" s="432"/>
      <c r="E27" s="432"/>
      <c r="F27" s="432"/>
      <c r="G27" s="432"/>
      <c r="H27" s="303"/>
      <c r="I27" s="119"/>
      <c r="J27" s="119"/>
      <c r="K27" s="119"/>
      <c r="L27" s="119"/>
      <c r="M27" s="119"/>
      <c r="N27" s="119"/>
      <c r="O27" s="119"/>
      <c r="P27" s="209"/>
      <c r="Q27" s="209"/>
      <c r="R27" s="209"/>
      <c r="S27" s="260"/>
      <c r="T27" s="261"/>
      <c r="U27" s="261"/>
    </row>
    <row r="28" spans="1:21" ht="13" x14ac:dyDescent="0.3">
      <c r="A28" s="119"/>
      <c r="B28" s="287"/>
      <c r="C28" s="287"/>
      <c r="D28" s="119"/>
      <c r="E28" s="119"/>
      <c r="F28" s="119"/>
      <c r="G28" s="119"/>
      <c r="H28" s="288"/>
      <c r="I28" s="288"/>
      <c r="J28" s="288"/>
      <c r="K28" s="288"/>
      <c r="L28" s="288"/>
      <c r="M28" s="119"/>
      <c r="N28" s="119"/>
      <c r="O28" s="119"/>
      <c r="P28" s="209"/>
      <c r="Q28" s="209"/>
      <c r="R28" s="209"/>
      <c r="S28" s="260"/>
      <c r="T28" s="261"/>
      <c r="U28" s="261"/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144"/>
      <c r="I29" s="144"/>
      <c r="J29" s="119"/>
      <c r="K29" s="119"/>
      <c r="L29" s="119"/>
      <c r="M29" s="119"/>
      <c r="N29" s="119"/>
      <c r="O29" s="119"/>
      <c r="P29" s="364"/>
      <c r="Q29" s="364"/>
      <c r="R29" s="364"/>
      <c r="S29" s="365"/>
      <c r="T29" s="366"/>
      <c r="U29" s="366"/>
    </row>
    <row r="30" spans="1:21" ht="13" x14ac:dyDescent="0.3">
      <c r="A30" s="119"/>
      <c r="B30" s="445"/>
      <c r="C30" s="287"/>
      <c r="H30" s="289"/>
      <c r="I30" s="289"/>
      <c r="J30" s="289"/>
      <c r="K30" s="289"/>
      <c r="L30" s="289"/>
      <c r="M30" s="119"/>
      <c r="N30" s="119"/>
      <c r="O30" s="119"/>
      <c r="P30" s="364"/>
      <c r="Q30" s="364"/>
      <c r="R30" s="364"/>
      <c r="S30" s="365"/>
      <c r="T30" s="366"/>
      <c r="U30" s="366"/>
    </row>
    <row r="31" spans="1:21" ht="13" x14ac:dyDescent="0.3">
      <c r="A31" s="119"/>
      <c r="B31" s="2" t="str">
        <f>"      "&amp;List!$C$191&amp;"!"</f>
        <v xml:space="preserve">      Adaptér je nutný pro připojení rámečku k dřevěné zadní stěně!</v>
      </c>
      <c r="C31" s="287"/>
      <c r="H31" s="290"/>
      <c r="I31" s="290"/>
      <c r="J31" s="290"/>
      <c r="K31" s="290"/>
      <c r="L31" s="290"/>
      <c r="M31" s="119"/>
      <c r="N31" s="119"/>
      <c r="O31" s="119"/>
      <c r="P31" s="364"/>
      <c r="Q31" s="364"/>
      <c r="R31" s="364"/>
      <c r="S31" s="365"/>
      <c r="T31" s="366"/>
      <c r="U31" s="366"/>
    </row>
    <row r="32" spans="1:21" ht="13" x14ac:dyDescent="0.3">
      <c r="A32" s="119"/>
      <c r="B32" s="2" t="str">
        <f>"      "&amp;List!$C$192&amp;" [4]"</f>
        <v xml:space="preserve">      Jen pro rámeček [4]</v>
      </c>
      <c r="C32" s="287"/>
      <c r="H32" s="288"/>
      <c r="I32" s="288"/>
      <c r="J32" s="288"/>
      <c r="K32" s="288"/>
      <c r="L32" s="288"/>
      <c r="M32" s="119"/>
      <c r="N32" s="119"/>
      <c r="O32" s="119"/>
      <c r="P32" s="364"/>
      <c r="Q32" s="364"/>
      <c r="R32" s="364"/>
      <c r="S32" s="365"/>
      <c r="T32" s="366"/>
      <c r="U32" s="366"/>
    </row>
    <row r="33" spans="1:21" ht="15.5" x14ac:dyDescent="0.3">
      <c r="A33" s="119"/>
      <c r="B33" s="346"/>
      <c r="C33" s="291"/>
      <c r="D33" s="347"/>
      <c r="E33" s="348"/>
      <c r="F33" s="349"/>
      <c r="G33" s="348"/>
      <c r="H33" s="348"/>
      <c r="I33" s="291"/>
      <c r="J33" s="291"/>
      <c r="K33" s="291"/>
      <c r="L33" s="291"/>
      <c r="M33" s="119"/>
      <c r="P33" s="364"/>
      <c r="Q33" s="364"/>
      <c r="R33" s="364"/>
      <c r="S33" s="365"/>
      <c r="T33" s="366"/>
      <c r="U33" s="366"/>
    </row>
    <row r="34" spans="1:21" ht="14" x14ac:dyDescent="0.3">
      <c r="B34" s="350"/>
      <c r="C34" s="291"/>
      <c r="D34" s="351"/>
      <c r="E34" s="295"/>
      <c r="F34" s="295"/>
      <c r="G34" s="295"/>
      <c r="H34" s="295"/>
      <c r="I34" s="289"/>
      <c r="J34" s="289"/>
      <c r="K34" s="289"/>
      <c r="L34" s="289"/>
      <c r="P34" s="364"/>
      <c r="Q34" s="364"/>
      <c r="R34" s="364"/>
      <c r="S34" s="365"/>
      <c r="T34" s="366"/>
      <c r="U34" s="366"/>
    </row>
    <row r="35" spans="1:21" ht="14" x14ac:dyDescent="0.3">
      <c r="B35" s="350"/>
      <c r="C35" s="291"/>
      <c r="D35" s="351"/>
      <c r="E35" s="295"/>
      <c r="F35" s="295"/>
      <c r="G35" s="295"/>
      <c r="H35" s="295"/>
      <c r="I35" s="289"/>
      <c r="J35" s="289"/>
      <c r="K35" s="289"/>
      <c r="L35" s="289"/>
      <c r="P35" s="364"/>
      <c r="Q35" s="364"/>
      <c r="R35" s="364"/>
      <c r="S35" s="365"/>
      <c r="T35" s="366"/>
      <c r="U35" s="366"/>
    </row>
    <row r="36" spans="1:21" ht="14" x14ac:dyDescent="0.3">
      <c r="B36" s="315"/>
      <c r="C36" s="316"/>
      <c r="D36" s="295"/>
      <c r="E36" s="295"/>
      <c r="F36" s="295"/>
      <c r="G36" s="295"/>
      <c r="I36" s="290"/>
      <c r="J36" s="290"/>
      <c r="K36" s="290"/>
      <c r="L36" s="290"/>
      <c r="P36" s="364"/>
      <c r="Q36" s="364"/>
      <c r="R36" s="364"/>
      <c r="S36" s="365"/>
      <c r="T36" s="366"/>
      <c r="U36" s="366"/>
    </row>
    <row r="37" spans="1:21" ht="13" x14ac:dyDescent="0.3">
      <c r="B37" s="287"/>
      <c r="C37" s="287"/>
      <c r="H37" s="288"/>
      <c r="I37" s="288"/>
      <c r="J37" s="288"/>
      <c r="K37" s="288"/>
      <c r="L37" s="288"/>
      <c r="P37" s="364"/>
      <c r="Q37" s="364"/>
      <c r="R37" s="364"/>
      <c r="S37" s="365"/>
      <c r="T37" s="366"/>
      <c r="U37" s="366"/>
    </row>
    <row r="38" spans="1:21" ht="13" x14ac:dyDescent="0.3">
      <c r="B38" s="287"/>
      <c r="C38" s="287"/>
      <c r="H38" s="291"/>
      <c r="I38" s="291"/>
      <c r="J38" s="291"/>
      <c r="K38" s="291"/>
      <c r="L38" s="291"/>
      <c r="P38" s="364"/>
      <c r="Q38" s="364"/>
      <c r="R38" s="364"/>
      <c r="S38" s="365"/>
      <c r="T38" s="366"/>
      <c r="U38" s="366"/>
    </row>
    <row r="39" spans="1:21" x14ac:dyDescent="0.25">
      <c r="P39" s="367"/>
      <c r="Q39" s="367"/>
      <c r="R39" s="367"/>
      <c r="S39" s="368"/>
      <c r="T39" s="369"/>
      <c r="U39" s="366"/>
    </row>
    <row r="40" spans="1:21" x14ac:dyDescent="0.25">
      <c r="P40" s="367"/>
      <c r="Q40" s="367"/>
      <c r="R40" s="367"/>
      <c r="S40" s="368"/>
      <c r="T40" s="369"/>
      <c r="U40" s="369"/>
    </row>
    <row r="41" spans="1:21" x14ac:dyDescent="0.25">
      <c r="P41" s="144"/>
      <c r="Q41" s="144"/>
      <c r="R41" s="144"/>
      <c r="S41" s="150"/>
      <c r="T41" s="154"/>
      <c r="U41" s="154"/>
    </row>
    <row r="42" spans="1:21" x14ac:dyDescent="0.25">
      <c r="P42" s="122"/>
      <c r="Q42" s="122"/>
      <c r="R42" s="122"/>
      <c r="S42" s="123"/>
      <c r="T42" s="118"/>
      <c r="U42" s="118"/>
    </row>
    <row r="43" spans="1:21" x14ac:dyDescent="0.25">
      <c r="P43" s="122"/>
      <c r="Q43" s="122"/>
      <c r="R43" s="122"/>
      <c r="S43" s="123"/>
      <c r="T43" s="118"/>
      <c r="U43" s="118"/>
    </row>
    <row r="44" spans="1:21" x14ac:dyDescent="0.25">
      <c r="P44" s="119"/>
      <c r="Q44" s="119"/>
    </row>
    <row r="45" spans="1:21" x14ac:dyDescent="0.25">
      <c r="P45" s="119"/>
      <c r="Q45" s="119"/>
      <c r="S45" s="73" t="str">
        <f>List!$B$94</f>
        <v>cena kování</v>
      </c>
      <c r="U45" s="353">
        <f>SUM(U3:U44)</f>
        <v>0</v>
      </c>
    </row>
    <row r="46" spans="1:21" x14ac:dyDescent="0.25">
      <c r="P46" s="119"/>
      <c r="Q46" s="119"/>
    </row>
    <row r="47" spans="1:21" x14ac:dyDescent="0.25">
      <c r="P47" s="119"/>
      <c r="Q47" s="119"/>
    </row>
    <row r="48" spans="1:21" x14ac:dyDescent="0.25">
      <c r="P48" s="119"/>
      <c r="Q48" s="119"/>
    </row>
    <row r="49" spans="16:17" x14ac:dyDescent="0.25">
      <c r="P49" s="119"/>
      <c r="Q49" s="119"/>
    </row>
    <row r="50" spans="16:17" x14ac:dyDescent="0.25">
      <c r="P50" s="119"/>
      <c r="Q50" s="119"/>
    </row>
    <row r="51" spans="16:17" x14ac:dyDescent="0.25">
      <c r="P51" s="119"/>
      <c r="Q51" s="119"/>
    </row>
    <row r="52" spans="16:17" x14ac:dyDescent="0.25">
      <c r="P52" s="119"/>
      <c r="Q52" s="119"/>
    </row>
    <row r="53" spans="16:17" x14ac:dyDescent="0.25">
      <c r="P53" s="119"/>
      <c r="Q53" s="119"/>
    </row>
  </sheetData>
  <sheetProtection algorithmName="SHA-512" hashValue="DrUe9f31syhs/mj/GlkmSfUfsQ2zCo4Z7ftVrSjdGS5QOPMxBQsa3ixH6IqDgDm3N6QgIzh7bDxWiEaGY1pkog==" saltValue="8VX2M25DwXxICnxzdRCtyQ==" spinCount="100000" sheet="1" objects="1" scenarios="1"/>
  <phoneticPr fontId="51" type="noConversion"/>
  <hyperlinks>
    <hyperlink ref="N3" location="Form!A1" tooltip=" " display="Form!A1"/>
    <hyperlink ref="N4" location="Menu!A1" tooltip=" " display="Menu!A1"/>
    <hyperlink ref="N5" location="Acs!A1" tooltip=" " display="Acs!A1"/>
    <hyperlink ref="N6" location="SD!A1" tooltip=" " display="SD!A1"/>
    <hyperlink ref="N10" location="Sum!A1" tooltip=" " display="Sum!A1"/>
    <hyperlink ref="N11" location="Ord!A1" tooltip=" " display="Ord!A1"/>
    <hyperlink ref="N7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indexed="53"/>
  </sheetPr>
  <dimension ref="A1:T50"/>
  <sheetViews>
    <sheetView showGridLines="0" showRowColHeaders="0" workbookViewId="0">
      <selection activeCell="I16" sqref="I16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4" width="3.81640625" style="2" customWidth="1"/>
    <col min="15" max="15" width="38.453125" style="2" hidden="1" customWidth="1"/>
    <col min="16" max="16" width="11.1796875" style="2" hidden="1" customWidth="1"/>
    <col min="17" max="17" width="0" style="2" hidden="1" customWidth="1"/>
    <col min="18" max="18" width="7.7265625" style="2" hidden="1" customWidth="1"/>
    <col min="19" max="19" width="8.7265625" style="2" hidden="1" customWidth="1"/>
    <col min="20" max="20" width="10.81640625" style="2" hidden="1" customWidth="1"/>
    <col min="21" max="16384" width="9.1796875" style="2"/>
  </cols>
  <sheetData>
    <row r="1" spans="1:20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20" ht="22.5" x14ac:dyDescent="0.45">
      <c r="A2" s="119"/>
      <c r="B2" s="119"/>
      <c r="C2" s="119"/>
      <c r="D2" s="119"/>
      <c r="E2" s="119"/>
      <c r="F2" s="119"/>
      <c r="G2" s="119"/>
      <c r="K2" s="10" t="str">
        <f>"AMBIA-LINE"&amp;" - "&amp;List!$B$116</f>
        <v>AMBIA-LINE - Design ocel</v>
      </c>
      <c r="L2" s="119"/>
      <c r="M2" s="2" t="str">
        <f>List!$B$11&amp;":"</f>
        <v>Zpět na:</v>
      </c>
      <c r="N2" s="119"/>
      <c r="O2" s="188" t="str">
        <f>List!$B$22&amp;":"</f>
        <v>Soupis kování:</v>
      </c>
      <c r="P2" s="121"/>
      <c r="Q2" s="121"/>
      <c r="R2" s="121"/>
      <c r="S2" s="121"/>
      <c r="T2" s="121"/>
    </row>
    <row r="3" spans="1:20" ht="13" thickBot="1" x14ac:dyDescent="0.3">
      <c r="A3" s="119"/>
      <c r="B3" s="119"/>
      <c r="C3" s="119"/>
      <c r="D3" s="119"/>
      <c r="E3" s="119"/>
      <c r="F3" s="119"/>
      <c r="G3" s="119"/>
      <c r="H3" s="189"/>
      <c r="I3" s="189" t="str">
        <f>List!$B$143&amp;":"</f>
        <v>Základní prvek:</v>
      </c>
      <c r="J3" s="190"/>
      <c r="K3" s="189" t="str">
        <f>List!$B$51&amp;" C, F"</f>
        <v>Čelní výsuv C, F</v>
      </c>
      <c r="L3" s="119"/>
      <c r="M3" s="151" t="str">
        <f>" "&amp;List!$B$13</f>
        <v xml:space="preserve"> Úvod</v>
      </c>
      <c r="N3" s="119"/>
      <c r="O3" s="436" t="str">
        <f>Cen!A414</f>
        <v>Rámečky pro čel. výsuvy, od 270mm, Orion šedé</v>
      </c>
      <c r="P3" s="436" t="str">
        <f>Cen!B414</f>
        <v>ZC7F300RSU</v>
      </c>
      <c r="Q3" s="436" t="str">
        <f>Cen!C414</f>
        <v>OG-M</v>
      </c>
      <c r="R3" s="437">
        <f>H15</f>
        <v>0</v>
      </c>
      <c r="S3" s="438">
        <f>Cen!F414</f>
        <v>41.007300000000008</v>
      </c>
      <c r="T3" s="438">
        <f>R3*S3</f>
        <v>0</v>
      </c>
    </row>
    <row r="4" spans="1:20" ht="13" thickBot="1" x14ac:dyDescent="0.3">
      <c r="A4" s="119"/>
      <c r="B4" s="119"/>
      <c r="C4" s="119"/>
      <c r="D4" s="119"/>
      <c r="E4" s="119"/>
      <c r="F4" s="119"/>
      <c r="G4" s="119"/>
      <c r="K4" s="73" t="str">
        <f>List!$B$52&amp;" C"</f>
        <v>Vnitřní výsuv C</v>
      </c>
      <c r="L4" s="119"/>
      <c r="M4" s="152" t="str">
        <f>" "&amp;List!$B$4</f>
        <v xml:space="preserve"> Výběr zásuvek a výsuvů</v>
      </c>
      <c r="N4" s="119"/>
      <c r="O4" s="439" t="str">
        <f>Cen!A417</f>
        <v>Adaptér pro dřevěná záda, š.242mm, Orion šedý</v>
      </c>
      <c r="P4" s="439" t="str">
        <f>Cen!B417</f>
        <v>ZC7A0U0C</v>
      </c>
      <c r="Q4" s="439" t="str">
        <f>Cen!C417</f>
        <v>OG-M</v>
      </c>
      <c r="R4" s="440">
        <f>H16</f>
        <v>0</v>
      </c>
      <c r="S4" s="441">
        <f>Cen!F417</f>
        <v>4.89811</v>
      </c>
      <c r="T4" s="441">
        <f>R4*S4</f>
        <v>0</v>
      </c>
    </row>
    <row r="5" spans="1:20" ht="13" thickBot="1" x14ac:dyDescent="0.3">
      <c r="A5" s="119"/>
      <c r="B5" s="119"/>
      <c r="C5" s="119"/>
      <c r="D5" s="119"/>
      <c r="E5" s="119"/>
      <c r="F5" s="119"/>
      <c r="G5" s="119"/>
      <c r="H5" s="7"/>
      <c r="I5" s="7"/>
      <c r="J5" s="7"/>
      <c r="K5" s="116"/>
      <c r="L5" s="119"/>
      <c r="M5" s="152" t="str">
        <f>" "&amp;List!$B$5</f>
        <v xml:space="preserve"> Výběr doplňků</v>
      </c>
      <c r="N5" s="119"/>
      <c r="O5" s="454"/>
      <c r="P5" s="454"/>
      <c r="Q5" s="454"/>
      <c r="R5" s="455"/>
      <c r="S5" s="456"/>
      <c r="T5" s="456"/>
    </row>
    <row r="6" spans="1:20" ht="13" thickBot="1" x14ac:dyDescent="0.3">
      <c r="A6" s="119"/>
      <c r="B6" s="119"/>
      <c r="C6" s="119"/>
      <c r="D6" s="119"/>
      <c r="E6" s="119"/>
      <c r="F6" s="119"/>
      <c r="G6" s="119"/>
      <c r="H6" s="121" t="str">
        <f>List!$B$27&amp;":"</f>
        <v>barva:</v>
      </c>
      <c r="I6" s="121"/>
      <c r="J6" s="6"/>
      <c r="K6" s="248" t="str">
        <f>Form!$T$2</f>
        <v>Orion šedá (OG-M)</v>
      </c>
      <c r="L6" s="119"/>
      <c r="M6" s="152" t="str">
        <f>" "&amp;List!$B$6</f>
        <v xml:space="preserve"> Výběr SERVO-DRIVE</v>
      </c>
      <c r="N6" s="119"/>
      <c r="O6" s="439"/>
      <c r="P6" s="439"/>
      <c r="Q6" s="439"/>
      <c r="R6" s="440"/>
      <c r="S6" s="441"/>
      <c r="T6" s="441"/>
    </row>
    <row r="7" spans="1:20" x14ac:dyDescent="0.25">
      <c r="A7" s="119"/>
      <c r="B7" s="119"/>
      <c r="C7" s="119"/>
      <c r="D7" s="119"/>
      <c r="E7" s="119"/>
      <c r="F7" s="119"/>
      <c r="G7" s="119"/>
      <c r="H7" s="122"/>
      <c r="I7" s="122"/>
      <c r="J7" s="121"/>
      <c r="K7" s="118"/>
      <c r="L7" s="119"/>
      <c r="M7" s="247" t="str">
        <f>" "&amp;List!$B$7</f>
        <v xml:space="preserve"> Výběr AMBIA-LINE</v>
      </c>
      <c r="N7" s="119"/>
      <c r="O7" s="442"/>
      <c r="P7" s="442"/>
      <c r="Q7" s="442"/>
      <c r="R7" s="443"/>
      <c r="S7" s="444"/>
      <c r="T7" s="444"/>
    </row>
    <row r="8" spans="1:20" x14ac:dyDescent="0.25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T42</f>
        <v>0</v>
      </c>
      <c r="L8" s="119"/>
      <c r="N8" s="119"/>
      <c r="O8" s="126" t="str">
        <f>Cen!A424</f>
        <v>Rámečky pro čel. výsuvy, od 400mm, Orion šedé</v>
      </c>
      <c r="P8" s="126" t="str">
        <f>Cen!B424</f>
        <v>ZC7F400RSP</v>
      </c>
      <c r="Q8" s="126" t="str">
        <f>Cen!C424</f>
        <v>OG-M</v>
      </c>
      <c r="R8" s="334">
        <f>H20</f>
        <v>0</v>
      </c>
      <c r="S8" s="335">
        <f>Cen!F424</f>
        <v>43.285469999999997</v>
      </c>
      <c r="T8" s="335">
        <f>R8*S8</f>
        <v>0</v>
      </c>
    </row>
    <row r="9" spans="1:20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2" t="str">
        <f>List!$B$12&amp;":"</f>
        <v>Pokračovat na:</v>
      </c>
      <c r="N9" s="119"/>
      <c r="O9" s="127" t="str">
        <f>Cen!A427</f>
        <v>Adaptér pro dřevěná záda C, Orion šedý</v>
      </c>
      <c r="P9" s="127" t="str">
        <f>Cen!B427</f>
        <v>ZC7A0P0C</v>
      </c>
      <c r="Q9" s="127" t="str">
        <f>Cen!C427</f>
        <v>OG-M</v>
      </c>
      <c r="R9" s="262">
        <f>H21</f>
        <v>0</v>
      </c>
      <c r="S9" s="263">
        <f>Cen!F427</f>
        <v>4.89811</v>
      </c>
      <c r="T9" s="263">
        <f>R9*S9</f>
        <v>0</v>
      </c>
    </row>
    <row r="10" spans="1:20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119"/>
      <c r="M10" s="152" t="str">
        <f>" "&amp;List!$B$18</f>
        <v xml:space="preserve"> Souhrn</v>
      </c>
      <c r="N10" s="119"/>
      <c r="O10" s="206" t="str">
        <f>Cen!A430</f>
        <v>Adaptér pro dřevěná záda F, Orion šedý</v>
      </c>
      <c r="P10" s="206" t="str">
        <f>Cen!B430</f>
        <v>ZC7A0P0F</v>
      </c>
      <c r="Q10" s="206" t="str">
        <f>Cen!C430</f>
        <v>OG-M</v>
      </c>
      <c r="R10" s="264">
        <f>H22</f>
        <v>0</v>
      </c>
      <c r="S10" s="265">
        <f>Cen!F430</f>
        <v>5.4677499999999997</v>
      </c>
      <c r="T10" s="265">
        <f>R10*S10</f>
        <v>0</v>
      </c>
    </row>
    <row r="11" spans="1:20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119"/>
      <c r="M11" s="152" t="str">
        <f>" "&amp;List!$B$20</f>
        <v xml:space="preserve"> Objednávka</v>
      </c>
      <c r="N11" s="119"/>
      <c r="O11" s="126"/>
      <c r="P11" s="126"/>
      <c r="Q11" s="126"/>
      <c r="R11" s="334"/>
      <c r="S11" s="335"/>
      <c r="T11" s="335"/>
    </row>
    <row r="12" spans="1:20" ht="15.5" x14ac:dyDescent="0.25">
      <c r="A12" s="119"/>
      <c r="B12" s="119"/>
      <c r="C12" s="119"/>
      <c r="D12" s="119"/>
      <c r="E12" s="119"/>
      <c r="F12" s="119"/>
      <c r="G12" s="478" t="str">
        <f>IF(AND(SUM(R3:R10)&gt;0,Form!$N$2=3),List!$B$185&amp;"!"," ")</f>
        <v xml:space="preserve"> </v>
      </c>
      <c r="H12" s="119"/>
      <c r="I12" s="291"/>
      <c r="J12" s="291"/>
      <c r="K12" s="291"/>
      <c r="L12" s="119"/>
      <c r="M12" s="119"/>
      <c r="N12" s="119"/>
      <c r="O12" s="122"/>
      <c r="P12" s="122"/>
      <c r="Q12" s="122"/>
      <c r="R12" s="123"/>
      <c r="S12" s="118"/>
      <c r="T12" s="118"/>
    </row>
    <row r="13" spans="1:20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119"/>
      <c r="M13" s="119"/>
      <c r="N13" s="119"/>
      <c r="O13" s="126"/>
      <c r="P13" s="126"/>
      <c r="Q13" s="126"/>
      <c r="R13" s="334"/>
      <c r="S13" s="335"/>
      <c r="T13" s="335"/>
    </row>
    <row r="14" spans="1:20" ht="15.5" x14ac:dyDescent="0.25">
      <c r="A14" s="119"/>
      <c r="B14" s="312" t="str">
        <f>"[1]   "&amp;List!$B$207&amp;" 27mm"</f>
        <v>[1]   Rámečky pro čelní výsuv pro jmenovitu délku od 27mm</v>
      </c>
      <c r="C14" s="7"/>
      <c r="D14" s="7"/>
      <c r="E14" s="7"/>
      <c r="F14" s="7"/>
      <c r="G14" s="7"/>
      <c r="H14" s="290"/>
      <c r="I14" s="290"/>
      <c r="J14" s="290"/>
      <c r="K14" s="290"/>
      <c r="L14" s="119"/>
      <c r="M14" s="119"/>
      <c r="N14" s="119"/>
      <c r="O14" s="127"/>
      <c r="P14" s="127"/>
      <c r="Q14" s="127"/>
      <c r="R14" s="262"/>
      <c r="S14" s="263"/>
      <c r="T14" s="263"/>
    </row>
    <row r="15" spans="1:20" ht="14.5" thickBot="1" x14ac:dyDescent="0.35">
      <c r="A15" s="119"/>
      <c r="B15" s="298"/>
      <c r="C15" s="435" t="str">
        <f>List!$B$74&amp;": 242mm"</f>
        <v>šířka: 242mm</v>
      </c>
      <c r="D15" s="355"/>
      <c r="E15" s="355"/>
      <c r="F15" s="355"/>
      <c r="G15" s="355"/>
      <c r="H15" s="458"/>
      <c r="I15" s="119"/>
      <c r="J15" s="119"/>
      <c r="K15" s="119"/>
      <c r="L15" s="119"/>
      <c r="M15" s="119"/>
      <c r="N15" s="119"/>
      <c r="O15" s="127"/>
      <c r="P15" s="127"/>
      <c r="Q15" s="127"/>
      <c r="R15" s="262"/>
      <c r="S15" s="263"/>
      <c r="T15" s="263"/>
    </row>
    <row r="16" spans="1:20" ht="14" x14ac:dyDescent="0.3">
      <c r="A16" s="119"/>
      <c r="B16" s="433"/>
      <c r="C16" s="434" t="str">
        <f>"[1a]   "&amp;List!$B$208&amp;" C"</f>
        <v>[1a]   Adaptér pro zadní stěnu C</v>
      </c>
      <c r="D16" s="432"/>
      <c r="E16" s="432"/>
      <c r="F16" s="432"/>
      <c r="G16" s="432"/>
      <c r="H16" s="488"/>
      <c r="I16" s="119"/>
      <c r="J16" s="119"/>
      <c r="K16" s="119"/>
      <c r="L16" s="119"/>
      <c r="M16" s="119"/>
      <c r="N16" s="119"/>
      <c r="O16" s="127"/>
      <c r="P16" s="127"/>
      <c r="Q16" s="127"/>
      <c r="R16" s="262"/>
      <c r="S16" s="263"/>
      <c r="T16" s="263"/>
    </row>
    <row r="17" spans="1:20" x14ac:dyDescent="0.25">
      <c r="A17" s="119"/>
      <c r="C17" s="119"/>
      <c r="D17" s="119"/>
      <c r="E17" s="119"/>
      <c r="F17" s="119"/>
      <c r="G17" s="119"/>
      <c r="H17" s="290"/>
      <c r="I17" s="290"/>
      <c r="J17" s="290"/>
      <c r="K17" s="290"/>
      <c r="L17" s="119"/>
      <c r="M17" s="119"/>
      <c r="N17" s="119"/>
      <c r="O17" s="122"/>
      <c r="P17" s="122"/>
      <c r="Q17" s="122"/>
      <c r="R17" s="123"/>
      <c r="S17" s="118"/>
      <c r="T17" s="118"/>
    </row>
    <row r="18" spans="1:20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119"/>
      <c r="M18" s="119"/>
      <c r="N18" s="119"/>
      <c r="O18" s="122"/>
      <c r="P18" s="122"/>
      <c r="Q18" s="122"/>
      <c r="R18" s="123"/>
      <c r="S18" s="118"/>
      <c r="T18" s="118"/>
    </row>
    <row r="19" spans="1:20" ht="15.5" x14ac:dyDescent="0.25">
      <c r="A19" s="119"/>
      <c r="B19" s="312" t="str">
        <f>"[2]   "&amp;List!$B$207&amp;" 400mm"</f>
        <v>[2]   Rámečky pro čelní výsuv pro jmenovitu délku od 400mm</v>
      </c>
      <c r="C19" s="7"/>
      <c r="D19" s="7"/>
      <c r="E19" s="7"/>
      <c r="F19" s="7"/>
      <c r="G19" s="7"/>
      <c r="H19" s="290"/>
      <c r="I19" s="290"/>
      <c r="J19" s="290"/>
      <c r="K19" s="290"/>
      <c r="L19" s="119"/>
      <c r="M19" s="119"/>
      <c r="N19" s="119"/>
      <c r="O19" s="122"/>
      <c r="P19" s="122"/>
      <c r="Q19" s="122"/>
      <c r="R19" s="123"/>
      <c r="S19" s="118"/>
      <c r="T19" s="118"/>
    </row>
    <row r="20" spans="1:20" ht="14.5" thickBot="1" x14ac:dyDescent="0.35">
      <c r="A20" s="119"/>
      <c r="B20" s="374"/>
      <c r="C20" s="452" t="str">
        <f>List!$B$74&amp;": 218mm"</f>
        <v>šířka: 218mm</v>
      </c>
      <c r="D20" s="453"/>
      <c r="E20" s="453"/>
      <c r="F20" s="453"/>
      <c r="G20" s="453"/>
      <c r="H20" s="458"/>
      <c r="I20" s="119"/>
      <c r="J20" s="119"/>
      <c r="K20" s="119"/>
      <c r="L20" s="119"/>
      <c r="M20" s="119"/>
      <c r="N20" s="119"/>
      <c r="O20" s="122"/>
      <c r="P20" s="122"/>
      <c r="Q20" s="122"/>
      <c r="R20" s="123"/>
      <c r="S20" s="118"/>
      <c r="T20" s="118"/>
    </row>
    <row r="21" spans="1:20" ht="14.5" thickBot="1" x14ac:dyDescent="0.35">
      <c r="A21" s="119"/>
      <c r="B21" s="449"/>
      <c r="C21" s="450" t="str">
        <f>"[2a]   "&amp;List!$B$208&amp;" C"</f>
        <v>[2a]   Adaptér pro zadní stěnu C</v>
      </c>
      <c r="D21" s="451"/>
      <c r="E21" s="451"/>
      <c r="F21" s="451"/>
      <c r="G21" s="451"/>
      <c r="H21" s="488"/>
      <c r="I21" s="119"/>
      <c r="J21" s="119"/>
      <c r="K21" s="119"/>
      <c r="L21" s="119"/>
      <c r="M21" s="119"/>
      <c r="N21" s="119"/>
      <c r="O21" s="126"/>
      <c r="P21" s="126"/>
      <c r="Q21" s="126"/>
      <c r="R21" s="334"/>
      <c r="S21" s="126"/>
      <c r="T21" s="335"/>
    </row>
    <row r="22" spans="1:20" ht="14" x14ac:dyDescent="0.3">
      <c r="A22" s="119"/>
      <c r="B22" s="433"/>
      <c r="C22" s="434" t="str">
        <f>"[2b]   "&amp;List!$B$208&amp;" F"</f>
        <v>[2b]   Adaptér pro zadní stěnu F</v>
      </c>
      <c r="D22" s="432"/>
      <c r="E22" s="432"/>
      <c r="F22" s="432"/>
      <c r="G22" s="432"/>
      <c r="H22" s="488"/>
      <c r="I22" s="288"/>
      <c r="J22" s="288"/>
      <c r="K22" s="288"/>
      <c r="L22" s="119"/>
      <c r="M22" s="119"/>
      <c r="N22" s="119"/>
      <c r="O22" s="209"/>
      <c r="P22" s="209"/>
      <c r="Q22" s="209"/>
      <c r="R22" s="260"/>
      <c r="S22" s="261"/>
      <c r="T22" s="261"/>
    </row>
    <row r="23" spans="1:20" ht="13" x14ac:dyDescent="0.3">
      <c r="A23" s="119"/>
      <c r="B23" s="287"/>
      <c r="C23" s="287"/>
      <c r="D23" s="119"/>
      <c r="E23" s="119"/>
      <c r="F23" s="119"/>
      <c r="G23" s="119"/>
      <c r="H23" s="144"/>
      <c r="I23" s="144"/>
      <c r="J23" s="119"/>
      <c r="K23" s="119"/>
      <c r="L23" s="119"/>
      <c r="M23" s="119"/>
      <c r="N23" s="119"/>
      <c r="O23" s="209"/>
      <c r="P23" s="209"/>
      <c r="Q23" s="209"/>
      <c r="R23" s="260"/>
      <c r="S23" s="261"/>
      <c r="T23" s="261"/>
    </row>
    <row r="24" spans="1:20" ht="13" x14ac:dyDescent="0.3">
      <c r="A24" s="119"/>
      <c r="B24" s="445"/>
      <c r="C24" s="287"/>
      <c r="H24" s="289"/>
      <c r="I24" s="289"/>
      <c r="J24" s="289"/>
      <c r="K24" s="289"/>
      <c r="L24" s="119"/>
      <c r="M24" s="119"/>
      <c r="N24" s="119"/>
      <c r="O24" s="209"/>
      <c r="P24" s="209"/>
      <c r="Q24" s="209"/>
      <c r="R24" s="260"/>
      <c r="S24" s="261"/>
      <c r="T24" s="261"/>
    </row>
    <row r="25" spans="1:20" ht="13" x14ac:dyDescent="0.3">
      <c r="A25" s="119"/>
      <c r="B25" s="287"/>
      <c r="C25" s="287"/>
      <c r="H25" s="290"/>
      <c r="I25" s="290"/>
      <c r="J25" s="290"/>
      <c r="K25" s="290"/>
      <c r="L25" s="119"/>
      <c r="M25" s="119"/>
      <c r="N25" s="119"/>
      <c r="O25" s="209"/>
      <c r="P25" s="209"/>
      <c r="Q25" s="209"/>
      <c r="R25" s="260"/>
      <c r="S25" s="261"/>
      <c r="T25" s="261"/>
    </row>
    <row r="26" spans="1:20" ht="13" x14ac:dyDescent="0.3">
      <c r="A26" s="119"/>
      <c r="B26" s="489"/>
      <c r="C26" s="287"/>
      <c r="H26" s="288"/>
      <c r="I26" s="288"/>
      <c r="J26" s="288"/>
      <c r="K26" s="288"/>
      <c r="L26" s="119"/>
      <c r="M26" s="119"/>
      <c r="N26" s="119"/>
      <c r="O26" s="364"/>
      <c r="P26" s="364"/>
      <c r="Q26" s="364"/>
      <c r="R26" s="365"/>
      <c r="S26" s="366"/>
      <c r="T26" s="366"/>
    </row>
    <row r="27" spans="1:20" ht="14" x14ac:dyDescent="0.3">
      <c r="A27" s="119"/>
      <c r="B27" s="2" t="str">
        <f>"      "&amp;List!$C$191&amp;"!"</f>
        <v xml:space="preserve">      Adaptér je nutný pro připojení rámečku k dřevěné zadní stěně!</v>
      </c>
      <c r="C27" s="291"/>
      <c r="D27" s="347"/>
      <c r="E27" s="348"/>
      <c r="F27" s="349"/>
      <c r="G27" s="348"/>
      <c r="H27" s="348"/>
      <c r="I27" s="291"/>
      <c r="J27" s="291"/>
      <c r="K27" s="291"/>
      <c r="L27" s="119"/>
      <c r="M27" s="119"/>
      <c r="N27" s="119"/>
      <c r="O27" s="364"/>
      <c r="P27" s="364"/>
      <c r="Q27" s="364"/>
      <c r="R27" s="365"/>
      <c r="S27" s="366"/>
      <c r="T27" s="366"/>
    </row>
    <row r="28" spans="1:20" ht="14" x14ac:dyDescent="0.3">
      <c r="A28" s="119"/>
      <c r="B28" s="350"/>
      <c r="C28" s="291"/>
      <c r="D28" s="351"/>
      <c r="E28" s="295"/>
      <c r="F28" s="295"/>
      <c r="G28" s="295"/>
      <c r="H28" s="295"/>
      <c r="I28" s="289"/>
      <c r="J28" s="289"/>
      <c r="K28" s="289"/>
      <c r="L28" s="119"/>
      <c r="M28" s="119"/>
      <c r="N28" s="119"/>
      <c r="O28" s="364"/>
      <c r="P28" s="364"/>
      <c r="Q28" s="364"/>
      <c r="R28" s="365"/>
      <c r="S28" s="366"/>
      <c r="T28" s="366"/>
    </row>
    <row r="29" spans="1:20" ht="14" x14ac:dyDescent="0.3">
      <c r="A29" s="119"/>
      <c r="B29" s="350"/>
      <c r="C29" s="291"/>
      <c r="D29" s="351"/>
      <c r="E29" s="295"/>
      <c r="F29" s="295"/>
      <c r="G29" s="295"/>
      <c r="H29" s="295"/>
      <c r="I29" s="289"/>
      <c r="J29" s="289"/>
      <c r="K29" s="289"/>
      <c r="L29" s="119"/>
      <c r="M29" s="119"/>
      <c r="N29" s="119"/>
      <c r="O29" s="364"/>
      <c r="P29" s="364"/>
      <c r="Q29" s="364"/>
      <c r="R29" s="365"/>
      <c r="S29" s="366"/>
      <c r="T29" s="366"/>
    </row>
    <row r="30" spans="1:20" ht="14" x14ac:dyDescent="0.3">
      <c r="A30" s="119"/>
      <c r="B30" s="315"/>
      <c r="C30" s="316"/>
      <c r="D30" s="295"/>
      <c r="E30" s="295"/>
      <c r="F30" s="295"/>
      <c r="G30" s="295"/>
      <c r="I30" s="290"/>
      <c r="J30" s="290"/>
      <c r="K30" s="290"/>
      <c r="L30" s="119"/>
      <c r="M30" s="119"/>
      <c r="N30" s="119"/>
      <c r="O30" s="364"/>
      <c r="P30" s="364"/>
      <c r="Q30" s="364"/>
      <c r="R30" s="365"/>
      <c r="S30" s="366"/>
      <c r="T30" s="366"/>
    </row>
    <row r="31" spans="1:20" ht="13" x14ac:dyDescent="0.3">
      <c r="A31" s="119"/>
      <c r="B31" s="287"/>
      <c r="C31" s="287"/>
      <c r="H31" s="288"/>
      <c r="I31" s="288"/>
      <c r="J31" s="288"/>
      <c r="K31" s="288"/>
      <c r="L31" s="119"/>
      <c r="M31" s="119"/>
      <c r="N31" s="119"/>
      <c r="O31" s="364"/>
      <c r="P31" s="364"/>
      <c r="Q31" s="364"/>
      <c r="R31" s="365"/>
      <c r="S31" s="366"/>
      <c r="T31" s="366"/>
    </row>
    <row r="32" spans="1:20" ht="13" x14ac:dyDescent="0.3">
      <c r="A32" s="119"/>
      <c r="B32" s="287"/>
      <c r="C32" s="287"/>
      <c r="H32" s="291"/>
      <c r="I32" s="291"/>
      <c r="J32" s="291"/>
      <c r="K32" s="291"/>
      <c r="L32" s="119"/>
      <c r="M32" s="119"/>
      <c r="N32" s="119"/>
      <c r="O32" s="364"/>
      <c r="P32" s="364"/>
      <c r="Q32" s="364"/>
      <c r="R32" s="365"/>
      <c r="S32" s="366"/>
      <c r="T32" s="366"/>
    </row>
    <row r="33" spans="1:20" x14ac:dyDescent="0.25">
      <c r="A33" s="119"/>
      <c r="L33" s="119"/>
      <c r="O33" s="364"/>
      <c r="P33" s="364"/>
      <c r="Q33" s="364"/>
      <c r="R33" s="365"/>
      <c r="S33" s="366"/>
      <c r="T33" s="366"/>
    </row>
    <row r="34" spans="1:20" x14ac:dyDescent="0.25">
      <c r="O34" s="364"/>
      <c r="P34" s="364"/>
      <c r="Q34" s="364"/>
      <c r="R34" s="365"/>
      <c r="S34" s="366"/>
      <c r="T34" s="366"/>
    </row>
    <row r="35" spans="1:20" x14ac:dyDescent="0.25">
      <c r="O35" s="364"/>
      <c r="P35" s="364"/>
      <c r="Q35" s="364"/>
      <c r="R35" s="365"/>
      <c r="S35" s="366"/>
      <c r="T35" s="366"/>
    </row>
    <row r="36" spans="1:20" x14ac:dyDescent="0.25">
      <c r="O36" s="367"/>
      <c r="P36" s="367"/>
      <c r="Q36" s="367"/>
      <c r="R36" s="368"/>
      <c r="S36" s="369"/>
      <c r="T36" s="366"/>
    </row>
    <row r="37" spans="1:20" x14ac:dyDescent="0.25">
      <c r="O37" s="367"/>
      <c r="P37" s="367"/>
      <c r="Q37" s="367"/>
      <c r="R37" s="368"/>
      <c r="S37" s="369"/>
      <c r="T37" s="369"/>
    </row>
    <row r="38" spans="1:20" x14ac:dyDescent="0.25">
      <c r="O38" s="144"/>
      <c r="P38" s="144"/>
      <c r="Q38" s="144"/>
      <c r="R38" s="150"/>
      <c r="S38" s="154"/>
      <c r="T38" s="154"/>
    </row>
    <row r="39" spans="1:20" x14ac:dyDescent="0.25">
      <c r="O39" s="122"/>
      <c r="P39" s="122"/>
      <c r="Q39" s="122"/>
      <c r="R39" s="123"/>
      <c r="S39" s="118"/>
      <c r="T39" s="118"/>
    </row>
    <row r="40" spans="1:20" x14ac:dyDescent="0.25">
      <c r="O40" s="122"/>
      <c r="P40" s="122"/>
      <c r="Q40" s="122"/>
      <c r="R40" s="123"/>
      <c r="S40" s="118"/>
      <c r="T40" s="118"/>
    </row>
    <row r="41" spans="1:20" x14ac:dyDescent="0.25">
      <c r="O41" s="119"/>
      <c r="P41" s="119"/>
    </row>
    <row r="42" spans="1:20" x14ac:dyDescent="0.25">
      <c r="O42" s="119"/>
      <c r="P42" s="119"/>
      <c r="R42" s="73" t="str">
        <f>List!$B$94</f>
        <v>cena kování</v>
      </c>
      <c r="T42" s="353">
        <f>SUM(T3:T41)</f>
        <v>0</v>
      </c>
    </row>
    <row r="43" spans="1:20" x14ac:dyDescent="0.25">
      <c r="O43" s="119"/>
      <c r="P43" s="119"/>
    </row>
    <row r="44" spans="1:20" x14ac:dyDescent="0.25">
      <c r="O44" s="119"/>
      <c r="P44" s="119"/>
    </row>
    <row r="45" spans="1:20" x14ac:dyDescent="0.25">
      <c r="O45" s="119"/>
      <c r="P45" s="119"/>
    </row>
    <row r="46" spans="1:20" x14ac:dyDescent="0.25">
      <c r="O46" s="119"/>
      <c r="P46" s="119"/>
    </row>
    <row r="47" spans="1:20" x14ac:dyDescent="0.25">
      <c r="O47" s="119"/>
      <c r="P47" s="119"/>
    </row>
    <row r="48" spans="1:20" x14ac:dyDescent="0.25">
      <c r="O48" s="119"/>
      <c r="P48" s="119"/>
    </row>
    <row r="49" spans="15:16" x14ac:dyDescent="0.25">
      <c r="O49" s="119"/>
      <c r="P49" s="119"/>
    </row>
    <row r="50" spans="15:16" x14ac:dyDescent="0.25">
      <c r="O50" s="119"/>
      <c r="P50" s="119"/>
    </row>
  </sheetData>
  <sheetProtection password="CF3A" sheet="1" objects="1" scenarios="1"/>
  <phoneticPr fontId="51" type="noConversion"/>
  <hyperlinks>
    <hyperlink ref="M3" location="Form!A1" tooltip=" " display="Form!A1"/>
    <hyperlink ref="M4" location="Menu!A1" tooltip=" " display="Menu!A1"/>
    <hyperlink ref="M5" location="Acs!A1" tooltip=" " display="Acs!A1"/>
    <hyperlink ref="M6" location="SD!A1" tooltip=" " display="SD!A1"/>
    <hyperlink ref="M10" location="Sum!A1" tooltip=" " display="Sum!A1"/>
    <hyperlink ref="M11" location="Ord!A1" tooltip=" " display="Ord!A1"/>
    <hyperlink ref="M7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53"/>
  </sheetPr>
  <dimension ref="A1:T50"/>
  <sheetViews>
    <sheetView showGridLines="0" showRowColHeaders="0" workbookViewId="0">
      <selection activeCell="I16" sqref="I16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4" width="3.81640625" style="2" customWidth="1"/>
    <col min="15" max="15" width="38.453125" style="2" hidden="1" customWidth="1"/>
    <col min="16" max="16" width="11.1796875" style="2" hidden="1" customWidth="1"/>
    <col min="17" max="17" width="9.1796875" style="2" hidden="1" customWidth="1"/>
    <col min="18" max="18" width="7.7265625" style="2" hidden="1" customWidth="1"/>
    <col min="19" max="19" width="8.7265625" style="2" hidden="1" customWidth="1"/>
    <col min="20" max="20" width="10.81640625" style="2" hidden="1" customWidth="1"/>
    <col min="21" max="21" width="0" style="2" hidden="1" customWidth="1"/>
    <col min="22" max="16384" width="9.1796875" style="2"/>
  </cols>
  <sheetData>
    <row r="1" spans="1:20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20" ht="22.5" x14ac:dyDescent="0.45">
      <c r="A2" s="119"/>
      <c r="B2" s="119"/>
      <c r="C2" s="119"/>
      <c r="D2" s="119"/>
      <c r="E2" s="119"/>
      <c r="F2" s="119"/>
      <c r="G2" s="119"/>
      <c r="K2" s="10" t="str">
        <f>"AMBIA-LINE"&amp;" - "&amp;List!$B$116</f>
        <v>AMBIA-LINE - Design ocel</v>
      </c>
      <c r="L2" s="119"/>
      <c r="M2" s="2" t="str">
        <f>List!$B$11&amp;":"</f>
        <v>Zpět na:</v>
      </c>
      <c r="N2" s="119"/>
      <c r="O2" s="188" t="str">
        <f>List!$B$22&amp;":"</f>
        <v>Soupis kování:</v>
      </c>
      <c r="P2" s="121"/>
      <c r="Q2" s="121"/>
      <c r="R2" s="121"/>
      <c r="S2" s="121"/>
      <c r="T2" s="121"/>
    </row>
    <row r="3" spans="1:20" ht="13" thickBot="1" x14ac:dyDescent="0.3">
      <c r="A3" s="119"/>
      <c r="B3" s="119"/>
      <c r="C3" s="119"/>
      <c r="D3" s="119"/>
      <c r="E3" s="119"/>
      <c r="F3" s="119"/>
      <c r="G3" s="119"/>
      <c r="H3" s="189"/>
      <c r="I3" s="189" t="str">
        <f>List!$B$143&amp;":"</f>
        <v>Základní prvek:</v>
      </c>
      <c r="J3" s="190"/>
      <c r="K3" s="189" t="str">
        <f>List!$B$51&amp;" C, F"</f>
        <v>Čelní výsuv C, F</v>
      </c>
      <c r="L3" s="119"/>
      <c r="M3" s="151" t="str">
        <f>" "&amp;List!$B$13</f>
        <v xml:space="preserve"> Úvod</v>
      </c>
      <c r="N3" s="119"/>
      <c r="O3" s="436" t="str">
        <f>Cen!A529</f>
        <v>Souprava na lahve, pro š.rám. 100mm, Orion šedá</v>
      </c>
      <c r="P3" s="436" t="str">
        <f>Cen!B529</f>
        <v>ZC7B0100S</v>
      </c>
      <c r="Q3" s="436" t="str">
        <f>Cen!C529</f>
        <v>OG-M</v>
      </c>
      <c r="R3" s="437">
        <f>H15</f>
        <v>0</v>
      </c>
      <c r="S3" s="438">
        <f>Cen!F529</f>
        <v>0</v>
      </c>
      <c r="T3" s="438">
        <f>R3*S3</f>
        <v>0</v>
      </c>
    </row>
    <row r="4" spans="1:20" ht="13" thickBot="1" x14ac:dyDescent="0.3">
      <c r="A4" s="119"/>
      <c r="B4" s="119"/>
      <c r="C4" s="119"/>
      <c r="D4" s="119"/>
      <c r="E4" s="119"/>
      <c r="F4" s="119"/>
      <c r="G4" s="119"/>
      <c r="K4" s="73"/>
      <c r="L4" s="119"/>
      <c r="M4" s="152" t="str">
        <f>" "&amp;List!$B$4</f>
        <v xml:space="preserve"> Výběr zásuvek a výsuvů</v>
      </c>
      <c r="N4" s="119"/>
      <c r="O4" s="439" t="str">
        <f>Cen!A532</f>
        <v>Souprava na lahve, pro š.rám. 200mm, Orion šedá</v>
      </c>
      <c r="P4" s="439" t="str">
        <f>Cen!B532</f>
        <v>ZC7B0200S</v>
      </c>
      <c r="Q4" s="439" t="str">
        <f>Cen!C532</f>
        <v>OG-M</v>
      </c>
      <c r="R4" s="440">
        <f>H16</f>
        <v>0</v>
      </c>
      <c r="S4" s="441">
        <f>Cen!F532</f>
        <v>23.562169999999995</v>
      </c>
      <c r="T4" s="441">
        <f>R4*S4</f>
        <v>0</v>
      </c>
    </row>
    <row r="5" spans="1:20" ht="13" thickBot="1" x14ac:dyDescent="0.3">
      <c r="A5" s="119"/>
      <c r="B5" s="119"/>
      <c r="C5" s="119"/>
      <c r="D5" s="119"/>
      <c r="E5" s="119"/>
      <c r="F5" s="119"/>
      <c r="G5" s="119"/>
      <c r="H5" s="7"/>
      <c r="I5" s="7"/>
      <c r="J5" s="7"/>
      <c r="K5" s="116"/>
      <c r="L5" s="119"/>
      <c r="M5" s="152" t="str">
        <f>" "&amp;List!$B$5</f>
        <v xml:space="preserve"> Výběr doplňků</v>
      </c>
      <c r="N5" s="119"/>
      <c r="O5" s="454"/>
      <c r="P5" s="454"/>
      <c r="Q5" s="454"/>
      <c r="R5" s="455"/>
      <c r="S5" s="456"/>
      <c r="T5" s="456"/>
    </row>
    <row r="6" spans="1:20" ht="13" thickBot="1" x14ac:dyDescent="0.3">
      <c r="A6" s="119"/>
      <c r="B6" s="119"/>
      <c r="C6" s="119"/>
      <c r="D6" s="119"/>
      <c r="E6" s="119"/>
      <c r="F6" s="119"/>
      <c r="G6" s="119"/>
      <c r="H6" s="121" t="str">
        <f>List!$B$27&amp;":"</f>
        <v>barva:</v>
      </c>
      <c r="I6" s="121"/>
      <c r="J6" s="6"/>
      <c r="K6" s="248" t="str">
        <f>Form!$T$2</f>
        <v>Orion šedá (OG-M)</v>
      </c>
      <c r="L6" s="119"/>
      <c r="M6" s="152" t="str">
        <f>" "&amp;List!$B$6</f>
        <v xml:space="preserve"> Výběr SERVO-DRIVE</v>
      </c>
      <c r="N6" s="119"/>
      <c r="O6" s="439"/>
      <c r="P6" s="439"/>
      <c r="Q6" s="439"/>
      <c r="R6" s="440"/>
      <c r="S6" s="441"/>
      <c r="T6" s="441"/>
    </row>
    <row r="7" spans="1:20" x14ac:dyDescent="0.25">
      <c r="A7" s="119"/>
      <c r="B7" s="119"/>
      <c r="C7" s="119"/>
      <c r="D7" s="119"/>
      <c r="E7" s="119"/>
      <c r="F7" s="119"/>
      <c r="G7" s="119"/>
      <c r="H7" s="122"/>
      <c r="I7" s="122"/>
      <c r="J7" s="121"/>
      <c r="K7" s="118"/>
      <c r="L7" s="119"/>
      <c r="M7" s="247" t="str">
        <f>" "&amp;List!$B$7</f>
        <v xml:space="preserve"> Výběr AMBIA-LINE</v>
      </c>
      <c r="N7" s="119"/>
      <c r="O7" s="442"/>
      <c r="P7" s="442"/>
      <c r="Q7" s="442"/>
      <c r="R7" s="443"/>
      <c r="S7" s="444"/>
      <c r="T7" s="444"/>
    </row>
    <row r="8" spans="1:20" x14ac:dyDescent="0.25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T42</f>
        <v>0</v>
      </c>
      <c r="L8" s="119"/>
      <c r="N8" s="119"/>
      <c r="O8" s="126"/>
      <c r="P8" s="126"/>
      <c r="Q8" s="126"/>
      <c r="R8" s="334"/>
      <c r="S8" s="335"/>
      <c r="T8" s="335"/>
    </row>
    <row r="9" spans="1:20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2" t="str">
        <f>List!$B$12&amp;":"</f>
        <v>Pokračovat na:</v>
      </c>
      <c r="N9" s="119"/>
      <c r="O9" s="127"/>
      <c r="P9" s="127"/>
      <c r="Q9" s="127"/>
      <c r="R9" s="262"/>
      <c r="S9" s="263"/>
      <c r="T9" s="263"/>
    </row>
    <row r="10" spans="1:20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119"/>
      <c r="M10" s="152" t="str">
        <f>" "&amp;List!$B$18</f>
        <v xml:space="preserve"> Souhrn</v>
      </c>
      <c r="N10" s="119"/>
      <c r="O10" s="206"/>
      <c r="P10" s="206"/>
      <c r="Q10" s="206"/>
      <c r="R10" s="264"/>
      <c r="S10" s="265"/>
      <c r="T10" s="265"/>
    </row>
    <row r="11" spans="1:20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119"/>
      <c r="M11" s="152" t="str">
        <f>" "&amp;List!$B$20</f>
        <v xml:space="preserve"> Objednávka</v>
      </c>
      <c r="N11" s="119"/>
      <c r="O11" s="126"/>
      <c r="P11" s="126"/>
      <c r="Q11" s="126"/>
      <c r="R11" s="334"/>
      <c r="S11" s="335"/>
      <c r="T11" s="335"/>
    </row>
    <row r="12" spans="1:20" ht="15.5" x14ac:dyDescent="0.25">
      <c r="A12" s="119"/>
      <c r="B12" s="119"/>
      <c r="C12" s="119"/>
      <c r="D12" s="119"/>
      <c r="E12" s="119"/>
      <c r="F12" s="119"/>
      <c r="G12" s="478" t="str">
        <f>IF(OR(R3&gt;0, AND(SUM(R3:R10)&gt;0,Form!$N$2=3)),List!$B$185&amp;"!"," ")</f>
        <v xml:space="preserve"> </v>
      </c>
      <c r="H12" s="119"/>
      <c r="I12" s="291"/>
      <c r="J12" s="291"/>
      <c r="K12" s="291"/>
      <c r="L12" s="119"/>
      <c r="M12" s="119"/>
      <c r="N12" s="119"/>
      <c r="O12" s="122"/>
      <c r="P12" s="122"/>
      <c r="Q12" s="122"/>
      <c r="R12" s="123"/>
      <c r="S12" s="118"/>
      <c r="T12" s="118"/>
    </row>
    <row r="13" spans="1:20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119"/>
      <c r="M13" s="119"/>
      <c r="N13" s="119"/>
      <c r="O13" s="126"/>
      <c r="P13" s="126"/>
      <c r="Q13" s="126"/>
      <c r="R13" s="334"/>
      <c r="S13" s="335"/>
      <c r="T13" s="335"/>
    </row>
    <row r="14" spans="1:20" ht="15.5" x14ac:dyDescent="0.25">
      <c r="A14" s="119"/>
      <c r="B14" s="312" t="str">
        <f>" "&amp;List!$B$209</f>
        <v xml:space="preserve"> Souprava na lahve</v>
      </c>
      <c r="C14" s="7"/>
      <c r="D14" s="7"/>
      <c r="E14" s="7"/>
      <c r="F14" s="7"/>
      <c r="G14" s="7"/>
      <c r="H14" s="290"/>
      <c r="I14" s="290"/>
      <c r="J14" s="290"/>
      <c r="K14" s="290"/>
      <c r="L14" s="119"/>
      <c r="M14" s="119"/>
      <c r="N14" s="119"/>
      <c r="O14" s="127"/>
      <c r="P14" s="127"/>
      <c r="Q14" s="127"/>
      <c r="R14" s="262"/>
      <c r="S14" s="263"/>
      <c r="T14" s="263"/>
    </row>
    <row r="15" spans="1:20" ht="14.5" thickBot="1" x14ac:dyDescent="0.35">
      <c r="A15" s="119"/>
      <c r="B15" s="298"/>
      <c r="C15" s="435" t="str">
        <f>"[1]   "&amp;List!$B$210&amp;" 100 mm"</f>
        <v>[1]   Pro rámeček šířky 100 mm</v>
      </c>
      <c r="D15" s="355"/>
      <c r="E15" s="355"/>
      <c r="F15" s="355"/>
      <c r="G15" s="355"/>
      <c r="H15" s="458"/>
      <c r="I15" s="119"/>
      <c r="J15" s="119"/>
      <c r="K15" s="119"/>
      <c r="L15" s="119"/>
      <c r="M15" s="119"/>
      <c r="N15" s="119"/>
      <c r="O15" s="127"/>
      <c r="P15" s="127"/>
      <c r="Q15" s="127"/>
      <c r="R15" s="262"/>
      <c r="S15" s="263"/>
      <c r="T15" s="263"/>
    </row>
    <row r="16" spans="1:20" ht="14" x14ac:dyDescent="0.3">
      <c r="A16" s="119"/>
      <c r="B16" s="433"/>
      <c r="C16" s="434" t="str">
        <f>"[2]   "&amp;List!$B$210&amp;" 200 mm"</f>
        <v>[2]   Pro rámeček šířky 200 mm</v>
      </c>
      <c r="D16" s="432"/>
      <c r="E16" s="432"/>
      <c r="F16" s="432"/>
      <c r="G16" s="432"/>
      <c r="H16" s="488"/>
      <c r="I16" s="119"/>
      <c r="J16" s="119"/>
      <c r="K16" s="119"/>
      <c r="L16" s="119"/>
      <c r="M16" s="119"/>
      <c r="N16" s="119"/>
      <c r="O16" s="127"/>
      <c r="P16" s="127"/>
      <c r="Q16" s="127"/>
      <c r="R16" s="262"/>
      <c r="S16" s="263"/>
      <c r="T16" s="263"/>
    </row>
    <row r="17" spans="1:20" x14ac:dyDescent="0.25">
      <c r="A17" s="119"/>
      <c r="C17" s="119"/>
      <c r="D17" s="119"/>
      <c r="E17" s="119"/>
      <c r="F17" s="119"/>
      <c r="G17" s="119"/>
      <c r="H17" s="290"/>
      <c r="I17" s="290"/>
      <c r="J17" s="290"/>
      <c r="K17" s="290"/>
      <c r="L17" s="119"/>
      <c r="M17" s="119"/>
      <c r="N17" s="119"/>
      <c r="O17" s="122"/>
      <c r="P17" s="122"/>
      <c r="Q17" s="122"/>
      <c r="R17" s="123"/>
      <c r="S17" s="118"/>
      <c r="T17" s="118"/>
    </row>
    <row r="18" spans="1:20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119"/>
      <c r="M18" s="119"/>
      <c r="N18" s="119"/>
      <c r="O18" s="122"/>
      <c r="P18" s="122"/>
      <c r="Q18" s="122"/>
      <c r="R18" s="123"/>
      <c r="S18" s="118"/>
      <c r="T18" s="118"/>
    </row>
    <row r="19" spans="1:20" ht="15.5" x14ac:dyDescent="0.25">
      <c r="A19" s="119"/>
      <c r="B19" s="346"/>
      <c r="C19" s="291"/>
      <c r="D19" s="291"/>
      <c r="E19" s="291"/>
      <c r="F19" s="291"/>
      <c r="G19" s="291"/>
      <c r="H19" s="290"/>
      <c r="I19" s="290"/>
      <c r="J19" s="290"/>
      <c r="K19" s="290"/>
      <c r="L19" s="119"/>
      <c r="M19" s="119"/>
      <c r="N19" s="119"/>
      <c r="O19" s="122"/>
      <c r="P19" s="122"/>
      <c r="Q19" s="122"/>
      <c r="R19" s="123"/>
      <c r="S19" s="118"/>
      <c r="T19" s="118"/>
    </row>
    <row r="20" spans="1:20" ht="14" x14ac:dyDescent="0.3">
      <c r="A20" s="119"/>
      <c r="B20" s="348"/>
      <c r="C20" s="350"/>
      <c r="D20" s="392"/>
      <c r="E20" s="392"/>
      <c r="F20" s="392"/>
      <c r="G20" s="392"/>
      <c r="H20" s="295"/>
      <c r="I20" s="119"/>
      <c r="J20" s="119"/>
      <c r="K20" s="119"/>
      <c r="L20" s="119"/>
      <c r="M20" s="119"/>
      <c r="N20" s="119"/>
      <c r="O20" s="122"/>
      <c r="P20" s="122"/>
      <c r="Q20" s="122"/>
      <c r="R20" s="123"/>
      <c r="S20" s="118"/>
      <c r="T20" s="118"/>
    </row>
    <row r="21" spans="1:20" ht="14" x14ac:dyDescent="0.3">
      <c r="A21" s="119"/>
      <c r="B21" s="2" t="str">
        <f>"      "&amp;List!$C$225&amp;"!"</f>
        <v xml:space="preserve">      Není vhodná pro vnitřní výsuv!</v>
      </c>
      <c r="C21" s="350"/>
      <c r="D21" s="392"/>
      <c r="E21" s="392"/>
      <c r="F21" s="392"/>
      <c r="G21" s="392"/>
      <c r="H21" s="295"/>
      <c r="I21" s="119"/>
      <c r="J21" s="119"/>
      <c r="K21" s="119"/>
      <c r="L21" s="119"/>
      <c r="M21" s="119"/>
      <c r="N21" s="119"/>
      <c r="O21" s="126"/>
      <c r="P21" s="126"/>
      <c r="Q21" s="126"/>
      <c r="R21" s="334"/>
      <c r="S21" s="126"/>
      <c r="T21" s="335"/>
    </row>
    <row r="22" spans="1:20" ht="14" x14ac:dyDescent="0.3">
      <c r="A22" s="119"/>
      <c r="B22" s="348"/>
      <c r="C22" s="350"/>
      <c r="D22" s="392"/>
      <c r="E22" s="392"/>
      <c r="F22" s="392"/>
      <c r="G22" s="392"/>
      <c r="H22" s="295"/>
      <c r="I22" s="288"/>
      <c r="J22" s="288"/>
      <c r="K22" s="288"/>
      <c r="L22" s="119"/>
      <c r="N22" s="119"/>
      <c r="O22" s="209"/>
      <c r="P22" s="209"/>
      <c r="Q22" s="209"/>
      <c r="R22" s="260"/>
      <c r="S22" s="261"/>
      <c r="T22" s="261"/>
    </row>
    <row r="23" spans="1:20" ht="13" x14ac:dyDescent="0.3">
      <c r="A23" s="119"/>
      <c r="B23" s="294"/>
      <c r="C23" s="294"/>
      <c r="D23" s="179"/>
      <c r="E23" s="179"/>
      <c r="F23" s="179"/>
      <c r="G23" s="179"/>
      <c r="H23" s="179"/>
      <c r="I23" s="144"/>
      <c r="J23" s="119"/>
      <c r="K23" s="119"/>
      <c r="L23" s="119"/>
      <c r="M23" s="119"/>
      <c r="N23" s="119"/>
      <c r="O23" s="209"/>
      <c r="P23" s="209"/>
      <c r="Q23" s="209"/>
      <c r="R23" s="260"/>
      <c r="S23" s="261"/>
      <c r="T23" s="261"/>
    </row>
    <row r="24" spans="1:20" ht="13" x14ac:dyDescent="0.3">
      <c r="A24" s="119"/>
      <c r="B24" s="445"/>
      <c r="C24" s="287"/>
      <c r="H24" s="289"/>
      <c r="I24" s="289"/>
      <c r="J24" s="289"/>
      <c r="K24" s="289"/>
      <c r="L24" s="119"/>
      <c r="M24" s="119"/>
      <c r="N24" s="119"/>
      <c r="O24" s="209"/>
      <c r="P24" s="209"/>
      <c r="Q24" s="209"/>
      <c r="R24" s="260"/>
      <c r="S24" s="261"/>
      <c r="T24" s="261"/>
    </row>
    <row r="25" spans="1:20" ht="13" x14ac:dyDescent="0.3">
      <c r="A25" s="119"/>
      <c r="B25" s="287"/>
      <c r="C25" s="287"/>
      <c r="H25" s="290"/>
      <c r="I25" s="290"/>
      <c r="J25" s="290"/>
      <c r="K25" s="290"/>
      <c r="L25" s="119"/>
      <c r="M25" s="119"/>
      <c r="N25" s="119"/>
      <c r="O25" s="209"/>
      <c r="P25" s="209"/>
      <c r="Q25" s="209"/>
      <c r="R25" s="260"/>
      <c r="S25" s="261"/>
      <c r="T25" s="261"/>
    </row>
    <row r="26" spans="1:20" ht="13" x14ac:dyDescent="0.3">
      <c r="A26" s="119"/>
      <c r="B26" s="489"/>
      <c r="C26" s="287"/>
      <c r="H26" s="288"/>
      <c r="I26" s="288"/>
      <c r="J26" s="288"/>
      <c r="K26" s="288"/>
      <c r="L26" s="119"/>
      <c r="M26" s="119"/>
      <c r="N26" s="119"/>
      <c r="O26" s="364"/>
      <c r="P26" s="364"/>
      <c r="Q26" s="364"/>
      <c r="R26" s="365"/>
      <c r="S26" s="366"/>
      <c r="T26" s="366"/>
    </row>
    <row r="27" spans="1:20" ht="14" x14ac:dyDescent="0.3">
      <c r="A27" s="119"/>
      <c r="C27" s="291"/>
      <c r="D27" s="347"/>
      <c r="E27" s="348"/>
      <c r="F27" s="349"/>
      <c r="G27" s="348"/>
      <c r="H27" s="348"/>
      <c r="I27" s="291"/>
      <c r="J27" s="291"/>
      <c r="K27" s="291"/>
      <c r="L27" s="119"/>
      <c r="M27" s="119"/>
      <c r="N27" s="119"/>
      <c r="O27" s="364"/>
      <c r="P27" s="364"/>
      <c r="Q27" s="364"/>
      <c r="R27" s="365"/>
      <c r="S27" s="366"/>
      <c r="T27" s="366"/>
    </row>
    <row r="28" spans="1:20" ht="14" x14ac:dyDescent="0.3">
      <c r="A28" s="119"/>
      <c r="B28" s="350"/>
      <c r="C28" s="291"/>
      <c r="D28" s="351"/>
      <c r="E28" s="295"/>
      <c r="F28" s="295"/>
      <c r="G28" s="295"/>
      <c r="H28" s="295"/>
      <c r="I28" s="289"/>
      <c r="J28" s="289"/>
      <c r="K28" s="289"/>
      <c r="L28" s="119"/>
      <c r="M28" s="119"/>
      <c r="N28" s="119"/>
      <c r="O28" s="364"/>
      <c r="P28" s="364"/>
      <c r="Q28" s="364"/>
      <c r="R28" s="365"/>
      <c r="S28" s="366"/>
      <c r="T28" s="366"/>
    </row>
    <row r="29" spans="1:20" ht="14" x14ac:dyDescent="0.3">
      <c r="A29" s="119"/>
      <c r="B29" s="350"/>
      <c r="C29" s="291"/>
      <c r="D29" s="351"/>
      <c r="E29" s="295"/>
      <c r="F29" s="295"/>
      <c r="G29" s="295"/>
      <c r="H29" s="295"/>
      <c r="I29" s="289"/>
      <c r="J29" s="289"/>
      <c r="K29" s="289"/>
      <c r="L29" s="119"/>
      <c r="M29" s="119"/>
      <c r="N29" s="119"/>
      <c r="O29" s="364"/>
      <c r="P29" s="364"/>
      <c r="Q29" s="364"/>
      <c r="R29" s="365"/>
      <c r="S29" s="366"/>
      <c r="T29" s="366"/>
    </row>
    <row r="30" spans="1:20" ht="14" x14ac:dyDescent="0.3">
      <c r="A30" s="119"/>
      <c r="B30" s="315"/>
      <c r="C30" s="316"/>
      <c r="D30" s="295"/>
      <c r="E30" s="295"/>
      <c r="F30" s="295"/>
      <c r="G30" s="295"/>
      <c r="I30" s="290"/>
      <c r="J30" s="290"/>
      <c r="K30" s="290"/>
      <c r="L30" s="119"/>
      <c r="M30" s="119"/>
      <c r="N30" s="119"/>
      <c r="O30" s="364"/>
      <c r="P30" s="364"/>
      <c r="Q30" s="364"/>
      <c r="R30" s="365"/>
      <c r="S30" s="366"/>
      <c r="T30" s="366"/>
    </row>
    <row r="31" spans="1:20" ht="13" x14ac:dyDescent="0.3">
      <c r="A31" s="119"/>
      <c r="B31" s="287"/>
      <c r="C31" s="287"/>
      <c r="H31" s="288"/>
      <c r="I31" s="288"/>
      <c r="J31" s="288"/>
      <c r="K31" s="288"/>
      <c r="L31" s="119"/>
      <c r="M31" s="119"/>
      <c r="N31" s="119"/>
      <c r="O31" s="364"/>
      <c r="P31" s="364"/>
      <c r="Q31" s="364"/>
      <c r="R31" s="365"/>
      <c r="S31" s="366"/>
      <c r="T31" s="366"/>
    </row>
    <row r="32" spans="1:20" ht="13" x14ac:dyDescent="0.3">
      <c r="A32" s="119"/>
      <c r="B32" s="287"/>
      <c r="C32" s="287"/>
      <c r="H32" s="291"/>
      <c r="I32" s="291"/>
      <c r="J32" s="291"/>
      <c r="K32" s="291"/>
      <c r="L32" s="119"/>
      <c r="M32" s="119"/>
      <c r="N32" s="119"/>
      <c r="O32" s="364"/>
      <c r="P32" s="364"/>
      <c r="Q32" s="364"/>
      <c r="R32" s="365"/>
      <c r="S32" s="366"/>
      <c r="T32" s="366"/>
    </row>
    <row r="33" spans="1:20" x14ac:dyDescent="0.25">
      <c r="A33" s="119"/>
      <c r="L33" s="119"/>
      <c r="O33" s="364"/>
      <c r="P33" s="364"/>
      <c r="Q33" s="364"/>
      <c r="R33" s="365"/>
      <c r="S33" s="366"/>
      <c r="T33" s="366"/>
    </row>
    <row r="34" spans="1:20" x14ac:dyDescent="0.25">
      <c r="O34" s="364"/>
      <c r="P34" s="364"/>
      <c r="Q34" s="364"/>
      <c r="R34" s="365"/>
      <c r="S34" s="366"/>
      <c r="T34" s="366"/>
    </row>
    <row r="35" spans="1:20" x14ac:dyDescent="0.25">
      <c r="O35" s="364"/>
      <c r="P35" s="364"/>
      <c r="Q35" s="364"/>
      <c r="R35" s="365"/>
      <c r="S35" s="366"/>
      <c r="T35" s="366"/>
    </row>
    <row r="36" spans="1:20" x14ac:dyDescent="0.25">
      <c r="O36" s="367"/>
      <c r="P36" s="367"/>
      <c r="Q36" s="367"/>
      <c r="R36" s="368"/>
      <c r="S36" s="369"/>
      <c r="T36" s="366"/>
    </row>
    <row r="37" spans="1:20" x14ac:dyDescent="0.25">
      <c r="O37" s="367"/>
      <c r="P37" s="367"/>
      <c r="Q37" s="367"/>
      <c r="R37" s="368"/>
      <c r="S37" s="369"/>
      <c r="T37" s="369"/>
    </row>
    <row r="38" spans="1:20" x14ac:dyDescent="0.25">
      <c r="O38" s="144"/>
      <c r="P38" s="144"/>
      <c r="Q38" s="144"/>
      <c r="R38" s="150"/>
      <c r="S38" s="154"/>
      <c r="T38" s="154"/>
    </row>
    <row r="39" spans="1:20" x14ac:dyDescent="0.25">
      <c r="O39" s="122"/>
      <c r="P39" s="122"/>
      <c r="Q39" s="122"/>
      <c r="R39" s="123"/>
      <c r="S39" s="118"/>
      <c r="T39" s="118"/>
    </row>
    <row r="40" spans="1:20" x14ac:dyDescent="0.25">
      <c r="O40" s="122"/>
      <c r="P40" s="122"/>
      <c r="Q40" s="122"/>
      <c r="R40" s="123"/>
      <c r="S40" s="118"/>
      <c r="T40" s="118"/>
    </row>
    <row r="41" spans="1:20" x14ac:dyDescent="0.25">
      <c r="O41" s="119"/>
      <c r="P41" s="119"/>
    </row>
    <row r="42" spans="1:20" x14ac:dyDescent="0.25">
      <c r="O42" s="119"/>
      <c r="P42" s="119"/>
      <c r="R42" s="73" t="str">
        <f>List!$B$94</f>
        <v>cena kování</v>
      </c>
      <c r="T42" s="353">
        <f>SUM(T3:T41)</f>
        <v>0</v>
      </c>
    </row>
    <row r="43" spans="1:20" x14ac:dyDescent="0.25">
      <c r="O43" s="119"/>
      <c r="P43" s="119"/>
    </row>
    <row r="44" spans="1:20" x14ac:dyDescent="0.25">
      <c r="O44" s="119"/>
      <c r="P44" s="119"/>
    </row>
    <row r="45" spans="1:20" x14ac:dyDescent="0.25">
      <c r="O45" s="119"/>
      <c r="P45" s="119"/>
    </row>
    <row r="46" spans="1:20" x14ac:dyDescent="0.25">
      <c r="O46" s="119"/>
      <c r="P46" s="119"/>
    </row>
    <row r="47" spans="1:20" x14ac:dyDescent="0.25">
      <c r="O47" s="119"/>
      <c r="P47" s="119"/>
    </row>
    <row r="48" spans="1:20" x14ac:dyDescent="0.25">
      <c r="O48" s="119"/>
      <c r="P48" s="119"/>
    </row>
    <row r="49" spans="15:16" x14ac:dyDescent="0.25">
      <c r="O49" s="119"/>
      <c r="P49" s="119"/>
    </row>
    <row r="50" spans="15:16" x14ac:dyDescent="0.25">
      <c r="O50" s="119"/>
      <c r="P50" s="119"/>
    </row>
  </sheetData>
  <sheetProtection algorithmName="SHA-512" hashValue="W/Mrj00my+23/xLLv1tjruijpojrJ6WLrXHjSHiy4J+LhONSgKA5EUDZNVyr8mZFpiXJor4F5OsC00iqbmPi6Q==" saltValue="bt/aEvw6kCCMRlCRAgig1w==" spinCount="100000" sheet="1" objects="1" scenarios="1"/>
  <hyperlinks>
    <hyperlink ref="M3" location="Form!A1" tooltip=" " display="Form!A1"/>
    <hyperlink ref="M4" location="Menu!A1" tooltip=" " display="Menu!A1"/>
    <hyperlink ref="M5" location="Acs!A1" tooltip=" " display="Acs!A1"/>
    <hyperlink ref="M6" location="SD!A1" tooltip=" " display="SD!A1"/>
    <hyperlink ref="M10" location="Sum!A1" tooltip=" " display="Sum!A1"/>
    <hyperlink ref="M11" location="Ord!A1" tooltip=" " display="Ord!A1"/>
    <hyperlink ref="M7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indexed="53"/>
  </sheetPr>
  <dimension ref="A1:U51"/>
  <sheetViews>
    <sheetView showGridLines="0" showRowColHeaders="0" workbookViewId="0">
      <selection activeCell="I16" sqref="I16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K2" s="10" t="str">
        <f>"AMBIA-LINE"&amp;" - "&amp;List!$B$117</f>
        <v>AMBIA-LINE - Design dřevo</v>
      </c>
      <c r="L2" s="1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89"/>
      <c r="I3" s="189" t="str">
        <f>List!$B$143&amp;":"</f>
        <v>Základní prvek:</v>
      </c>
      <c r="J3" s="190"/>
      <c r="K3" s="189" t="str">
        <f>List!$B$49&amp;" M"</f>
        <v>Zásuvka M</v>
      </c>
      <c r="L3" s="665"/>
      <c r="M3" s="119"/>
      <c r="N3" s="151" t="str">
        <f>" "&amp;List!$B$13</f>
        <v xml:space="preserve"> Úvod</v>
      </c>
      <c r="O3" s="119"/>
      <c r="P3" s="436" t="str">
        <f>Cen!A450</f>
        <v>Příborník, 450mm, Nebraska dub/OG-M</v>
      </c>
      <c r="Q3" s="436" t="str">
        <f>Cen!B450</f>
        <v>ZC7S450BH3</v>
      </c>
      <c r="R3" s="436" t="str">
        <f>Cen!C450</f>
        <v>E02G</v>
      </c>
      <c r="S3" s="437">
        <f>H16</f>
        <v>0</v>
      </c>
      <c r="T3" s="438">
        <f>Cen!F450</f>
        <v>51.395919999999997</v>
      </c>
      <c r="U3" s="438">
        <f>S3*T3</f>
        <v>0</v>
      </c>
    </row>
    <row r="4" spans="1:21" ht="13" thickBot="1" x14ac:dyDescent="0.3">
      <c r="A4" s="119"/>
      <c r="B4" s="119"/>
      <c r="C4" s="119"/>
      <c r="D4" s="119"/>
      <c r="E4" s="119"/>
      <c r="F4" s="119"/>
      <c r="G4" s="119"/>
      <c r="K4" s="73" t="str">
        <f>List!$B$50&amp;" M"</f>
        <v>Vnitřní zásuvka M</v>
      </c>
      <c r="L4" s="73"/>
      <c r="M4" s="119"/>
      <c r="N4" s="152" t="str">
        <f>" "&amp;List!$B$4</f>
        <v xml:space="preserve"> Výběr zásuvek a výsuvů</v>
      </c>
      <c r="O4" s="119"/>
      <c r="P4" s="436" t="str">
        <f>Cen!A453</f>
        <v>Příborník, 500mm, Nebraska dub/OG-M</v>
      </c>
      <c r="Q4" s="436" t="str">
        <f>Cen!B453</f>
        <v>ZC7S500BH3</v>
      </c>
      <c r="R4" s="436" t="str">
        <f>Cen!C453</f>
        <v>E02G</v>
      </c>
      <c r="S4" s="437">
        <f>I16</f>
        <v>0</v>
      </c>
      <c r="T4" s="438">
        <f>Cen!F453</f>
        <v>52.398319999999991</v>
      </c>
      <c r="U4" s="438">
        <f>S4*T4</f>
        <v>0</v>
      </c>
    </row>
    <row r="5" spans="1:21" ht="13" thickBot="1" x14ac:dyDescent="0.3">
      <c r="A5" s="119"/>
      <c r="B5" s="119"/>
      <c r="C5" s="119"/>
      <c r="D5" s="119"/>
      <c r="E5" s="119"/>
      <c r="F5" s="119"/>
      <c r="G5" s="119"/>
      <c r="H5" s="7"/>
      <c r="I5" s="7"/>
      <c r="J5" s="7"/>
      <c r="K5" s="116"/>
      <c r="L5" s="665"/>
      <c r="M5" s="119"/>
      <c r="N5" s="152" t="str">
        <f>" "&amp;List!$B$5</f>
        <v xml:space="preserve"> Výběr doplňků</v>
      </c>
      <c r="O5" s="119"/>
      <c r="P5" s="436" t="str">
        <f>Cen!A456</f>
        <v>Příborník, 550mm, Nebraska dub/OG-M</v>
      </c>
      <c r="Q5" s="436" t="str">
        <f>Cen!B456</f>
        <v>ZC7S550BH3</v>
      </c>
      <c r="R5" s="436" t="str">
        <f>Cen!C456</f>
        <v>E02G</v>
      </c>
      <c r="S5" s="437">
        <f>J16</f>
        <v>0</v>
      </c>
      <c r="T5" s="438">
        <f>Cen!F456</f>
        <v>53.833599999999997</v>
      </c>
      <c r="U5" s="438">
        <f>S5*T5</f>
        <v>0</v>
      </c>
    </row>
    <row r="6" spans="1:21" ht="13" thickBot="1" x14ac:dyDescent="0.3">
      <c r="A6" s="119"/>
      <c r="B6" s="119"/>
      <c r="C6" s="119"/>
      <c r="D6" s="119"/>
      <c r="E6" s="119"/>
      <c r="F6" s="119"/>
      <c r="G6" s="119"/>
      <c r="H6" s="121" t="str">
        <f>List!$B$27&amp;":"</f>
        <v>barva:</v>
      </c>
      <c r="I6" s="121"/>
      <c r="J6" s="121"/>
      <c r="K6" s="248" t="str">
        <f>Form!$Q$2</f>
        <v>Nebraska dub/OG-M</v>
      </c>
      <c r="L6" s="145"/>
      <c r="M6" s="119"/>
      <c r="N6" s="152" t="str">
        <f>" "&amp;List!$B$6</f>
        <v xml:space="preserve"> Výběr SERVO-DRIVE</v>
      </c>
      <c r="O6" s="119"/>
      <c r="P6" s="127" t="str">
        <f>Cen!A459</f>
        <v>Příborník, 600mm, Nebraska dub/OG-M</v>
      </c>
      <c r="Q6" s="127" t="str">
        <f>Cen!B459</f>
        <v>ZC7S600BH3</v>
      </c>
      <c r="R6" s="127" t="str">
        <f>Cen!C459</f>
        <v>E02G</v>
      </c>
      <c r="S6" s="262">
        <f>K16</f>
        <v>0</v>
      </c>
      <c r="T6" s="263">
        <f>Cen!F459</f>
        <v>58.002560000000003</v>
      </c>
      <c r="U6" s="263">
        <f>S6*T6</f>
        <v>0</v>
      </c>
    </row>
    <row r="7" spans="1:21" x14ac:dyDescent="0.25">
      <c r="A7" s="119"/>
      <c r="B7" s="119"/>
      <c r="C7" s="119"/>
      <c r="D7" s="119"/>
      <c r="E7" s="119"/>
      <c r="F7" s="119"/>
      <c r="G7" s="119"/>
      <c r="H7" s="122"/>
      <c r="I7" s="122"/>
      <c r="J7" s="121"/>
      <c r="K7" s="118"/>
      <c r="L7" s="154"/>
      <c r="M7" s="119"/>
      <c r="N7" s="247" t="str">
        <f>" "&amp;List!$B$7</f>
        <v xml:space="preserve"> Výběr AMBIA-LINE</v>
      </c>
      <c r="O7" s="119"/>
      <c r="P7" s="127" t="str">
        <f>Cen!A462</f>
        <v>Příborník, 650mm, Nebraska dub/OG-M</v>
      </c>
      <c r="Q7" s="127" t="str">
        <f>Cen!B462</f>
        <v>ZC7S650BH3</v>
      </c>
      <c r="R7" s="127" t="str">
        <f>Cen!C462</f>
        <v>E02G</v>
      </c>
      <c r="S7" s="262">
        <f>L16</f>
        <v>0</v>
      </c>
      <c r="T7" s="263">
        <f>Cen!F462</f>
        <v>59.437860000000001</v>
      </c>
      <c r="U7" s="263">
        <f>S7*T7</f>
        <v>0</v>
      </c>
    </row>
    <row r="8" spans="1:21" x14ac:dyDescent="0.25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U43</f>
        <v>0</v>
      </c>
      <c r="L8" s="154"/>
      <c r="M8" s="119"/>
      <c r="O8" s="119"/>
      <c r="P8" s="122"/>
      <c r="Q8" s="122"/>
      <c r="R8" s="122"/>
      <c r="S8" s="123"/>
      <c r="T8" s="118"/>
      <c r="U8" s="118"/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" t="str">
        <f>List!$B$12&amp;":"</f>
        <v>Pokračovat na:</v>
      </c>
      <c r="O9" s="119"/>
      <c r="P9" s="126" t="str">
        <f>Cen!A466</f>
        <v>Zás.rámečky úzké, 450mm, Nebraska dub/OG-M</v>
      </c>
      <c r="Q9" s="126" t="str">
        <f>Cen!B466</f>
        <v>ZC7S450RH1</v>
      </c>
      <c r="R9" s="126" t="str">
        <f>Cen!C466</f>
        <v>E02G</v>
      </c>
      <c r="S9" s="334">
        <f>H21</f>
        <v>0</v>
      </c>
      <c r="T9" s="335">
        <f>Cen!F466</f>
        <v>33.739910000000002</v>
      </c>
      <c r="U9" s="335">
        <f>S9*T9</f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Cen!A469</f>
        <v>Zás.rámečky úzké, 500mm, Nebraska dub/OG-M</v>
      </c>
      <c r="Q10" s="127" t="str">
        <f>Cen!B469</f>
        <v>ZC7S500RH1</v>
      </c>
      <c r="R10" s="127" t="str">
        <f>Cen!C469</f>
        <v>E02G</v>
      </c>
      <c r="S10" s="262">
        <f>I21</f>
        <v>0</v>
      </c>
      <c r="T10" s="263">
        <f>Cen!F469</f>
        <v>34.172809999999998</v>
      </c>
      <c r="U10" s="263">
        <f>S10*T10</f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Cen!A472</f>
        <v>Zás.rámečky úzké, 550mm, Nebraska dub/OG-M</v>
      </c>
      <c r="Q11" s="127" t="str">
        <f>Cen!B472</f>
        <v>ZC7S550RH1</v>
      </c>
      <c r="R11" s="127" t="str">
        <f>Cen!C472</f>
        <v>E02G</v>
      </c>
      <c r="S11" s="262">
        <f>J21</f>
        <v>0</v>
      </c>
      <c r="T11" s="263">
        <f>Cen!F472</f>
        <v>34.810630000000003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291"/>
      <c r="M12" s="119"/>
      <c r="N12" s="119"/>
      <c r="O12" s="119"/>
      <c r="P12" s="127" t="str">
        <f>Cen!A475</f>
        <v>Zás.rámečky úzké, 600mm, Nebraska dub/OG-M</v>
      </c>
      <c r="Q12" s="127" t="str">
        <f>Cen!B475</f>
        <v>ZC7S600RH1</v>
      </c>
      <c r="R12" s="127" t="str">
        <f>Cen!C475</f>
        <v>E02G</v>
      </c>
      <c r="S12" s="262">
        <f>K21</f>
        <v>0</v>
      </c>
      <c r="T12" s="263">
        <f>Cen!F475</f>
        <v>35.448619999999998</v>
      </c>
      <c r="U12" s="263">
        <f>S12*T12</f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293"/>
      <c r="M13" s="119"/>
      <c r="N13" s="119"/>
      <c r="O13" s="119"/>
      <c r="P13" s="127" t="str">
        <f>Cen!A478</f>
        <v>Zás.rámečky úzké, 650mm, Nebraska dub/OG-M</v>
      </c>
      <c r="Q13" s="127" t="str">
        <f>Cen!B478</f>
        <v>ZC7S650RH1</v>
      </c>
      <c r="R13" s="127" t="str">
        <f>Cen!C478</f>
        <v>E02G</v>
      </c>
      <c r="S13" s="262">
        <f>L21</f>
        <v>0</v>
      </c>
      <c r="T13" s="263">
        <f>Cen!F478</f>
        <v>36.086399999999998</v>
      </c>
      <c r="U13" s="263">
        <f>S13*T13</f>
        <v>0</v>
      </c>
    </row>
    <row r="14" spans="1:21" ht="15.5" x14ac:dyDescent="0.25">
      <c r="A14" s="119"/>
      <c r="B14" s="312" t="str">
        <f>"[1]  "&amp;List!$B$203</f>
        <v>[1]  Příborníky</v>
      </c>
      <c r="C14" s="7"/>
      <c r="H14" s="290"/>
      <c r="I14" s="290"/>
      <c r="J14" s="290"/>
      <c r="K14" s="290"/>
      <c r="L14" s="290"/>
      <c r="M14" s="119"/>
      <c r="N14" s="119"/>
      <c r="O14" s="119"/>
      <c r="P14" s="122"/>
      <c r="Q14" s="122"/>
      <c r="R14" s="122"/>
      <c r="S14" s="123"/>
      <c r="T14" s="118"/>
      <c r="U14" s="118"/>
    </row>
    <row r="15" spans="1:21" ht="14" x14ac:dyDescent="0.3">
      <c r="A15" s="119"/>
      <c r="B15" s="6"/>
      <c r="C15" s="320" t="str">
        <f>List!$B$115&amp;":"</f>
        <v>Jmenovitá délka:</v>
      </c>
      <c r="D15" s="308"/>
      <c r="E15" s="305"/>
      <c r="F15" s="305"/>
      <c r="G15" s="305"/>
      <c r="H15" s="305" t="s">
        <v>122</v>
      </c>
      <c r="I15" s="306" t="s">
        <v>617</v>
      </c>
      <c r="J15" s="305" t="s">
        <v>618</v>
      </c>
      <c r="K15" s="305" t="s">
        <v>123</v>
      </c>
      <c r="L15" s="307" t="s">
        <v>950</v>
      </c>
      <c r="M15" s="119"/>
      <c r="N15" s="119"/>
      <c r="O15" s="119"/>
      <c r="P15" s="126" t="str">
        <f>Cen!A485</f>
        <v>Zás.rámečky široké, 450mm, Nebraska dub/OG-M</v>
      </c>
      <c r="Q15" s="126" t="str">
        <f>Cen!B485</f>
        <v>ZC7S450RH2</v>
      </c>
      <c r="R15" s="126" t="str">
        <f>Cen!C485</f>
        <v>E02G</v>
      </c>
      <c r="S15" s="334">
        <f>H22</f>
        <v>0</v>
      </c>
      <c r="T15" s="335">
        <f>Cen!F485</f>
        <v>38.296219999999998</v>
      </c>
      <c r="U15" s="335">
        <f>S15*T15</f>
        <v>0</v>
      </c>
    </row>
    <row r="16" spans="1:21" ht="14.5" thickBot="1" x14ac:dyDescent="0.35">
      <c r="A16" s="119"/>
      <c r="B16" s="298"/>
      <c r="C16" s="435" t="str">
        <f>List!$B$74&amp;": 300mm"</f>
        <v>šířka: 300mm</v>
      </c>
      <c r="D16" s="355"/>
      <c r="E16" s="355"/>
      <c r="F16" s="355"/>
      <c r="G16" s="355"/>
      <c r="H16" s="299"/>
      <c r="I16" s="299"/>
      <c r="J16" s="299"/>
      <c r="K16" s="299"/>
      <c r="L16" s="300"/>
      <c r="M16" s="119"/>
      <c r="N16" s="119"/>
      <c r="O16" s="119"/>
      <c r="P16" s="127" t="str">
        <f>Cen!A488</f>
        <v>Zás.rámečky široké, 500mm, Nebraska dub/OG-M</v>
      </c>
      <c r="Q16" s="127" t="str">
        <f>Cen!B488</f>
        <v>ZC7S500RH2</v>
      </c>
      <c r="R16" s="127" t="str">
        <f>Cen!C488</f>
        <v>E02G</v>
      </c>
      <c r="S16" s="262">
        <f>I22</f>
        <v>0</v>
      </c>
      <c r="T16" s="263">
        <f>Cen!F488</f>
        <v>38.729140000000001</v>
      </c>
      <c r="U16" s="263">
        <f>S16*T16</f>
        <v>0</v>
      </c>
    </row>
    <row r="17" spans="1:21" x14ac:dyDescent="0.25">
      <c r="A17" s="119"/>
      <c r="C17" s="119"/>
      <c r="D17" s="119"/>
      <c r="E17" s="119"/>
      <c r="F17" s="119"/>
      <c r="G17" s="119"/>
      <c r="H17" s="290"/>
      <c r="I17" s="290"/>
      <c r="J17" s="290"/>
      <c r="K17" s="290"/>
      <c r="L17" s="290"/>
      <c r="M17" s="119"/>
      <c r="N17" s="119"/>
      <c r="O17" s="119"/>
      <c r="P17" s="446" t="str">
        <f>Cen!A491</f>
        <v>Zás.rámečky široké, 550mm, Nebraska dub/OG-M</v>
      </c>
      <c r="Q17" s="446" t="str">
        <f>Cen!B491</f>
        <v>ZC7S550RH2</v>
      </c>
      <c r="R17" s="446" t="str">
        <f>Cen!C491</f>
        <v>E02G</v>
      </c>
      <c r="S17" s="262">
        <f>J22</f>
        <v>0</v>
      </c>
      <c r="T17" s="263">
        <f>Cen!F491</f>
        <v>39.36694</v>
      </c>
      <c r="U17" s="263">
        <f>S17*T17</f>
        <v>0</v>
      </c>
    </row>
    <row r="18" spans="1:21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290"/>
      <c r="M18" s="119"/>
      <c r="N18" s="119"/>
      <c r="O18" s="119"/>
      <c r="P18" s="127" t="str">
        <f>Cen!A494</f>
        <v>Zás.rámečky široké, 600mm, Nebraska dub/OG-M</v>
      </c>
      <c r="Q18" s="127" t="str">
        <f>Cen!B494</f>
        <v>ZC7S600RH2</v>
      </c>
      <c r="R18" s="127" t="str">
        <f>Cen!C494</f>
        <v>E02G</v>
      </c>
      <c r="S18" s="262">
        <f>K22</f>
        <v>0</v>
      </c>
      <c r="T18" s="263">
        <f>Cen!F494</f>
        <v>40.004950000000001</v>
      </c>
      <c r="U18" s="263">
        <f>S18*T18</f>
        <v>0</v>
      </c>
    </row>
    <row r="19" spans="1:21" ht="15.5" x14ac:dyDescent="0.25">
      <c r="A19" s="119"/>
      <c r="B19" s="312" t="str">
        <f>"[2, 3]  "&amp;List!$B$204</f>
        <v>[2, 3]  Zásuvkové rámečky</v>
      </c>
      <c r="C19" s="7"/>
      <c r="H19" s="290"/>
      <c r="I19" s="290"/>
      <c r="J19" s="290"/>
      <c r="K19" s="290"/>
      <c r="L19" s="290"/>
      <c r="M19" s="119"/>
      <c r="N19" s="119"/>
      <c r="O19" s="119"/>
      <c r="P19" s="127" t="str">
        <f>Cen!A497</f>
        <v>Zás.rámečky široké, 650mm, Nebraska dub/OG-M</v>
      </c>
      <c r="Q19" s="127" t="str">
        <f>Cen!B497</f>
        <v>ZC7S650RH2</v>
      </c>
      <c r="R19" s="127" t="str">
        <f>Cen!C497</f>
        <v>E02G</v>
      </c>
      <c r="S19" s="262">
        <f>L22</f>
        <v>0</v>
      </c>
      <c r="T19" s="263">
        <f>Cen!F497</f>
        <v>40.64273</v>
      </c>
      <c r="U19" s="263">
        <f>S19*T19</f>
        <v>0</v>
      </c>
    </row>
    <row r="20" spans="1:21" ht="14" x14ac:dyDescent="0.3">
      <c r="A20" s="119"/>
      <c r="B20" s="6"/>
      <c r="C20" s="320" t="str">
        <f>List!$B$115&amp;":"</f>
        <v>Jmenovitá délka:</v>
      </c>
      <c r="D20" s="308"/>
      <c r="E20" s="305"/>
      <c r="F20" s="305"/>
      <c r="G20" s="305"/>
      <c r="H20" s="305" t="s">
        <v>122</v>
      </c>
      <c r="I20" s="306" t="s">
        <v>617</v>
      </c>
      <c r="J20" s="305" t="s">
        <v>618</v>
      </c>
      <c r="K20" s="305" t="s">
        <v>123</v>
      </c>
      <c r="L20" s="307" t="s">
        <v>950</v>
      </c>
      <c r="M20" s="119"/>
      <c r="N20" s="119"/>
      <c r="O20" s="119"/>
      <c r="P20" s="122"/>
      <c r="Q20" s="122"/>
      <c r="R20" s="122"/>
      <c r="S20" s="123"/>
      <c r="T20" s="447"/>
      <c r="U20" s="118"/>
    </row>
    <row r="21" spans="1:21" ht="14.5" thickBot="1" x14ac:dyDescent="0.35">
      <c r="A21" s="119"/>
      <c r="B21" s="298"/>
      <c r="C21" s="435" t="str">
        <f>List!$B$74&amp;": 100mm"</f>
        <v>šířka: 100mm</v>
      </c>
      <c r="D21" s="355"/>
      <c r="E21" s="355"/>
      <c r="F21" s="355"/>
      <c r="G21" s="355"/>
      <c r="H21" s="299"/>
      <c r="I21" s="299"/>
      <c r="J21" s="299"/>
      <c r="K21" s="299"/>
      <c r="L21" s="300"/>
      <c r="M21" s="119"/>
      <c r="N21" s="119"/>
      <c r="O21" s="119"/>
      <c r="P21" s="122" t="str">
        <f>Cen!A504</f>
        <v>Zásuvkové rámečky, od 270mm, Nebraska/OG-M</v>
      </c>
      <c r="Q21" s="122" t="str">
        <f>Cen!B504</f>
        <v>ZC7S300RHU</v>
      </c>
      <c r="R21" s="122" t="str">
        <f>Cen!C504</f>
        <v>E02G</v>
      </c>
      <c r="S21" s="123">
        <f>H26</f>
        <v>0</v>
      </c>
      <c r="T21" s="448">
        <f>Cen!F504</f>
        <v>43.285469999999997</v>
      </c>
      <c r="U21" s="118">
        <f>S21*T21</f>
        <v>0</v>
      </c>
    </row>
    <row r="22" spans="1:21" ht="14" x14ac:dyDescent="0.3">
      <c r="A22" s="119"/>
      <c r="B22" s="433"/>
      <c r="C22" s="434" t="str">
        <f>List!$B$74&amp;": 200mm"</f>
        <v>šířka: 200mm</v>
      </c>
      <c r="D22" s="432"/>
      <c r="E22" s="432"/>
      <c r="F22" s="432"/>
      <c r="G22" s="432"/>
      <c r="H22" s="303"/>
      <c r="I22" s="303"/>
      <c r="J22" s="303"/>
      <c r="K22" s="303"/>
      <c r="L22" s="304"/>
      <c r="M22" s="119"/>
      <c r="N22" s="119"/>
      <c r="O22" s="119"/>
      <c r="P22" s="122"/>
      <c r="Q22" s="122"/>
      <c r="R22" s="122"/>
      <c r="S22" s="123"/>
      <c r="T22" s="448"/>
      <c r="U22" s="118"/>
    </row>
    <row r="23" spans="1:21" ht="13" x14ac:dyDescent="0.3">
      <c r="A23" s="119"/>
      <c r="B23" s="287"/>
      <c r="C23" s="287"/>
      <c r="D23" s="51"/>
      <c r="E23" s="51"/>
      <c r="F23" s="51"/>
      <c r="G23" s="51"/>
      <c r="H23" s="290"/>
      <c r="I23" s="290"/>
      <c r="J23" s="290"/>
      <c r="K23" s="290"/>
      <c r="L23" s="290"/>
      <c r="M23" s="119"/>
      <c r="N23" s="119"/>
      <c r="O23" s="119"/>
      <c r="P23" s="122"/>
      <c r="Q23" s="122"/>
      <c r="R23" s="122"/>
      <c r="S23" s="123"/>
      <c r="T23" s="448"/>
      <c r="U23" s="118"/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126"/>
      <c r="Q24" s="126"/>
      <c r="R24" s="126"/>
      <c r="S24" s="334"/>
      <c r="T24" s="126"/>
      <c r="U24" s="335"/>
    </row>
    <row r="25" spans="1:21" ht="15.5" x14ac:dyDescent="0.25">
      <c r="A25" s="119"/>
      <c r="B25" s="312" t="str">
        <f>"[4]  "&amp;List!$B$205&amp;" 270mm"</f>
        <v>[4]  Zásuvkové rámečky pro jmenovitou délku od  270mm</v>
      </c>
      <c r="C25" s="7"/>
      <c r="D25" s="7"/>
      <c r="E25" s="7"/>
      <c r="F25" s="7"/>
      <c r="G25" s="7"/>
      <c r="H25" s="290"/>
      <c r="I25" s="290"/>
      <c r="J25" s="290"/>
      <c r="K25" s="290"/>
      <c r="L25" s="290"/>
      <c r="M25" s="119"/>
      <c r="N25" s="119"/>
      <c r="O25" s="119"/>
      <c r="P25" s="209"/>
      <c r="Q25" s="209"/>
      <c r="R25" s="209"/>
      <c r="S25" s="260"/>
      <c r="T25" s="261"/>
      <c r="U25" s="261"/>
    </row>
    <row r="26" spans="1:21" ht="14.5" thickBot="1" x14ac:dyDescent="0.35">
      <c r="A26" s="119"/>
      <c r="B26" s="298"/>
      <c r="C26" s="435" t="str">
        <f>List!$B$74&amp;": 242mm"</f>
        <v>šířka: 242mm</v>
      </c>
      <c r="D26" s="355"/>
      <c r="E26" s="355"/>
      <c r="F26" s="355"/>
      <c r="G26" s="355"/>
      <c r="H26" s="299"/>
      <c r="I26" s="119"/>
      <c r="J26" s="119"/>
      <c r="K26" s="119"/>
      <c r="L26" s="119"/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3" x14ac:dyDescent="0.3">
      <c r="A27" s="119"/>
      <c r="B27" s="287"/>
      <c r="C27" s="287"/>
      <c r="D27" s="119"/>
      <c r="E27" s="119"/>
      <c r="F27" s="119"/>
      <c r="G27" s="119"/>
      <c r="H27" s="288"/>
      <c r="I27" s="288"/>
      <c r="J27" s="288"/>
      <c r="K27" s="288"/>
      <c r="L27" s="288"/>
      <c r="M27" s="119"/>
      <c r="N27" s="119"/>
      <c r="O27" s="119"/>
      <c r="P27" s="209"/>
      <c r="Q27" s="209"/>
      <c r="R27" s="209"/>
      <c r="S27" s="260"/>
      <c r="T27" s="261"/>
      <c r="U27" s="261"/>
    </row>
    <row r="28" spans="1:21" ht="13" x14ac:dyDescent="0.3">
      <c r="A28" s="119"/>
      <c r="B28" s="287"/>
      <c r="C28" s="287"/>
      <c r="D28" s="119"/>
      <c r="E28" s="119"/>
      <c r="F28" s="119"/>
      <c r="G28" s="119"/>
      <c r="H28" s="144"/>
      <c r="I28" s="144"/>
      <c r="J28" s="119"/>
      <c r="K28" s="119"/>
      <c r="L28" s="119"/>
      <c r="M28" s="119"/>
      <c r="N28" s="119"/>
      <c r="O28" s="119"/>
      <c r="P28" s="209"/>
      <c r="Q28" s="209"/>
      <c r="R28" s="209"/>
      <c r="S28" s="260"/>
      <c r="T28" s="261"/>
      <c r="U28" s="261"/>
    </row>
    <row r="29" spans="1:21" ht="13" x14ac:dyDescent="0.3">
      <c r="A29" s="119"/>
      <c r="B29" s="287"/>
      <c r="C29" s="287"/>
      <c r="H29" s="290"/>
      <c r="I29" s="290"/>
      <c r="J29" s="290"/>
      <c r="K29" s="290"/>
      <c r="L29" s="290"/>
      <c r="M29" s="119"/>
      <c r="N29" s="119"/>
      <c r="O29" s="119"/>
      <c r="P29" s="364"/>
      <c r="Q29" s="364"/>
      <c r="R29" s="364"/>
      <c r="S29" s="365"/>
      <c r="T29" s="366"/>
      <c r="U29" s="366"/>
    </row>
    <row r="30" spans="1:21" ht="13" x14ac:dyDescent="0.3">
      <c r="A30" s="119"/>
      <c r="B30" s="457"/>
      <c r="C30" s="287"/>
      <c r="H30" s="288"/>
      <c r="I30" s="288"/>
      <c r="J30" s="288"/>
      <c r="K30" s="288"/>
      <c r="L30" s="288"/>
      <c r="M30" s="119"/>
      <c r="N30" s="119"/>
      <c r="O30" s="119"/>
      <c r="P30" s="364"/>
      <c r="Q30" s="364"/>
      <c r="R30" s="364"/>
      <c r="S30" s="365"/>
      <c r="T30" s="366"/>
      <c r="U30" s="366"/>
    </row>
    <row r="31" spans="1:21" ht="15.5" x14ac:dyDescent="0.3">
      <c r="A31" s="119"/>
      <c r="B31" s="346"/>
      <c r="C31" s="291"/>
      <c r="D31" s="347"/>
      <c r="E31" s="348"/>
      <c r="F31" s="349"/>
      <c r="G31" s="348"/>
      <c r="H31" s="348"/>
      <c r="I31" s="291"/>
      <c r="J31" s="291"/>
      <c r="K31" s="291"/>
      <c r="L31" s="291"/>
      <c r="M31" s="119"/>
      <c r="P31" s="364"/>
      <c r="Q31" s="364"/>
      <c r="R31" s="364"/>
      <c r="S31" s="365"/>
      <c r="T31" s="366"/>
      <c r="U31" s="366"/>
    </row>
    <row r="32" spans="1:21" ht="14" x14ac:dyDescent="0.3">
      <c r="B32" s="350"/>
      <c r="C32" s="291"/>
      <c r="D32" s="351"/>
      <c r="E32" s="295"/>
      <c r="F32" s="295"/>
      <c r="G32" s="295"/>
      <c r="H32" s="295"/>
      <c r="I32" s="289"/>
      <c r="J32" s="289"/>
      <c r="K32" s="289"/>
      <c r="L32" s="289"/>
      <c r="P32" s="364"/>
      <c r="Q32" s="364"/>
      <c r="R32" s="364"/>
      <c r="S32" s="365"/>
      <c r="T32" s="366"/>
      <c r="U32" s="366"/>
    </row>
    <row r="33" spans="2:21" ht="14" x14ac:dyDescent="0.3">
      <c r="B33" s="350"/>
      <c r="C33" s="291"/>
      <c r="D33" s="351"/>
      <c r="E33" s="295"/>
      <c r="F33" s="295"/>
      <c r="G33" s="295"/>
      <c r="H33" s="295"/>
      <c r="I33" s="289"/>
      <c r="J33" s="289"/>
      <c r="K33" s="289"/>
      <c r="L33" s="289"/>
      <c r="P33" s="364"/>
      <c r="Q33" s="364"/>
      <c r="R33" s="364"/>
      <c r="S33" s="365"/>
      <c r="T33" s="366"/>
      <c r="U33" s="366"/>
    </row>
    <row r="34" spans="2:21" ht="14" x14ac:dyDescent="0.3">
      <c r="B34" s="315"/>
      <c r="C34" s="316"/>
      <c r="D34" s="295"/>
      <c r="E34" s="295"/>
      <c r="F34" s="295"/>
      <c r="G34" s="295"/>
      <c r="I34" s="290"/>
      <c r="J34" s="290"/>
      <c r="K34" s="290"/>
      <c r="L34" s="290"/>
      <c r="P34" s="364"/>
      <c r="Q34" s="364"/>
      <c r="R34" s="364"/>
      <c r="S34" s="365"/>
      <c r="T34" s="366"/>
      <c r="U34" s="366"/>
    </row>
    <row r="35" spans="2:21" ht="13" x14ac:dyDescent="0.3">
      <c r="B35" s="287"/>
      <c r="C35" s="287"/>
      <c r="H35" s="288"/>
      <c r="I35" s="288"/>
      <c r="J35" s="288"/>
      <c r="K35" s="288"/>
      <c r="L35" s="288"/>
      <c r="P35" s="364"/>
      <c r="Q35" s="364"/>
      <c r="R35" s="364"/>
      <c r="S35" s="365"/>
      <c r="T35" s="366"/>
      <c r="U35" s="366"/>
    </row>
    <row r="36" spans="2:21" ht="13" x14ac:dyDescent="0.3">
      <c r="B36" s="287"/>
      <c r="C36" s="287"/>
      <c r="H36" s="291"/>
      <c r="I36" s="291"/>
      <c r="J36" s="291"/>
      <c r="K36" s="291"/>
      <c r="L36" s="291"/>
      <c r="P36" s="364"/>
      <c r="Q36" s="364"/>
      <c r="R36" s="364"/>
      <c r="S36" s="365"/>
      <c r="T36" s="366"/>
      <c r="U36" s="366"/>
    </row>
    <row r="37" spans="2:21" x14ac:dyDescent="0.25">
      <c r="P37" s="367"/>
      <c r="Q37" s="367"/>
      <c r="R37" s="367"/>
      <c r="S37" s="368"/>
      <c r="T37" s="369"/>
      <c r="U37" s="366"/>
    </row>
    <row r="38" spans="2:21" x14ac:dyDescent="0.25">
      <c r="P38" s="367"/>
      <c r="Q38" s="367"/>
      <c r="R38" s="367"/>
      <c r="S38" s="368"/>
      <c r="T38" s="369"/>
      <c r="U38" s="369"/>
    </row>
    <row r="39" spans="2:21" x14ac:dyDescent="0.25">
      <c r="P39" s="144"/>
      <c r="Q39" s="144"/>
      <c r="R39" s="144"/>
      <c r="S39" s="150"/>
      <c r="T39" s="154"/>
      <c r="U39" s="154"/>
    </row>
    <row r="40" spans="2:21" x14ac:dyDescent="0.25">
      <c r="P40" s="122"/>
      <c r="Q40" s="122"/>
      <c r="R40" s="122"/>
      <c r="S40" s="123"/>
      <c r="T40" s="118"/>
      <c r="U40" s="118"/>
    </row>
    <row r="41" spans="2:21" x14ac:dyDescent="0.25">
      <c r="P41" s="122"/>
      <c r="Q41" s="122"/>
      <c r="R41" s="122"/>
      <c r="S41" s="123"/>
      <c r="T41" s="118"/>
      <c r="U41" s="118"/>
    </row>
    <row r="42" spans="2:21" x14ac:dyDescent="0.25">
      <c r="P42" s="119"/>
      <c r="Q42" s="119"/>
    </row>
    <row r="43" spans="2:21" x14ac:dyDescent="0.25">
      <c r="P43" s="119"/>
      <c r="Q43" s="119"/>
      <c r="S43" s="73" t="str">
        <f>List!$B$94</f>
        <v>cena kování</v>
      </c>
      <c r="U43" s="353">
        <f>SUM(U3:U42)</f>
        <v>0</v>
      </c>
    </row>
    <row r="44" spans="2:21" x14ac:dyDescent="0.25">
      <c r="P44" s="119"/>
      <c r="Q44" s="119"/>
    </row>
    <row r="45" spans="2:21" x14ac:dyDescent="0.25">
      <c r="P45" s="119"/>
      <c r="Q45" s="119"/>
    </row>
    <row r="46" spans="2:21" x14ac:dyDescent="0.25">
      <c r="P46" s="119"/>
      <c r="Q46" s="119"/>
    </row>
    <row r="47" spans="2:21" x14ac:dyDescent="0.25">
      <c r="P47" s="119"/>
      <c r="Q47" s="119"/>
    </row>
    <row r="48" spans="2:21" x14ac:dyDescent="0.25">
      <c r="P48" s="119"/>
      <c r="Q48" s="119"/>
    </row>
    <row r="49" spans="16:17" x14ac:dyDescent="0.25">
      <c r="P49" s="119"/>
      <c r="Q49" s="119"/>
    </row>
    <row r="50" spans="16:17" x14ac:dyDescent="0.25">
      <c r="P50" s="119"/>
      <c r="Q50" s="119"/>
    </row>
    <row r="51" spans="16:17" x14ac:dyDescent="0.25">
      <c r="P51" s="119"/>
      <c r="Q51" s="119"/>
    </row>
  </sheetData>
  <sheetProtection algorithmName="SHA-512" hashValue="APekIit9/5izjzdgtAcH+TMTiq5Yre9IF38JAoaTJ+Rkp2KJC+RULBUn41imUWeQ9TPGIU4bOOSy148mEMx2lg==" saltValue="KVHP5HNcCZaBXPD0e4nv7g==" spinCount="100000" sheet="1" objects="1" scenarios="1"/>
  <phoneticPr fontId="51" type="noConversion"/>
  <hyperlinks>
    <hyperlink ref="N3" location="Form!A1" tooltip=" " display="Form!A1"/>
    <hyperlink ref="N4" location="Menu!A1" tooltip=" " display="Menu!A1"/>
    <hyperlink ref="N5" location="Acs!A1" tooltip=" " display="Acs!A1"/>
    <hyperlink ref="N6" location="SD!A1" tooltip=" " display="SD!A1"/>
    <hyperlink ref="N10" location="Sum!A1" tooltip=" " display="Sum!A1"/>
    <hyperlink ref="N11" location="Ord!A1" tooltip=" " display="Ord!A1"/>
    <hyperlink ref="N7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indexed="53"/>
  </sheetPr>
  <dimension ref="A1:T50"/>
  <sheetViews>
    <sheetView showGridLines="0" showRowColHeaders="0" workbookViewId="0">
      <selection activeCell="I16" sqref="I16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4" width="3.81640625" style="2" customWidth="1"/>
    <col min="15" max="15" width="38.453125" style="2" hidden="1" customWidth="1"/>
    <col min="16" max="16" width="11.1796875" style="2" hidden="1" customWidth="1"/>
    <col min="17" max="17" width="0" style="2" hidden="1" customWidth="1"/>
    <col min="18" max="18" width="7.7265625" style="2" hidden="1" customWidth="1"/>
    <col min="19" max="19" width="8.7265625" style="2" hidden="1" customWidth="1"/>
    <col min="20" max="20" width="10.81640625" style="2" hidden="1" customWidth="1"/>
    <col min="21" max="16384" width="9.1796875" style="2"/>
  </cols>
  <sheetData>
    <row r="1" spans="1:20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20" ht="22.5" x14ac:dyDescent="0.45">
      <c r="A2" s="119"/>
      <c r="B2" s="119"/>
      <c r="C2" s="119"/>
      <c r="D2" s="119"/>
      <c r="E2" s="119"/>
      <c r="F2" s="119"/>
      <c r="G2" s="119"/>
      <c r="K2" s="10" t="str">
        <f>"AMBIA-LINE"&amp;" - "&amp;List!$B$117</f>
        <v>AMBIA-LINE - Design dřevo</v>
      </c>
      <c r="L2" s="119"/>
      <c r="M2" s="2" t="str">
        <f>List!$B$11&amp;":"</f>
        <v>Zpět na:</v>
      </c>
      <c r="N2" s="119"/>
      <c r="O2" s="188" t="str">
        <f>List!$B$22&amp;":"</f>
        <v>Soupis kování:</v>
      </c>
      <c r="P2" s="121"/>
      <c r="Q2" s="121"/>
      <c r="R2" s="121"/>
      <c r="S2" s="121"/>
      <c r="T2" s="121"/>
    </row>
    <row r="3" spans="1:20" ht="13" thickBot="1" x14ac:dyDescent="0.3">
      <c r="A3" s="119"/>
      <c r="B3" s="119"/>
      <c r="C3" s="119"/>
      <c r="D3" s="119"/>
      <c r="E3" s="119"/>
      <c r="F3" s="119"/>
      <c r="G3" s="119"/>
      <c r="H3" s="189"/>
      <c r="I3" s="189" t="str">
        <f>List!$B$143&amp;":"</f>
        <v>Základní prvek:</v>
      </c>
      <c r="J3" s="190"/>
      <c r="K3" s="189" t="str">
        <f>List!$B$51&amp;" C,F"</f>
        <v>Čelní výsuv C,F</v>
      </c>
      <c r="L3" s="119"/>
      <c r="M3" s="151" t="str">
        <f>" "&amp;List!$B$13</f>
        <v xml:space="preserve"> Úvod</v>
      </c>
      <c r="N3" s="119"/>
      <c r="O3" s="436" t="str">
        <f>Cen!A513</f>
        <v>Rámečky pro výsuvy, od 270mm, Nebraska/OG-M</v>
      </c>
      <c r="P3" s="436" t="str">
        <f>Cen!B513</f>
        <v>ZC7F300RHU</v>
      </c>
      <c r="Q3" s="436" t="str">
        <f>Cen!C513</f>
        <v>E02G</v>
      </c>
      <c r="R3" s="437">
        <f>H15</f>
        <v>0</v>
      </c>
      <c r="S3" s="438">
        <f>Cen!F513</f>
        <v>45.56362</v>
      </c>
      <c r="T3" s="438">
        <f>R3*S3</f>
        <v>0</v>
      </c>
    </row>
    <row r="4" spans="1:20" ht="13" thickBot="1" x14ac:dyDescent="0.3">
      <c r="A4" s="119"/>
      <c r="B4" s="119"/>
      <c r="C4" s="119"/>
      <c r="D4" s="119"/>
      <c r="E4" s="119"/>
      <c r="F4" s="119"/>
      <c r="G4" s="119"/>
      <c r="K4" s="73" t="str">
        <f>List!$B$52&amp;" C"</f>
        <v>Vnitřní výsuv C</v>
      </c>
      <c r="L4" s="119"/>
      <c r="M4" s="152" t="str">
        <f>" "&amp;List!$B$4</f>
        <v xml:space="preserve"> Výběr zásuvek a výsuvů</v>
      </c>
      <c r="N4" s="119"/>
      <c r="O4" s="439"/>
      <c r="P4" s="439"/>
      <c r="Q4" s="439"/>
      <c r="R4" s="440"/>
      <c r="S4" s="441"/>
      <c r="T4" s="441"/>
    </row>
    <row r="5" spans="1:20" ht="13" thickBot="1" x14ac:dyDescent="0.3">
      <c r="A5" s="119"/>
      <c r="B5" s="119"/>
      <c r="C5" s="119"/>
      <c r="D5" s="119"/>
      <c r="E5" s="119"/>
      <c r="F5" s="119"/>
      <c r="G5" s="119"/>
      <c r="H5" s="7"/>
      <c r="I5" s="7"/>
      <c r="J5" s="7"/>
      <c r="K5" s="116"/>
      <c r="L5" s="119"/>
      <c r="M5" s="152" t="str">
        <f>" "&amp;List!$B$5</f>
        <v xml:space="preserve"> Výběr doplňků</v>
      </c>
      <c r="N5" s="119"/>
      <c r="O5" s="454"/>
      <c r="P5" s="454"/>
      <c r="Q5" s="454"/>
      <c r="R5" s="455"/>
      <c r="S5" s="456"/>
      <c r="T5" s="456"/>
    </row>
    <row r="6" spans="1:20" ht="13" thickBot="1" x14ac:dyDescent="0.3">
      <c r="A6" s="119"/>
      <c r="B6" s="119"/>
      <c r="C6" s="119"/>
      <c r="D6" s="119"/>
      <c r="E6" s="119"/>
      <c r="F6" s="119"/>
      <c r="G6" s="119"/>
      <c r="H6" s="121" t="str">
        <f>List!$B$27&amp;":"</f>
        <v>barva:</v>
      </c>
      <c r="I6" s="121"/>
      <c r="J6" s="121"/>
      <c r="K6" s="248" t="str">
        <f>Form!$Q$2</f>
        <v>Nebraska dub/OG-M</v>
      </c>
      <c r="L6" s="119"/>
      <c r="M6" s="152" t="str">
        <f>" "&amp;List!$B$6</f>
        <v xml:space="preserve"> Výběr SERVO-DRIVE</v>
      </c>
      <c r="N6" s="119"/>
      <c r="O6" s="439"/>
      <c r="P6" s="439"/>
      <c r="Q6" s="439"/>
      <c r="R6" s="440"/>
      <c r="S6" s="441"/>
      <c r="T6" s="441"/>
    </row>
    <row r="7" spans="1:20" x14ac:dyDescent="0.25">
      <c r="A7" s="119"/>
      <c r="B7" s="119"/>
      <c r="C7" s="119"/>
      <c r="D7" s="119"/>
      <c r="E7" s="119"/>
      <c r="F7" s="119"/>
      <c r="G7" s="119"/>
      <c r="H7" s="122"/>
      <c r="I7" s="122"/>
      <c r="J7" s="121"/>
      <c r="K7" s="118"/>
      <c r="L7" s="119"/>
      <c r="M7" s="247" t="str">
        <f>" "&amp;List!$B$7</f>
        <v xml:space="preserve"> Výběr AMBIA-LINE</v>
      </c>
      <c r="N7" s="119"/>
      <c r="O7" s="442"/>
      <c r="P7" s="442"/>
      <c r="Q7" s="442"/>
      <c r="R7" s="443"/>
      <c r="S7" s="444"/>
      <c r="T7" s="444"/>
    </row>
    <row r="8" spans="1:20" x14ac:dyDescent="0.25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T42</f>
        <v>0</v>
      </c>
      <c r="L8" s="119"/>
      <c r="N8" s="119"/>
      <c r="O8" s="126" t="str">
        <f>Cen!A520</f>
        <v>Rámečky pro výsuvy, od 400mm, Nebraska/OG-M</v>
      </c>
      <c r="P8" s="126" t="str">
        <f>Cen!B520</f>
        <v>ZC7F400RHP</v>
      </c>
      <c r="Q8" s="126" t="str">
        <f>Cen!C520</f>
        <v>E02G</v>
      </c>
      <c r="R8" s="334">
        <f>H20</f>
        <v>0</v>
      </c>
      <c r="S8" s="335">
        <f>Cen!F520</f>
        <v>45.56362</v>
      </c>
      <c r="T8" s="335">
        <f>R8*S8</f>
        <v>0</v>
      </c>
    </row>
    <row r="9" spans="1:20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2" t="str">
        <f>List!$B$12&amp;":"</f>
        <v>Pokračovat na:</v>
      </c>
      <c r="N9" s="119"/>
      <c r="O9" s="127"/>
      <c r="P9" s="127"/>
      <c r="Q9" s="127"/>
      <c r="R9" s="262"/>
      <c r="S9" s="263"/>
      <c r="T9" s="263"/>
    </row>
    <row r="10" spans="1:20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119"/>
      <c r="M10" s="152" t="str">
        <f>" "&amp;List!$B$18</f>
        <v xml:space="preserve"> Souhrn</v>
      </c>
      <c r="N10" s="119"/>
      <c r="O10" s="206"/>
      <c r="P10" s="206"/>
      <c r="Q10" s="206"/>
      <c r="R10" s="264"/>
      <c r="S10" s="265"/>
      <c r="T10" s="265"/>
    </row>
    <row r="11" spans="1:20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119"/>
      <c r="M11" s="152" t="str">
        <f>" "&amp;List!$B$20</f>
        <v xml:space="preserve"> Objednávka</v>
      </c>
      <c r="N11" s="119"/>
      <c r="O11" s="126"/>
      <c r="P11" s="126"/>
      <c r="Q11" s="126"/>
      <c r="R11" s="334"/>
      <c r="S11" s="335"/>
      <c r="T11" s="335"/>
    </row>
    <row r="12" spans="1:20" ht="15.5" x14ac:dyDescent="0.25">
      <c r="A12" s="119"/>
      <c r="B12" s="119"/>
      <c r="C12" s="119"/>
      <c r="D12" s="119"/>
      <c r="E12" s="119"/>
      <c r="F12" s="119"/>
      <c r="G12" s="478" t="str">
        <f>IF(SUM($R$3:$R$10)&gt;0,List!$B$185&amp;"!"," ")</f>
        <v xml:space="preserve"> </v>
      </c>
      <c r="H12" s="119"/>
      <c r="I12" s="291"/>
      <c r="J12" s="291"/>
      <c r="K12" s="291"/>
      <c r="L12" s="119"/>
      <c r="M12" s="119"/>
      <c r="N12" s="119"/>
      <c r="O12" s="122"/>
      <c r="P12" s="122"/>
      <c r="Q12" s="122"/>
      <c r="R12" s="123"/>
      <c r="S12" s="118"/>
      <c r="T12" s="118"/>
    </row>
    <row r="13" spans="1:20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119"/>
      <c r="M13" s="119"/>
      <c r="N13" s="119"/>
      <c r="O13" s="126"/>
      <c r="P13" s="126"/>
      <c r="Q13" s="126"/>
      <c r="R13" s="334"/>
      <c r="S13" s="335"/>
      <c r="T13" s="335"/>
    </row>
    <row r="14" spans="1:20" ht="15.5" x14ac:dyDescent="0.25">
      <c r="A14" s="119"/>
      <c r="B14" s="312" t="str">
        <f>"[1]   "&amp;List!$B$207&amp;" 27mm"</f>
        <v>[1]   Rámečky pro čelní výsuv pro jmenovitu délku od 27mm</v>
      </c>
      <c r="C14" s="7"/>
      <c r="D14" s="7"/>
      <c r="E14" s="7"/>
      <c r="F14" s="7"/>
      <c r="G14" s="7"/>
      <c r="H14" s="290"/>
      <c r="I14" s="290"/>
      <c r="J14" s="290"/>
      <c r="K14" s="290"/>
      <c r="L14" s="119"/>
      <c r="M14" s="119"/>
      <c r="N14" s="119"/>
      <c r="O14" s="127"/>
      <c r="P14" s="127"/>
      <c r="Q14" s="127"/>
      <c r="R14" s="262"/>
      <c r="S14" s="263"/>
      <c r="T14" s="263"/>
    </row>
    <row r="15" spans="1:20" ht="14.5" thickBot="1" x14ac:dyDescent="0.35">
      <c r="A15" s="119"/>
      <c r="B15" s="374"/>
      <c r="C15" s="452" t="str">
        <f>List!$B$74&amp;": 242mm"</f>
        <v>šířka: 242mm</v>
      </c>
      <c r="D15" s="453"/>
      <c r="E15" s="453"/>
      <c r="F15" s="453"/>
      <c r="G15" s="453"/>
      <c r="H15" s="458"/>
      <c r="I15" s="119"/>
      <c r="J15" s="119"/>
      <c r="K15" s="119"/>
      <c r="L15" s="119"/>
      <c r="M15" s="119"/>
      <c r="N15" s="119"/>
      <c r="O15" s="127"/>
      <c r="P15" s="127"/>
      <c r="Q15" s="127"/>
      <c r="R15" s="262"/>
      <c r="S15" s="263"/>
      <c r="T15" s="263"/>
    </row>
    <row r="16" spans="1:20" x14ac:dyDescent="0.25">
      <c r="A16" s="119"/>
      <c r="C16" s="119"/>
      <c r="D16" s="119"/>
      <c r="E16" s="119"/>
      <c r="F16" s="119"/>
      <c r="G16" s="119"/>
      <c r="H16" s="290"/>
      <c r="I16" s="119"/>
      <c r="J16" s="119"/>
      <c r="K16" s="119"/>
      <c r="L16" s="119"/>
      <c r="M16" s="119"/>
      <c r="N16" s="119"/>
      <c r="O16" s="127"/>
      <c r="P16" s="127"/>
      <c r="Q16" s="127"/>
      <c r="R16" s="262"/>
      <c r="S16" s="263"/>
      <c r="T16" s="263"/>
    </row>
    <row r="17" spans="1:20" x14ac:dyDescent="0.25">
      <c r="A17" s="119"/>
      <c r="C17" s="119"/>
      <c r="D17" s="119"/>
      <c r="E17" s="119"/>
      <c r="F17" s="119"/>
      <c r="G17" s="119"/>
      <c r="H17" s="290"/>
      <c r="I17" s="290"/>
      <c r="J17" s="290"/>
      <c r="K17" s="290"/>
      <c r="L17" s="119"/>
      <c r="M17" s="119"/>
      <c r="N17" s="119"/>
      <c r="O17" s="122"/>
      <c r="P17" s="122"/>
      <c r="Q17" s="122"/>
      <c r="R17" s="123"/>
      <c r="S17" s="118"/>
      <c r="T17" s="118"/>
    </row>
    <row r="18" spans="1:20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119"/>
      <c r="M18" s="119"/>
      <c r="N18" s="119"/>
      <c r="O18" s="122"/>
      <c r="P18" s="122"/>
      <c r="Q18" s="122"/>
      <c r="R18" s="123"/>
      <c r="S18" s="118"/>
      <c r="T18" s="118"/>
    </row>
    <row r="19" spans="1:20" ht="15.5" x14ac:dyDescent="0.25">
      <c r="A19" s="119"/>
      <c r="B19" s="312" t="str">
        <f>"[2]   "&amp;List!$B$207&amp;" 400mm"</f>
        <v>[2]   Rámečky pro čelní výsuv pro jmenovitu délku od 400mm</v>
      </c>
      <c r="C19" s="7"/>
      <c r="D19" s="7"/>
      <c r="E19" s="7"/>
      <c r="F19" s="7"/>
      <c r="G19" s="7"/>
      <c r="H19" s="290"/>
      <c r="I19" s="290"/>
      <c r="J19" s="290"/>
      <c r="K19" s="290"/>
      <c r="L19" s="119"/>
      <c r="M19" s="119"/>
      <c r="N19" s="119"/>
      <c r="O19" s="122"/>
      <c r="P19" s="122"/>
      <c r="Q19" s="122"/>
      <c r="R19" s="123"/>
      <c r="S19" s="118"/>
      <c r="T19" s="118"/>
    </row>
    <row r="20" spans="1:20" ht="14.5" thickBot="1" x14ac:dyDescent="0.35">
      <c r="A20" s="119"/>
      <c r="B20" s="374"/>
      <c r="C20" s="452" t="str">
        <f>List!$B$74&amp;": 218mm"</f>
        <v>šířka: 218mm</v>
      </c>
      <c r="D20" s="453"/>
      <c r="E20" s="453"/>
      <c r="F20" s="453"/>
      <c r="G20" s="453"/>
      <c r="H20" s="458"/>
      <c r="I20" s="119"/>
      <c r="J20" s="119"/>
      <c r="K20" s="119"/>
      <c r="L20" s="119"/>
      <c r="M20" s="119"/>
      <c r="N20" s="119"/>
      <c r="O20" s="122"/>
      <c r="P20" s="122"/>
      <c r="Q20" s="122"/>
      <c r="R20" s="123"/>
      <c r="S20" s="118"/>
      <c r="T20" s="118"/>
    </row>
    <row r="21" spans="1:20" ht="13" x14ac:dyDescent="0.3">
      <c r="A21" s="119"/>
      <c r="B21" s="287"/>
      <c r="C21" s="287"/>
      <c r="D21" s="119"/>
      <c r="E21" s="119"/>
      <c r="F21" s="119"/>
      <c r="G21" s="119"/>
      <c r="H21" s="144"/>
      <c r="I21" s="119"/>
      <c r="J21" s="119"/>
      <c r="K21" s="119"/>
      <c r="L21" s="119"/>
      <c r="M21" s="119"/>
      <c r="N21" s="119"/>
      <c r="O21" s="126"/>
      <c r="P21" s="126"/>
      <c r="Q21" s="126"/>
      <c r="R21" s="334"/>
      <c r="S21" s="126"/>
      <c r="T21" s="335"/>
    </row>
    <row r="22" spans="1:20" ht="13" x14ac:dyDescent="0.3">
      <c r="A22" s="119"/>
      <c r="B22" s="287"/>
      <c r="C22" s="287"/>
      <c r="D22" s="119"/>
      <c r="E22" s="119"/>
      <c r="F22" s="119"/>
      <c r="G22" s="119"/>
      <c r="H22" s="144"/>
      <c r="I22" s="288"/>
      <c r="J22" s="288"/>
      <c r="K22" s="288"/>
      <c r="L22" s="119"/>
      <c r="M22" s="119"/>
      <c r="N22" s="119"/>
      <c r="O22" s="209"/>
      <c r="P22" s="209"/>
      <c r="Q22" s="209"/>
      <c r="R22" s="260"/>
      <c r="S22" s="261"/>
      <c r="T22" s="261"/>
    </row>
    <row r="23" spans="1:20" ht="13" x14ac:dyDescent="0.3">
      <c r="A23" s="119"/>
      <c r="B23" s="287"/>
      <c r="C23" s="287"/>
      <c r="D23" s="119"/>
      <c r="E23" s="119"/>
      <c r="F23" s="119"/>
      <c r="G23" s="119"/>
      <c r="H23" s="144"/>
      <c r="I23" s="144"/>
      <c r="J23" s="119"/>
      <c r="K23" s="119"/>
      <c r="L23" s="119"/>
      <c r="M23" s="119"/>
      <c r="N23" s="119"/>
      <c r="O23" s="209"/>
      <c r="P23" s="209"/>
      <c r="Q23" s="209"/>
      <c r="R23" s="260"/>
      <c r="S23" s="261"/>
      <c r="T23" s="261"/>
    </row>
    <row r="24" spans="1:20" ht="13" x14ac:dyDescent="0.3">
      <c r="A24" s="119"/>
      <c r="B24" s="445"/>
      <c r="C24" s="287"/>
      <c r="H24" s="289"/>
      <c r="I24" s="289"/>
      <c r="J24" s="289"/>
      <c r="K24" s="289"/>
      <c r="L24" s="119"/>
      <c r="M24" s="119"/>
      <c r="N24" s="119"/>
      <c r="O24" s="209"/>
      <c r="P24" s="209"/>
      <c r="Q24" s="209"/>
      <c r="R24" s="260"/>
      <c r="S24" s="261"/>
      <c r="T24" s="261"/>
    </row>
    <row r="25" spans="1:20" ht="13" x14ac:dyDescent="0.3">
      <c r="A25" s="119"/>
      <c r="B25" s="287"/>
      <c r="C25" s="287"/>
      <c r="H25" s="290"/>
      <c r="I25" s="290"/>
      <c r="J25" s="290"/>
      <c r="K25" s="290"/>
      <c r="L25" s="119"/>
      <c r="M25" s="119"/>
      <c r="N25" s="119"/>
      <c r="O25" s="209"/>
      <c r="P25" s="209"/>
      <c r="Q25" s="209"/>
      <c r="R25" s="260"/>
      <c r="S25" s="261"/>
      <c r="T25" s="261"/>
    </row>
    <row r="26" spans="1:20" ht="13" x14ac:dyDescent="0.3">
      <c r="A26" s="119"/>
      <c r="B26" s="457"/>
      <c r="C26" s="287"/>
      <c r="H26" s="288"/>
      <c r="I26" s="288"/>
      <c r="J26" s="288"/>
      <c r="K26" s="288"/>
      <c r="L26" s="119"/>
      <c r="M26" s="119"/>
      <c r="N26" s="119"/>
      <c r="O26" s="364"/>
      <c r="P26" s="364"/>
      <c r="Q26" s="364"/>
      <c r="R26" s="365"/>
      <c r="S26" s="366"/>
      <c r="T26" s="366"/>
    </row>
    <row r="27" spans="1:20" ht="15.5" x14ac:dyDescent="0.3">
      <c r="A27" s="119"/>
      <c r="B27" s="346"/>
      <c r="C27" s="291"/>
      <c r="D27" s="347"/>
      <c r="E27" s="348"/>
      <c r="F27" s="349"/>
      <c r="G27" s="348"/>
      <c r="H27" s="348"/>
      <c r="I27" s="291"/>
      <c r="J27" s="291"/>
      <c r="K27" s="291"/>
      <c r="L27" s="119"/>
      <c r="M27" s="119"/>
      <c r="N27" s="119"/>
      <c r="O27" s="364"/>
      <c r="P27" s="364"/>
      <c r="Q27" s="364"/>
      <c r="R27" s="365"/>
      <c r="S27" s="366"/>
      <c r="T27" s="366"/>
    </row>
    <row r="28" spans="1:20" ht="14" x14ac:dyDescent="0.3">
      <c r="A28" s="119"/>
      <c r="B28" s="350"/>
      <c r="C28" s="291"/>
      <c r="D28" s="351"/>
      <c r="E28" s="295"/>
      <c r="F28" s="295"/>
      <c r="G28" s="295"/>
      <c r="H28" s="295"/>
      <c r="I28" s="289"/>
      <c r="J28" s="289"/>
      <c r="K28" s="289"/>
      <c r="L28" s="119"/>
      <c r="M28" s="119"/>
      <c r="N28" s="119"/>
      <c r="O28" s="364"/>
      <c r="P28" s="364"/>
      <c r="Q28" s="364"/>
      <c r="R28" s="365"/>
      <c r="S28" s="366"/>
      <c r="T28" s="366"/>
    </row>
    <row r="29" spans="1:20" ht="14" x14ac:dyDescent="0.3">
      <c r="A29" s="119"/>
      <c r="B29" s="350"/>
      <c r="C29" s="291"/>
      <c r="D29" s="351"/>
      <c r="E29" s="295"/>
      <c r="F29" s="295"/>
      <c r="G29" s="295"/>
      <c r="H29" s="295"/>
      <c r="I29" s="289"/>
      <c r="J29" s="289"/>
      <c r="K29" s="289"/>
      <c r="L29" s="119"/>
      <c r="M29" s="119"/>
      <c r="N29" s="119"/>
      <c r="O29" s="364"/>
      <c r="P29" s="364"/>
      <c r="Q29" s="364"/>
      <c r="R29" s="365"/>
      <c r="S29" s="366"/>
      <c r="T29" s="366"/>
    </row>
    <row r="30" spans="1:20" ht="14" x14ac:dyDescent="0.3">
      <c r="A30" s="119"/>
      <c r="B30" s="315"/>
      <c r="C30" s="316"/>
      <c r="D30" s="295"/>
      <c r="E30" s="295"/>
      <c r="F30" s="295"/>
      <c r="G30" s="295"/>
      <c r="I30" s="290"/>
      <c r="J30" s="290"/>
      <c r="K30" s="290"/>
      <c r="L30" s="119"/>
      <c r="M30" s="119"/>
      <c r="N30" s="119"/>
      <c r="O30" s="364"/>
      <c r="P30" s="364"/>
      <c r="Q30" s="364"/>
      <c r="R30" s="365"/>
      <c r="S30" s="366"/>
      <c r="T30" s="366"/>
    </row>
    <row r="31" spans="1:20" ht="13" x14ac:dyDescent="0.3">
      <c r="A31" s="119"/>
      <c r="B31" s="287"/>
      <c r="C31" s="287"/>
      <c r="H31" s="288"/>
      <c r="I31" s="288"/>
      <c r="J31" s="288"/>
      <c r="K31" s="288"/>
      <c r="L31" s="119"/>
      <c r="M31" s="119"/>
      <c r="N31" s="119"/>
      <c r="O31" s="364"/>
      <c r="P31" s="364"/>
      <c r="Q31" s="364"/>
      <c r="R31" s="365"/>
      <c r="S31" s="366"/>
      <c r="T31" s="366"/>
    </row>
    <row r="32" spans="1:20" ht="13" x14ac:dyDescent="0.3">
      <c r="A32" s="119"/>
      <c r="B32" s="287"/>
      <c r="C32" s="287"/>
      <c r="H32" s="291"/>
      <c r="I32" s="291"/>
      <c r="J32" s="291"/>
      <c r="K32" s="291"/>
      <c r="L32" s="119"/>
      <c r="M32" s="119"/>
      <c r="N32" s="119"/>
      <c r="O32" s="364"/>
      <c r="P32" s="364"/>
      <c r="Q32" s="364"/>
      <c r="R32" s="365"/>
      <c r="S32" s="366"/>
      <c r="T32" s="366"/>
    </row>
    <row r="33" spans="1:20" x14ac:dyDescent="0.25">
      <c r="A33" s="119"/>
      <c r="L33" s="119"/>
      <c r="O33" s="364"/>
      <c r="P33" s="364"/>
      <c r="Q33" s="364"/>
      <c r="R33" s="365"/>
      <c r="S33" s="366"/>
      <c r="T33" s="366"/>
    </row>
    <row r="34" spans="1:20" x14ac:dyDescent="0.25">
      <c r="O34" s="364"/>
      <c r="P34" s="364"/>
      <c r="Q34" s="364"/>
      <c r="R34" s="365"/>
      <c r="S34" s="366"/>
      <c r="T34" s="366"/>
    </row>
    <row r="35" spans="1:20" x14ac:dyDescent="0.25">
      <c r="O35" s="364"/>
      <c r="P35" s="364"/>
      <c r="Q35" s="364"/>
      <c r="R35" s="365"/>
      <c r="S35" s="366"/>
      <c r="T35" s="366"/>
    </row>
    <row r="36" spans="1:20" x14ac:dyDescent="0.25">
      <c r="O36" s="367"/>
      <c r="P36" s="367"/>
      <c r="Q36" s="367"/>
      <c r="R36" s="368"/>
      <c r="S36" s="369"/>
      <c r="T36" s="366"/>
    </row>
    <row r="37" spans="1:20" x14ac:dyDescent="0.25">
      <c r="O37" s="367"/>
      <c r="P37" s="367"/>
      <c r="Q37" s="367"/>
      <c r="R37" s="368"/>
      <c r="S37" s="369"/>
      <c r="T37" s="369"/>
    </row>
    <row r="38" spans="1:20" x14ac:dyDescent="0.25">
      <c r="O38" s="144"/>
      <c r="P38" s="144"/>
      <c r="Q38" s="144"/>
      <c r="R38" s="150"/>
      <c r="S38" s="154"/>
      <c r="T38" s="154"/>
    </row>
    <row r="39" spans="1:20" x14ac:dyDescent="0.25">
      <c r="O39" s="122"/>
      <c r="P39" s="122"/>
      <c r="Q39" s="122"/>
      <c r="R39" s="123"/>
      <c r="S39" s="118"/>
      <c r="T39" s="118"/>
    </row>
    <row r="40" spans="1:20" x14ac:dyDescent="0.25">
      <c r="O40" s="122"/>
      <c r="P40" s="122"/>
      <c r="Q40" s="122"/>
      <c r="R40" s="123"/>
      <c r="S40" s="118"/>
      <c r="T40" s="118"/>
    </row>
    <row r="41" spans="1:20" x14ac:dyDescent="0.25">
      <c r="O41" s="119"/>
      <c r="P41" s="119"/>
    </row>
    <row r="42" spans="1:20" x14ac:dyDescent="0.25">
      <c r="O42" s="119"/>
      <c r="P42" s="119"/>
      <c r="R42" s="73" t="str">
        <f>List!$B$94</f>
        <v>cena kování</v>
      </c>
      <c r="T42" s="353">
        <f>SUM(T3:T41)</f>
        <v>0</v>
      </c>
    </row>
    <row r="43" spans="1:20" x14ac:dyDescent="0.25">
      <c r="O43" s="119"/>
      <c r="P43" s="119"/>
    </row>
    <row r="44" spans="1:20" x14ac:dyDescent="0.25">
      <c r="O44" s="119"/>
      <c r="P44" s="119"/>
    </row>
    <row r="45" spans="1:20" x14ac:dyDescent="0.25">
      <c r="O45" s="119"/>
      <c r="P45" s="119"/>
    </row>
    <row r="46" spans="1:20" x14ac:dyDescent="0.25">
      <c r="O46" s="119"/>
      <c r="P46" s="119"/>
    </row>
    <row r="47" spans="1:20" x14ac:dyDescent="0.25">
      <c r="O47" s="119"/>
      <c r="P47" s="119"/>
    </row>
    <row r="48" spans="1:20" x14ac:dyDescent="0.25">
      <c r="O48" s="119"/>
      <c r="P48" s="119"/>
    </row>
    <row r="49" spans="15:16" x14ac:dyDescent="0.25">
      <c r="O49" s="119"/>
      <c r="P49" s="119"/>
    </row>
    <row r="50" spans="15:16" x14ac:dyDescent="0.25">
      <c r="O50" s="119"/>
      <c r="P50" s="119"/>
    </row>
  </sheetData>
  <sheetProtection password="CF3A" sheet="1" objects="1" scenarios="1"/>
  <phoneticPr fontId="51" type="noConversion"/>
  <hyperlinks>
    <hyperlink ref="M3" location="Form!A1" tooltip=" " display="Form!A1"/>
    <hyperlink ref="M4" location="Menu!A1" tooltip=" " display="Menu!A1"/>
    <hyperlink ref="M5" location="Acs!A1" tooltip=" " display="Acs!A1"/>
    <hyperlink ref="M6" location="SD!A1" tooltip=" " display="SD!A1"/>
    <hyperlink ref="M10" location="Sum!A1" tooltip=" " display="Sum!A1"/>
    <hyperlink ref="M11" location="Ord!A1" tooltip=" " display="Ord!A1"/>
    <hyperlink ref="M7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>
    <tabColor indexed="53"/>
  </sheetPr>
  <dimension ref="A1:U51"/>
  <sheetViews>
    <sheetView showGridLines="0" showRowColHeaders="0" workbookViewId="0">
      <selection activeCell="I16" sqref="I16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4" width="3.81640625" style="2" customWidth="1"/>
    <col min="15" max="15" width="38.453125" style="2" hidden="1" customWidth="1"/>
    <col min="16" max="16" width="11.1796875" style="2" hidden="1" customWidth="1"/>
    <col min="17" max="17" width="9.1796875" style="2" hidden="1" customWidth="1"/>
    <col min="18" max="18" width="7.7265625" style="2" hidden="1" customWidth="1"/>
    <col min="19" max="19" width="8.7265625" style="2" hidden="1" customWidth="1"/>
    <col min="20" max="20" width="10.81640625" style="2" hidden="1" customWidth="1"/>
    <col min="21" max="21" width="9.179687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K2" s="10" t="str">
        <f>"AMBIA-LINE"&amp;" - "&amp;List!$B$151</f>
        <v>AMBIA-LINE - Příčný reling</v>
      </c>
      <c r="L2" s="119"/>
      <c r="M2" s="2" t="str">
        <f>List!$B$11&amp;":"</f>
        <v>Zpět na:</v>
      </c>
      <c r="N2" s="119"/>
      <c r="O2" s="188" t="str">
        <f>List!$B$22&amp;":"</f>
        <v>Soupis kování:</v>
      </c>
      <c r="P2" s="121"/>
      <c r="Q2" s="121"/>
      <c r="R2" s="121"/>
      <c r="S2" s="121"/>
      <c r="T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89"/>
      <c r="I3" s="189" t="str">
        <f>List!$B$143&amp;":"</f>
        <v>Základní prvek:</v>
      </c>
      <c r="J3" s="190"/>
      <c r="K3" s="189" t="str">
        <f>List!$B$51&amp;" C,F"</f>
        <v>Čelní výsuv C,F</v>
      </c>
      <c r="L3" s="119"/>
      <c r="M3" s="151" t="str">
        <f>" "&amp;List!$B$13</f>
        <v xml:space="preserve"> Úvod</v>
      </c>
      <c r="N3" s="119"/>
      <c r="O3" s="126" t="str">
        <f>Cen!A338</f>
        <v>Příčný reling vnitřní zásuvky, Orion šedý</v>
      </c>
      <c r="P3" s="126" t="str">
        <f>Cen!B338</f>
        <v>ZR7.1080U</v>
      </c>
      <c r="Q3" s="126" t="str">
        <f>Cen!C338</f>
        <v>OG-M</v>
      </c>
      <c r="R3" s="437">
        <f>H15</f>
        <v>0</v>
      </c>
      <c r="S3" s="335">
        <f>Cen!F338</f>
        <v>6.60684</v>
      </c>
      <c r="T3" s="335">
        <f>R3*S3</f>
        <v>0</v>
      </c>
      <c r="U3" s="334">
        <f>IF(Form!$N$2=4,H15,0)</f>
        <v>0</v>
      </c>
    </row>
    <row r="4" spans="1:21" ht="13" thickBot="1" x14ac:dyDescent="0.3">
      <c r="A4" s="119"/>
      <c r="B4" s="119"/>
      <c r="C4" s="119"/>
      <c r="D4" s="119"/>
      <c r="E4" s="119"/>
      <c r="F4" s="119"/>
      <c r="G4" s="119"/>
      <c r="K4" s="73" t="str">
        <f>List!$B$52&amp;" C"</f>
        <v>Vnitřní výsuv C</v>
      </c>
      <c r="L4" s="119"/>
      <c r="M4" s="152" t="str">
        <f>" "&amp;List!$B$4</f>
        <v xml:space="preserve"> Výběr zásuvek a výsuvů</v>
      </c>
      <c r="N4" s="119"/>
      <c r="O4" s="127"/>
      <c r="P4" s="127"/>
      <c r="Q4" s="127"/>
      <c r="R4" s="262"/>
      <c r="S4" s="263"/>
      <c r="T4" s="263"/>
    </row>
    <row r="5" spans="1:21" ht="13" thickBot="1" x14ac:dyDescent="0.3">
      <c r="A5" s="119"/>
      <c r="B5" s="119"/>
      <c r="C5" s="119"/>
      <c r="D5" s="119"/>
      <c r="E5" s="119"/>
      <c r="F5" s="119"/>
      <c r="G5" s="119"/>
      <c r="H5" s="7"/>
      <c r="I5" s="7"/>
      <c r="J5" s="7"/>
      <c r="K5" s="116"/>
      <c r="L5" s="119"/>
      <c r="M5" s="152" t="str">
        <f>" "&amp;List!$B$5</f>
        <v xml:space="preserve"> Výběr doplňků</v>
      </c>
      <c r="N5" s="119"/>
      <c r="O5" s="439"/>
      <c r="P5" s="439"/>
      <c r="Q5" s="439"/>
      <c r="R5" s="440"/>
      <c r="S5" s="441"/>
      <c r="T5" s="441"/>
    </row>
    <row r="6" spans="1:21" ht="13" thickBot="1" x14ac:dyDescent="0.3">
      <c r="A6" s="119"/>
      <c r="B6" s="119"/>
      <c r="C6" s="119"/>
      <c r="D6" s="119"/>
      <c r="E6" s="119"/>
      <c r="F6" s="119"/>
      <c r="G6" s="119"/>
      <c r="H6" s="121" t="str">
        <f>List!$B$27&amp;":"</f>
        <v>barva:</v>
      </c>
      <c r="I6" s="121"/>
      <c r="J6" s="121"/>
      <c r="K6" s="248" t="str">
        <f>Form!$T$2</f>
        <v>Orion šedá (OG-M)</v>
      </c>
      <c r="L6" s="119"/>
      <c r="M6" s="152" t="str">
        <f>" "&amp;List!$B$6</f>
        <v xml:space="preserve"> Výběr SERVO-DRIVE</v>
      </c>
      <c r="N6" s="119"/>
      <c r="O6" s="126" t="str">
        <f>Cen!A438</f>
        <v>Držák příčného relingu pro pure, Orion šedá</v>
      </c>
      <c r="P6" s="126" t="str">
        <f>Cen!B438</f>
        <v>ZC7U10E0</v>
      </c>
      <c r="Q6" s="126" t="str">
        <f>Cen!C438</f>
        <v>OG-M</v>
      </c>
      <c r="R6" s="334">
        <f>H20</f>
        <v>0</v>
      </c>
      <c r="S6" s="335">
        <f>Cen!F438</f>
        <v>2.0503100000000001</v>
      </c>
      <c r="T6" s="335">
        <f>R6*S6</f>
        <v>0</v>
      </c>
      <c r="U6" s="334">
        <f>IF(Form!$N$2&gt;2,H20,0)</f>
        <v>0</v>
      </c>
    </row>
    <row r="7" spans="1:21" x14ac:dyDescent="0.25">
      <c r="A7" s="119"/>
      <c r="B7" s="119"/>
      <c r="C7" s="119"/>
      <c r="D7" s="119"/>
      <c r="E7" s="119"/>
      <c r="F7" s="119"/>
      <c r="G7" s="119"/>
      <c r="H7" s="122"/>
      <c r="I7" s="122"/>
      <c r="J7" s="121"/>
      <c r="K7" s="118"/>
      <c r="L7" s="119"/>
      <c r="M7" s="247" t="str">
        <f>" "&amp;List!$B$7</f>
        <v xml:space="preserve"> Výběr AMBIA-LINE</v>
      </c>
      <c r="N7" s="119"/>
      <c r="O7" s="127"/>
      <c r="P7" s="127"/>
      <c r="Q7" s="127"/>
      <c r="R7" s="262"/>
      <c r="S7" s="263"/>
      <c r="T7" s="263"/>
    </row>
    <row r="8" spans="1:21" x14ac:dyDescent="0.25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T43</f>
        <v>0</v>
      </c>
      <c r="L8" s="119"/>
      <c r="N8" s="119"/>
      <c r="O8" s="206"/>
      <c r="P8" s="206"/>
      <c r="Q8" s="206"/>
      <c r="R8" s="264"/>
      <c r="S8" s="265"/>
      <c r="T8" s="265"/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2" t="str">
        <f>List!$B$12&amp;":"</f>
        <v>Pokračovat na:</v>
      </c>
      <c r="N9" s="119"/>
      <c r="O9" s="126" t="str">
        <f>Cen!A441</f>
        <v>Držák příčného relingu pro free, Orion šedá</v>
      </c>
      <c r="P9" s="126" t="str">
        <f>Cen!B441</f>
        <v>ZC7U11E0</v>
      </c>
      <c r="Q9" s="126" t="str">
        <f>Cen!C441</f>
        <v>OG-M</v>
      </c>
      <c r="R9" s="334">
        <f>H21</f>
        <v>0</v>
      </c>
      <c r="S9" s="335">
        <f>Cen!F441</f>
        <v>3.07924</v>
      </c>
      <c r="T9" s="335">
        <f>R9*S9</f>
        <v>0</v>
      </c>
      <c r="U9" s="334">
        <f>IF(Form!$N$2&gt;2,H21,0)</f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119"/>
      <c r="M10" s="152" t="str">
        <f>" "&amp;List!$B$18</f>
        <v xml:space="preserve"> Souhrn</v>
      </c>
      <c r="N10" s="119"/>
      <c r="O10" s="127"/>
      <c r="P10" s="127"/>
      <c r="Q10" s="127"/>
      <c r="R10" s="262"/>
      <c r="S10" s="263"/>
      <c r="T10" s="263"/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119"/>
      <c r="M11" s="152" t="str">
        <f>" "&amp;List!$B$20</f>
        <v xml:space="preserve"> Objednávka</v>
      </c>
      <c r="N11" s="119"/>
      <c r="O11" s="206"/>
      <c r="P11" s="206"/>
      <c r="Q11" s="206"/>
      <c r="R11" s="264"/>
      <c r="S11" s="265"/>
      <c r="T11" s="265"/>
    </row>
    <row r="12" spans="1:21" ht="15.5" x14ac:dyDescent="0.25">
      <c r="A12" s="119"/>
      <c r="B12" s="119"/>
      <c r="C12" s="119"/>
      <c r="D12" s="119"/>
      <c r="E12" s="119"/>
      <c r="F12" s="119"/>
      <c r="G12" s="478" t="str">
        <f>IF(SUM($U$3:$U$14)&gt;0,List!$B$185&amp;"!"," ")</f>
        <v xml:space="preserve"> </v>
      </c>
      <c r="H12" s="119"/>
      <c r="I12" s="291"/>
      <c r="J12" s="291"/>
      <c r="K12" s="291"/>
      <c r="L12" s="119"/>
      <c r="M12" s="119"/>
      <c r="N12" s="119"/>
      <c r="O12" s="126" t="str">
        <f>Cen!A444</f>
        <v>Podélné dělení pro reling, Orion šedá</v>
      </c>
      <c r="P12" s="126" t="str">
        <f>Cen!B444</f>
        <v>ZC7U10F0</v>
      </c>
      <c r="Q12" s="126" t="str">
        <f>Cen!C444</f>
        <v>OG-M</v>
      </c>
      <c r="R12" s="334">
        <f>H25</f>
        <v>0</v>
      </c>
      <c r="S12" s="335">
        <f>Cen!F444</f>
        <v>0.9112300000000001</v>
      </c>
      <c r="T12" s="335">
        <f>R12*S12</f>
        <v>0</v>
      </c>
      <c r="U12" s="334">
        <f>IF(Form!$N$2&gt;2,H25,0)</f>
        <v>0</v>
      </c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119"/>
      <c r="M13" s="119"/>
      <c r="N13" s="119"/>
      <c r="O13" s="127"/>
      <c r="P13" s="127"/>
      <c r="Q13" s="127"/>
      <c r="R13" s="262"/>
      <c r="S13" s="263"/>
      <c r="T13" s="263"/>
    </row>
    <row r="14" spans="1:21" ht="15.5" x14ac:dyDescent="0.25">
      <c r="A14" s="119"/>
      <c r="B14" s="312" t="str">
        <f>"[1]   "&amp;List!$B$152</f>
        <v>[1]   Příčný reling ke zkrácení</v>
      </c>
      <c r="C14" s="7"/>
      <c r="D14" s="7"/>
      <c r="E14" s="7"/>
      <c r="F14" s="7"/>
      <c r="G14" s="7"/>
      <c r="H14" s="290"/>
      <c r="I14" s="290"/>
      <c r="J14" s="290"/>
      <c r="K14" s="290"/>
      <c r="L14" s="119"/>
      <c r="M14" s="119"/>
      <c r="N14" s="119"/>
      <c r="O14" s="206"/>
      <c r="P14" s="206"/>
      <c r="Q14" s="206"/>
      <c r="R14" s="264"/>
      <c r="S14" s="265"/>
      <c r="T14" s="265"/>
    </row>
    <row r="15" spans="1:21" ht="14.5" thickBot="1" x14ac:dyDescent="0.35">
      <c r="A15" s="119"/>
      <c r="B15" s="374"/>
      <c r="C15" s="452" t="str">
        <f>List!$B$76&amp;": 1080 mm"</f>
        <v>délka: 1080 mm</v>
      </c>
      <c r="D15" s="453"/>
      <c r="E15" s="453"/>
      <c r="F15" s="453"/>
      <c r="G15" s="453"/>
      <c r="H15" s="458"/>
      <c r="I15" s="119"/>
      <c r="J15" s="119"/>
      <c r="K15" s="119"/>
      <c r="L15" s="119"/>
      <c r="M15" s="119"/>
      <c r="N15" s="119"/>
      <c r="O15" s="127"/>
      <c r="P15" s="127"/>
      <c r="Q15" s="127"/>
      <c r="R15" s="262"/>
      <c r="S15" s="263"/>
      <c r="T15" s="263"/>
    </row>
    <row r="16" spans="1:21" x14ac:dyDescent="0.25">
      <c r="A16" s="119"/>
      <c r="C16" s="119"/>
      <c r="D16" s="119"/>
      <c r="E16" s="119"/>
      <c r="F16" s="119"/>
      <c r="G16" s="119"/>
      <c r="H16" s="290"/>
      <c r="I16" s="119"/>
      <c r="J16" s="119"/>
      <c r="K16" s="119"/>
      <c r="L16" s="119"/>
      <c r="M16" s="119"/>
      <c r="N16" s="119"/>
      <c r="O16" s="127"/>
      <c r="P16" s="127"/>
      <c r="Q16" s="127"/>
      <c r="R16" s="262"/>
      <c r="S16" s="263"/>
      <c r="T16" s="263"/>
    </row>
    <row r="17" spans="1:20" x14ac:dyDescent="0.25">
      <c r="A17" s="119"/>
      <c r="C17" s="119"/>
      <c r="D17" s="119"/>
      <c r="E17" s="119"/>
      <c r="F17" s="119"/>
      <c r="G17" s="119"/>
      <c r="H17" s="290"/>
      <c r="I17" s="290"/>
      <c r="J17" s="290"/>
      <c r="K17" s="290"/>
      <c r="L17" s="119"/>
      <c r="M17" s="119"/>
      <c r="N17" s="119"/>
      <c r="O17" s="127"/>
      <c r="P17" s="127"/>
      <c r="Q17" s="127"/>
      <c r="R17" s="262"/>
      <c r="S17" s="263"/>
      <c r="T17" s="263"/>
    </row>
    <row r="18" spans="1:20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119"/>
      <c r="M18" s="119"/>
      <c r="N18" s="119"/>
      <c r="O18" s="122"/>
      <c r="P18" s="122"/>
      <c r="Q18" s="122"/>
      <c r="R18" s="123"/>
      <c r="S18" s="118"/>
      <c r="T18" s="118"/>
    </row>
    <row r="19" spans="1:20" ht="15.5" x14ac:dyDescent="0.25">
      <c r="A19" s="119"/>
      <c r="B19" s="312" t="str">
        <f>"[2]   "&amp;List!$B$153</f>
        <v>[2]   Držák příčného relingu</v>
      </c>
      <c r="C19" s="7"/>
      <c r="D19" s="7"/>
      <c r="E19" s="7"/>
      <c r="F19" s="7"/>
      <c r="G19" s="7"/>
      <c r="H19" s="290"/>
      <c r="I19" s="290"/>
      <c r="J19" s="290"/>
      <c r="K19" s="290"/>
      <c r="L19" s="119"/>
      <c r="M19" s="119"/>
      <c r="N19" s="119"/>
      <c r="O19" s="122"/>
      <c r="P19" s="122"/>
      <c r="Q19" s="122"/>
      <c r="R19" s="123"/>
      <c r="S19" s="118"/>
      <c r="T19" s="118"/>
    </row>
    <row r="20" spans="1:20" ht="14.5" thickBot="1" x14ac:dyDescent="0.35">
      <c r="A20" s="119"/>
      <c r="B20" s="374"/>
      <c r="C20" s="452" t="s">
        <v>1161</v>
      </c>
      <c r="D20" s="453"/>
      <c r="E20" s="453"/>
      <c r="F20" s="453"/>
      <c r="G20" s="453"/>
      <c r="H20" s="458"/>
      <c r="I20" s="119"/>
      <c r="J20" s="119"/>
      <c r="K20" s="119"/>
      <c r="L20" s="119"/>
      <c r="M20" s="119"/>
      <c r="N20" s="119"/>
      <c r="O20" s="122"/>
      <c r="P20" s="122"/>
      <c r="Q20" s="122"/>
      <c r="R20" s="123"/>
      <c r="S20" s="118"/>
      <c r="T20" s="118"/>
    </row>
    <row r="21" spans="1:20" ht="14" x14ac:dyDescent="0.3">
      <c r="A21" s="119"/>
      <c r="B21" s="374"/>
      <c r="C21" s="452" t="s">
        <v>1267</v>
      </c>
      <c r="D21" s="453"/>
      <c r="E21" s="453"/>
      <c r="F21" s="453"/>
      <c r="G21" s="453"/>
      <c r="H21" s="488"/>
      <c r="I21" s="119"/>
      <c r="J21" s="119"/>
      <c r="K21" s="119"/>
      <c r="L21" s="119"/>
      <c r="M21" s="119"/>
      <c r="N21" s="119"/>
      <c r="O21" s="122"/>
      <c r="P21" s="122"/>
      <c r="Q21" s="122"/>
      <c r="R21" s="123"/>
      <c r="S21" s="118"/>
      <c r="T21" s="118"/>
    </row>
    <row r="22" spans="1:20" ht="13" x14ac:dyDescent="0.3">
      <c r="A22" s="119"/>
      <c r="B22" s="287"/>
      <c r="C22" s="287"/>
      <c r="D22" s="119"/>
      <c r="E22" s="119"/>
      <c r="F22" s="119"/>
      <c r="G22" s="119"/>
      <c r="H22" s="144"/>
      <c r="I22" s="288"/>
      <c r="J22" s="288"/>
      <c r="K22" s="288"/>
      <c r="L22" s="119"/>
      <c r="M22" s="119"/>
      <c r="N22" s="119"/>
      <c r="O22" s="126"/>
      <c r="P22" s="126"/>
      <c r="Q22" s="126"/>
      <c r="R22" s="334"/>
      <c r="S22" s="126"/>
      <c r="T22" s="335"/>
    </row>
    <row r="23" spans="1:20" ht="13" x14ac:dyDescent="0.3">
      <c r="A23" s="119"/>
      <c r="B23" s="287"/>
      <c r="C23" s="287"/>
      <c r="D23" s="119"/>
      <c r="E23" s="119"/>
      <c r="F23" s="119"/>
      <c r="G23" s="119"/>
      <c r="H23" s="144"/>
      <c r="I23" s="144"/>
      <c r="J23" s="119"/>
      <c r="K23" s="119"/>
      <c r="L23" s="119"/>
      <c r="M23" s="119"/>
      <c r="N23" s="119"/>
      <c r="O23" s="209"/>
      <c r="P23" s="209"/>
      <c r="Q23" s="209"/>
      <c r="R23" s="260"/>
      <c r="S23" s="261"/>
      <c r="T23" s="261"/>
    </row>
    <row r="24" spans="1:20" ht="15.5" x14ac:dyDescent="0.3">
      <c r="A24" s="119"/>
      <c r="B24" s="312" t="str">
        <f>"[3]   "&amp;List!$B$154</f>
        <v>[3]   Podélné dělení pro reling</v>
      </c>
      <c r="C24" s="7"/>
      <c r="D24" s="7"/>
      <c r="E24" s="7"/>
      <c r="F24" s="7"/>
      <c r="G24" s="7"/>
      <c r="H24" s="290"/>
      <c r="I24" s="289"/>
      <c r="J24" s="289"/>
      <c r="K24" s="289"/>
      <c r="L24" s="119"/>
      <c r="M24" s="119"/>
      <c r="N24" s="119"/>
      <c r="O24" s="209"/>
      <c r="P24" s="209"/>
      <c r="Q24" s="209"/>
      <c r="R24" s="260"/>
      <c r="S24" s="261"/>
      <c r="T24" s="261"/>
    </row>
    <row r="25" spans="1:20" ht="14.5" thickBot="1" x14ac:dyDescent="0.35">
      <c r="A25" s="119"/>
      <c r="B25" s="374"/>
      <c r="C25" s="452" t="str">
        <f>List!$B$76&amp;": 84 mm"</f>
        <v>délka: 84 mm</v>
      </c>
      <c r="D25" s="453"/>
      <c r="E25" s="453"/>
      <c r="F25" s="453"/>
      <c r="G25" s="453"/>
      <c r="H25" s="458"/>
      <c r="I25" s="290"/>
      <c r="J25" s="290"/>
      <c r="K25" s="290"/>
      <c r="L25" s="119"/>
      <c r="M25" s="119"/>
      <c r="N25" s="119"/>
      <c r="O25" s="209"/>
      <c r="P25" s="209"/>
      <c r="Q25" s="209"/>
      <c r="R25" s="260"/>
      <c r="S25" s="261"/>
      <c r="T25" s="261"/>
    </row>
    <row r="26" spans="1:20" ht="13" x14ac:dyDescent="0.3">
      <c r="A26" s="119"/>
      <c r="B26" s="457"/>
      <c r="C26" s="287"/>
      <c r="H26" s="288"/>
      <c r="I26" s="288"/>
      <c r="J26" s="288"/>
      <c r="K26" s="288"/>
      <c r="L26" s="119"/>
      <c r="M26" s="119"/>
      <c r="N26" s="119"/>
      <c r="O26" s="209"/>
      <c r="P26" s="209"/>
      <c r="Q26" s="209"/>
      <c r="R26" s="260"/>
      <c r="S26" s="261"/>
      <c r="T26" s="261"/>
    </row>
    <row r="27" spans="1:20" ht="15.5" x14ac:dyDescent="0.3">
      <c r="A27" s="119"/>
      <c r="B27" s="346"/>
      <c r="C27" s="291"/>
      <c r="D27" s="347"/>
      <c r="E27" s="348"/>
      <c r="F27" s="349"/>
      <c r="G27" s="348"/>
      <c r="H27" s="348"/>
      <c r="I27" s="291"/>
      <c r="J27" s="291"/>
      <c r="K27" s="291"/>
      <c r="L27" s="119"/>
      <c r="M27" s="119"/>
      <c r="N27" s="119"/>
      <c r="O27" s="364"/>
      <c r="P27" s="364"/>
      <c r="Q27" s="364"/>
      <c r="R27" s="365"/>
      <c r="S27" s="366"/>
      <c r="T27" s="366"/>
    </row>
    <row r="28" spans="1:20" ht="14" x14ac:dyDescent="0.3">
      <c r="A28" s="119"/>
      <c r="B28" s="350"/>
      <c r="C28" s="291"/>
      <c r="D28" s="351"/>
      <c r="E28" s="295"/>
      <c r="F28" s="295"/>
      <c r="G28" s="295"/>
      <c r="H28" s="295"/>
      <c r="I28" s="289"/>
      <c r="J28" s="289"/>
      <c r="K28" s="289"/>
      <c r="L28" s="119"/>
      <c r="M28" s="119"/>
      <c r="N28" s="119"/>
      <c r="O28" s="364"/>
      <c r="P28" s="364"/>
      <c r="Q28" s="364"/>
      <c r="R28" s="365"/>
      <c r="S28" s="366"/>
      <c r="T28" s="366"/>
    </row>
    <row r="29" spans="1:20" ht="14" x14ac:dyDescent="0.3">
      <c r="A29" s="119"/>
      <c r="B29" s="350"/>
      <c r="C29" s="291"/>
      <c r="D29" s="351"/>
      <c r="E29" s="295"/>
      <c r="F29" s="295"/>
      <c r="G29" s="295"/>
      <c r="H29" s="295"/>
      <c r="I29" s="289"/>
      <c r="J29" s="289"/>
      <c r="K29" s="289"/>
      <c r="L29" s="119"/>
      <c r="M29" s="119"/>
      <c r="N29" s="119"/>
      <c r="O29" s="364"/>
      <c r="P29" s="364"/>
      <c r="Q29" s="364"/>
      <c r="R29" s="365"/>
      <c r="S29" s="366"/>
      <c r="T29" s="366"/>
    </row>
    <row r="30" spans="1:20" ht="14" x14ac:dyDescent="0.3">
      <c r="A30" s="119"/>
      <c r="B30" s="315"/>
      <c r="C30" s="316"/>
      <c r="D30" s="295"/>
      <c r="E30" s="295"/>
      <c r="F30" s="295"/>
      <c r="G30" s="295"/>
      <c r="I30" s="290"/>
      <c r="J30" s="290"/>
      <c r="K30" s="290"/>
      <c r="L30" s="119"/>
      <c r="M30" s="119"/>
      <c r="N30" s="119"/>
      <c r="O30" s="364"/>
      <c r="P30" s="364"/>
      <c r="Q30" s="364"/>
      <c r="R30" s="365"/>
      <c r="S30" s="366"/>
      <c r="T30" s="366"/>
    </row>
    <row r="31" spans="1:20" ht="13" x14ac:dyDescent="0.3">
      <c r="A31" s="119"/>
      <c r="B31" s="287"/>
      <c r="C31" s="287"/>
      <c r="H31" s="288"/>
      <c r="I31" s="288"/>
      <c r="J31" s="288"/>
      <c r="K31" s="288"/>
      <c r="L31" s="119"/>
      <c r="M31" s="119"/>
      <c r="N31" s="119"/>
      <c r="O31" s="364"/>
      <c r="P31" s="364"/>
      <c r="Q31" s="364"/>
      <c r="R31" s="365"/>
      <c r="S31" s="366"/>
      <c r="T31" s="366"/>
    </row>
    <row r="32" spans="1:20" ht="13" x14ac:dyDescent="0.3">
      <c r="A32" s="119"/>
      <c r="B32" s="287"/>
      <c r="C32" s="287"/>
      <c r="H32" s="291"/>
      <c r="I32" s="291"/>
      <c r="J32" s="291"/>
      <c r="K32" s="291"/>
      <c r="L32" s="119"/>
      <c r="M32" s="119"/>
      <c r="N32" s="119"/>
      <c r="O32" s="364"/>
      <c r="P32" s="364"/>
      <c r="Q32" s="364"/>
      <c r="R32" s="365"/>
      <c r="S32" s="366"/>
      <c r="T32" s="366"/>
    </row>
    <row r="33" spans="1:20" x14ac:dyDescent="0.25">
      <c r="A33" s="119"/>
      <c r="L33" s="119"/>
      <c r="O33" s="364"/>
      <c r="P33" s="364"/>
      <c r="Q33" s="364"/>
      <c r="R33" s="365"/>
      <c r="S33" s="366"/>
      <c r="T33" s="366"/>
    </row>
    <row r="34" spans="1:20" x14ac:dyDescent="0.25">
      <c r="O34" s="364"/>
      <c r="P34" s="364"/>
      <c r="Q34" s="364"/>
      <c r="R34" s="365"/>
      <c r="S34" s="366"/>
      <c r="T34" s="366"/>
    </row>
    <row r="35" spans="1:20" x14ac:dyDescent="0.25">
      <c r="O35" s="364"/>
      <c r="P35" s="364"/>
      <c r="Q35" s="364"/>
      <c r="R35" s="365"/>
      <c r="S35" s="366"/>
      <c r="T35" s="366"/>
    </row>
    <row r="36" spans="1:20" x14ac:dyDescent="0.25">
      <c r="O36" s="364"/>
      <c r="P36" s="364"/>
      <c r="Q36" s="364"/>
      <c r="R36" s="365"/>
      <c r="S36" s="366"/>
      <c r="T36" s="366"/>
    </row>
    <row r="37" spans="1:20" x14ac:dyDescent="0.25">
      <c r="O37" s="367"/>
      <c r="P37" s="367"/>
      <c r="Q37" s="367"/>
      <c r="R37" s="368"/>
      <c r="S37" s="369"/>
      <c r="T37" s="366"/>
    </row>
    <row r="38" spans="1:20" x14ac:dyDescent="0.25">
      <c r="O38" s="367"/>
      <c r="P38" s="367"/>
      <c r="Q38" s="367"/>
      <c r="R38" s="368"/>
      <c r="S38" s="369"/>
      <c r="T38" s="369"/>
    </row>
    <row r="39" spans="1:20" x14ac:dyDescent="0.25">
      <c r="O39" s="144"/>
      <c r="P39" s="144"/>
      <c r="Q39" s="144"/>
      <c r="R39" s="150"/>
      <c r="S39" s="154"/>
      <c r="T39" s="154"/>
    </row>
    <row r="40" spans="1:20" x14ac:dyDescent="0.25">
      <c r="O40" s="122"/>
      <c r="P40" s="122"/>
      <c r="Q40" s="122"/>
      <c r="R40" s="123"/>
      <c r="S40" s="118"/>
      <c r="T40" s="118"/>
    </row>
    <row r="41" spans="1:20" x14ac:dyDescent="0.25">
      <c r="O41" s="122"/>
      <c r="P41" s="122"/>
      <c r="Q41" s="122"/>
      <c r="R41" s="123"/>
      <c r="S41" s="118"/>
      <c r="T41" s="118"/>
    </row>
    <row r="42" spans="1:20" x14ac:dyDescent="0.25">
      <c r="O42" s="119"/>
      <c r="P42" s="119"/>
    </row>
    <row r="43" spans="1:20" x14ac:dyDescent="0.25">
      <c r="O43" s="119"/>
      <c r="P43" s="119"/>
      <c r="R43" s="73" t="str">
        <f>List!$B$94</f>
        <v>cena kování</v>
      </c>
      <c r="T43" s="353">
        <f>SUM(T3:T42)</f>
        <v>0</v>
      </c>
    </row>
    <row r="44" spans="1:20" x14ac:dyDescent="0.25">
      <c r="O44" s="119"/>
      <c r="P44" s="119"/>
    </row>
    <row r="45" spans="1:20" x14ac:dyDescent="0.25">
      <c r="O45" s="119"/>
      <c r="P45" s="119"/>
    </row>
    <row r="46" spans="1:20" x14ac:dyDescent="0.25">
      <c r="O46" s="119"/>
      <c r="P46" s="119"/>
    </row>
    <row r="47" spans="1:20" x14ac:dyDescent="0.25">
      <c r="O47" s="119"/>
      <c r="P47" s="119"/>
    </row>
    <row r="48" spans="1:20" x14ac:dyDescent="0.25">
      <c r="O48" s="119"/>
      <c r="P48" s="119"/>
    </row>
    <row r="49" spans="15:16" x14ac:dyDescent="0.25">
      <c r="O49" s="119"/>
      <c r="P49" s="119"/>
    </row>
    <row r="50" spans="15:16" x14ac:dyDescent="0.25">
      <c r="O50" s="119"/>
      <c r="P50" s="119"/>
    </row>
    <row r="51" spans="15:16" x14ac:dyDescent="0.25">
      <c r="O51" s="119"/>
      <c r="P51" s="119"/>
    </row>
  </sheetData>
  <sheetProtection algorithmName="SHA-512" hashValue="/WDAPrZUi8N4EUKJO5uBtbw2aNNnW+qXI5aBsZfEB2hJU5VHdQTnfc8LY6cLbi2M25aTYV3ZladIc+okatoMjw==" saltValue="HMeq3PnSP90ObTxR0eoyAQ==" spinCount="100000" sheet="1" objects="1" scenarios="1"/>
  <hyperlinks>
    <hyperlink ref="M3" location="Form!A1" tooltip=" " display="Form!A1"/>
    <hyperlink ref="M4" location="Menu!A1" tooltip=" " display="Menu!A1"/>
    <hyperlink ref="M5" location="Acs!A1" tooltip=" " display="Acs!A1"/>
    <hyperlink ref="M6" location="SD!A1" tooltip=" " display="SD!A1"/>
    <hyperlink ref="M10" location="Sum!A1" tooltip=" " display="Sum!A1"/>
    <hyperlink ref="M11" location="Ord!A1" tooltip=" " display="Ord!A1"/>
    <hyperlink ref="M7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22"/>
  </sheetPr>
  <dimension ref="A1:U139"/>
  <sheetViews>
    <sheetView showGridLines="0" showRowColHeader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3" width="9.26953125" style="2" customWidth="1"/>
    <col min="4" max="12" width="10" style="2" customWidth="1"/>
    <col min="13" max="13" width="5.7265625" style="2" customWidth="1"/>
    <col min="14" max="14" width="25.7265625" style="2" customWidth="1"/>
    <col min="15" max="15" width="9" style="2" customWidth="1"/>
    <col min="16" max="16" width="47.26953125" style="2" hidden="1" customWidth="1"/>
    <col min="17" max="17" width="11.54296875" style="2" hidden="1" customWidth="1"/>
    <col min="18" max="21" width="9.179687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List!$B$49&amp;" M"</f>
        <v>Zásuvka M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 t="str">
        <f>Cen!$A19</f>
        <v>Bočnice M 270mm, Orion šedé</v>
      </c>
      <c r="Q3" s="127" t="str">
        <f>Cen!$B19</f>
        <v>770M2702S</v>
      </c>
      <c r="R3" s="127" t="str">
        <f>Cen!$C19</f>
        <v>OG-M</v>
      </c>
      <c r="S3" s="262">
        <f>SUM(D21,D27,D33)</f>
        <v>0</v>
      </c>
      <c r="T3" s="266">
        <f>Cen!$F19</f>
        <v>18.533550000000002</v>
      </c>
      <c r="U3" s="263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182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 t="str">
        <f>Cen!$A23</f>
        <v>Bočnice M 300mm, Orion šedé</v>
      </c>
      <c r="Q4" s="127" t="str">
        <f>Cen!$B23</f>
        <v>770M3002S</v>
      </c>
      <c r="R4" s="127" t="str">
        <f>Cen!$C23</f>
        <v>OG-M</v>
      </c>
      <c r="S4" s="262">
        <f>SUM(E21,E27,E33)</f>
        <v>0</v>
      </c>
      <c r="T4" s="266">
        <f>Cen!$F23</f>
        <v>18.533550000000002</v>
      </c>
      <c r="U4" s="263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 t="str">
        <f>Cen!$A27</f>
        <v>Bočnice M 350mm, Orion šedé</v>
      </c>
      <c r="Q5" s="127" t="str">
        <f>Cen!$B27</f>
        <v>770M3502S</v>
      </c>
      <c r="R5" s="127" t="str">
        <f>Cen!$C27</f>
        <v>OG-M</v>
      </c>
      <c r="S5" s="262">
        <f>SUM(F21,F27,F33)</f>
        <v>0</v>
      </c>
      <c r="T5" s="266">
        <f>Cen!$F27</f>
        <v>18.533550000000002</v>
      </c>
      <c r="U5" s="263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2"/>
      <c r="I6" s="122"/>
      <c r="J6" s="121"/>
      <c r="K6" s="122"/>
      <c r="L6" s="144"/>
      <c r="M6" s="119"/>
      <c r="N6" s="2" t="str">
        <f>List!$B$12&amp;":"</f>
        <v>Pokračovat na:</v>
      </c>
      <c r="O6" s="119"/>
      <c r="P6" s="127" t="str">
        <f>Cen!$A31</f>
        <v>Bočnice M 400mm, Orion šedé</v>
      </c>
      <c r="Q6" s="127" t="str">
        <f>Cen!$B31</f>
        <v>770M4002S</v>
      </c>
      <c r="R6" s="127" t="str">
        <f>Cen!$C31</f>
        <v>OG-M</v>
      </c>
      <c r="S6" s="262">
        <f>SUM(G21,G27,G33)</f>
        <v>0</v>
      </c>
      <c r="T6" s="266">
        <f>Cen!$F31</f>
        <v>18.75609</v>
      </c>
      <c r="U6" s="2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54"/>
      <c r="M7" s="119"/>
      <c r="N7" s="151" t="str">
        <f>" "&amp;List!$B$5</f>
        <v xml:space="preserve"> Výběr doplňků</v>
      </c>
      <c r="O7" s="119"/>
      <c r="P7" s="127" t="str">
        <f>Cen!$A35</f>
        <v>Bočnice M 450mm, Orion šedé</v>
      </c>
      <c r="Q7" s="127" t="str">
        <f>Cen!$B35</f>
        <v>770M4502S</v>
      </c>
      <c r="R7" s="127" t="str">
        <f>Cen!$C35</f>
        <v>OG-M</v>
      </c>
      <c r="S7" s="262">
        <f>SUM(H21:H22,H27:H28,H33:H34)</f>
        <v>0</v>
      </c>
      <c r="T7" s="266">
        <f>Cen!$F35</f>
        <v>19.977319999999999</v>
      </c>
      <c r="U7" s="263">
        <f t="shared" si="0"/>
        <v>0</v>
      </c>
    </row>
    <row r="8" spans="1:21" ht="13.5" thickBot="1" x14ac:dyDescent="0.35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$U$63</f>
        <v>0</v>
      </c>
      <c r="L8" s="154"/>
      <c r="M8" s="119"/>
      <c r="N8" s="151" t="str">
        <f>" "&amp;List!$B$6</f>
        <v xml:space="preserve"> Výběr SERVO-DRIVE</v>
      </c>
      <c r="O8" s="119"/>
      <c r="P8" s="340" t="str">
        <f>Cen!$A39</f>
        <v>Bočnice M 500mm, Orion šedé</v>
      </c>
      <c r="Q8" s="340" t="str">
        <f>Cen!$B39</f>
        <v>770M5002S</v>
      </c>
      <c r="R8" s="340" t="str">
        <f>Cen!$C39</f>
        <v>OG-M</v>
      </c>
      <c r="S8" s="262">
        <f>SUM(I21:I22,I27:I28,I33:I34)</f>
        <v>0</v>
      </c>
      <c r="T8" s="341">
        <f>Cen!$F39</f>
        <v>20.211580000000001</v>
      </c>
      <c r="U8" s="342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Cen!$A43</f>
        <v>Bočnice M 550mm, Orion šedé</v>
      </c>
      <c r="Q9" s="127" t="str">
        <f>Cen!$B43</f>
        <v>770M5502S</v>
      </c>
      <c r="R9" s="127" t="str">
        <f>Cen!$C43</f>
        <v>OG-M</v>
      </c>
      <c r="S9" s="262">
        <f>SUM(J21:J22,J27:J28,J33:J34)</f>
        <v>0</v>
      </c>
      <c r="T9" s="266">
        <f>Cen!$F43</f>
        <v>20.980989999999998</v>
      </c>
      <c r="U9" s="263">
        <f t="shared" si="0"/>
        <v>0</v>
      </c>
    </row>
    <row r="10" spans="1:21" ht="13.5" thickBot="1" x14ac:dyDescent="0.3">
      <c r="A10" s="119"/>
      <c r="B10" s="119"/>
      <c r="C10" s="119"/>
      <c r="D10" s="119"/>
      <c r="E10" s="119"/>
      <c r="F10" s="119"/>
      <c r="G10" s="119"/>
      <c r="H10" s="119"/>
      <c r="I10" s="8"/>
      <c r="J10" s="119"/>
      <c r="K10" s="119"/>
      <c r="L10" s="119"/>
      <c r="M10" s="119"/>
      <c r="N10" s="152" t="str">
        <f>" "&amp;List!$B$18</f>
        <v xml:space="preserve"> Souhrn</v>
      </c>
      <c r="O10" s="119"/>
      <c r="P10" s="127" t="str">
        <f>Cen!$A47</f>
        <v>Bočnice M 600mm, Orion šedé</v>
      </c>
      <c r="Q10" s="127" t="str">
        <f>Cen!$B47</f>
        <v>770M6002S</v>
      </c>
      <c r="R10" s="127" t="str">
        <f>Cen!$C47</f>
        <v>OG-M</v>
      </c>
      <c r="S10" s="262">
        <f>SUM(K21:K22,K27:K28,K33:K34)</f>
        <v>0</v>
      </c>
      <c r="T10" s="266">
        <f>Cen!$F47</f>
        <v>23.762070000000005</v>
      </c>
      <c r="U10" s="263">
        <f t="shared" si="0"/>
        <v>0</v>
      </c>
    </row>
    <row r="11" spans="1:21" x14ac:dyDescent="0.25">
      <c r="A11" s="119"/>
      <c r="B11" s="119"/>
      <c r="C11" s="119"/>
      <c r="D11" s="119"/>
      <c r="E11" s="119"/>
      <c r="F11" s="119"/>
      <c r="G11" s="119"/>
      <c r="H11" s="338"/>
      <c r="I11" s="338"/>
      <c r="J11" s="339"/>
      <c r="K11" s="339"/>
      <c r="L11" s="339"/>
      <c r="M11" s="119"/>
      <c r="N11" s="152" t="str">
        <f>" "&amp;List!$B$20</f>
        <v xml:space="preserve"> Objednávka</v>
      </c>
      <c r="O11" s="119"/>
      <c r="P11" s="127" t="str">
        <f>Cen!$A51</f>
        <v>Bočnice M 650mm, Orion šedé</v>
      </c>
      <c r="Q11" s="127" t="str">
        <f>Cen!$B51</f>
        <v>770M6502S</v>
      </c>
      <c r="R11" s="127" t="str">
        <f>Cen!$C51</f>
        <v>OG-M</v>
      </c>
      <c r="S11" s="262">
        <f>SUM(L22,L28,L34)</f>
        <v>0</v>
      </c>
      <c r="T11" s="266">
        <f>Cen!$F51</f>
        <v>24.808240000000001</v>
      </c>
      <c r="U11" s="263">
        <f>S11*T11</f>
        <v>0</v>
      </c>
    </row>
    <row r="12" spans="1:21" ht="13" x14ac:dyDescent="0.25">
      <c r="A12" s="119"/>
      <c r="B12" s="119"/>
      <c r="C12" s="119"/>
      <c r="D12" s="119"/>
      <c r="E12" s="119"/>
      <c r="F12" s="119"/>
      <c r="G12" s="119"/>
      <c r="H12" s="231"/>
      <c r="I12" s="231"/>
      <c r="J12" s="231"/>
      <c r="K12" s="231"/>
      <c r="L12" s="23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x14ac:dyDescent="0.25">
      <c r="A13" s="119"/>
      <c r="B13" s="119"/>
      <c r="C13" s="119"/>
      <c r="D13" s="119"/>
      <c r="E13" s="119"/>
      <c r="F13" s="119"/>
      <c r="G13" s="119"/>
      <c r="H13" s="290"/>
      <c r="I13" s="290"/>
      <c r="J13" s="290"/>
      <c r="K13" s="290"/>
      <c r="L13" s="290"/>
      <c r="M13" s="119"/>
      <c r="N13" s="119"/>
      <c r="O13" s="119"/>
      <c r="P13" s="209" t="str">
        <f>Cen!A177</f>
        <v>Korpusové lišty BLUMOTION, 270mm, 40kg</v>
      </c>
      <c r="Q13" s="209" t="str">
        <f>Cen!B177</f>
        <v>750.2701B</v>
      </c>
      <c r="R13" s="209" t="str">
        <f>Cen!C177</f>
        <v>ZN</v>
      </c>
      <c r="S13" s="260">
        <f>D21</f>
        <v>0</v>
      </c>
      <c r="T13" s="261">
        <f>Cen!F177</f>
        <v>21.845690000000001</v>
      </c>
      <c r="U13" s="261">
        <f t="shared" ref="U13:U61" si="1">S13*T13</f>
        <v>0</v>
      </c>
    </row>
    <row r="14" spans="1:21" ht="13" x14ac:dyDescent="0.3">
      <c r="A14" s="119"/>
      <c r="B14" s="119"/>
      <c r="C14" s="119"/>
      <c r="D14" s="119"/>
      <c r="E14" s="119"/>
      <c r="F14" s="119"/>
      <c r="G14" s="119"/>
      <c r="H14" s="288"/>
      <c r="I14" s="288"/>
      <c r="J14" s="288"/>
      <c r="K14" s="288"/>
      <c r="L14" s="288"/>
      <c r="M14" s="119"/>
      <c r="N14" s="119"/>
      <c r="O14" s="119"/>
      <c r="P14" s="209" t="str">
        <f>Cen!A178</f>
        <v>Korpusové lišty BLUMOTION, 300mm, 40kg</v>
      </c>
      <c r="Q14" s="209" t="str">
        <f>Cen!B178</f>
        <v>750.3001B</v>
      </c>
      <c r="R14" s="209" t="str">
        <f>Cen!C178</f>
        <v>ZN</v>
      </c>
      <c r="S14" s="260">
        <f>E21</f>
        <v>0</v>
      </c>
      <c r="T14" s="261">
        <f>Cen!F178</f>
        <v>21.925909999999998</v>
      </c>
      <c r="U14" s="261">
        <f t="shared" si="1"/>
        <v>0</v>
      </c>
    </row>
    <row r="15" spans="1:21" x14ac:dyDescent="0.25">
      <c r="A15" s="119"/>
      <c r="B15" s="119"/>
      <c r="C15" s="119"/>
      <c r="D15" s="119"/>
      <c r="E15" s="119"/>
      <c r="F15" s="119"/>
      <c r="G15" s="119"/>
      <c r="H15" s="337"/>
      <c r="I15" s="337"/>
      <c r="J15" s="337"/>
      <c r="K15" s="337"/>
      <c r="L15" s="337"/>
      <c r="M15" s="119"/>
      <c r="N15" s="119"/>
      <c r="O15" s="119"/>
      <c r="P15" s="209" t="str">
        <f>Cen!A179</f>
        <v>Korpusové lišty BLUMOTION, 350mm, 40kg</v>
      </c>
      <c r="Q15" s="209" t="str">
        <f>Cen!B179</f>
        <v>750.3501B</v>
      </c>
      <c r="R15" s="209" t="str">
        <f>Cen!C179</f>
        <v>ZN</v>
      </c>
      <c r="S15" s="260">
        <f>F21</f>
        <v>0</v>
      </c>
      <c r="T15" s="261">
        <f>Cen!F179</f>
        <v>21.845690000000001</v>
      </c>
      <c r="U15" s="26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Cen!A180</f>
        <v>Korpusové lišty BLUMOTION, 400mm, 40kg</v>
      </c>
      <c r="Q16" s="209" t="str">
        <f>Cen!B180</f>
        <v>750.4001B</v>
      </c>
      <c r="R16" s="209" t="str">
        <f>Cen!C180</f>
        <v>ZN</v>
      </c>
      <c r="S16" s="260">
        <f>G21</f>
        <v>0</v>
      </c>
      <c r="T16" s="261">
        <f>Cen!F180</f>
        <v>22.204979999999999</v>
      </c>
      <c r="U16" s="261">
        <f t="shared" si="1"/>
        <v>0</v>
      </c>
    </row>
    <row r="17" spans="1:21" x14ac:dyDescent="0.25">
      <c r="A17" s="119"/>
      <c r="B17" s="119"/>
      <c r="C17" s="119"/>
      <c r="D17" s="119"/>
      <c r="E17" s="119"/>
      <c r="F17" s="119"/>
      <c r="G17" s="119"/>
      <c r="H17" s="179"/>
      <c r="I17" s="179"/>
      <c r="J17" s="179"/>
      <c r="K17" s="179"/>
      <c r="L17" s="179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x14ac:dyDescent="0.25">
      <c r="A18" s="119"/>
      <c r="B18" s="119"/>
      <c r="C18" s="119"/>
      <c r="D18" s="119"/>
      <c r="E18" s="119"/>
      <c r="F18" s="119"/>
      <c r="G18" s="119"/>
      <c r="H18" s="179"/>
      <c r="I18" s="179"/>
      <c r="J18" s="179"/>
      <c r="K18" s="179"/>
      <c r="L18" s="179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3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343" t="str">
        <f>Cen!A183</f>
        <v>Korpusové lišty BLUMOTION, 500mm, 40kg</v>
      </c>
      <c r="Q19" s="343" t="str">
        <f>Cen!B183</f>
        <v>750.5001B</v>
      </c>
      <c r="R19" s="343" t="str">
        <f>Cen!C183</f>
        <v>ZN</v>
      </c>
      <c r="S19" s="344">
        <f>I21</f>
        <v>0</v>
      </c>
      <c r="T19" s="345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 t="s">
        <v>614</v>
      </c>
      <c r="E20" s="305" t="s">
        <v>57</v>
      </c>
      <c r="F20" s="305" t="s">
        <v>615</v>
      </c>
      <c r="G20" s="305" t="s">
        <v>616</v>
      </c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343" t="str">
        <f>Cen!A184</f>
        <v>Korpusové lišty BLUMOTION, 500mm, 70kg</v>
      </c>
      <c r="Q20" s="343" t="str">
        <f>Cen!B184</f>
        <v>753.5001B</v>
      </c>
      <c r="R20" s="343" t="str">
        <f>Cen!C184</f>
        <v>ZN</v>
      </c>
      <c r="S20" s="344">
        <f>I22</f>
        <v>0</v>
      </c>
      <c r="T20" s="345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508</v>
      </c>
      <c r="C21" s="298" t="s">
        <v>505</v>
      </c>
      <c r="D21" s="299"/>
      <c r="E21" s="299"/>
      <c r="F21" s="299"/>
      <c r="G21" s="299"/>
      <c r="H21" s="299"/>
      <c r="I21" s="299"/>
      <c r="J21" s="299"/>
      <c r="K21" s="300"/>
      <c r="L21" s="572"/>
      <c r="M21" s="17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509</v>
      </c>
      <c r="C22" s="311" t="s">
        <v>506</v>
      </c>
      <c r="D22" s="415"/>
      <c r="E22" s="415"/>
      <c r="F22" s="415"/>
      <c r="G22" s="415"/>
      <c r="H22" s="303"/>
      <c r="I22" s="303"/>
      <c r="J22" s="303"/>
      <c r="K22" s="304"/>
      <c r="L22" s="304"/>
      <c r="M22" s="17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7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7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7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 t="s">
        <v>614</v>
      </c>
      <c r="E26" s="305" t="s">
        <v>57</v>
      </c>
      <c r="F26" s="305" t="s">
        <v>615</v>
      </c>
      <c r="G26" s="305" t="s">
        <v>616</v>
      </c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7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510</v>
      </c>
      <c r="C27" s="298" t="s">
        <v>505</v>
      </c>
      <c r="D27" s="299"/>
      <c r="E27" s="299"/>
      <c r="F27" s="299"/>
      <c r="G27" s="299"/>
      <c r="H27" s="299"/>
      <c r="I27" s="299"/>
      <c r="J27" s="299"/>
      <c r="K27" s="300"/>
      <c r="L27" s="572"/>
      <c r="M27" s="179"/>
      <c r="N27" s="119"/>
      <c r="O27" s="119"/>
      <c r="P27" s="209" t="str">
        <f>Cen!A193</f>
        <v>Korpusové lišty TIP-ON, 270mm, 40kg</v>
      </c>
      <c r="Q27" s="209" t="str">
        <f>Cen!B193</f>
        <v>750.2701T</v>
      </c>
      <c r="R27" s="209" t="str">
        <f>Cen!C193</f>
        <v>ZN</v>
      </c>
      <c r="S27" s="260">
        <f>D27</f>
        <v>0</v>
      </c>
      <c r="T27" s="261">
        <f>Cen!F193</f>
        <v>30.366460000000004</v>
      </c>
      <c r="U27" s="261">
        <f t="shared" si="1"/>
        <v>0</v>
      </c>
    </row>
    <row r="28" spans="1:21" ht="14" x14ac:dyDescent="0.3">
      <c r="A28" s="119"/>
      <c r="B28" s="296" t="s">
        <v>519</v>
      </c>
      <c r="C28" s="310" t="s">
        <v>506</v>
      </c>
      <c r="D28" s="415"/>
      <c r="E28" s="415"/>
      <c r="F28" s="415"/>
      <c r="G28" s="415"/>
      <c r="H28" s="303"/>
      <c r="I28" s="303"/>
      <c r="J28" s="303"/>
      <c r="K28" s="304"/>
      <c r="L28" s="304"/>
      <c r="M28" s="179"/>
      <c r="N28" s="119"/>
      <c r="O28" s="119"/>
      <c r="P28" s="209" t="str">
        <f>Cen!A194</f>
        <v>Korpusové lišty TIP-ON, 300mm, 40kg</v>
      </c>
      <c r="Q28" s="209" t="str">
        <f>Cen!B194</f>
        <v>750.3001T</v>
      </c>
      <c r="R28" s="209" t="str">
        <f>Cen!C194</f>
        <v>ZN</v>
      </c>
      <c r="S28" s="260">
        <f>E27</f>
        <v>0</v>
      </c>
      <c r="T28" s="261">
        <f>Cen!F194</f>
        <v>30.366460000000004</v>
      </c>
      <c r="U28" s="261">
        <f t="shared" si="1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79"/>
      <c r="N29" s="119"/>
      <c r="O29" s="119"/>
      <c r="P29" s="209" t="str">
        <f>Cen!A195</f>
        <v>Korpusové lišty TIP-ON, 350mm, 40kg</v>
      </c>
      <c r="Q29" s="209" t="str">
        <f>Cen!B195</f>
        <v>750.3501T</v>
      </c>
      <c r="R29" s="209" t="str">
        <f>Cen!C195</f>
        <v>ZN</v>
      </c>
      <c r="S29" s="260">
        <f>F27</f>
        <v>0</v>
      </c>
      <c r="T29" s="261">
        <f>Cen!F195</f>
        <v>30.366460000000004</v>
      </c>
      <c r="U29" s="261">
        <f t="shared" si="1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79"/>
      <c r="N30" s="119"/>
      <c r="O30" s="119"/>
      <c r="P30" s="209" t="str">
        <f>Cen!A196</f>
        <v>Korpusové lišty TIP-ON, 400mm, 40kg</v>
      </c>
      <c r="Q30" s="209" t="str">
        <f>Cen!B196</f>
        <v>750.4001T</v>
      </c>
      <c r="R30" s="209" t="str">
        <f>Cen!C196</f>
        <v>ZN</v>
      </c>
      <c r="S30" s="260">
        <f>G27</f>
        <v>0</v>
      </c>
      <c r="T30" s="261">
        <f>Cen!F196</f>
        <v>30.645720000000001</v>
      </c>
      <c r="U30" s="261">
        <f t="shared" si="1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Cen!A197</f>
        <v>Korpusové lišty TIP-ON, 450mm, 40kg</v>
      </c>
      <c r="Q31" s="209" t="str">
        <f>Cen!B197</f>
        <v>750.4501T</v>
      </c>
      <c r="R31" s="209" t="str">
        <f>Cen!C197</f>
        <v>ZN</v>
      </c>
      <c r="S31" s="260">
        <f>H27</f>
        <v>0</v>
      </c>
      <c r="T31" s="261">
        <f>Cen!F197</f>
        <v>32.552599999999998</v>
      </c>
      <c r="U31" s="261">
        <f t="shared" si="1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 t="s">
        <v>614</v>
      </c>
      <c r="E32" s="305" t="s">
        <v>57</v>
      </c>
      <c r="F32" s="305" t="s">
        <v>615</v>
      </c>
      <c r="G32" s="305" t="s">
        <v>616</v>
      </c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Cen!A198</f>
        <v>Korpusové lišty TIP-ON, 450mm, 70kg</v>
      </c>
      <c r="Q32" s="209" t="str">
        <f>Cen!B198</f>
        <v>753.4501T</v>
      </c>
      <c r="R32" s="209" t="str">
        <f>Cen!C198</f>
        <v>ZN</v>
      </c>
      <c r="S32" s="260">
        <f>H28</f>
        <v>0</v>
      </c>
      <c r="T32" s="261">
        <f>Cen!F198</f>
        <v>36.006259999999997</v>
      </c>
      <c r="U32" s="261">
        <f t="shared" si="1"/>
        <v>0</v>
      </c>
    </row>
    <row r="33" spans="1:21" ht="14.5" thickBot="1" x14ac:dyDescent="0.35">
      <c r="A33" s="119"/>
      <c r="B33" s="297" t="s">
        <v>1189</v>
      </c>
      <c r="C33" s="298" t="s">
        <v>505</v>
      </c>
      <c r="D33" s="299"/>
      <c r="E33" s="299"/>
      <c r="F33" s="299"/>
      <c r="G33" s="299"/>
      <c r="H33" s="299"/>
      <c r="I33" s="299"/>
      <c r="J33" s="299"/>
      <c r="K33" s="300"/>
      <c r="L33" s="572"/>
      <c r="M33" s="119"/>
      <c r="N33" s="119"/>
      <c r="O33" s="119"/>
      <c r="P33" s="343" t="str">
        <f>Cen!A199</f>
        <v>Korpusové lišty TIP-ON, 500mm, 40kg</v>
      </c>
      <c r="Q33" s="343" t="str">
        <f>Cen!B199</f>
        <v>750.5001T</v>
      </c>
      <c r="R33" s="343" t="str">
        <f>Cen!C199</f>
        <v>ZN</v>
      </c>
      <c r="S33" s="344">
        <f>I27</f>
        <v>0</v>
      </c>
      <c r="T33" s="345">
        <f>Cen!F199</f>
        <v>32.846359999999997</v>
      </c>
      <c r="U33" s="261">
        <f t="shared" si="1"/>
        <v>0</v>
      </c>
    </row>
    <row r="34" spans="1:21" ht="14" x14ac:dyDescent="0.3">
      <c r="A34" s="119"/>
      <c r="B34" s="296" t="s">
        <v>1190</v>
      </c>
      <c r="C34" s="310" t="s">
        <v>506</v>
      </c>
      <c r="D34" s="415"/>
      <c r="E34" s="415"/>
      <c r="F34" s="415"/>
      <c r="G34" s="415"/>
      <c r="H34" s="303"/>
      <c r="I34" s="303"/>
      <c r="J34" s="303"/>
      <c r="K34" s="304"/>
      <c r="L34" s="304"/>
      <c r="M34" s="119"/>
      <c r="N34" s="119"/>
      <c r="O34" s="119"/>
      <c r="P34" s="343" t="str">
        <f>Cen!A200</f>
        <v>Korpusové lišty TIP-ON, 500mm, 70kg</v>
      </c>
      <c r="Q34" s="343" t="str">
        <f>Cen!B200</f>
        <v>753.5001T</v>
      </c>
      <c r="R34" s="343" t="str">
        <f>Cen!C200</f>
        <v>ZN</v>
      </c>
      <c r="S34" s="344">
        <f>I28</f>
        <v>0</v>
      </c>
      <c r="T34" s="345">
        <f>Cen!F200</f>
        <v>36.285339999999998</v>
      </c>
      <c r="U34" s="261">
        <f t="shared" si="1"/>
        <v>0</v>
      </c>
    </row>
    <row r="35" spans="1:21" ht="14" x14ac:dyDescent="0.3">
      <c r="A35" s="119"/>
      <c r="B35" s="350"/>
      <c r="C35" s="291"/>
      <c r="D35" s="351"/>
      <c r="E35" s="295"/>
      <c r="F35" s="295"/>
      <c r="G35" s="295"/>
      <c r="H35" s="295"/>
      <c r="I35" s="289"/>
      <c r="J35" s="289"/>
      <c r="K35" s="289"/>
      <c r="L35" s="289"/>
      <c r="M35" s="119"/>
      <c r="N35" s="119"/>
      <c r="O35" s="119"/>
      <c r="P35" s="209" t="str">
        <f>Cen!A201</f>
        <v>Korpusové lišty TIP-ON, 550mm, 40kg</v>
      </c>
      <c r="Q35" s="209" t="str">
        <f>Cen!B201</f>
        <v>750.5501T</v>
      </c>
      <c r="R35" s="209" t="str">
        <f>Cen!C201</f>
        <v>ZN</v>
      </c>
      <c r="S35" s="260">
        <f>J27</f>
        <v>0</v>
      </c>
      <c r="T35" s="261">
        <f>Cen!F201</f>
        <v>32.694760000000002</v>
      </c>
      <c r="U35" s="261">
        <f t="shared" si="1"/>
        <v>0</v>
      </c>
    </row>
    <row r="36" spans="1:21" ht="13" x14ac:dyDescent="0.3">
      <c r="A36" s="119"/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O36" s="119"/>
      <c r="P36" s="209" t="str">
        <f>Cen!A202</f>
        <v>Korpusové lišty TIP-ON, 550mm, 70kg</v>
      </c>
      <c r="Q36" s="209" t="str">
        <f>Cen!B202</f>
        <v>753.5501T</v>
      </c>
      <c r="R36" s="209" t="str">
        <f>Cen!C202</f>
        <v>ZN</v>
      </c>
      <c r="S36" s="260">
        <f>J28</f>
        <v>0</v>
      </c>
      <c r="T36" s="261">
        <f>Cen!F202</f>
        <v>37.776060000000001</v>
      </c>
      <c r="U36" s="261">
        <f t="shared" si="1"/>
        <v>0</v>
      </c>
    </row>
    <row r="37" spans="1:21" ht="14" x14ac:dyDescent="0.3">
      <c r="B37" s="291"/>
      <c r="C37" s="291"/>
      <c r="D37" s="308" t="s">
        <v>1192</v>
      </c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P37" s="122" t="str">
        <f>Cen!A203</f>
        <v>Korpusové lišty TIP-ON, 600mm, 40kg</v>
      </c>
      <c r="Q37" s="122" t="str">
        <f>Cen!B203</f>
        <v>750.6001T</v>
      </c>
      <c r="R37" s="122" t="str">
        <f>Cen!C203</f>
        <v>ZN</v>
      </c>
      <c r="S37" s="123">
        <f>K27</f>
        <v>0</v>
      </c>
      <c r="T37" s="118">
        <f>Cen!F203</f>
        <v>35.700530000000001</v>
      </c>
      <c r="U37" s="261">
        <f t="shared" si="1"/>
        <v>0</v>
      </c>
    </row>
    <row r="38" spans="1:21" ht="14.5" thickBot="1" x14ac:dyDescent="0.35">
      <c r="B38" s="179"/>
      <c r="C38" s="291"/>
      <c r="D38" s="299"/>
      <c r="E38" s="299"/>
      <c r="F38" s="299"/>
      <c r="G38" s="300"/>
      <c r="H38" s="662" t="str">
        <f>IF(SUM(F33:K33,H34:L34)=SUM(E38:G38)," ",P82)</f>
        <v xml:space="preserve"> </v>
      </c>
      <c r="I38" s="291"/>
      <c r="P38" s="122" t="str">
        <f>Cen!A204</f>
        <v>Korpusové lišty TIP-ON, 600mm, 70kg</v>
      </c>
      <c r="Q38" s="122" t="str">
        <f>Cen!B204</f>
        <v>753.6001T</v>
      </c>
      <c r="R38" s="122" t="str">
        <f>Cen!C204</f>
        <v>ZN</v>
      </c>
      <c r="S38" s="123">
        <f>K28</f>
        <v>0</v>
      </c>
      <c r="T38" s="118">
        <f>Cen!F204</f>
        <v>40.781829999999999</v>
      </c>
      <c r="U38" s="118">
        <f t="shared" si="1"/>
        <v>0</v>
      </c>
    </row>
    <row r="39" spans="1:21" ht="15" customHeight="1" x14ac:dyDescent="0.25">
      <c r="C39" s="661"/>
      <c r="D39" s="660" t="str">
        <f>IF(AND(SUM($D$33,$E$33)&gt;0,$D$38=0),$P$81, IF(AND(SUM($D$33,$E$33)=0,$D$38&gt;0),$P$80, IF(SUM($D$33,$E$33)&lt;&gt;$D$38,$P$80," ")))</f>
        <v xml:space="preserve"> </v>
      </c>
      <c r="E39" s="291"/>
      <c r="F39" s="291"/>
      <c r="G39" s="291"/>
      <c r="H39" s="291"/>
      <c r="I39" s="291"/>
      <c r="P39" s="122" t="str">
        <f>Cen!A205</f>
        <v>Korpusové lišty TIP-ON, 650mm, 70kg</v>
      </c>
      <c r="Q39" s="122" t="str">
        <f>Cen!B205</f>
        <v>753.6501T</v>
      </c>
      <c r="R39" s="122" t="str">
        <f>Cen!C205</f>
        <v>ZN</v>
      </c>
      <c r="S39" s="123">
        <f>L28</f>
        <v>0</v>
      </c>
      <c r="T39" s="118">
        <f>Cen!F205</f>
        <v>42.272550000000003</v>
      </c>
      <c r="U39" s="118">
        <f>S39*T39</f>
        <v>0</v>
      </c>
    </row>
    <row r="40" spans="1:21" x14ac:dyDescent="0.25">
      <c r="B40" s="661"/>
      <c r="C40" s="661"/>
      <c r="D40" s="660" t="str">
        <f>IF(SUM($D$33,$E$33)&lt;&gt;$D$38,$P$83," ")</f>
        <v xml:space="preserve"> </v>
      </c>
      <c r="P40" s="144"/>
      <c r="Q40" s="144"/>
      <c r="R40" s="144"/>
      <c r="S40" s="150"/>
      <c r="T40" s="154"/>
      <c r="U40" s="154"/>
    </row>
    <row r="41" spans="1:21" x14ac:dyDescent="0.25">
      <c r="P41" s="209" t="str">
        <f>Cen!A209</f>
        <v>Korpusové lišty TIP-ON BLUMOTION, 270mm, 40kg</v>
      </c>
      <c r="Q41" s="209" t="str">
        <f>Cen!B209</f>
        <v>750.2700M</v>
      </c>
      <c r="R41" s="209" t="str">
        <f>Cen!C209</f>
        <v>ZN</v>
      </c>
      <c r="S41" s="260">
        <f>D33</f>
        <v>0</v>
      </c>
      <c r="T41" s="261">
        <f>Cen!F209</f>
        <v>21.925909999999998</v>
      </c>
      <c r="U41" s="261">
        <f t="shared" ref="U41:U50" si="2">S41*T41</f>
        <v>0</v>
      </c>
    </row>
    <row r="42" spans="1:21" x14ac:dyDescent="0.25">
      <c r="P42" s="209" t="str">
        <f>Cen!A210</f>
        <v>Korpusové lišty TIP-ON BLUMOTION, 300mm, 40kg</v>
      </c>
      <c r="Q42" s="209" t="str">
        <f>Cen!B210</f>
        <v>750.3001M</v>
      </c>
      <c r="R42" s="209" t="str">
        <f>Cen!C210</f>
        <v>ZN</v>
      </c>
      <c r="S42" s="260">
        <f>E33</f>
        <v>0</v>
      </c>
      <c r="T42" s="261">
        <f>Cen!F210</f>
        <v>21.925909999999998</v>
      </c>
      <c r="U42" s="261">
        <f t="shared" si="2"/>
        <v>0</v>
      </c>
    </row>
    <row r="43" spans="1:21" x14ac:dyDescent="0.25">
      <c r="P43" s="209" t="str">
        <f>Cen!A211</f>
        <v>Korpusové lišty TIP-ON BLUMOTION, 350mm, 40kg</v>
      </c>
      <c r="Q43" s="209" t="str">
        <f>Cen!B211</f>
        <v>750.3501M</v>
      </c>
      <c r="R43" s="209" t="str">
        <f>Cen!C211</f>
        <v>ZN</v>
      </c>
      <c r="S43" s="260">
        <f>F33</f>
        <v>0</v>
      </c>
      <c r="T43" s="261">
        <f>Cen!F211</f>
        <v>21.925909999999998</v>
      </c>
      <c r="U43" s="261">
        <f t="shared" si="2"/>
        <v>0</v>
      </c>
    </row>
    <row r="44" spans="1:21" x14ac:dyDescent="0.25">
      <c r="P44" s="209" t="str">
        <f>Cen!A212</f>
        <v>Korpusové lišty TIP-ON BLUMOTION, 400mm, 40kg</v>
      </c>
      <c r="Q44" s="209" t="str">
        <f>Cen!B212</f>
        <v>750.4001M</v>
      </c>
      <c r="R44" s="209" t="str">
        <f>Cen!C212</f>
        <v>ZN</v>
      </c>
      <c r="S44" s="260">
        <f>G33</f>
        <v>0</v>
      </c>
      <c r="T44" s="261">
        <f>Cen!F212</f>
        <v>22.204979999999999</v>
      </c>
      <c r="U44" s="261">
        <f t="shared" si="2"/>
        <v>0</v>
      </c>
    </row>
    <row r="45" spans="1:21" x14ac:dyDescent="0.25">
      <c r="P45" s="209" t="str">
        <f>Cen!A213</f>
        <v>Korpusové lišty TIP-ON BLUMOTION, 450mm, 40kg</v>
      </c>
      <c r="Q45" s="209" t="str">
        <f>Cen!B213</f>
        <v>750.4501M</v>
      </c>
      <c r="R45" s="209" t="str">
        <f>Cen!C213</f>
        <v>ZN</v>
      </c>
      <c r="S45" s="260">
        <f>H33</f>
        <v>0</v>
      </c>
      <c r="T45" s="261">
        <f>Cen!F213</f>
        <v>23.667639999999995</v>
      </c>
      <c r="U45" s="261">
        <f t="shared" si="2"/>
        <v>0</v>
      </c>
    </row>
    <row r="46" spans="1:21" x14ac:dyDescent="0.25">
      <c r="P46" s="209" t="str">
        <f>Cen!A214</f>
        <v>Korpusové lišty TIP-ON BLUMOTION, 450mm, 70kg</v>
      </c>
      <c r="Q46" s="209" t="str">
        <f>Cen!B214</f>
        <v>753.4501M</v>
      </c>
      <c r="R46" s="209" t="str">
        <f>Cen!C214</f>
        <v>ZN</v>
      </c>
      <c r="S46" s="260">
        <f>H34</f>
        <v>0</v>
      </c>
      <c r="T46" s="261">
        <f>Cen!F214</f>
        <v>27.780560000000001</v>
      </c>
      <c r="U46" s="261">
        <f t="shared" si="2"/>
        <v>0</v>
      </c>
    </row>
    <row r="47" spans="1:21" ht="13" x14ac:dyDescent="0.3">
      <c r="P47" s="343" t="str">
        <f>Cen!A215</f>
        <v>Korpusové lišty TIP-ON BLUMOTION, 500mm, 40kg</v>
      </c>
      <c r="Q47" s="343" t="str">
        <f>Cen!B215</f>
        <v>750.5001M</v>
      </c>
      <c r="R47" s="343" t="str">
        <f>Cen!C215</f>
        <v>ZN</v>
      </c>
      <c r="S47" s="344">
        <f>I33</f>
        <v>0</v>
      </c>
      <c r="T47" s="345">
        <f>Cen!F215</f>
        <v>23.961559999999999</v>
      </c>
      <c r="U47" s="261">
        <f t="shared" si="2"/>
        <v>0</v>
      </c>
    </row>
    <row r="48" spans="1:21" ht="13" x14ac:dyDescent="0.3">
      <c r="P48" s="343" t="str">
        <f>Cen!A216</f>
        <v>Korpusové lišty TIP-ON BLUMOTION, 500mm, 70kg</v>
      </c>
      <c r="Q48" s="343" t="str">
        <f>Cen!B216</f>
        <v>753.5001M</v>
      </c>
      <c r="R48" s="343" t="str">
        <f>Cen!C216</f>
        <v>ZN</v>
      </c>
      <c r="S48" s="344">
        <f>I34</f>
        <v>0</v>
      </c>
      <c r="T48" s="345">
        <f>Cen!F216</f>
        <v>28.059809999999999</v>
      </c>
      <c r="U48" s="261">
        <f t="shared" si="2"/>
        <v>0</v>
      </c>
    </row>
    <row r="49" spans="16:21" x14ac:dyDescent="0.25"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261">
        <f t="shared" si="2"/>
        <v>0</v>
      </c>
    </row>
    <row r="50" spans="16:21" x14ac:dyDescent="0.25"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2"/>
        <v>0</v>
      </c>
    </row>
    <row r="51" spans="16:21" x14ac:dyDescent="0.25"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>S51*T51</f>
        <v>0</v>
      </c>
    </row>
    <row r="52" spans="16:21" x14ac:dyDescent="0.25"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>S52*T52</f>
        <v>0</v>
      </c>
    </row>
    <row r="53" spans="16:21" x14ac:dyDescent="0.25"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>S53*T53</f>
        <v>0</v>
      </c>
    </row>
    <row r="54" spans="16:21" x14ac:dyDescent="0.25">
      <c r="P54" s="144"/>
      <c r="Q54" s="144"/>
      <c r="R54" s="144"/>
      <c r="S54" s="150"/>
      <c r="T54" s="154"/>
      <c r="U54" s="154"/>
    </row>
    <row r="55" spans="16:21" x14ac:dyDescent="0.25"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>
        <f>D38</f>
        <v>0</v>
      </c>
      <c r="T55" s="118">
        <f>Cen!F223</f>
        <v>15.883479999999999</v>
      </c>
      <c r="U55" s="118">
        <f>S55*T55</f>
        <v>0</v>
      </c>
    </row>
    <row r="56" spans="16:21" x14ac:dyDescent="0.25"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>S56*T56</f>
        <v>0</v>
      </c>
    </row>
    <row r="57" spans="16:21" x14ac:dyDescent="0.25"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>S57*T57</f>
        <v>0</v>
      </c>
    </row>
    <row r="58" spans="16:21" x14ac:dyDescent="0.25"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>S58*T58</f>
        <v>0</v>
      </c>
    </row>
    <row r="59" spans="16:21" x14ac:dyDescent="0.25">
      <c r="P59" s="144"/>
      <c r="Q59" s="144"/>
      <c r="R59" s="144"/>
      <c r="S59" s="150"/>
      <c r="T59" s="154"/>
      <c r="U59" s="154"/>
    </row>
    <row r="60" spans="16:21" x14ac:dyDescent="0.25">
      <c r="P60" s="122" t="str">
        <f>Cen!A251</f>
        <v>Držáky zadní stěny M, Orion šedé</v>
      </c>
      <c r="Q60" s="122" t="str">
        <f>Cen!B251</f>
        <v>ZB7M000S</v>
      </c>
      <c r="R60" s="122" t="str">
        <f>Cen!C251</f>
        <v>OG-M</v>
      </c>
      <c r="S60" s="123">
        <f>SUM($S$3:$S$11)</f>
        <v>0</v>
      </c>
      <c r="T60" s="118">
        <f>Cen!$F251</f>
        <v>1.20011</v>
      </c>
      <c r="U60" s="118">
        <f t="shared" si="1"/>
        <v>0</v>
      </c>
    </row>
    <row r="61" spans="16:21" x14ac:dyDescent="0.25">
      <c r="P61" s="122" t="str">
        <f>Cen!A274</f>
        <v>Čelní kování M, EXPANDO</v>
      </c>
      <c r="Q61" s="122" t="str">
        <f>Cen!B274</f>
        <v>ZF7M70E2</v>
      </c>
      <c r="R61" s="122" t="str">
        <f>Cen!C274</f>
        <v>BL</v>
      </c>
      <c r="S61" s="123">
        <f>SUM($S$3:$S$11)*2</f>
        <v>0</v>
      </c>
      <c r="T61" s="118">
        <f>Cen!F274</f>
        <v>0.35138999999999998</v>
      </c>
      <c r="U61" s="118">
        <f t="shared" si="1"/>
        <v>0</v>
      </c>
    </row>
    <row r="62" spans="16:21" x14ac:dyDescent="0.25">
      <c r="P62" s="119"/>
      <c r="Q62" s="119"/>
    </row>
    <row r="63" spans="16:21" x14ac:dyDescent="0.25">
      <c r="P63" s="119"/>
      <c r="Q63" s="119"/>
      <c r="S63" s="73" t="str">
        <f>List!$B$94</f>
        <v>cena kování</v>
      </c>
      <c r="U63" s="353">
        <f>SUM(U3:U62)</f>
        <v>0</v>
      </c>
    </row>
    <row r="64" spans="16:21" x14ac:dyDescent="0.25">
      <c r="P64" s="119"/>
      <c r="Q64" s="119"/>
    </row>
    <row r="65" spans="16:17" x14ac:dyDescent="0.25">
      <c r="Q65" s="119"/>
    </row>
    <row r="80" spans="16:17" x14ac:dyDescent="0.25">
      <c r="P80" s="119" t="str">
        <f>List!B305&amp;"!"</f>
        <v>S1 pouze pro jmenovitou délku 270 a 300 mm!</v>
      </c>
    </row>
    <row r="81" spans="16:16" x14ac:dyDescent="0.25">
      <c r="P81" s="119" t="str">
        <f>List!B306&amp;"!"</f>
        <v>Pro výsuvy délky 270 a 300 mm vyberte jednotky S1!</v>
      </c>
    </row>
    <row r="82" spans="16:16" x14ac:dyDescent="0.25">
      <c r="P82" s="119" t="str">
        <f>List!B307&amp;"!"</f>
        <v>Počet jednotek L neodpovídá počtu korpusových lišt!</v>
      </c>
    </row>
    <row r="83" spans="16:16" x14ac:dyDescent="0.25">
      <c r="P83" s="119" t="str">
        <f>List!B308&amp;"!"</f>
        <v>Počet jednotek S1 neodpovídá počtu korpusových lišt!</v>
      </c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19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19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05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05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05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05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</sheetData>
  <sheetProtection algorithmName="SHA-512" hashValue="SuD3gf951975sUdl7PEbWPfNQDGLDjcZtD8RjSqYqINaYRec5mRS47i9xPOY9jltcyCTd5eswtQkAC7SeoNEcA==" saltValue="koWRu8ERQ1uJN8ojOg+bBQ==" spinCount="100000" sheet="1" objects="1" scenarios="1"/>
  <mergeCells count="19">
    <mergeCell ref="H110:L111"/>
    <mergeCell ref="B104:C111"/>
    <mergeCell ref="D104:I104"/>
    <mergeCell ref="D105:F105"/>
    <mergeCell ref="D106:F106"/>
    <mergeCell ref="D107:F109"/>
    <mergeCell ref="I36:L37"/>
    <mergeCell ref="A99:A139"/>
    <mergeCell ref="B100:L101"/>
    <mergeCell ref="H106:I106"/>
    <mergeCell ref="H107:I107"/>
    <mergeCell ref="H108:I108"/>
    <mergeCell ref="H109:I109"/>
    <mergeCell ref="H105:I105"/>
    <mergeCell ref="J104:L105"/>
    <mergeCell ref="J108:K108"/>
    <mergeCell ref="K109:L109"/>
    <mergeCell ref="D103:L103"/>
    <mergeCell ref="B103:C103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M400P'!A100" tooltip=" " display="'7M400P'!A100"/>
    <hyperlink ref="N111" location="'7M400P'!A1" tooltip=" " display="'7M400P'!A1"/>
  </hyperlinks>
  <pageMargins left="0.7" right="0.7" top="0.78740157499999996" bottom="0.78740157499999996" header="0.3" footer="0.3"/>
  <pageSetup paperSize="9" orientation="landscape" verticalDpi="599" r:id="rId1"/>
  <headerFooter alignWithMargins="0"/>
  <ignoredErrors>
    <ignoredError sqref="H38" formulaRange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indexed="53"/>
  </sheetPr>
  <dimension ref="A1:T50"/>
  <sheetViews>
    <sheetView showGridLines="0" showRowColHeaders="0" workbookViewId="0">
      <selection activeCell="M7" sqref="M7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4" width="3.81640625" style="2" customWidth="1"/>
    <col min="15" max="15" width="38.453125" style="2" hidden="1" customWidth="1"/>
    <col min="16" max="16" width="11.1796875" style="2" hidden="1" customWidth="1"/>
    <col min="17" max="17" width="0" style="2" hidden="1" customWidth="1"/>
    <col min="18" max="18" width="7.7265625" style="2" hidden="1" customWidth="1"/>
    <col min="19" max="19" width="8.7265625" style="2" hidden="1" customWidth="1"/>
    <col min="20" max="20" width="10.81640625" style="2" hidden="1" customWidth="1"/>
    <col min="21" max="16384" width="9.1796875" style="2"/>
  </cols>
  <sheetData>
    <row r="1" spans="1:20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20" ht="22.5" x14ac:dyDescent="0.45">
      <c r="A2" s="119"/>
      <c r="B2" s="119"/>
      <c r="C2" s="119"/>
      <c r="D2" s="119"/>
      <c r="E2" s="119"/>
      <c r="F2" s="119"/>
      <c r="G2" s="119"/>
      <c r="K2" s="10" t="str">
        <f>"AMBIA-LINE"&amp;" - "&amp;List!$B$124</f>
        <v>AMBIA-LINE - Pomůcky do kuchyně</v>
      </c>
      <c r="L2" s="119"/>
      <c r="M2" s="2" t="str">
        <f>List!$B$11&amp;":"</f>
        <v>Zpět na:</v>
      </c>
      <c r="N2" s="119"/>
      <c r="O2" s="188" t="str">
        <f>List!$B$22&amp;":"</f>
        <v>Soupis kování:</v>
      </c>
      <c r="P2" s="121"/>
      <c r="Q2" s="121"/>
      <c r="R2" s="121"/>
      <c r="S2" s="121"/>
      <c r="T2" s="121"/>
    </row>
    <row r="3" spans="1:20" ht="13" thickBot="1" x14ac:dyDescent="0.3">
      <c r="A3" s="119"/>
      <c r="B3" s="119"/>
      <c r="C3" s="119"/>
      <c r="D3" s="119"/>
      <c r="E3" s="119"/>
      <c r="F3" s="119"/>
      <c r="G3" s="119"/>
      <c r="H3" s="189"/>
      <c r="I3" s="189" t="str">
        <f>List!$B$143&amp;":"</f>
        <v>Základní prvek:</v>
      </c>
      <c r="J3" s="190"/>
      <c r="K3" s="189" t="str">
        <f>List!$B$49&amp;" M"</f>
        <v>Zásuvka M</v>
      </c>
      <c r="L3" s="119"/>
      <c r="M3" s="151" t="str">
        <f>" "&amp;List!$B$13</f>
        <v xml:space="preserve"> Úvod</v>
      </c>
      <c r="N3" s="119"/>
      <c r="O3" s="436"/>
      <c r="P3" s="436"/>
      <c r="Q3" s="436"/>
      <c r="R3" s="437"/>
      <c r="S3" s="438"/>
      <c r="T3" s="438"/>
    </row>
    <row r="4" spans="1:20" ht="13" thickBot="1" x14ac:dyDescent="0.3">
      <c r="A4" s="119"/>
      <c r="B4" s="119"/>
      <c r="C4" s="119"/>
      <c r="D4" s="119"/>
      <c r="E4" s="119"/>
      <c r="F4" s="119"/>
      <c r="G4" s="119"/>
      <c r="K4" s="73" t="str">
        <f>List!$B$51&amp;" C, F"</f>
        <v>Čelní výsuv C, F</v>
      </c>
      <c r="L4" s="119"/>
      <c r="M4" s="152" t="str">
        <f>" "&amp;List!$B$4</f>
        <v xml:space="preserve"> Výběr zásuvek a výsuvů</v>
      </c>
      <c r="N4" s="119"/>
      <c r="O4" s="436"/>
      <c r="P4" s="436"/>
      <c r="Q4" s="436"/>
      <c r="R4" s="437"/>
      <c r="S4" s="438"/>
      <c r="T4" s="438"/>
    </row>
    <row r="5" spans="1:20" ht="13" thickBot="1" x14ac:dyDescent="0.3">
      <c r="A5" s="119"/>
      <c r="B5" s="119"/>
      <c r="C5" s="119"/>
      <c r="D5" s="119"/>
      <c r="E5" s="119"/>
      <c r="F5" s="119"/>
      <c r="G5" s="119"/>
      <c r="H5" s="7"/>
      <c r="I5" s="7"/>
      <c r="J5" s="7"/>
      <c r="K5" s="116"/>
      <c r="L5" s="119"/>
      <c r="M5" s="152" t="str">
        <f>" "&amp;List!$B$5</f>
        <v xml:space="preserve"> Výběr doplňků</v>
      </c>
      <c r="N5" s="119"/>
      <c r="O5" s="436"/>
      <c r="P5" s="436"/>
      <c r="Q5" s="436"/>
      <c r="R5" s="437"/>
      <c r="S5" s="438"/>
      <c r="T5" s="438"/>
    </row>
    <row r="6" spans="1:20" ht="13" thickBot="1" x14ac:dyDescent="0.3">
      <c r="A6" s="119"/>
      <c r="B6" s="119"/>
      <c r="C6" s="119"/>
      <c r="D6" s="119"/>
      <c r="E6" s="119"/>
      <c r="F6" s="119"/>
      <c r="G6" s="119"/>
      <c r="H6" s="177"/>
      <c r="I6" s="115"/>
      <c r="J6" s="177"/>
      <c r="K6" s="115"/>
      <c r="L6" s="119"/>
      <c r="M6" s="152" t="str">
        <f>" "&amp;List!$B$6</f>
        <v xml:space="preserve"> Výběr SERVO-DRIVE</v>
      </c>
      <c r="N6" s="119"/>
      <c r="O6" s="439"/>
      <c r="P6" s="439"/>
      <c r="Q6" s="439"/>
      <c r="R6" s="440"/>
      <c r="S6" s="441"/>
      <c r="T6" s="441"/>
    </row>
    <row r="7" spans="1:20" x14ac:dyDescent="0.25">
      <c r="A7" s="119"/>
      <c r="B7" s="119"/>
      <c r="C7" s="119"/>
      <c r="D7" s="119"/>
      <c r="E7" s="119"/>
      <c r="F7" s="119"/>
      <c r="G7" s="119"/>
      <c r="H7" s="122"/>
      <c r="I7" s="122"/>
      <c r="J7" s="121"/>
      <c r="K7" s="118"/>
      <c r="L7" s="119"/>
      <c r="M7" s="247" t="str">
        <f>" "&amp;List!$B$7</f>
        <v xml:space="preserve"> Výběr AMBIA-LINE</v>
      </c>
      <c r="N7" s="119"/>
      <c r="O7" s="442"/>
      <c r="P7" s="442"/>
      <c r="Q7" s="442"/>
      <c r="R7" s="443"/>
      <c r="S7" s="444"/>
      <c r="T7" s="444"/>
    </row>
    <row r="8" spans="1:20" x14ac:dyDescent="0.25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T42</f>
        <v>0</v>
      </c>
      <c r="L8" s="119"/>
      <c r="N8" s="119"/>
      <c r="O8" s="126"/>
      <c r="P8" s="126"/>
      <c r="Q8" s="126"/>
      <c r="R8" s="334"/>
      <c r="S8" s="335"/>
      <c r="T8" s="335"/>
    </row>
    <row r="9" spans="1:20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2" t="str">
        <f>List!$B$12&amp;":"</f>
        <v>Pokračovat na:</v>
      </c>
      <c r="N9" s="119"/>
      <c r="O9" s="127"/>
      <c r="P9" s="127"/>
      <c r="Q9" s="127"/>
      <c r="R9" s="262"/>
      <c r="S9" s="263"/>
      <c r="T9" s="263"/>
    </row>
    <row r="10" spans="1:20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119"/>
      <c r="M10" s="152" t="str">
        <f>" "&amp;List!$B$18</f>
        <v xml:space="preserve"> Souhrn</v>
      </c>
      <c r="N10" s="119"/>
      <c r="O10" s="127"/>
      <c r="P10" s="127"/>
      <c r="Q10" s="127"/>
      <c r="R10" s="262"/>
      <c r="S10" s="263"/>
      <c r="T10" s="263"/>
    </row>
    <row r="11" spans="1:20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119"/>
      <c r="M11" s="152" t="str">
        <f>" "&amp;List!$B$20</f>
        <v xml:space="preserve"> Objednávka</v>
      </c>
      <c r="N11" s="119"/>
      <c r="O11" s="127"/>
      <c r="P11" s="127"/>
      <c r="Q11" s="127"/>
      <c r="R11" s="262"/>
      <c r="S11" s="263"/>
      <c r="T11" s="263"/>
    </row>
    <row r="12" spans="1:20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119"/>
      <c r="M12" s="119"/>
      <c r="N12" s="119"/>
      <c r="O12" s="122"/>
      <c r="P12" s="122"/>
      <c r="Q12" s="122"/>
      <c r="R12" s="123"/>
      <c r="S12" s="118"/>
      <c r="T12" s="118"/>
    </row>
    <row r="13" spans="1:20" ht="13" x14ac:dyDescent="0.3">
      <c r="A13" s="119"/>
      <c r="B13" s="119"/>
      <c r="C13" s="119"/>
      <c r="D13" s="144"/>
      <c r="E13" s="144"/>
      <c r="F13" s="144"/>
      <c r="G13" s="144"/>
      <c r="H13" s="293"/>
      <c r="I13" s="293"/>
      <c r="J13" s="293"/>
      <c r="K13" s="293"/>
      <c r="L13" s="119"/>
      <c r="M13" s="119"/>
      <c r="N13" s="119"/>
      <c r="O13" s="126"/>
      <c r="P13" s="126"/>
      <c r="Q13" s="126"/>
      <c r="R13" s="334"/>
      <c r="S13" s="335"/>
      <c r="T13" s="335"/>
    </row>
    <row r="14" spans="1:20" ht="15.5" x14ac:dyDescent="0.25">
      <c r="A14" s="119"/>
      <c r="B14" s="312" t="str">
        <f>"[1]  "&amp;List!$B$134</f>
        <v>[1]  Držák nožů</v>
      </c>
      <c r="C14" s="7"/>
      <c r="D14" s="7"/>
      <c r="E14" s="7"/>
      <c r="F14" s="7"/>
      <c r="G14" s="7"/>
      <c r="H14" s="290"/>
      <c r="I14" s="290"/>
      <c r="J14" s="290"/>
      <c r="K14" s="290"/>
      <c r="L14" s="119"/>
      <c r="M14" s="119"/>
      <c r="N14" s="119"/>
      <c r="O14" s="127"/>
      <c r="P14" s="127"/>
      <c r="Q14" s="127"/>
      <c r="R14" s="262"/>
      <c r="S14" s="263"/>
      <c r="T14" s="263"/>
    </row>
    <row r="15" spans="1:20" ht="14.5" thickBot="1" x14ac:dyDescent="0.35">
      <c r="A15" s="119"/>
      <c r="B15" s="435" t="str">
        <f>"   "&amp;List!$B$119&amp;" M,K, "&amp;List!$B$121&amp;" 450mm"</f>
        <v xml:space="preserve">   Pro zásuvku M,K, od jmenovité délky 450mm</v>
      </c>
      <c r="C15" s="435"/>
      <c r="D15" s="355"/>
      <c r="E15" s="355"/>
      <c r="F15" s="355"/>
      <c r="G15" s="355"/>
      <c r="H15" s="458"/>
      <c r="I15" s="290"/>
      <c r="J15" s="290"/>
      <c r="K15" s="290"/>
      <c r="L15" s="119"/>
      <c r="M15" s="119"/>
      <c r="N15" s="119"/>
      <c r="O15" s="127"/>
      <c r="P15" s="127"/>
      <c r="Q15" s="127"/>
      <c r="R15" s="262"/>
      <c r="S15" s="263"/>
      <c r="T15" s="263"/>
    </row>
    <row r="16" spans="1:20" x14ac:dyDescent="0.25">
      <c r="A16" s="119"/>
      <c r="C16" s="119"/>
      <c r="D16" s="119"/>
      <c r="E16" s="119"/>
      <c r="F16" s="119"/>
      <c r="G16" s="119"/>
      <c r="H16" s="290"/>
      <c r="I16" s="290"/>
      <c r="J16" s="290"/>
      <c r="K16" s="290"/>
      <c r="L16" s="119"/>
      <c r="M16" s="119"/>
      <c r="N16" s="119"/>
      <c r="O16" s="127"/>
      <c r="P16" s="127"/>
      <c r="Q16" s="127"/>
      <c r="R16" s="262"/>
      <c r="S16" s="263"/>
      <c r="T16" s="263"/>
    </row>
    <row r="17" spans="1:20" ht="15.5" x14ac:dyDescent="0.25">
      <c r="A17" s="119"/>
      <c r="B17" s="312" t="str">
        <f>"[2]  "&amp;List!$B$139&amp;", "&amp;List!$C$140</f>
        <v>[2]  Řezačka potravinové folie, s fólií</v>
      </c>
      <c r="C17" s="7"/>
      <c r="D17" s="7"/>
      <c r="E17" s="7"/>
      <c r="F17" s="7"/>
      <c r="G17" s="7"/>
      <c r="H17" s="290"/>
      <c r="I17" s="290"/>
      <c r="J17" s="290"/>
      <c r="K17" s="290"/>
      <c r="L17" s="119"/>
      <c r="M17" s="119"/>
      <c r="N17" s="119"/>
      <c r="O17" s="122"/>
      <c r="P17" s="122"/>
      <c r="Q17" s="122"/>
      <c r="R17" s="123"/>
      <c r="S17" s="118"/>
      <c r="T17" s="118"/>
    </row>
    <row r="18" spans="1:20" ht="14.5" thickBot="1" x14ac:dyDescent="0.35">
      <c r="A18" s="119"/>
      <c r="B18" s="435" t="str">
        <f>"   "&amp;List!$B$119&amp;" M,K, "&amp;List!$B$121&amp;" 450mm"</f>
        <v xml:space="preserve">   Pro zásuvku M,K, od jmenovité délky 450mm</v>
      </c>
      <c r="C18" s="435"/>
      <c r="D18" s="355"/>
      <c r="E18" s="355"/>
      <c r="F18" s="355"/>
      <c r="G18" s="355"/>
      <c r="H18" s="458"/>
      <c r="I18" s="119"/>
      <c r="J18" s="119"/>
      <c r="K18" s="119"/>
      <c r="L18" s="119"/>
      <c r="M18" s="119"/>
      <c r="N18" s="119"/>
      <c r="O18" s="122" t="str">
        <f>Cen!A541</f>
        <v>Držák nožů</v>
      </c>
      <c r="P18" s="122" t="str">
        <f>Cen!B541</f>
        <v>ZC7M0200</v>
      </c>
      <c r="Q18" s="122" t="str">
        <f>Cen!C541</f>
        <v>OG-M</v>
      </c>
      <c r="R18" s="123">
        <f>H15</f>
        <v>0</v>
      </c>
      <c r="S18" s="118">
        <f>Cen!F541</f>
        <v>25.85746</v>
      </c>
      <c r="T18" s="118">
        <f>R18*S18</f>
        <v>0</v>
      </c>
    </row>
    <row r="19" spans="1:20" ht="14" x14ac:dyDescent="0.3">
      <c r="A19" s="119"/>
      <c r="B19" s="433"/>
      <c r="C19" s="434"/>
      <c r="D19" s="432"/>
      <c r="E19" s="432"/>
      <c r="F19" s="432"/>
      <c r="G19" s="432"/>
      <c r="H19" s="459"/>
      <c r="I19" s="119"/>
      <c r="J19" s="119"/>
      <c r="K19" s="119"/>
      <c r="L19" s="119"/>
      <c r="M19" s="119"/>
      <c r="N19" s="119"/>
      <c r="O19" s="122" t="str">
        <f>Cen!A542</f>
        <v>Řezačka na potravinové folie, s folií</v>
      </c>
      <c r="P19" s="122" t="str">
        <f>Cen!B542</f>
        <v>ZC7C000</v>
      </c>
      <c r="Q19" s="122" t="str">
        <f>Cen!C542</f>
        <v>OG-M</v>
      </c>
      <c r="R19" s="123">
        <f>H18</f>
        <v>0</v>
      </c>
      <c r="S19" s="118">
        <f>Cen!F542</f>
        <v>63.56125999999999</v>
      </c>
      <c r="T19" s="118">
        <f>R19*S19</f>
        <v>0</v>
      </c>
    </row>
    <row r="20" spans="1:20" ht="14" x14ac:dyDescent="0.3">
      <c r="A20" s="119"/>
      <c r="B20" s="291"/>
      <c r="C20" s="347"/>
      <c r="D20" s="348"/>
      <c r="E20" s="348"/>
      <c r="F20" s="348"/>
      <c r="G20" s="348"/>
      <c r="H20" s="348"/>
      <c r="I20" s="295"/>
      <c r="J20" s="348"/>
      <c r="K20" s="348"/>
      <c r="L20" s="119"/>
      <c r="M20" s="119"/>
      <c r="N20" s="119"/>
      <c r="O20" s="122" t="str">
        <f>Cen!A543</f>
        <v>Řezačka na potravinové folie, bez folie</v>
      </c>
      <c r="P20" s="122" t="str">
        <f>Cen!B543</f>
        <v>ZC7C001</v>
      </c>
      <c r="Q20" s="122" t="str">
        <f>Cen!C543</f>
        <v>OG-M</v>
      </c>
      <c r="R20" s="123">
        <f>H19</f>
        <v>0</v>
      </c>
      <c r="S20" s="118">
        <f>Cen!F543</f>
        <v>63.56125999999999</v>
      </c>
      <c r="T20" s="118">
        <f>R20*S20</f>
        <v>0</v>
      </c>
    </row>
    <row r="21" spans="1:20" ht="15.5" x14ac:dyDescent="0.3">
      <c r="A21" s="119"/>
      <c r="B21" s="312" t="str">
        <f>"[3]  "&amp;List!$B$137</f>
        <v>[3]  Stojánek na kořenky</v>
      </c>
      <c r="C21" s="7"/>
      <c r="D21" s="7"/>
      <c r="E21" s="7"/>
      <c r="F21" s="7"/>
      <c r="G21" s="7"/>
      <c r="H21" s="290"/>
      <c r="I21" s="295"/>
      <c r="J21" s="295"/>
      <c r="K21" s="295"/>
      <c r="L21" s="119"/>
      <c r="M21" s="119"/>
      <c r="N21" s="119"/>
      <c r="O21" s="122" t="str">
        <f>Cen!A544</f>
        <v>Stojánek na kořenky</v>
      </c>
      <c r="P21" s="122" t="str">
        <f>Cen!B544</f>
        <v>ZC7G0P0I</v>
      </c>
      <c r="Q21" s="122" t="str">
        <f>Cen!C544</f>
        <v>INGL</v>
      </c>
      <c r="R21" s="123">
        <f>H22</f>
        <v>0</v>
      </c>
      <c r="S21" s="118">
        <f>Cen!F544</f>
        <v>39.526809999999998</v>
      </c>
      <c r="T21" s="118">
        <f>R21*S21</f>
        <v>0</v>
      </c>
    </row>
    <row r="22" spans="1:20" ht="14.5" thickBot="1" x14ac:dyDescent="0.35">
      <c r="A22" s="119"/>
      <c r="B22" s="435" t="str">
        <f>"   "&amp;List!$B$120&amp;" C,F, "</f>
        <v xml:space="preserve">   Pro čení výsuv C,F, </v>
      </c>
      <c r="C22" s="435"/>
      <c r="D22" s="355"/>
      <c r="E22" s="355"/>
      <c r="F22" s="355"/>
      <c r="G22" s="355"/>
      <c r="H22" s="458"/>
      <c r="I22" s="295"/>
      <c r="J22" s="295"/>
      <c r="K22" s="295"/>
      <c r="L22" s="119"/>
      <c r="M22" s="119"/>
      <c r="N22" s="119"/>
      <c r="O22" s="122" t="str">
        <f>Cen!A545</f>
        <v>Držák talířů</v>
      </c>
      <c r="P22" s="122" t="str">
        <f>Cen!B545</f>
        <v>ZC7T0350</v>
      </c>
      <c r="Q22" s="122" t="str">
        <f>Cen!C545</f>
        <v>OG-M</v>
      </c>
      <c r="R22" s="123">
        <f>H25</f>
        <v>0</v>
      </c>
      <c r="S22" s="118">
        <f>Cen!F545</f>
        <v>38.501280000000001</v>
      </c>
      <c r="T22" s="118">
        <f>R22*S22</f>
        <v>0</v>
      </c>
    </row>
    <row r="23" spans="1:20" ht="13" x14ac:dyDescent="0.3">
      <c r="A23" s="119"/>
      <c r="B23" s="294"/>
      <c r="C23" s="294"/>
      <c r="D23" s="291"/>
      <c r="E23" s="291"/>
      <c r="F23" s="291"/>
      <c r="G23" s="291"/>
      <c r="H23" s="290"/>
      <c r="I23" s="290"/>
      <c r="J23" s="290"/>
      <c r="K23" s="290"/>
      <c r="L23" s="119"/>
      <c r="M23" s="119"/>
      <c r="N23" s="119"/>
      <c r="O23" s="209"/>
      <c r="P23" s="209"/>
      <c r="Q23" s="209"/>
      <c r="R23" s="260"/>
      <c r="S23" s="261"/>
      <c r="T23" s="261"/>
    </row>
    <row r="24" spans="1:20" ht="15.5" x14ac:dyDescent="0.25">
      <c r="A24" s="119"/>
      <c r="B24" s="312" t="str">
        <f>"[4]  "&amp;List!$B$132</f>
        <v>[4]  Držák talířů</v>
      </c>
      <c r="C24" s="7"/>
      <c r="D24" s="7"/>
      <c r="E24" s="7"/>
      <c r="F24" s="7"/>
      <c r="G24" s="7"/>
      <c r="H24" s="290"/>
      <c r="I24" s="290"/>
      <c r="J24" s="290"/>
      <c r="K24" s="290"/>
      <c r="L24" s="119"/>
      <c r="M24" s="119"/>
      <c r="N24" s="119"/>
      <c r="O24" s="209"/>
      <c r="P24" s="209"/>
      <c r="Q24" s="209"/>
      <c r="R24" s="260"/>
      <c r="S24" s="261"/>
      <c r="T24" s="261"/>
    </row>
    <row r="25" spans="1:20" ht="14.5" thickBot="1" x14ac:dyDescent="0.35">
      <c r="A25" s="119"/>
      <c r="B25" s="435" t="str">
        <f>"   "&amp;List!$B$120&amp;" C,F, "</f>
        <v xml:space="preserve">   Pro čení výsuv C,F, </v>
      </c>
      <c r="C25" s="435"/>
      <c r="D25" s="355"/>
      <c r="E25" s="355"/>
      <c r="F25" s="355"/>
      <c r="G25" s="355"/>
      <c r="H25" s="458"/>
      <c r="I25" s="290"/>
      <c r="J25" s="290"/>
      <c r="K25" s="290"/>
      <c r="L25" s="119"/>
      <c r="M25" s="119"/>
      <c r="N25" s="119"/>
      <c r="O25" s="209"/>
      <c r="P25" s="209"/>
      <c r="Q25" s="209"/>
      <c r="R25" s="260"/>
      <c r="S25" s="261"/>
      <c r="T25" s="261"/>
    </row>
    <row r="26" spans="1:20" ht="14" x14ac:dyDescent="0.3">
      <c r="A26" s="119"/>
      <c r="B26" s="350"/>
      <c r="C26" s="291"/>
      <c r="D26" s="351"/>
      <c r="E26" s="295"/>
      <c r="F26" s="295"/>
      <c r="G26" s="295"/>
      <c r="H26" s="295"/>
      <c r="I26" s="119"/>
      <c r="J26" s="119"/>
      <c r="K26" s="119"/>
      <c r="L26" s="119"/>
      <c r="M26" s="119"/>
      <c r="N26" s="119"/>
      <c r="O26" s="364"/>
      <c r="P26" s="364"/>
      <c r="Q26" s="364"/>
      <c r="R26" s="365"/>
      <c r="S26" s="366"/>
      <c r="T26" s="366"/>
    </row>
    <row r="27" spans="1:20" ht="14" x14ac:dyDescent="0.3">
      <c r="A27" s="119"/>
      <c r="B27" s="315"/>
      <c r="C27" s="316"/>
      <c r="D27" s="295"/>
      <c r="E27" s="295"/>
      <c r="F27" s="295"/>
      <c r="G27" s="295"/>
      <c r="I27" s="119"/>
      <c r="J27" s="119"/>
      <c r="K27" s="119"/>
      <c r="L27" s="119"/>
      <c r="M27" s="119"/>
      <c r="N27" s="119"/>
      <c r="O27" s="364"/>
      <c r="P27" s="364"/>
      <c r="Q27" s="364"/>
      <c r="R27" s="365"/>
      <c r="S27" s="366"/>
      <c r="T27" s="366"/>
    </row>
    <row r="28" spans="1:20" ht="13" x14ac:dyDescent="0.3">
      <c r="A28" s="119"/>
      <c r="B28" s="457"/>
      <c r="C28" s="287"/>
      <c r="D28" s="119"/>
      <c r="E28" s="119"/>
      <c r="F28" s="119"/>
      <c r="G28" s="119"/>
      <c r="H28" s="288"/>
      <c r="I28" s="288"/>
      <c r="J28" s="288"/>
      <c r="K28" s="288"/>
      <c r="L28" s="119"/>
      <c r="M28" s="119"/>
      <c r="N28" s="119"/>
      <c r="O28" s="364"/>
      <c r="P28" s="364"/>
      <c r="Q28" s="364"/>
      <c r="R28" s="365"/>
      <c r="S28" s="366"/>
      <c r="T28" s="366"/>
    </row>
    <row r="29" spans="1:20" ht="13" x14ac:dyDescent="0.3">
      <c r="A29" s="119"/>
      <c r="B29" s="287"/>
      <c r="C29" s="287"/>
      <c r="D29" s="119"/>
      <c r="E29" s="119"/>
      <c r="F29" s="119"/>
      <c r="G29" s="119"/>
      <c r="H29" s="144"/>
      <c r="I29" s="144"/>
      <c r="J29" s="119"/>
      <c r="K29" s="119"/>
      <c r="L29" s="119"/>
      <c r="M29" s="119"/>
      <c r="N29" s="119"/>
      <c r="O29" s="364"/>
      <c r="P29" s="364"/>
      <c r="Q29" s="364"/>
      <c r="R29" s="365"/>
      <c r="S29" s="366"/>
      <c r="T29" s="366"/>
    </row>
    <row r="30" spans="1:20" ht="13" x14ac:dyDescent="0.3">
      <c r="A30" s="119"/>
      <c r="B30" s="445"/>
      <c r="C30" s="287"/>
      <c r="H30" s="289"/>
      <c r="I30" s="289"/>
      <c r="J30" s="289"/>
      <c r="K30" s="289"/>
      <c r="L30" s="119"/>
      <c r="M30" s="119"/>
      <c r="N30" s="119"/>
      <c r="O30" s="364"/>
      <c r="P30" s="364"/>
      <c r="Q30" s="364"/>
      <c r="R30" s="365"/>
      <c r="S30" s="366"/>
      <c r="T30" s="366"/>
    </row>
    <row r="31" spans="1:20" ht="13" x14ac:dyDescent="0.3">
      <c r="A31" s="119"/>
      <c r="B31" s="287"/>
      <c r="C31" s="287"/>
      <c r="H31" s="290"/>
      <c r="I31" s="290"/>
      <c r="J31" s="290"/>
      <c r="K31" s="290"/>
      <c r="L31" s="119"/>
      <c r="M31" s="119"/>
      <c r="N31" s="119"/>
      <c r="O31" s="364"/>
      <c r="P31" s="364"/>
      <c r="Q31" s="364"/>
      <c r="R31" s="365"/>
      <c r="S31" s="366"/>
      <c r="T31" s="366"/>
    </row>
    <row r="32" spans="1:20" ht="13" x14ac:dyDescent="0.3">
      <c r="A32" s="119"/>
      <c r="C32" s="287"/>
      <c r="H32" s="288"/>
      <c r="I32" s="288"/>
      <c r="J32" s="288"/>
      <c r="K32" s="288"/>
      <c r="L32" s="119"/>
      <c r="M32" s="119"/>
      <c r="N32" s="119"/>
      <c r="O32" s="364"/>
      <c r="P32" s="364"/>
      <c r="Q32" s="364"/>
      <c r="R32" s="365"/>
      <c r="S32" s="366"/>
      <c r="T32" s="366"/>
    </row>
    <row r="33" spans="1:20" ht="15.5" x14ac:dyDescent="0.3">
      <c r="A33" s="119"/>
      <c r="B33" s="346"/>
      <c r="C33" s="291"/>
      <c r="D33" s="347"/>
      <c r="E33" s="348"/>
      <c r="F33" s="349"/>
      <c r="G33" s="348"/>
      <c r="H33" s="348"/>
      <c r="I33" s="291"/>
      <c r="J33" s="291"/>
      <c r="K33" s="291"/>
      <c r="L33" s="119"/>
      <c r="O33" s="364"/>
      <c r="P33" s="364"/>
      <c r="Q33" s="364"/>
      <c r="R33" s="365"/>
      <c r="S33" s="366"/>
      <c r="T33" s="366"/>
    </row>
    <row r="34" spans="1:20" ht="14" x14ac:dyDescent="0.3">
      <c r="B34" s="350"/>
      <c r="C34" s="291"/>
      <c r="D34" s="351"/>
      <c r="E34" s="295"/>
      <c r="F34" s="295"/>
      <c r="G34" s="295"/>
      <c r="H34" s="295"/>
      <c r="I34" s="289"/>
      <c r="J34" s="289"/>
      <c r="K34" s="289"/>
      <c r="O34" s="364"/>
      <c r="P34" s="364"/>
      <c r="Q34" s="364"/>
      <c r="R34" s="365"/>
      <c r="S34" s="366"/>
      <c r="T34" s="366"/>
    </row>
    <row r="35" spans="1:20" ht="14" x14ac:dyDescent="0.3">
      <c r="B35" s="350"/>
      <c r="C35" s="291"/>
      <c r="D35" s="351"/>
      <c r="E35" s="295"/>
      <c r="F35" s="295"/>
      <c r="G35" s="295"/>
      <c r="H35" s="295"/>
      <c r="I35" s="289"/>
      <c r="J35" s="289"/>
      <c r="K35" s="289"/>
      <c r="O35" s="364"/>
      <c r="P35" s="364"/>
      <c r="Q35" s="364"/>
      <c r="R35" s="365"/>
      <c r="S35" s="366"/>
      <c r="T35" s="366"/>
    </row>
    <row r="36" spans="1:20" ht="14" x14ac:dyDescent="0.3">
      <c r="B36" s="315"/>
      <c r="C36" s="316"/>
      <c r="D36" s="295"/>
      <c r="E36" s="295"/>
      <c r="F36" s="295"/>
      <c r="G36" s="295"/>
      <c r="I36" s="290"/>
      <c r="J36" s="290"/>
      <c r="K36" s="290"/>
      <c r="O36" s="367"/>
      <c r="P36" s="367"/>
      <c r="Q36" s="367"/>
      <c r="R36" s="368"/>
      <c r="S36" s="369"/>
      <c r="T36" s="366"/>
    </row>
    <row r="37" spans="1:20" ht="13" x14ac:dyDescent="0.3">
      <c r="B37" s="287"/>
      <c r="C37" s="287"/>
      <c r="H37" s="288"/>
      <c r="I37" s="288"/>
      <c r="J37" s="288"/>
      <c r="K37" s="288"/>
      <c r="O37" s="367"/>
      <c r="P37" s="367"/>
      <c r="Q37" s="367"/>
      <c r="R37" s="368"/>
      <c r="S37" s="369"/>
      <c r="T37" s="369"/>
    </row>
    <row r="38" spans="1:20" ht="13" x14ac:dyDescent="0.3">
      <c r="B38" s="287"/>
      <c r="C38" s="287"/>
      <c r="H38" s="291"/>
      <c r="I38" s="291"/>
      <c r="J38" s="291"/>
      <c r="K38" s="291"/>
      <c r="O38" s="144"/>
      <c r="P38" s="144"/>
      <c r="Q38" s="144"/>
      <c r="R38" s="150"/>
      <c r="S38" s="154"/>
      <c r="T38" s="154"/>
    </row>
    <row r="39" spans="1:20" x14ac:dyDescent="0.25">
      <c r="O39" s="122"/>
      <c r="P39" s="122"/>
      <c r="Q39" s="122"/>
      <c r="R39" s="123"/>
      <c r="S39" s="118"/>
      <c r="T39" s="118"/>
    </row>
    <row r="40" spans="1:20" x14ac:dyDescent="0.25">
      <c r="O40" s="122"/>
      <c r="P40" s="122"/>
      <c r="Q40" s="122"/>
      <c r="R40" s="123"/>
      <c r="S40" s="118"/>
      <c r="T40" s="118"/>
    </row>
    <row r="41" spans="1:20" x14ac:dyDescent="0.25">
      <c r="O41" s="119"/>
      <c r="P41" s="119"/>
    </row>
    <row r="42" spans="1:20" x14ac:dyDescent="0.25">
      <c r="O42" s="119"/>
      <c r="P42" s="119"/>
      <c r="R42" s="73" t="str">
        <f>List!$B$94</f>
        <v>cena kování</v>
      </c>
      <c r="T42" s="353">
        <f>SUM(T3:T41)</f>
        <v>0</v>
      </c>
    </row>
    <row r="43" spans="1:20" x14ac:dyDescent="0.25">
      <c r="O43" s="119"/>
      <c r="P43" s="119"/>
    </row>
    <row r="44" spans="1:20" x14ac:dyDescent="0.25">
      <c r="O44" s="119"/>
      <c r="P44" s="119"/>
    </row>
    <row r="45" spans="1:20" x14ac:dyDescent="0.25">
      <c r="O45" s="119"/>
      <c r="P45" s="119"/>
    </row>
    <row r="46" spans="1:20" x14ac:dyDescent="0.25">
      <c r="O46" s="119"/>
      <c r="P46" s="119"/>
    </row>
    <row r="47" spans="1:20" x14ac:dyDescent="0.25">
      <c r="O47" s="119"/>
      <c r="P47" s="119"/>
    </row>
    <row r="48" spans="1:20" x14ac:dyDescent="0.25">
      <c r="O48" s="119"/>
      <c r="P48" s="119"/>
    </row>
    <row r="49" spans="15:16" x14ac:dyDescent="0.25">
      <c r="O49" s="119"/>
      <c r="P49" s="119"/>
    </row>
    <row r="50" spans="15:16" x14ac:dyDescent="0.25">
      <c r="O50" s="119"/>
      <c r="P50" s="119"/>
    </row>
  </sheetData>
  <sheetProtection password="CF3A" sheet="1" objects="1" scenarios="1"/>
  <phoneticPr fontId="51" type="noConversion"/>
  <hyperlinks>
    <hyperlink ref="M3" location="Form!A1" tooltip=" " display="Form!A1"/>
    <hyperlink ref="M4" location="Menu!A1" tooltip=" " display="Menu!A1"/>
    <hyperlink ref="M5" location="Acs!A1" tooltip=" " display="Acs!A1"/>
    <hyperlink ref="M6" location="SD!A1" tooltip=" " display="SD!A1"/>
    <hyperlink ref="M10" location="Sum!A1" tooltip=" " display="Sum!A1"/>
    <hyperlink ref="M11" location="Ord!A1" tooltip=" " display="Ord!A1"/>
    <hyperlink ref="M7" location="AL!A1" tooltip=" " display="AL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indexed="13"/>
  </sheetPr>
  <dimension ref="A1:Z120"/>
  <sheetViews>
    <sheetView showGridLines="0" showRowColHeaders="0" workbookViewId="0">
      <selection activeCell="R19" sqref="R19"/>
    </sheetView>
  </sheetViews>
  <sheetFormatPr defaultColWidth="9.1796875" defaultRowHeight="12.5" x14ac:dyDescent="0.25"/>
  <cols>
    <col min="1" max="1" width="2.54296875" style="119" customWidth="1"/>
    <col min="2" max="3" width="9.1796875" style="119"/>
    <col min="4" max="4" width="9.7265625" style="119" customWidth="1"/>
    <col min="5" max="5" width="2.81640625" style="119" customWidth="1"/>
    <col min="6" max="7" width="9.1796875" style="119"/>
    <col min="8" max="8" width="9.7265625" style="119" customWidth="1"/>
    <col min="9" max="9" width="2.81640625" style="119" customWidth="1"/>
    <col min="10" max="11" width="9.1796875" style="119"/>
    <col min="12" max="12" width="9.7265625" style="119" customWidth="1"/>
    <col min="13" max="13" width="2.81640625" style="119" customWidth="1"/>
    <col min="14" max="15" width="9.1796875" style="119"/>
    <col min="16" max="16" width="9.7265625" style="119" customWidth="1"/>
    <col min="17" max="17" width="5.54296875" style="119" customWidth="1"/>
    <col min="18" max="18" width="25.7265625" style="119" customWidth="1"/>
    <col min="19" max="19" width="9.1796875" style="119"/>
    <col min="20" max="20" width="9.1796875" style="119" hidden="1" customWidth="1"/>
    <col min="21" max="21" width="9.1796875" style="119" customWidth="1"/>
    <col min="22" max="16384" width="9.1796875" style="119"/>
  </cols>
  <sheetData>
    <row r="1" spans="2:26" ht="22.5" customHeight="1" x14ac:dyDescent="0.4">
      <c r="B1" s="140"/>
      <c r="C1" s="141"/>
      <c r="D1" s="141"/>
      <c r="E1" s="141"/>
      <c r="F1" s="141"/>
      <c r="G1" s="141"/>
      <c r="H1" s="141"/>
      <c r="I1" s="141"/>
      <c r="J1" s="141"/>
      <c r="K1" s="141"/>
      <c r="L1" s="193"/>
      <c r="M1" s="141"/>
      <c r="N1" s="141"/>
      <c r="O1" s="141"/>
      <c r="P1" s="193" t="str">
        <f>List!$B$19</f>
        <v>Vybrané zásuvky</v>
      </c>
      <c r="R1" s="153" t="str">
        <f>List!$B$11&amp;":"</f>
        <v>Zpět na:</v>
      </c>
    </row>
    <row r="2" spans="2:26" ht="15" thickBot="1" x14ac:dyDescent="0.4">
      <c r="C2" s="143"/>
      <c r="D2" s="149" t="str">
        <f>List!$B$49&amp;" N  "</f>
        <v xml:space="preserve">Zásuvka N  </v>
      </c>
      <c r="G2" s="143"/>
      <c r="H2" s="149" t="str">
        <f>List!$B$49&amp;" M  "</f>
        <v xml:space="preserve">Zásuvka M  </v>
      </c>
      <c r="K2" s="143"/>
      <c r="L2" s="149" t="str">
        <f>List!$B$50&amp;" M  "</f>
        <v xml:space="preserve">Vnitřní zásuvka M  </v>
      </c>
      <c r="O2" s="143"/>
      <c r="P2" s="149" t="str">
        <f>List!$B$49&amp;" K  "</f>
        <v xml:space="preserve">Zásuvka K  </v>
      </c>
      <c r="R2" s="151" t="str">
        <f>" "&amp;List!$B$13</f>
        <v xml:space="preserve"> Úvod</v>
      </c>
      <c r="T2" s="119">
        <f>SUM(D4,H4,L4,P4,D9,H9,L9,D15,H15,L15,D21,H21,L21,D27,H27,L27,P27,D33,L33,P33,)</f>
        <v>0</v>
      </c>
    </row>
    <row r="3" spans="2:26" ht="13.5" thickBot="1" x14ac:dyDescent="0.35">
      <c r="B3" s="144"/>
      <c r="C3" s="145" t="str">
        <f>List!$B$78&amp;":"</f>
        <v>označení:</v>
      </c>
      <c r="D3" s="160" t="s">
        <v>12</v>
      </c>
      <c r="F3" s="144"/>
      <c r="G3" s="145" t="str">
        <f>List!$B$78&amp;":"</f>
        <v>označení:</v>
      </c>
      <c r="H3" s="160" t="s">
        <v>13</v>
      </c>
      <c r="J3" s="144"/>
      <c r="K3" s="145" t="str">
        <f>List!$B$78&amp;":"</f>
        <v>označení:</v>
      </c>
      <c r="L3" s="160" t="s">
        <v>15</v>
      </c>
      <c r="O3" s="145" t="str">
        <f>List!$B$78&amp;":"</f>
        <v>označení:</v>
      </c>
      <c r="P3" s="160" t="s">
        <v>14</v>
      </c>
      <c r="R3" s="152" t="str">
        <f>" "&amp;List!$B$4</f>
        <v xml:space="preserve"> Výběr zásuvek a výsuvů</v>
      </c>
      <c r="T3" s="119">
        <f>SUM(D45,H45,L45,P45,D39,H39,L39,P39)</f>
        <v>0</v>
      </c>
    </row>
    <row r="4" spans="2:26" ht="13" thickBot="1" x14ac:dyDescent="0.3">
      <c r="B4" s="144"/>
      <c r="C4" s="166" t="str">
        <f>List!$B$98&amp;":"</f>
        <v>Počet:</v>
      </c>
      <c r="D4" s="476">
        <f>SUM('7N400P'!$H$21:$I$21, '7N400P'!$H$27:$I$27, '7N400P'!$H$33:$I$33)</f>
        <v>0</v>
      </c>
      <c r="F4" s="144"/>
      <c r="G4" s="166" t="str">
        <f>List!$B$98&amp;":"</f>
        <v>Počet:</v>
      </c>
      <c r="H4" s="476">
        <f>SUM('7M400P'!$D$21:$L$22, '7M400P'!$D$27:$L$28, '7M400P'!$D$33:$L$34)</f>
        <v>0</v>
      </c>
      <c r="J4" s="144"/>
      <c r="K4" s="166" t="str">
        <f>List!$B$98&amp;":"</f>
        <v>Počet:</v>
      </c>
      <c r="L4" s="476">
        <f>SUM('7M40VP'!$D$21:$L$22,'7M40VP'!$D$27:$L$28, '7M40VP'!$D$33:$L$34)</f>
        <v>0</v>
      </c>
      <c r="O4" s="166" t="str">
        <f>List!$B$98&amp;":"</f>
        <v>Počet:</v>
      </c>
      <c r="P4" s="476">
        <f>SUM('7K400P'!$F$21:$J$22, '7K400P'!$F$27:$J$28, '7K400P'!$F$33:$J$34)</f>
        <v>0</v>
      </c>
      <c r="R4" s="152" t="str">
        <f>" "&amp;List!$B$5</f>
        <v xml:space="preserve"> Výběr doplňků</v>
      </c>
    </row>
    <row r="5" spans="2:26" ht="13" thickBot="1" x14ac:dyDescent="0.3">
      <c r="B5" s="144"/>
      <c r="C5" s="145"/>
      <c r="D5" s="147"/>
      <c r="F5" s="144"/>
      <c r="G5" s="145"/>
      <c r="H5" s="147"/>
      <c r="K5" s="145"/>
      <c r="L5" s="147"/>
      <c r="N5" s="144"/>
      <c r="O5" s="144"/>
      <c r="P5" s="146"/>
      <c r="R5" s="152" t="str">
        <f>" "&amp;List!$B$6</f>
        <v xml:space="preserve"> Výběr SERVO-DRIVE</v>
      </c>
      <c r="T5" s="119">
        <f>SUM(D50,H50,P50,D55,H55,L55,P55)</f>
        <v>0</v>
      </c>
    </row>
    <row r="6" spans="2:26" ht="14" x14ac:dyDescent="0.3">
      <c r="B6" s="7"/>
      <c r="C6" s="121"/>
      <c r="D6" s="121"/>
      <c r="E6" s="121"/>
      <c r="F6" s="140"/>
      <c r="G6" s="121"/>
      <c r="H6" s="121"/>
      <c r="I6" s="121"/>
      <c r="J6" s="121"/>
      <c r="K6" s="121"/>
      <c r="L6" s="121"/>
      <c r="M6" s="121"/>
      <c r="N6" s="121"/>
      <c r="O6" s="121"/>
      <c r="P6" s="121"/>
      <c r="R6" s="247" t="str">
        <f>" "&amp;List!$B$7</f>
        <v xml:space="preserve"> Výběr AMBIA-LINE</v>
      </c>
    </row>
    <row r="7" spans="2:26" ht="14.5" x14ac:dyDescent="0.35">
      <c r="B7" s="143"/>
      <c r="C7" s="143"/>
      <c r="D7" s="142" t="str">
        <f>List!$B$51&amp;" C pure"</f>
        <v>Čelní výsuv C pure</v>
      </c>
      <c r="F7" s="143"/>
      <c r="G7" s="143"/>
      <c r="H7" s="142" t="str">
        <f>List!$B$51&amp;" C free "</f>
        <v xml:space="preserve">Čelní výsuv C free </v>
      </c>
      <c r="J7" s="143"/>
      <c r="K7" s="143"/>
      <c r="L7" s="142" t="str">
        <f>List!$B$51&amp;" F "</f>
        <v xml:space="preserve">Čelní výsuv F </v>
      </c>
      <c r="N7" s="637"/>
      <c r="O7" s="637"/>
      <c r="P7" s="638"/>
    </row>
    <row r="8" spans="2:26" ht="13.5" customHeight="1" thickBot="1" x14ac:dyDescent="0.35">
      <c r="B8" s="144"/>
      <c r="C8" s="145" t="str">
        <f>List!$B$78&amp;":"</f>
        <v>označení:</v>
      </c>
      <c r="D8" s="160" t="s">
        <v>16</v>
      </c>
      <c r="F8" s="144"/>
      <c r="G8" s="145" t="str">
        <f>List!$B$78&amp;":"</f>
        <v>označení:</v>
      </c>
      <c r="H8" s="613" t="s">
        <v>953</v>
      </c>
      <c r="J8" s="144"/>
      <c r="K8" s="145" t="str">
        <f>List!$B$78&amp;":"</f>
        <v>označení:</v>
      </c>
      <c r="L8" s="160" t="s">
        <v>17</v>
      </c>
      <c r="N8" s="179"/>
      <c r="O8" s="475"/>
      <c r="P8" s="639"/>
      <c r="R8" s="2" t="str">
        <f>List!$B$12&amp;":"</f>
        <v>Pokračovat na:</v>
      </c>
    </row>
    <row r="9" spans="2:26" ht="13.5" customHeight="1" x14ac:dyDescent="0.25">
      <c r="B9" s="144"/>
      <c r="C9" s="166" t="str">
        <f>List!$B$98&amp;":"</f>
        <v>Počet:</v>
      </c>
      <c r="D9" s="476">
        <f>SUM('7C410P'!$D$21:$L$22, '7C410P'!$D$27:$L$28, '7C410P'!$D$33:$L$34)</f>
        <v>0</v>
      </c>
      <c r="F9" s="144"/>
      <c r="G9" s="166" t="str">
        <f>List!$B$98&amp;":"</f>
        <v>Počet:</v>
      </c>
      <c r="H9" s="476">
        <f>SUM('7C410F'!$D$21:$L$22, '7C410F'!$D$27:$L$28, '7C410F'!$D$33:$L$34)</f>
        <v>0</v>
      </c>
      <c r="J9" s="144"/>
      <c r="K9" s="166" t="str">
        <f>List!$B$98&amp;":"</f>
        <v>Počet:</v>
      </c>
      <c r="L9" s="476">
        <f>SUM('7F410P'!$H$21:$K$22, '7F410P'!$H$27:$K$28, '7F410P'!$D$33:$L$34)</f>
        <v>0</v>
      </c>
      <c r="N9" s="179"/>
      <c r="O9" s="475"/>
      <c r="P9" s="640"/>
      <c r="R9" s="152" t="str">
        <f>" "&amp;List!$B$20</f>
        <v xml:space="preserve"> Objednávka</v>
      </c>
    </row>
    <row r="10" spans="2:26" ht="13.5" customHeight="1" x14ac:dyDescent="0.25">
      <c r="B10" s="144"/>
      <c r="C10" s="145"/>
      <c r="D10" s="147"/>
      <c r="F10" s="144"/>
      <c r="G10" s="145"/>
      <c r="H10" s="147"/>
      <c r="J10" s="144"/>
      <c r="K10" s="145"/>
      <c r="L10" s="147"/>
      <c r="N10" s="144"/>
      <c r="O10" s="145"/>
      <c r="P10" s="147"/>
      <c r="T10" s="179"/>
      <c r="U10" s="179"/>
      <c r="V10" s="179"/>
      <c r="W10" s="179"/>
    </row>
    <row r="11" spans="2:26" ht="6" customHeight="1" x14ac:dyDescent="0.25">
      <c r="B11" s="144"/>
      <c r="C11" s="145"/>
      <c r="D11" s="150"/>
      <c r="F11" s="144"/>
      <c r="G11" s="145"/>
      <c r="H11" s="150"/>
      <c r="J11" s="144"/>
      <c r="K11" s="145"/>
      <c r="L11" s="150"/>
      <c r="N11" s="144"/>
      <c r="O11" s="145"/>
      <c r="P11" s="150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2:26" ht="16.5" customHeight="1" x14ac:dyDescent="0.3">
      <c r="B12" s="642" t="str">
        <f>List!$B$59&amp;" C pure"</f>
        <v>Vnitřní výsuvy C pure</v>
      </c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121"/>
      <c r="N12" s="144"/>
      <c r="O12" s="144"/>
      <c r="P12" s="144"/>
      <c r="T12" s="231"/>
      <c r="U12" s="231"/>
      <c r="V12" s="231"/>
      <c r="W12" s="232"/>
    </row>
    <row r="13" spans="2:26" ht="13.5" customHeight="1" x14ac:dyDescent="0.35">
      <c r="B13" s="143"/>
      <c r="C13" s="143"/>
      <c r="D13" s="142" t="str">
        <f>List!$B$68&amp;" "&amp;List!$B$66&amp;"  "</f>
        <v xml:space="preserve">vysoký přední zásuvný prvek  </v>
      </c>
      <c r="F13" s="143"/>
      <c r="G13" s="143"/>
      <c r="H13" s="142" t="str">
        <f>List!$B$69&amp;" "&amp;List!$B$66&amp;"  "</f>
        <v xml:space="preserve">nízký přední zásuvný prvek  </v>
      </c>
      <c r="J13" s="143"/>
      <c r="K13" s="143"/>
      <c r="L13" s="142" t="str">
        <f>List!$B$71&amp;"  "</f>
        <v xml:space="preserve">přední reling  </v>
      </c>
      <c r="N13" s="637"/>
      <c r="O13" s="637"/>
      <c r="P13" s="638"/>
      <c r="R13" s="121" t="str">
        <f>List!C187</f>
        <v>Vybráno celkem</v>
      </c>
      <c r="T13" s="179"/>
      <c r="U13" s="179"/>
      <c r="V13" s="179"/>
      <c r="W13" s="179"/>
    </row>
    <row r="14" spans="2:26" ht="13.5" customHeight="1" x14ac:dyDescent="0.3">
      <c r="B14" s="144"/>
      <c r="C14" s="145" t="str">
        <f>List!$B$78&amp;":"</f>
        <v>označení:</v>
      </c>
      <c r="D14" s="160" t="s">
        <v>18</v>
      </c>
      <c r="F14" s="144"/>
      <c r="G14" s="145" t="str">
        <f>List!$B$78&amp;":"</f>
        <v>označení:</v>
      </c>
      <c r="H14" s="160" t="s">
        <v>19</v>
      </c>
      <c r="J14" s="144"/>
      <c r="K14" s="145" t="str">
        <f>List!$B$78&amp;":"</f>
        <v>označení:</v>
      </c>
      <c r="L14" s="160" t="s">
        <v>20</v>
      </c>
      <c r="N14" s="179"/>
      <c r="O14" s="475"/>
      <c r="P14" s="639"/>
      <c r="R14" s="119" t="str">
        <f>List!$C$188&amp;": "&amp;Sum!$T$2</f>
        <v>zásuvek a výsuvů: 0</v>
      </c>
      <c r="T14" s="179"/>
      <c r="U14" s="179"/>
      <c r="V14" s="179"/>
      <c r="W14" s="179"/>
    </row>
    <row r="15" spans="2:26" ht="13.5" customHeight="1" x14ac:dyDescent="0.25">
      <c r="B15" s="144"/>
      <c r="C15" s="166" t="str">
        <f>List!$B$98&amp;":"</f>
        <v>Počet:</v>
      </c>
      <c r="D15" s="476">
        <f>SUM('7C41VP'!$D$21:$L$22, '7C41VP'!$D$27:$L$28, '7C41VP'!$D$33:$L$34)</f>
        <v>0</v>
      </c>
      <c r="F15" s="144"/>
      <c r="G15" s="166" t="str">
        <f>List!$B$98&amp;":"</f>
        <v>Počet:</v>
      </c>
      <c r="H15" s="476">
        <f>SUM('7C41NP'!$D$21:$L$22,'7C41NP'!$D$27:$L$28, '7C41NP'!$D$33:$L$34)</f>
        <v>0</v>
      </c>
      <c r="J15" s="144"/>
      <c r="K15" s="166" t="str">
        <f>List!$B$98&amp;":"</f>
        <v>Počet:</v>
      </c>
      <c r="L15" s="476">
        <f>SUM('7C41RP'!$D$21:$L$22,'7C41RP'!$D$27:$L$28, '7C41RP'!$D$33:$L$34)</f>
        <v>0</v>
      </c>
      <c r="N15" s="179"/>
      <c r="O15" s="475"/>
      <c r="P15" s="640"/>
      <c r="R15" s="119" t="str">
        <f>List!$C$189&amp;": "&amp;Sum!$T$3</f>
        <v>potravinových skříní: 0</v>
      </c>
    </row>
    <row r="16" spans="2:26" ht="13.5" customHeight="1" x14ac:dyDescent="0.25">
      <c r="B16" s="144"/>
      <c r="C16" s="145"/>
      <c r="D16" s="147"/>
      <c r="F16" s="144"/>
      <c r="G16" s="145"/>
      <c r="H16" s="147"/>
      <c r="J16" s="144"/>
      <c r="K16" s="145"/>
      <c r="L16" s="147"/>
      <c r="N16" s="144"/>
      <c r="O16" s="145"/>
      <c r="P16" s="147"/>
      <c r="R16" s="119" t="str">
        <f>List!$C$190&amp;": "&amp;Sum!$T$5</f>
        <v>prvků AMBIA-LINE: 0</v>
      </c>
    </row>
    <row r="17" spans="2:26" ht="6" customHeight="1" x14ac:dyDescent="0.25">
      <c r="B17" s="144"/>
      <c r="C17" s="145"/>
      <c r="D17" s="150"/>
      <c r="F17" s="144"/>
      <c r="G17" s="145"/>
      <c r="H17" s="150"/>
      <c r="J17" s="144"/>
      <c r="K17" s="145"/>
      <c r="L17" s="150"/>
      <c r="N17" s="144"/>
      <c r="O17" s="145"/>
      <c r="P17" s="150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2:26" ht="16.5" customHeight="1" x14ac:dyDescent="0.3">
      <c r="B18" s="642" t="str">
        <f>List!$B$59&amp;" C free"</f>
        <v>Vnitřní výsuvy C free</v>
      </c>
      <c r="C18" s="641"/>
      <c r="D18" s="641"/>
      <c r="E18" s="641"/>
      <c r="F18" s="641"/>
      <c r="G18" s="641"/>
      <c r="H18" s="641"/>
      <c r="I18" s="641"/>
      <c r="J18" s="642"/>
      <c r="K18" s="641"/>
      <c r="L18" s="641"/>
      <c r="M18" s="121"/>
      <c r="N18" s="140"/>
      <c r="O18" s="121"/>
      <c r="P18" s="121"/>
    </row>
    <row r="19" spans="2:26" ht="13.5" customHeight="1" x14ac:dyDescent="0.35">
      <c r="B19" s="143"/>
      <c r="C19" s="143"/>
      <c r="D19" s="142" t="str">
        <f>List!$B$68&amp;" "&amp;List!$B$66&amp;"  "</f>
        <v xml:space="preserve">vysoký přední zásuvný prvek  </v>
      </c>
      <c r="F19" s="143"/>
      <c r="G19" s="143"/>
      <c r="H19" s="142" t="str">
        <f>List!$B$69&amp;" "&amp;List!$B$66&amp;"  "</f>
        <v xml:space="preserve">nízký přední zásuvný prvek  </v>
      </c>
      <c r="J19" s="143"/>
      <c r="K19" s="143"/>
      <c r="L19" s="142" t="str">
        <f>List!$B$71&amp;"  "</f>
        <v xml:space="preserve">přední reling  </v>
      </c>
      <c r="N19" s="637"/>
      <c r="O19" s="637"/>
      <c r="P19" s="638"/>
      <c r="R19" s="144"/>
      <c r="T19" s="179"/>
      <c r="U19" s="179"/>
      <c r="V19" s="179"/>
      <c r="W19" s="179"/>
    </row>
    <row r="20" spans="2:26" ht="13.5" customHeight="1" x14ac:dyDescent="0.3">
      <c r="B20" s="144"/>
      <c r="C20" s="145" t="str">
        <f>List!$B$78&amp;":"</f>
        <v>označení:</v>
      </c>
      <c r="D20" s="613" t="s">
        <v>955</v>
      </c>
      <c r="F20" s="144"/>
      <c r="G20" s="145" t="str">
        <f>List!$B$78&amp;":"</f>
        <v>označení:</v>
      </c>
      <c r="H20" s="613" t="s">
        <v>956</v>
      </c>
      <c r="J20" s="144"/>
      <c r="K20" s="145" t="str">
        <f>List!$B$78&amp;":"</f>
        <v>označení:</v>
      </c>
      <c r="L20" s="613" t="s">
        <v>957</v>
      </c>
      <c r="N20" s="179"/>
      <c r="O20" s="475"/>
      <c r="P20" s="639"/>
      <c r="R20" s="144"/>
      <c r="T20" s="179"/>
      <c r="U20" s="179"/>
      <c r="V20" s="179"/>
      <c r="W20" s="179"/>
    </row>
    <row r="21" spans="2:26" ht="13.5" customHeight="1" x14ac:dyDescent="0.25">
      <c r="B21" s="144"/>
      <c r="C21" s="166" t="str">
        <f>List!$B$98&amp;":"</f>
        <v>Počet:</v>
      </c>
      <c r="D21" s="476">
        <f>SUM('7C41VF'!$D$21:$L$22,'7C41VF'!$D$27:$L$28, '7C41VF'!$D$33:$L$34)</f>
        <v>0</v>
      </c>
      <c r="F21" s="144"/>
      <c r="G21" s="166" t="str">
        <f>List!$B$98&amp;":"</f>
        <v>Počet:</v>
      </c>
      <c r="H21" s="476">
        <f>SUM('7C41NF'!$D$21:$L$22,'7C41NF'!$D$27:$L$28, '7C41NF'!$D$33:$L$34)</f>
        <v>0</v>
      </c>
      <c r="J21" s="144"/>
      <c r="K21" s="166" t="str">
        <f>List!$B$98&amp;":"</f>
        <v>Počet:</v>
      </c>
      <c r="L21" s="476">
        <f>SUM('7C41RF'!$D$21:$L$22, '7C41RF'!$D$27:$L$28, '7C41RF'!$D$33:$L$34)</f>
        <v>0</v>
      </c>
      <c r="N21" s="179"/>
      <c r="O21" s="475"/>
      <c r="P21" s="640"/>
    </row>
    <row r="22" spans="2:26" ht="13.5" customHeight="1" x14ac:dyDescent="0.25">
      <c r="B22" s="144"/>
      <c r="C22" s="145"/>
      <c r="D22" s="147"/>
      <c r="F22" s="144"/>
      <c r="G22" s="145"/>
      <c r="H22" s="147"/>
      <c r="J22" s="144"/>
      <c r="K22" s="145"/>
      <c r="L22" s="147"/>
      <c r="N22" s="144"/>
      <c r="O22" s="145"/>
      <c r="P22" s="147"/>
    </row>
    <row r="23" spans="2:26" ht="6" customHeight="1" x14ac:dyDescent="0.25">
      <c r="B23" s="144"/>
      <c r="C23" s="145"/>
      <c r="D23" s="150"/>
      <c r="F23" s="144"/>
      <c r="G23" s="145"/>
      <c r="H23" s="150"/>
      <c r="J23" s="144"/>
      <c r="K23" s="145"/>
      <c r="L23" s="150"/>
      <c r="N23" s="144"/>
      <c r="O23" s="145"/>
      <c r="P23" s="150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2:26" ht="16.5" customHeight="1" x14ac:dyDescent="0.3">
      <c r="B24" s="642" t="str">
        <f>List!$B$60</f>
        <v>Dřezové zásuvky a výsuvy</v>
      </c>
      <c r="C24" s="641"/>
      <c r="D24" s="641"/>
      <c r="E24" s="641"/>
      <c r="F24" s="641"/>
      <c r="G24" s="641"/>
      <c r="H24" s="641"/>
      <c r="I24" s="641"/>
      <c r="J24" s="642"/>
      <c r="K24" s="641"/>
      <c r="L24" s="641"/>
      <c r="M24" s="641"/>
      <c r="N24" s="642"/>
      <c r="O24" s="641"/>
      <c r="P24" s="641"/>
    </row>
    <row r="25" spans="2:26" ht="13.5" customHeight="1" x14ac:dyDescent="0.35">
      <c r="B25" s="143"/>
      <c r="C25" s="143"/>
      <c r="D25" s="142" t="str">
        <f>List!$B$54&amp;" C pure "</f>
        <v xml:space="preserve">Dřezový výsuv C pure </v>
      </c>
      <c r="F25" s="143"/>
      <c r="G25" s="143"/>
      <c r="H25" s="142" t="str">
        <f>List!$B$54&amp;" C free "</f>
        <v xml:space="preserve">Dřezový výsuv C free </v>
      </c>
      <c r="J25" s="143"/>
      <c r="K25" s="143"/>
      <c r="L25" s="142" t="str">
        <f>List!$B$54&amp;" M/C pure "</f>
        <v xml:space="preserve">Dřezový výsuv M/C pure </v>
      </c>
      <c r="N25" s="143"/>
      <c r="O25" s="143"/>
      <c r="P25" s="142" t="str">
        <f>List!$B$54&amp;" M/C free "</f>
        <v xml:space="preserve">Dřezový výsuv M/C free </v>
      </c>
    </row>
    <row r="26" spans="2:26" ht="13.5" customHeight="1" x14ac:dyDescent="0.3">
      <c r="B26" s="144"/>
      <c r="C26" s="145" t="str">
        <f>List!$B$78&amp;":"</f>
        <v>označení:</v>
      </c>
      <c r="D26" s="160" t="s">
        <v>21</v>
      </c>
      <c r="F26" s="144"/>
      <c r="G26" s="145" t="str">
        <f>List!$B$78&amp;":"</f>
        <v>označení:</v>
      </c>
      <c r="H26" s="613" t="s">
        <v>954</v>
      </c>
      <c r="J26" s="144"/>
      <c r="K26" s="145" t="str">
        <f>List!$B$78&amp;":"</f>
        <v>označení:</v>
      </c>
      <c r="L26" s="160" t="s">
        <v>958</v>
      </c>
      <c r="N26" s="144"/>
      <c r="O26" s="145" t="str">
        <f>List!$B$78&amp;":"</f>
        <v>označení:</v>
      </c>
      <c r="P26" s="613" t="s">
        <v>959</v>
      </c>
    </row>
    <row r="27" spans="2:26" ht="13.5" customHeight="1" x14ac:dyDescent="0.25">
      <c r="B27" s="144"/>
      <c r="C27" s="166" t="str">
        <f>List!$B$98&amp;":"</f>
        <v>Počet:</v>
      </c>
      <c r="D27" s="476">
        <f>SUM('7C442P'!$H$21:$L$22)</f>
        <v>0</v>
      </c>
      <c r="F27" s="144"/>
      <c r="G27" s="166" t="str">
        <f>List!$B$98&amp;":"</f>
        <v>Počet:</v>
      </c>
      <c r="H27" s="476">
        <f>SUM('7C442F'!$H$21:$L$22)</f>
        <v>0</v>
      </c>
      <c r="J27" s="144"/>
      <c r="K27" s="166" t="str">
        <f>List!$B$98&amp;":"</f>
        <v>Počet:</v>
      </c>
      <c r="L27" s="476">
        <f>SUM('7CM42P'!$H$21:$L$22, '7CM42P'!$H$27:$L$28, '7CM42P'!$H$33:$L$34)</f>
        <v>0</v>
      </c>
      <c r="N27" s="144"/>
      <c r="O27" s="166" t="str">
        <f>List!$B$98&amp;":"</f>
        <v>Počet:</v>
      </c>
      <c r="P27" s="476">
        <f>SUM('7CM42F'!$H$21:$L$22, '7CM42F'!$H$27:$L$28, '7CM42F'!$H$33:$L$34)</f>
        <v>0</v>
      </c>
    </row>
    <row r="28" spans="2:26" ht="13.5" customHeight="1" x14ac:dyDescent="0.25">
      <c r="B28" s="144"/>
      <c r="C28" s="145"/>
      <c r="D28" s="147"/>
      <c r="F28" s="144"/>
      <c r="G28" s="145"/>
      <c r="H28" s="147"/>
      <c r="J28" s="144"/>
      <c r="K28" s="145"/>
      <c r="L28" s="147"/>
      <c r="N28" s="144"/>
      <c r="O28" s="145"/>
      <c r="P28" s="147"/>
    </row>
    <row r="29" spans="2:26" ht="6" customHeight="1" x14ac:dyDescent="0.25">
      <c r="B29" s="144"/>
      <c r="C29" s="145"/>
      <c r="D29" s="150"/>
      <c r="F29" s="144"/>
      <c r="G29" s="145"/>
      <c r="H29" s="150"/>
      <c r="J29" s="144"/>
      <c r="K29" s="145"/>
      <c r="L29" s="150"/>
      <c r="N29" s="144"/>
      <c r="O29" s="145"/>
      <c r="P29" s="150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2:26" ht="16.5" customHeight="1" x14ac:dyDescent="0.35">
      <c r="B30" s="642"/>
      <c r="C30" s="641"/>
      <c r="D30" s="641"/>
      <c r="E30" s="121"/>
      <c r="F30" s="121"/>
      <c r="G30" s="121"/>
      <c r="H30" s="121"/>
      <c r="I30" s="641"/>
      <c r="J30" s="642"/>
      <c r="K30" s="641"/>
      <c r="L30" s="643" t="str">
        <f>List!$B$58&amp;" "&amp;List!$B$62</f>
        <v>Čelní výsuvy pro úzké korpusy</v>
      </c>
      <c r="M30" s="644"/>
      <c r="N30" s="642"/>
      <c r="O30" s="641"/>
      <c r="P30" s="641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2:26" ht="13.5" customHeight="1" x14ac:dyDescent="0.35">
      <c r="B31" s="143"/>
      <c r="C31" s="143"/>
      <c r="D31" s="142" t="str">
        <f>List!$B$53&amp;" M"</f>
        <v>Dřezová zásuvka M</v>
      </c>
      <c r="F31" s="637"/>
      <c r="G31" s="637"/>
      <c r="H31" s="638"/>
      <c r="J31" s="143"/>
      <c r="K31" s="143"/>
      <c r="L31" s="149" t="str">
        <f>List!$B$51&amp;" C pure "</f>
        <v xml:space="preserve">Čelní výsuv C pure </v>
      </c>
      <c r="M31" s="178"/>
      <c r="N31" s="143"/>
      <c r="O31" s="143"/>
      <c r="P31" s="149" t="str">
        <f>List!$B$51&amp;" C free "</f>
        <v xml:space="preserve">Čelní výsuv C free </v>
      </c>
      <c r="R31" s="179"/>
      <c r="S31" s="473"/>
      <c r="T31" s="473"/>
      <c r="U31" s="474"/>
      <c r="V31" s="179"/>
      <c r="W31" s="473"/>
      <c r="X31" s="473"/>
      <c r="Y31" s="474"/>
      <c r="Z31" s="179"/>
    </row>
    <row r="32" spans="2:26" ht="13.5" customHeight="1" x14ac:dyDescent="0.35">
      <c r="B32" s="144"/>
      <c r="C32" s="145" t="str">
        <f>List!$B$78&amp;":"</f>
        <v>označení:</v>
      </c>
      <c r="D32" s="160" t="s">
        <v>3</v>
      </c>
      <c r="F32" s="179"/>
      <c r="G32" s="475"/>
      <c r="H32" s="639"/>
      <c r="J32" s="144"/>
      <c r="K32" s="145" t="str">
        <f>List!$B$78&amp;":"</f>
        <v>označení:</v>
      </c>
      <c r="L32" s="160" t="s">
        <v>1145</v>
      </c>
      <c r="N32" s="144"/>
      <c r="O32" s="145" t="str">
        <f>List!$B$78&amp;":"</f>
        <v>označení:</v>
      </c>
      <c r="P32" s="613" t="s">
        <v>1146</v>
      </c>
      <c r="R32" s="179"/>
      <c r="S32" s="179"/>
      <c r="T32" s="475"/>
      <c r="U32" s="645"/>
      <c r="V32" s="179"/>
      <c r="W32" s="179"/>
      <c r="X32" s="475"/>
      <c r="Y32" s="645"/>
      <c r="Z32" s="179"/>
    </row>
    <row r="33" spans="2:26" ht="13.5" customHeight="1" x14ac:dyDescent="0.25">
      <c r="B33" s="144"/>
      <c r="C33" s="166" t="str">
        <f>List!$B$98&amp;":"</f>
        <v>Počet:</v>
      </c>
      <c r="D33" s="476">
        <f>SUM('7M442P'!$H$21:$L$22)</f>
        <v>0</v>
      </c>
      <c r="F33" s="179"/>
      <c r="G33" s="475"/>
      <c r="H33" s="640"/>
      <c r="J33" s="144"/>
      <c r="K33" s="166" t="str">
        <f>List!$B$98&amp;":"</f>
        <v>Počet:</v>
      </c>
      <c r="L33" s="476">
        <f>SUM('7CM52P'!$F$21:$J$21)</f>
        <v>0</v>
      </c>
      <c r="N33" s="144"/>
      <c r="O33" s="166" t="str">
        <f>List!$B$98&amp;":"</f>
        <v>Počet:</v>
      </c>
      <c r="P33" s="476">
        <f>SUM('7CM52F'!$F$21:$J$21)</f>
        <v>0</v>
      </c>
      <c r="R33" s="179"/>
      <c r="S33" s="179"/>
      <c r="T33" s="475"/>
      <c r="U33" s="292"/>
      <c r="V33" s="179"/>
      <c r="W33" s="179"/>
      <c r="X33" s="475"/>
      <c r="Y33" s="292"/>
      <c r="Z33" s="179"/>
    </row>
    <row r="34" spans="2:26" ht="13.5" customHeight="1" x14ac:dyDescent="0.25">
      <c r="B34" s="144"/>
      <c r="C34" s="145"/>
      <c r="D34" s="147"/>
      <c r="F34" s="144"/>
      <c r="G34" s="145"/>
      <c r="H34" s="147"/>
      <c r="J34" s="144"/>
      <c r="K34" s="145"/>
      <c r="L34" s="147"/>
      <c r="N34" s="144"/>
      <c r="O34" s="145"/>
      <c r="P34" s="147"/>
      <c r="R34" s="179"/>
      <c r="S34" s="179"/>
      <c r="T34" s="475"/>
      <c r="U34" s="292"/>
      <c r="V34" s="179"/>
      <c r="W34" s="179"/>
      <c r="X34" s="475"/>
      <c r="Y34" s="292"/>
      <c r="Z34" s="179"/>
    </row>
    <row r="35" spans="2:26" ht="6" customHeight="1" x14ac:dyDescent="0.25">
      <c r="B35" s="144"/>
      <c r="C35" s="166"/>
      <c r="D35" s="150"/>
      <c r="F35" s="144"/>
      <c r="G35" s="166"/>
      <c r="H35" s="150"/>
      <c r="K35" s="145"/>
      <c r="L35" s="150"/>
      <c r="O35" s="145"/>
      <c r="P35" s="150"/>
    </row>
    <row r="36" spans="2:26" ht="16.5" customHeight="1" x14ac:dyDescent="0.3">
      <c r="B36" s="642" t="str">
        <f>"SPACE-TOWER, "&amp;List!$B$63&amp;" 4xC/1xM"</f>
        <v>SPACE-TOWER, sestava 4xC/1xM</v>
      </c>
      <c r="C36" s="641"/>
      <c r="D36" s="641"/>
      <c r="E36" s="641"/>
      <c r="F36" s="642"/>
      <c r="G36" s="641"/>
      <c r="H36" s="641"/>
      <c r="I36" s="641"/>
      <c r="J36" s="641"/>
      <c r="K36" s="641"/>
      <c r="L36" s="641"/>
      <c r="M36" s="641"/>
      <c r="N36" s="641"/>
      <c r="O36" s="641"/>
      <c r="P36" s="641"/>
    </row>
    <row r="37" spans="2:26" ht="13.5" customHeight="1" x14ac:dyDescent="0.35">
      <c r="B37" s="143"/>
      <c r="C37" s="143"/>
      <c r="D37" s="142" t="str">
        <f>List!$B$66&amp;" - pure "</f>
        <v xml:space="preserve">přední zásuvný prvek - pure </v>
      </c>
      <c r="F37" s="143"/>
      <c r="G37" s="143"/>
      <c r="H37" s="142" t="str">
        <f>List!$B$66&amp;" - free "</f>
        <v xml:space="preserve">přední zásuvný prvek - free </v>
      </c>
      <c r="J37" s="143"/>
      <c r="K37" s="143"/>
      <c r="L37" s="142" t="str">
        <f>List!$B$71&amp;" - pure "</f>
        <v xml:space="preserve">přední reling - pure </v>
      </c>
      <c r="N37" s="143"/>
      <c r="O37" s="143"/>
      <c r="P37" s="142" t="str">
        <f>List!$B$71&amp;" - free "</f>
        <v xml:space="preserve">přední reling - free </v>
      </c>
    </row>
    <row r="38" spans="2:26" ht="13.5" customHeight="1" x14ac:dyDescent="0.3">
      <c r="B38" s="144"/>
      <c r="C38" s="166" t="s">
        <v>146</v>
      </c>
      <c r="D38" s="160" t="s">
        <v>929</v>
      </c>
      <c r="F38" s="144"/>
      <c r="G38" s="166" t="s">
        <v>146</v>
      </c>
      <c r="H38" s="613" t="s">
        <v>962</v>
      </c>
      <c r="J38" s="144"/>
      <c r="K38" s="145" t="str">
        <f>List!$B$78&amp;":"</f>
        <v>označení:</v>
      </c>
      <c r="L38" s="160" t="s">
        <v>930</v>
      </c>
      <c r="N38" s="144"/>
      <c r="O38" s="145" t="str">
        <f>List!$B$78&amp;":"</f>
        <v>označení:</v>
      </c>
      <c r="P38" s="613" t="s">
        <v>963</v>
      </c>
    </row>
    <row r="39" spans="2:26" ht="13.5" customHeight="1" x14ac:dyDescent="0.25">
      <c r="B39" s="144"/>
      <c r="C39" s="166" t="str">
        <f>List!$B$98&amp;":"</f>
        <v>Počet:</v>
      </c>
      <c r="D39" s="476">
        <f>SUM('7STMGP'!$D$26:$F$26, '7STMGP'!$J$26:$L$26, '7STMGP'!$D$34:$F$34, '7STMGP'!$J$34:$L$34)</f>
        <v>0</v>
      </c>
      <c r="F39" s="144"/>
      <c r="G39" s="166" t="str">
        <f>List!$B$98&amp;":"</f>
        <v>Počet:</v>
      </c>
      <c r="H39" s="476">
        <f>SUM('7STMGF'!$D$26:$F$26, '7STMGF'!$J$26:$L$26, '7STMGF'!$D$34:$F$34, '7STMGF'!$J$34:$L$34)</f>
        <v>0</v>
      </c>
      <c r="J39" s="144"/>
      <c r="K39" s="166" t="str">
        <f>List!$B$98&amp;":"</f>
        <v>Počet:</v>
      </c>
      <c r="L39" s="476">
        <f>SUM('7STMRP'!$D$26:$F$26, '7STMRP'!$J$26:$L$26, '7STMRP'!$D$34:$F$34, '7STMRP'!$J$34:$L$34)</f>
        <v>0</v>
      </c>
      <c r="N39" s="144"/>
      <c r="O39" s="166" t="str">
        <f>List!$B$98&amp;":"</f>
        <v>Počet:</v>
      </c>
      <c r="P39" s="476">
        <f>SUM('7STMRF'!$D$26:$F$26, '7STMRF'!$J$26:$L$26, '7STMRF'!$D$34:$F$34, '7STMRF'!$J$34:$L$34)</f>
        <v>0</v>
      </c>
    </row>
    <row r="40" spans="2:26" ht="13.5" customHeight="1" x14ac:dyDescent="0.25">
      <c r="B40" s="144"/>
      <c r="C40" s="166"/>
      <c r="D40" s="147"/>
      <c r="F40" s="144"/>
      <c r="G40" s="166"/>
      <c r="H40" s="147"/>
      <c r="J40" s="144"/>
      <c r="K40" s="145"/>
      <c r="L40" s="147"/>
      <c r="N40" s="144"/>
      <c r="O40" s="145"/>
      <c r="P40" s="147"/>
    </row>
    <row r="41" spans="2:26" ht="6" customHeight="1" x14ac:dyDescent="0.25">
      <c r="B41" s="144"/>
      <c r="C41" s="145"/>
      <c r="D41" s="150"/>
      <c r="F41" s="144"/>
      <c r="G41" s="145"/>
      <c r="H41" s="150"/>
      <c r="J41" s="144"/>
      <c r="K41" s="145"/>
      <c r="L41" s="150"/>
      <c r="N41" s="144"/>
      <c r="O41" s="145"/>
      <c r="P41" s="150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2:26" ht="16.5" customHeight="1" x14ac:dyDescent="0.3">
      <c r="B42" s="642" t="str">
        <f>"SPACE-TOWER, "&amp;List!$B$63&amp;" 5xC"</f>
        <v>SPACE-TOWER, sestava 5xC</v>
      </c>
      <c r="C42" s="641"/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1"/>
      <c r="O42" s="641"/>
      <c r="P42" s="641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2:26" ht="13.5" customHeight="1" x14ac:dyDescent="0.35">
      <c r="B43" s="143"/>
      <c r="C43" s="143"/>
      <c r="D43" s="142" t="str">
        <f>List!$B$66&amp;" - pure "</f>
        <v xml:space="preserve">přední zásuvný prvek - pure </v>
      </c>
      <c r="F43" s="143"/>
      <c r="G43" s="143"/>
      <c r="H43" s="142" t="str">
        <f>List!$B$66&amp;" - free "</f>
        <v xml:space="preserve">přední zásuvný prvek - free </v>
      </c>
      <c r="J43" s="143"/>
      <c r="K43" s="143"/>
      <c r="L43" s="142" t="str">
        <f>List!$B$71&amp;" - pure "</f>
        <v xml:space="preserve">přední reling - pure </v>
      </c>
      <c r="N43" s="143"/>
      <c r="O43" s="143"/>
      <c r="P43" s="142" t="str">
        <f>List!$B$71&amp;" - free "</f>
        <v xml:space="preserve">přední reling - free </v>
      </c>
    </row>
    <row r="44" spans="2:26" ht="13.5" customHeight="1" x14ac:dyDescent="0.3">
      <c r="B44" s="144"/>
      <c r="C44" s="166" t="s">
        <v>146</v>
      </c>
      <c r="D44" s="160" t="s">
        <v>23</v>
      </c>
      <c r="F44" s="144"/>
      <c r="G44" s="166" t="s">
        <v>146</v>
      </c>
      <c r="H44" s="613" t="s">
        <v>961</v>
      </c>
      <c r="K44" s="145" t="str">
        <f>List!$B$78&amp;":"</f>
        <v>označení:</v>
      </c>
      <c r="L44" s="160" t="s">
        <v>24</v>
      </c>
      <c r="O44" s="145" t="str">
        <f>List!$B$78&amp;":"</f>
        <v>označení:</v>
      </c>
      <c r="P44" s="613" t="s">
        <v>960</v>
      </c>
    </row>
    <row r="45" spans="2:26" ht="13.5" customHeight="1" x14ac:dyDescent="0.25">
      <c r="B45" s="144"/>
      <c r="C45" s="166" t="str">
        <f>List!$B$98&amp;":"</f>
        <v>Počet:</v>
      </c>
      <c r="D45" s="476">
        <f>SUM('7STCGP'!$D$26:$F$26, '7STCGP'!$J$26:$L$26, '7STCGP'!$D$34:$F$34, '7STCGP'!$J$34:$L$34)</f>
        <v>0</v>
      </c>
      <c r="F45" s="144"/>
      <c r="G45" s="166" t="str">
        <f>List!$B$98&amp;":"</f>
        <v>Počet:</v>
      </c>
      <c r="H45" s="476">
        <f>SUM('7STCGF'!$D$26:$F$26, '7STCGF'!$J$26:$L$26, '7STCGF'!$D$34:$F$34, '7STCGF'!$J$34:$L$34)</f>
        <v>0</v>
      </c>
      <c r="K45" s="166" t="str">
        <f>List!$B$98&amp;":"</f>
        <v>Počet:</v>
      </c>
      <c r="L45" s="476">
        <f>SUM('7STCRP'!$D$26:$F$26, '7STCRP'!$J$26:$L$26, '7STCRP'!$D$34:$F$34, '7STCRP'!$J$34:$L$34)</f>
        <v>0</v>
      </c>
      <c r="O45" s="166" t="str">
        <f>List!$B$98&amp;":"</f>
        <v>Počet:</v>
      </c>
      <c r="P45" s="476">
        <f>SUM('7STCRF'!$D$26:$F$26, '7STCRF'!$J$26:$L$26, '7STCRF'!$D$34:$F$34, '7STCRF'!$J$34:$L$34)</f>
        <v>0</v>
      </c>
    </row>
    <row r="46" spans="2:26" ht="13.5" customHeight="1" x14ac:dyDescent="0.25">
      <c r="B46" s="144"/>
      <c r="C46" s="166"/>
      <c r="D46" s="147"/>
      <c r="F46" s="144"/>
      <c r="G46" s="166"/>
      <c r="H46" s="147"/>
      <c r="K46" s="145"/>
      <c r="L46" s="147"/>
      <c r="O46" s="145"/>
      <c r="P46" s="147"/>
    </row>
    <row r="47" spans="2:26" ht="5.25" customHeight="1" x14ac:dyDescent="0.25"/>
    <row r="48" spans="2:26" ht="16.5" customHeight="1" x14ac:dyDescent="0.3">
      <c r="B48" s="646" t="str">
        <f>"AMBIA-LINE "&amp;List!$B$113</f>
        <v>AMBIA-LINE pro zásuvky</v>
      </c>
      <c r="C48" s="641"/>
      <c r="D48" s="641"/>
      <c r="E48" s="641"/>
      <c r="F48" s="641"/>
      <c r="G48" s="641"/>
      <c r="H48" s="641"/>
      <c r="I48" s="121"/>
      <c r="J48" s="121"/>
      <c r="K48" s="121"/>
      <c r="L48" s="121"/>
      <c r="M48" s="641"/>
      <c r="N48" s="641"/>
      <c r="O48" s="641"/>
      <c r="P48" s="647" t="str">
        <f>"AMBIA-LINE "&amp;List!$B$155</f>
        <v>AMBIA-LINE Ostatní</v>
      </c>
    </row>
    <row r="49" spans="2:17" ht="13.5" customHeight="1" x14ac:dyDescent="0.35">
      <c r="B49" s="143"/>
      <c r="C49" s="836" t="str">
        <f>List!$B$116&amp;" "</f>
        <v xml:space="preserve">Design ocel </v>
      </c>
      <c r="D49" s="837" t="str">
        <f>List!$B$117</f>
        <v>Design dřevo</v>
      </c>
      <c r="F49" s="143"/>
      <c r="G49" s="836" t="str">
        <f>List!$B$117&amp;" "</f>
        <v xml:space="preserve">Design dřevo </v>
      </c>
      <c r="H49" s="837" t="str">
        <f>List!$B$117</f>
        <v>Design dřevo</v>
      </c>
      <c r="J49" s="637"/>
      <c r="K49" s="637"/>
      <c r="L49" s="638"/>
      <c r="N49" s="836" t="str">
        <f>List!$B$124&amp;" "</f>
        <v xml:space="preserve">Pomůcky do kuchyně </v>
      </c>
      <c r="O49" s="836"/>
      <c r="P49" s="837"/>
    </row>
    <row r="50" spans="2:17" ht="13.5" customHeight="1" x14ac:dyDescent="0.3">
      <c r="B50" s="144"/>
      <c r="C50" s="166" t="str">
        <f>List!$B$98&amp;":"</f>
        <v>Počet:</v>
      </c>
      <c r="D50" s="476">
        <f>SUM(ALds!$H$16:$L$16, ALds!$H$21:$L$22, ALds!$H$26:$H$27)</f>
        <v>0</v>
      </c>
      <c r="G50" s="166" t="str">
        <f>List!$B$98&amp;":"</f>
        <v>Počet:</v>
      </c>
      <c r="H50" s="476">
        <f>SUM(ALdw!$H$16:$L$16, ALdw!$H$21:$L$22, ALdw!$H$26)</f>
        <v>0</v>
      </c>
      <c r="J50" s="179"/>
      <c r="K50" s="475"/>
      <c r="L50" s="639"/>
      <c r="O50" s="166" t="str">
        <f>List!$B$98&amp;":"</f>
        <v>Počet:</v>
      </c>
      <c r="P50" s="476">
        <f>SUM(ALkh!$H$15,ALkh!$H$18,ALkh!$H$22,ALkh!$H$25)</f>
        <v>0</v>
      </c>
    </row>
    <row r="51" spans="2:17" ht="13.5" customHeight="1" x14ac:dyDescent="0.25">
      <c r="B51" s="144"/>
      <c r="C51" s="166"/>
      <c r="D51" s="147"/>
      <c r="G51" s="145"/>
      <c r="H51" s="147"/>
      <c r="J51" s="179"/>
      <c r="K51" s="475"/>
      <c r="L51" s="640"/>
      <c r="O51" s="145"/>
      <c r="P51" s="147"/>
    </row>
    <row r="52" spans="2:17" ht="5.25" customHeight="1" x14ac:dyDescent="0.25"/>
    <row r="53" spans="2:17" ht="16.5" customHeight="1" x14ac:dyDescent="0.3">
      <c r="B53" s="646" t="str">
        <f>"AMBIA-LINE "&amp;List!$B$114&amp;" C, F"</f>
        <v>AMBIA-LINE pro čelní výsuvy C, F</v>
      </c>
      <c r="C53" s="641"/>
      <c r="D53" s="641"/>
      <c r="E53" s="641"/>
      <c r="F53" s="641"/>
      <c r="G53" s="641"/>
      <c r="H53" s="641"/>
      <c r="I53" s="641"/>
      <c r="J53" s="641"/>
      <c r="K53" s="641"/>
      <c r="L53" s="647"/>
      <c r="M53" s="641"/>
      <c r="N53" s="641"/>
      <c r="O53" s="641"/>
      <c r="P53" s="647"/>
    </row>
    <row r="54" spans="2:17" ht="13.5" customHeight="1" x14ac:dyDescent="0.35">
      <c r="B54" s="143"/>
      <c r="C54" s="836" t="str">
        <f>List!$B$116&amp;" "</f>
        <v xml:space="preserve">Design ocel </v>
      </c>
      <c r="D54" s="837" t="str">
        <f>List!$B$116</f>
        <v>Design ocel</v>
      </c>
      <c r="F54" s="143"/>
      <c r="G54" s="836" t="str">
        <f>List!$B$117&amp;" "</f>
        <v xml:space="preserve">Design dřevo </v>
      </c>
      <c r="H54" s="837" t="str">
        <f>List!$B$117</f>
        <v>Design dřevo</v>
      </c>
      <c r="J54" s="836" t="str">
        <f>List!$B$209&amp;" "</f>
        <v xml:space="preserve">Souprava na lahve </v>
      </c>
      <c r="K54" s="836"/>
      <c r="L54" s="837"/>
      <c r="N54" s="836" t="str">
        <f>List!$B$151&amp;" "</f>
        <v xml:space="preserve">Příčný reling </v>
      </c>
      <c r="O54" s="836"/>
      <c r="P54" s="837"/>
    </row>
    <row r="55" spans="2:17" ht="13.5" customHeight="1" x14ac:dyDescent="0.25">
      <c r="B55" s="144"/>
      <c r="C55" s="166" t="str">
        <f>List!$B$98&amp;":"</f>
        <v>Počet:</v>
      </c>
      <c r="D55" s="476">
        <f>SUM(ALpos!$H$15:$H$16,ALpos!$H$20:$H$22)</f>
        <v>0</v>
      </c>
      <c r="G55" s="166" t="str">
        <f>List!$B$98&amp;":"</f>
        <v>Počet:</v>
      </c>
      <c r="H55" s="476">
        <f>SUM(ALpow!$H$15,ALpow!$H$20)</f>
        <v>0</v>
      </c>
      <c r="K55" s="166" t="str">
        <f>List!$B$98&amp;":"</f>
        <v>Počet:</v>
      </c>
      <c r="L55" s="476">
        <f>SUM(ALbot!$H$15,ALbot!$H$16)</f>
        <v>0</v>
      </c>
      <c r="O55" s="166" t="str">
        <f>List!$B$98&amp;":"</f>
        <v>Počet:</v>
      </c>
      <c r="P55" s="476">
        <f>SUM(ALrel!$H$15,ALrel!$H$20,ALrel!$H$21,ALrel!$H$25)</f>
        <v>0</v>
      </c>
    </row>
    <row r="56" spans="2:17" ht="13.5" customHeight="1" x14ac:dyDescent="0.25">
      <c r="B56" s="144"/>
      <c r="C56" s="166"/>
      <c r="D56" s="147"/>
      <c r="G56" s="145"/>
      <c r="H56" s="147"/>
      <c r="K56" s="145"/>
      <c r="L56" s="147"/>
      <c r="O56" s="145"/>
      <c r="P56" s="147"/>
      <c r="Q56" s="144"/>
    </row>
    <row r="57" spans="2:17" ht="5.25" customHeight="1" x14ac:dyDescent="0.25"/>
    <row r="58" spans="2:17" ht="13.5" customHeight="1" x14ac:dyDescent="0.3">
      <c r="B58" s="550" t="str">
        <f>List!$B$155</f>
        <v>Ostatní</v>
      </c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</row>
    <row r="59" spans="2:17" ht="13.5" customHeight="1" x14ac:dyDescent="0.35">
      <c r="B59" s="143"/>
      <c r="C59" s="836" t="str">
        <f>List!$B$21&amp;" "</f>
        <v xml:space="preserve">Doplňky </v>
      </c>
      <c r="D59" s="837" t="str">
        <f>List!$B$117</f>
        <v>Design dřevo</v>
      </c>
      <c r="F59" s="143"/>
      <c r="G59" s="836" t="s">
        <v>328</v>
      </c>
      <c r="H59" s="837" t="str">
        <f>List!$B$117</f>
        <v>Design dřevo</v>
      </c>
      <c r="J59" s="143"/>
      <c r="K59" s="143"/>
      <c r="L59" s="142"/>
      <c r="N59" s="143"/>
      <c r="O59" s="143"/>
      <c r="P59" s="142"/>
    </row>
    <row r="60" spans="2:17" ht="13.5" customHeight="1" x14ac:dyDescent="0.25">
      <c r="B60" s="144"/>
      <c r="C60" s="166" t="str">
        <f>List!$B$98&amp;":"</f>
        <v>Počet:</v>
      </c>
      <c r="D60" s="476">
        <f>SUM(Acs!E3:E16,Acs!E20:E37)</f>
        <v>0</v>
      </c>
      <c r="G60" s="166" t="str">
        <f>List!$B$98&amp;":"</f>
        <v>Počet:</v>
      </c>
      <c r="H60" s="476">
        <f>SUM(SD!E3:E38)</f>
        <v>0</v>
      </c>
      <c r="L60" s="147"/>
      <c r="P60" s="147"/>
    </row>
    <row r="61" spans="2:17" ht="13.5" customHeight="1" x14ac:dyDescent="0.25">
      <c r="B61" s="144"/>
      <c r="C61" s="166"/>
      <c r="D61" s="147"/>
      <c r="G61" s="145"/>
      <c r="H61" s="147"/>
      <c r="K61" s="145"/>
      <c r="L61" s="147"/>
      <c r="O61" s="145"/>
      <c r="P61" s="147"/>
    </row>
    <row r="62" spans="2:17" ht="13.5" customHeight="1" x14ac:dyDescent="0.25"/>
    <row r="63" spans="2:17" ht="13.5" customHeight="1" x14ac:dyDescent="0.25"/>
    <row r="64" spans="2:17" ht="13.5" customHeight="1" thickBot="1" x14ac:dyDescent="0.3">
      <c r="B64" s="151" t="str">
        <f>" "&amp;List!$B$227</f>
        <v xml:space="preserve"> Nahoru</v>
      </c>
    </row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88" spans="2:2" ht="13" thickBot="1" x14ac:dyDescent="0.3">
      <c r="B88" s="151" t="str">
        <f>" "&amp;List!$B$227</f>
        <v xml:space="preserve"> Nahoru</v>
      </c>
    </row>
    <row r="95" spans="2:2" ht="13.5" customHeight="1" x14ac:dyDescent="0.25"/>
    <row r="102" spans="2:2" ht="13.5" customHeight="1" x14ac:dyDescent="0.25"/>
    <row r="104" spans="2:2" ht="13" thickBot="1" x14ac:dyDescent="0.3">
      <c r="B104" s="151" t="str">
        <f>" "&amp;List!$B$227</f>
        <v xml:space="preserve"> Nahoru</v>
      </c>
    </row>
    <row r="109" spans="2:2" ht="13.5" customHeight="1" x14ac:dyDescent="0.25"/>
    <row r="114" spans="1:2" x14ac:dyDescent="0.25">
      <c r="A114" s="179"/>
    </row>
    <row r="117" spans="1:2" ht="21" customHeight="1" x14ac:dyDescent="0.25"/>
    <row r="120" spans="1:2" ht="13" thickBot="1" x14ac:dyDescent="0.3">
      <c r="B120" s="151" t="str">
        <f>" "&amp;List!$B$227</f>
        <v xml:space="preserve"> Nahoru</v>
      </c>
    </row>
  </sheetData>
  <sheetProtection algorithmName="SHA-512" hashValue="Qu26EqvuR6gtNd+ibziq6U2ZCxah4423DQNbgN6+6Xq6mqRUPMAcN6zfuH9E7lFiuTTqSjbErhPlOouSqe4cZQ==" saltValue="LYILcBhJtYLC3h5bgAvFEQ==" spinCount="100000" sheet="1" objects="1" scenarios="1"/>
  <mergeCells count="9">
    <mergeCell ref="N54:P54"/>
    <mergeCell ref="N49:P49"/>
    <mergeCell ref="C59:D59"/>
    <mergeCell ref="G59:H59"/>
    <mergeCell ref="J54:L54"/>
    <mergeCell ref="C49:D49"/>
    <mergeCell ref="G49:H49"/>
    <mergeCell ref="C54:D54"/>
    <mergeCell ref="G54:H54"/>
  </mergeCells>
  <phoneticPr fontId="51" type="noConversion"/>
  <conditionalFormatting sqref="D4 H4 L4 H9 L9 D15 H15 L15 D45 D39 D50 H50 D55 H55 L55 D60 H60">
    <cfRule type="cellIs" dxfId="22" priority="29" stopIfTrue="1" operator="greaterThan">
      <formula>0</formula>
    </cfRule>
  </conditionalFormatting>
  <conditionalFormatting sqref="P15">
    <cfRule type="cellIs" dxfId="21" priority="27" stopIfTrue="1" operator="greaterThan">
      <formula>0</formula>
    </cfRule>
  </conditionalFormatting>
  <conditionalFormatting sqref="P9">
    <cfRule type="cellIs" dxfId="20" priority="23" stopIfTrue="1" operator="greaterThan">
      <formula>0</formula>
    </cfRule>
  </conditionalFormatting>
  <conditionalFormatting sqref="P4">
    <cfRule type="cellIs" dxfId="19" priority="25" stopIfTrue="1" operator="greaterThan">
      <formula>0</formula>
    </cfRule>
  </conditionalFormatting>
  <conditionalFormatting sqref="D9">
    <cfRule type="cellIs" dxfId="18" priority="24" stopIfTrue="1" operator="greaterThan">
      <formula>0</formula>
    </cfRule>
  </conditionalFormatting>
  <conditionalFormatting sqref="P21">
    <cfRule type="cellIs" dxfId="17" priority="21" stopIfTrue="1" operator="greaterThan">
      <formula>0</formula>
    </cfRule>
  </conditionalFormatting>
  <conditionalFormatting sqref="P45 P39">
    <cfRule type="cellIs" dxfId="16" priority="6" stopIfTrue="1" operator="greaterThan">
      <formula>0</formula>
    </cfRule>
  </conditionalFormatting>
  <conditionalFormatting sqref="D21 H21 L21">
    <cfRule type="cellIs" dxfId="15" priority="22" stopIfTrue="1" operator="greaterThan">
      <formula>0</formula>
    </cfRule>
  </conditionalFormatting>
  <conditionalFormatting sqref="D33 L33">
    <cfRule type="cellIs" dxfId="14" priority="20" stopIfTrue="1" operator="greaterThan">
      <formula>0</formula>
    </cfRule>
  </conditionalFormatting>
  <conditionalFormatting sqref="P33">
    <cfRule type="cellIs" dxfId="13" priority="19" stopIfTrue="1" operator="greaterThan">
      <formula>0</formula>
    </cfRule>
  </conditionalFormatting>
  <conditionalFormatting sqref="H27">
    <cfRule type="cellIs" dxfId="12" priority="12" stopIfTrue="1" operator="greaterThan">
      <formula>0</formula>
    </cfRule>
  </conditionalFormatting>
  <conditionalFormatting sqref="L45 L39">
    <cfRule type="cellIs" dxfId="11" priority="8" stopIfTrue="1" operator="greaterThan">
      <formula>0</formula>
    </cfRule>
  </conditionalFormatting>
  <conditionalFormatting sqref="U33">
    <cfRule type="cellIs" dxfId="10" priority="16" stopIfTrue="1" operator="greaterThan">
      <formula>0</formula>
    </cfRule>
  </conditionalFormatting>
  <conditionalFormatting sqref="Y33">
    <cfRule type="cellIs" dxfId="9" priority="15" stopIfTrue="1" operator="greaterThan">
      <formula>0</formula>
    </cfRule>
  </conditionalFormatting>
  <conditionalFormatting sqref="H33">
    <cfRule type="cellIs" dxfId="8" priority="9" stopIfTrue="1" operator="greaterThan">
      <formula>0</formula>
    </cfRule>
  </conditionalFormatting>
  <conditionalFormatting sqref="D27">
    <cfRule type="cellIs" dxfId="7" priority="13" stopIfTrue="1" operator="greaterThan">
      <formula>0</formula>
    </cfRule>
  </conditionalFormatting>
  <conditionalFormatting sqref="L27">
    <cfRule type="cellIs" dxfId="6" priority="11" stopIfTrue="1" operator="greaterThan">
      <formula>0</formula>
    </cfRule>
  </conditionalFormatting>
  <conditionalFormatting sqref="H39">
    <cfRule type="cellIs" dxfId="5" priority="7" stopIfTrue="1" operator="greaterThan">
      <formula>0</formula>
    </cfRule>
  </conditionalFormatting>
  <conditionalFormatting sqref="P27">
    <cfRule type="cellIs" dxfId="4" priority="5" stopIfTrue="1" operator="greaterThan">
      <formula>0</formula>
    </cfRule>
  </conditionalFormatting>
  <conditionalFormatting sqref="H45">
    <cfRule type="cellIs" dxfId="3" priority="4" stopIfTrue="1" operator="greaterThan">
      <formula>0</formula>
    </cfRule>
  </conditionalFormatting>
  <conditionalFormatting sqref="P55">
    <cfRule type="cellIs" dxfId="2" priority="3" stopIfTrue="1" operator="greaterThan">
      <formula>0</formula>
    </cfRule>
  </conditionalFormatting>
  <conditionalFormatting sqref="P50">
    <cfRule type="cellIs" dxfId="1" priority="2" stopIfTrue="1" operator="greaterThan">
      <formula>0</formula>
    </cfRule>
  </conditionalFormatting>
  <conditionalFormatting sqref="L51">
    <cfRule type="cellIs" dxfId="0" priority="1" stopIfTrue="1" operator="greaterThan">
      <formula>0</formula>
    </cfRule>
  </conditionalFormatting>
  <hyperlinks>
    <hyperlink ref="R2" location="Form!A1" tooltip=" " display="Form!A1"/>
    <hyperlink ref="R3" location="Menu!A1" tooltip=" " display="Menu!A1"/>
    <hyperlink ref="R4" location="Acs!A1" tooltip=" " display="Acs!A1"/>
    <hyperlink ref="B88" location="Sum!A1" tooltip=" " display="Sum!A1"/>
    <hyperlink ref="B104" location="Sum!A1" tooltip=" " display="Sum!A1"/>
    <hyperlink ref="B120" location="Sum!A1" tooltip=" " display="Sum!A1"/>
    <hyperlink ref="R5" location="SD!A1" tooltip=" " display="SD!A1"/>
    <hyperlink ref="R9" location="Ord!A1" tooltip=" " display="Ord!A1"/>
    <hyperlink ref="H3" location="'7M400P'!A1" tooltip=" " display="7M 400P"/>
    <hyperlink ref="D3" location="'7N400P'!A1" tooltip=" " display="7N 400P"/>
    <hyperlink ref="H14" location="'7C41NP'!A1" tooltip=" " display="7C 41NP"/>
    <hyperlink ref="L14" location="'7C41RP'!A1" tooltip=" " display="7C 31RP"/>
    <hyperlink ref="D44" location="'7STCGP'!A1" tooltip=" " display="7ST CGP"/>
    <hyperlink ref="D14" location="'7C41VP'!A1" tooltip=" " display="7C 41VP"/>
    <hyperlink ref="D38" location="'7STMGP'!A1" tooltip=" " display="7ST MGP"/>
    <hyperlink ref="L3" location="'7M40VP'!A1" tooltip=" " display="7M 40VP"/>
    <hyperlink ref="L8" location="'7F410P'!A1" tooltip=" " display="7F 410P"/>
    <hyperlink ref="H8" location="'7C410F'!A1" tooltip=" " display="7C 410F"/>
    <hyperlink ref="C49" location="OLRo!A1" tooltip=" " display="OLRo!A1"/>
    <hyperlink ref="C49:D49" location="ALds!A1" tooltip=" " display="ALds!A1"/>
    <hyperlink ref="G49" location="OLRo!A1" tooltip=" " display="OLRo!A1"/>
    <hyperlink ref="C54" location="OLP1!A1" tooltip=" " display="OLP1!A1"/>
    <hyperlink ref="C54:D54" location="ALpos!A1" tooltip=" " display="ALpos!A1"/>
    <hyperlink ref="G54" location="OLP2!A1" tooltip=" " display="OLP2!A1"/>
    <hyperlink ref="G54:H54" location="ALpow!A1" tooltip=" " display="ALpow!A1"/>
    <hyperlink ref="J54" location="ALkh!A1" tooltip=" " display="ALkh!A1"/>
    <hyperlink ref="R6" location="AL!A1" tooltip=" " display="AL!A1"/>
    <hyperlink ref="B64" location="Sum!A1" tooltip=" " display="Sum!A1"/>
    <hyperlink ref="C59" location="OLRo!A1" tooltip=" " display="OLRo!A1"/>
    <hyperlink ref="C59:D59" location="Acs!A1" tooltip=" " display="Acs!A1"/>
    <hyperlink ref="G59" location="OLRo!A1" tooltip=" " display="OLRo!A1"/>
    <hyperlink ref="G59:H59" location="SD!A1" tooltip=" " display="SD!A1"/>
    <hyperlink ref="G49:H49" location="ALdw!A1" tooltip=" " display="ALdw!A1"/>
    <hyperlink ref="P3" location="'7K400P'!A1" tooltip=" " display="7K 400P"/>
    <hyperlink ref="D8" location="'7C410P'!A1" tooltip=" " display="7C 410P"/>
    <hyperlink ref="H20" location="'7C41NF'!A1" tooltip=" " display="7C 41NF"/>
    <hyperlink ref="L20" location="'7C41RF'!A1" tooltip=" " display="7C 31RF"/>
    <hyperlink ref="D20" location="'7C41VF'!A1" tooltip=" " display="7C 41VF"/>
    <hyperlink ref="P32" location="'7CM52F'!A1" tooltip=" " display="7C M52F"/>
    <hyperlink ref="D32" location="'7M442P'!A1" tooltip=" " display="7M 442P"/>
    <hyperlink ref="L32" location="'7CM52P'!A1" tooltip=" " display="7C M52P"/>
    <hyperlink ref="D26" location="'7C442P'!A1" tooltip=" " display="7C 442P"/>
    <hyperlink ref="H26" location="'7C442F'!A1" tooltip=" " display="7C 442F"/>
    <hyperlink ref="L26" location="'7CM42P'!A1" tooltip=" " display="7C M42P"/>
    <hyperlink ref="P26" location="'7CM42F'!A1" tooltip=" " display="7C M42F"/>
    <hyperlink ref="L44" location="'7STCRP'!A1" tooltip=" " display="7ST CRP"/>
    <hyperlink ref="L38" location="'7STMRP'!A1" tooltip=" " display="7ST MRP"/>
    <hyperlink ref="H44" location="'7STCGF'!A1" tooltip=" " display="7ST CGF"/>
    <hyperlink ref="H38" location="'7STMGF'!A1" tooltip=" " display="7ST MGF"/>
    <hyperlink ref="P44" location="'7STCRF'!A1" tooltip=" " display="7ST CRF"/>
    <hyperlink ref="P38" location="'7STMRF'!A1" tooltip=" " display="7ST MRF"/>
    <hyperlink ref="J54:L54" location="ALbot!A1" tooltip=" " display="ALbot!A1"/>
    <hyperlink ref="N54" location="ALkh!A1" tooltip=" " display="ALkh!A1"/>
    <hyperlink ref="N54:P54" location="ALrel!A1" tooltip=" " display="ALrel!A1"/>
    <hyperlink ref="N49" location="ALkh!A1" tooltip=" " display="ALkh!A1"/>
  </hyperlinks>
  <pageMargins left="0.7" right="0.7" top="0.78740157499999996" bottom="0.78740157499999996" header="0.3" footer="0.3"/>
  <pageSetup paperSize="9" scale="95" orientation="portrait" horizontalDpi="1200" verticalDpi="1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F8:O12"/>
  <sheetViews>
    <sheetView workbookViewId="0">
      <selection activeCell="S41" sqref="S41"/>
    </sheetView>
  </sheetViews>
  <sheetFormatPr defaultColWidth="9.1796875" defaultRowHeight="14" x14ac:dyDescent="0.3"/>
  <cols>
    <col min="1" max="5" width="9.1796875" style="1"/>
    <col min="6" max="16" width="8.7265625" style="1" customWidth="1"/>
    <col min="17" max="16384" width="9.1796875" style="1"/>
  </cols>
  <sheetData>
    <row r="8" spans="6:15" ht="20.25" customHeight="1" x14ac:dyDescent="0.3"/>
    <row r="9" spans="6:15" x14ac:dyDescent="0.3">
      <c r="F9" s="840" t="s">
        <v>231</v>
      </c>
      <c r="G9" s="840"/>
      <c r="H9" s="841" t="s">
        <v>234</v>
      </c>
      <c r="I9" s="841"/>
      <c r="J9" s="842" t="s">
        <v>235</v>
      </c>
      <c r="K9" s="842"/>
      <c r="L9" s="843" t="s">
        <v>236</v>
      </c>
      <c r="M9" s="843"/>
      <c r="N9" s="838" t="s">
        <v>237</v>
      </c>
      <c r="O9" s="838"/>
    </row>
    <row r="10" spans="6:15" x14ac:dyDescent="0.3">
      <c r="F10" s="840"/>
      <c r="G10" s="840"/>
      <c r="H10" s="841"/>
      <c r="I10" s="841"/>
      <c r="J10" s="842"/>
      <c r="K10" s="842"/>
      <c r="L10" s="843"/>
      <c r="M10" s="843"/>
      <c r="N10" s="838"/>
      <c r="O10" s="838"/>
    </row>
    <row r="12" spans="6:15" x14ac:dyDescent="0.3">
      <c r="F12" s="839"/>
      <c r="G12" s="839"/>
      <c r="H12" s="839"/>
      <c r="I12" s="839"/>
      <c r="J12" s="839"/>
      <c r="K12" s="839"/>
    </row>
  </sheetData>
  <mergeCells count="6">
    <mergeCell ref="N9:O10"/>
    <mergeCell ref="F12:K12"/>
    <mergeCell ref="F9:G10"/>
    <mergeCell ref="H9:I10"/>
    <mergeCell ref="J9:K10"/>
    <mergeCell ref="L9:M10"/>
  </mergeCells>
  <phoneticPr fontId="51" type="noConversion"/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5"/>
  </sheetPr>
  <dimension ref="A1:DB368"/>
  <sheetViews>
    <sheetView showGridLines="0" showRowColHeaders="0" showZeros="0" workbookViewId="0">
      <selection activeCell="BG10" sqref="BG10"/>
    </sheetView>
  </sheetViews>
  <sheetFormatPr defaultColWidth="9.1796875" defaultRowHeight="12.5" x14ac:dyDescent="0.25"/>
  <cols>
    <col min="1" max="1" width="1.453125" style="238" customWidth="1"/>
    <col min="2" max="2" width="41.453125" style="119" customWidth="1"/>
    <col min="3" max="3" width="14.54296875" style="119" customWidth="1"/>
    <col min="4" max="4" width="6" style="119" customWidth="1"/>
    <col min="5" max="5" width="2.81640625" style="666" customWidth="1"/>
    <col min="6" max="6" width="5" style="119" customWidth="1"/>
    <col min="7" max="8" width="9.1796875" style="119"/>
    <col min="9" max="9" width="4.453125" style="165" customWidth="1"/>
    <col min="10" max="10" width="9.1796875" style="119"/>
    <col min="11" max="11" width="10.1796875" style="119" customWidth="1"/>
    <col min="12" max="12" width="9.1796875" style="203" hidden="1" customWidth="1"/>
    <col min="13" max="13" width="10.7265625" style="460" hidden="1" customWidth="1"/>
    <col min="14" max="44" width="3.1796875" style="203" hidden="1" customWidth="1"/>
    <col min="45" max="45" width="3.1796875" style="468" hidden="1" customWidth="1"/>
    <col min="46" max="52" width="3.1796875" style="203" hidden="1" customWidth="1"/>
    <col min="53" max="53" width="3.1796875" style="468" hidden="1" customWidth="1"/>
    <col min="54" max="56" width="3.1796875" style="203" hidden="1" customWidth="1"/>
    <col min="57" max="57" width="9.1796875" style="203" hidden="1" customWidth="1"/>
    <col min="58" max="58" width="3.54296875" style="203" customWidth="1"/>
    <col min="59" max="59" width="25.81640625" style="203" customWidth="1"/>
    <col min="60" max="106" width="9.1796875" style="203"/>
    <col min="107" max="16384" width="9.1796875" style="119"/>
  </cols>
  <sheetData>
    <row r="1" spans="2:59" ht="29.25" customHeight="1" x14ac:dyDescent="0.45">
      <c r="B1" s="201" t="str">
        <f>List!$B$240</f>
        <v>Odběratel</v>
      </c>
      <c r="K1" s="202" t="str">
        <f>List!$B$20</f>
        <v>Objednávka</v>
      </c>
      <c r="BG1" s="204" t="str">
        <f>List!$B$11&amp;":"</f>
        <v>Zpět na:</v>
      </c>
    </row>
    <row r="2" spans="2:59" ht="13" thickBot="1" x14ac:dyDescent="0.3">
      <c r="B2" s="127">
        <f>Form!C102</f>
        <v>0</v>
      </c>
      <c r="C2" s="131"/>
      <c r="K2" s="166">
        <f>$H$7</f>
        <v>0</v>
      </c>
      <c r="BG2" s="151" t="str">
        <f>" "&amp;List!$B$13</f>
        <v xml:space="preserve"> Úvod</v>
      </c>
    </row>
    <row r="3" spans="2:59" ht="13.5" thickBot="1" x14ac:dyDescent="0.35">
      <c r="B3" s="127">
        <f>Form!C104</f>
        <v>0</v>
      </c>
      <c r="C3" s="555" t="str">
        <f>List!$B$243</f>
        <v>IČO, DIČ</v>
      </c>
      <c r="D3" s="205"/>
      <c r="E3" s="667"/>
      <c r="F3" s="126"/>
      <c r="G3" s="126"/>
      <c r="BG3" s="152" t="str">
        <f>" "&amp;List!$B$4</f>
        <v xml:space="preserve"> Výběr zásuvek a výsuvů</v>
      </c>
    </row>
    <row r="4" spans="2:59" ht="15.75" customHeight="1" thickBot="1" x14ac:dyDescent="0.3">
      <c r="B4" s="127">
        <f>Form!C105</f>
        <v>0</v>
      </c>
      <c r="C4" s="556">
        <f>Form!C112</f>
        <v>0</v>
      </c>
      <c r="D4" s="127"/>
      <c r="E4" s="668"/>
      <c r="F4" s="127"/>
      <c r="G4" s="126"/>
      <c r="H4" s="338"/>
      <c r="I4" s="338"/>
      <c r="J4" s="166" t="s">
        <v>1257</v>
      </c>
      <c r="K4" s="724" t="str">
        <f>Form!$I$17&amp;" "</f>
        <v xml:space="preserve">2.0.1 </v>
      </c>
      <c r="BG4" s="152" t="str">
        <f>" "&amp;List!$B$5</f>
        <v xml:space="preserve"> Výběr doplňků</v>
      </c>
    </row>
    <row r="5" spans="2:59" ht="13" thickBot="1" x14ac:dyDescent="0.3">
      <c r="B5" s="127">
        <f>Form!C106</f>
        <v>0</v>
      </c>
      <c r="C5" s="556">
        <f>Form!C113</f>
        <v>0</v>
      </c>
      <c r="D5" s="206"/>
      <c r="E5" s="669"/>
      <c r="F5" s="206"/>
      <c r="G5" s="727"/>
      <c r="H5" s="727"/>
      <c r="I5" s="727"/>
      <c r="J5" s="725" t="str">
        <f>List!$B$249</f>
        <v>Platnost ceníku od</v>
      </c>
      <c r="K5" s="726">
        <f>Price!H8</f>
        <v>43009</v>
      </c>
      <c r="BG5" s="152" t="str">
        <f>" "&amp;List!$B$6</f>
        <v xml:space="preserve"> Výběr SERVO-DRIVE</v>
      </c>
    </row>
    <row r="6" spans="2:59" ht="13.5" thickBot="1" x14ac:dyDescent="0.35">
      <c r="B6" s="207" t="str">
        <f>List!$B$242</f>
        <v>Dodací adresa</v>
      </c>
      <c r="C6" s="557" t="str">
        <f>List!$B$244</f>
        <v>Telefon, fax, e-mail</v>
      </c>
      <c r="D6" s="208"/>
      <c r="E6" s="385"/>
      <c r="F6" s="209"/>
      <c r="G6" s="126"/>
      <c r="H6" s="210" t="str">
        <f>List!$B$245</f>
        <v>Číslo objednávky</v>
      </c>
      <c r="M6" s="461">
        <f>SUM(M11:M291)</f>
        <v>0</v>
      </c>
      <c r="BG6" s="247" t="str">
        <f>" "&amp;List!$B$7</f>
        <v xml:space="preserve"> Výběr AMBIA-LINE</v>
      </c>
    </row>
    <row r="7" spans="2:59" x14ac:dyDescent="0.25">
      <c r="B7" s="127">
        <f>Form!C108</f>
        <v>0</v>
      </c>
      <c r="C7" s="556">
        <f>Form!C115</f>
        <v>0</v>
      </c>
      <c r="D7" s="127"/>
      <c r="E7" s="668"/>
      <c r="F7" s="127"/>
      <c r="G7" s="127"/>
      <c r="H7" s="853"/>
      <c r="I7" s="853"/>
      <c r="J7" s="853"/>
      <c r="K7" s="853"/>
      <c r="BG7" s="152" t="str">
        <f>" "&amp;List!$B$18</f>
        <v xml:space="preserve"> Souhrn</v>
      </c>
    </row>
    <row r="8" spans="2:59" ht="12.75" customHeight="1" x14ac:dyDescent="0.3">
      <c r="B8" s="127">
        <f>Form!C109</f>
        <v>0</v>
      </c>
      <c r="C8" s="556">
        <f>Form!C116</f>
        <v>0</v>
      </c>
      <c r="D8" s="127"/>
      <c r="E8" s="668"/>
      <c r="F8" s="127"/>
      <c r="G8" s="127"/>
      <c r="H8" s="210" t="str">
        <f>List!$B$246</f>
        <v>Zakázka</v>
      </c>
      <c r="N8" s="845" t="s">
        <v>834</v>
      </c>
      <c r="O8" s="845" t="s">
        <v>835</v>
      </c>
      <c r="P8" s="845" t="s">
        <v>837</v>
      </c>
      <c r="Q8" s="845" t="s">
        <v>836</v>
      </c>
      <c r="R8" s="845" t="s">
        <v>839</v>
      </c>
      <c r="S8" s="847" t="s">
        <v>1138</v>
      </c>
      <c r="T8" s="845" t="s">
        <v>1139</v>
      </c>
      <c r="U8" s="847" t="s">
        <v>1142</v>
      </c>
      <c r="V8" s="845" t="s">
        <v>1140</v>
      </c>
      <c r="W8" s="847" t="s">
        <v>1143</v>
      </c>
      <c r="X8" s="845" t="s">
        <v>1141</v>
      </c>
      <c r="Y8" s="847" t="s">
        <v>1144</v>
      </c>
      <c r="Z8" s="845" t="s">
        <v>838</v>
      </c>
      <c r="AB8" s="845" t="s">
        <v>916</v>
      </c>
      <c r="AC8" s="845" t="s">
        <v>915</v>
      </c>
      <c r="AD8" s="847" t="s">
        <v>1148</v>
      </c>
      <c r="AE8" s="845" t="s">
        <v>1153</v>
      </c>
      <c r="AF8" s="847" t="s">
        <v>1154</v>
      </c>
      <c r="AH8" s="845" t="s">
        <v>1147</v>
      </c>
      <c r="AI8" s="847" t="s">
        <v>1155</v>
      </c>
      <c r="AK8" s="845" t="s">
        <v>917</v>
      </c>
      <c r="AL8" s="847" t="s">
        <v>1149</v>
      </c>
      <c r="AM8" s="845" t="s">
        <v>918</v>
      </c>
      <c r="AN8" s="847" t="s">
        <v>1157</v>
      </c>
      <c r="AO8" s="845" t="s">
        <v>919</v>
      </c>
      <c r="AP8" s="847" t="s">
        <v>1158</v>
      </c>
      <c r="AQ8" s="845" t="s">
        <v>920</v>
      </c>
      <c r="AR8" s="847" t="s">
        <v>1159</v>
      </c>
      <c r="AT8" s="848" t="s">
        <v>921</v>
      </c>
      <c r="AU8" s="848" t="s">
        <v>922</v>
      </c>
      <c r="AV8" s="730"/>
      <c r="AW8" s="848" t="s">
        <v>923</v>
      </c>
      <c r="AX8" s="848" t="s">
        <v>924</v>
      </c>
      <c r="AY8" s="848" t="s">
        <v>1162</v>
      </c>
      <c r="AZ8" s="848" t="s">
        <v>925</v>
      </c>
      <c r="BB8" s="846" t="s">
        <v>926</v>
      </c>
      <c r="BC8" s="470"/>
      <c r="BD8" s="844" t="s">
        <v>938</v>
      </c>
      <c r="BG8" s="119"/>
    </row>
    <row r="9" spans="2:59" x14ac:dyDescent="0.25">
      <c r="B9" s="206">
        <f>Form!C110</f>
        <v>0</v>
      </c>
      <c r="C9" s="558">
        <f>Form!C117</f>
        <v>0</v>
      </c>
      <c r="D9" s="206"/>
      <c r="E9" s="669"/>
      <c r="F9" s="206"/>
      <c r="G9" s="206"/>
      <c r="H9" s="852"/>
      <c r="I9" s="852"/>
      <c r="J9" s="852"/>
      <c r="K9" s="852"/>
      <c r="L9" s="211"/>
      <c r="M9" s="462"/>
      <c r="N9" s="845"/>
      <c r="O9" s="845"/>
      <c r="P9" s="845"/>
      <c r="Q9" s="845"/>
      <c r="R9" s="845"/>
      <c r="S9" s="847"/>
      <c r="T9" s="845"/>
      <c r="U9" s="847"/>
      <c r="V9" s="845"/>
      <c r="W9" s="847"/>
      <c r="X9" s="845"/>
      <c r="Y9" s="847"/>
      <c r="Z9" s="845"/>
      <c r="AB9" s="845"/>
      <c r="AC9" s="845"/>
      <c r="AD9" s="847"/>
      <c r="AE9" s="845"/>
      <c r="AF9" s="847"/>
      <c r="AH9" s="845"/>
      <c r="AI9" s="847"/>
      <c r="AK9" s="845"/>
      <c r="AL9" s="847"/>
      <c r="AM9" s="845"/>
      <c r="AN9" s="847"/>
      <c r="AO9" s="845"/>
      <c r="AP9" s="847"/>
      <c r="AQ9" s="845"/>
      <c r="AR9" s="847"/>
      <c r="AT9" s="848"/>
      <c r="AU9" s="848"/>
      <c r="AV9" s="730"/>
      <c r="AW9" s="848"/>
      <c r="AX9" s="848"/>
      <c r="AY9" s="848"/>
      <c r="AZ9" s="848"/>
      <c r="BB9" s="846"/>
      <c r="BC9" s="470"/>
      <c r="BD9" s="844"/>
      <c r="BG9" s="119"/>
    </row>
    <row r="10" spans="2:59" ht="47.25" customHeight="1" x14ac:dyDescent="0.25">
      <c r="B10" s="212" t="str">
        <f>Cen!A10</f>
        <v>Název</v>
      </c>
      <c r="C10" s="212" t="str">
        <f>Cen!B10</f>
        <v>Číslo artiklu</v>
      </c>
      <c r="D10" s="212" t="str">
        <f>Cen!C10</f>
        <v>Barva</v>
      </c>
      <c r="E10" s="670" t="str">
        <f>Cen!D10</f>
        <v>Dostupnost</v>
      </c>
      <c r="F10" s="728" t="str">
        <f>Cen!E10</f>
        <v>Počet</v>
      </c>
      <c r="G10" s="213" t="str">
        <f>Cen!F10</f>
        <v>Jednotková cena</v>
      </c>
      <c r="H10" s="729" t="str">
        <f>Cen!G10</f>
        <v>Celkem</v>
      </c>
      <c r="I10" s="554" t="str">
        <f>Cen!H10</f>
        <v>Změna</v>
      </c>
      <c r="J10" s="213" t="str">
        <f>Cen!I10</f>
        <v>IDNr.</v>
      </c>
      <c r="K10" s="213">
        <f>Cen!J10</f>
        <v>0</v>
      </c>
      <c r="L10" s="214" t="s">
        <v>136</v>
      </c>
      <c r="M10" s="460" t="s">
        <v>137</v>
      </c>
      <c r="N10" s="845"/>
      <c r="O10" s="845"/>
      <c r="P10" s="845"/>
      <c r="Q10" s="845"/>
      <c r="R10" s="845"/>
      <c r="S10" s="847"/>
      <c r="T10" s="845"/>
      <c r="U10" s="847"/>
      <c r="V10" s="845"/>
      <c r="W10" s="847"/>
      <c r="X10" s="845"/>
      <c r="Y10" s="847"/>
      <c r="Z10" s="845"/>
      <c r="AB10" s="845"/>
      <c r="AC10" s="845"/>
      <c r="AD10" s="847"/>
      <c r="AE10" s="845"/>
      <c r="AF10" s="847"/>
      <c r="AH10" s="845"/>
      <c r="AI10" s="847"/>
      <c r="AK10" s="845"/>
      <c r="AL10" s="847"/>
      <c r="AM10" s="845"/>
      <c r="AN10" s="847"/>
      <c r="AO10" s="845"/>
      <c r="AP10" s="847"/>
      <c r="AQ10" s="845"/>
      <c r="AR10" s="847"/>
      <c r="AT10" s="848"/>
      <c r="AU10" s="848"/>
      <c r="AV10" s="730" t="s">
        <v>1271</v>
      </c>
      <c r="AW10" s="848"/>
      <c r="AX10" s="848"/>
      <c r="AY10" s="848"/>
      <c r="AZ10" s="848"/>
      <c r="BB10" s="846"/>
      <c r="BC10" s="470" t="s">
        <v>927</v>
      </c>
      <c r="BD10" s="844"/>
      <c r="BG10" s="119"/>
    </row>
    <row r="11" spans="2:59" x14ac:dyDescent="0.25">
      <c r="B11" s="215" t="str">
        <f>Cen!A11</f>
        <v>Bočnice N 450mm, Orion šedé</v>
      </c>
      <c r="C11" s="215" t="str">
        <f>Cen!B11</f>
        <v>770N4502S</v>
      </c>
      <c r="D11" s="215" t="str">
        <f>Cen!C11</f>
        <v>OG-M</v>
      </c>
      <c r="E11" s="671" t="str">
        <f>Cen!D11</f>
        <v>!</v>
      </c>
      <c r="F11" s="197">
        <f t="shared" ref="F11:F47" si="0">IF(I11&gt;0,I11,SUM(N11:BC11))</f>
        <v>0</v>
      </c>
      <c r="G11" s="216">
        <f>Cen!F11</f>
        <v>18.978459999999998</v>
      </c>
      <c r="H11" s="217">
        <f t="shared" ref="H11:H17" si="1">M11</f>
        <v>0</v>
      </c>
      <c r="I11" s="242"/>
      <c r="J11" s="218">
        <f>Cen!I11</f>
        <v>9950830</v>
      </c>
      <c r="K11" s="218">
        <f>Cen!J11</f>
        <v>227434</v>
      </c>
      <c r="L11" s="219">
        <f t="shared" ref="L11:L74" si="2">IF(I11="x",0,IF(I11&gt;0,I11,F11))</f>
        <v>0</v>
      </c>
      <c r="M11" s="463">
        <f t="shared" ref="M11:M74" si="3">PRODUCT(L11,G11)</f>
        <v>0</v>
      </c>
      <c r="N11" s="356">
        <f>'7N400P'!S7</f>
        <v>0</v>
      </c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469"/>
      <c r="AT11" s="224"/>
      <c r="AU11" s="224"/>
      <c r="AV11" s="224"/>
      <c r="AW11" s="224"/>
      <c r="AX11" s="224"/>
      <c r="AY11" s="224"/>
      <c r="AZ11" s="224"/>
      <c r="BA11" s="469"/>
      <c r="BB11" s="224"/>
      <c r="BC11" s="224"/>
      <c r="BD11" s="548">
        <f t="shared" ref="BD11:BD49" si="4">IF(AND(E11&gt;0,F11&gt;0),1,0)</f>
        <v>0</v>
      </c>
      <c r="BE11" s="214"/>
    </row>
    <row r="12" spans="2:59" x14ac:dyDescent="0.25">
      <c r="B12" s="220" t="str">
        <f>Cen!A15</f>
        <v>Bočnice N 500mm, Orion šedé</v>
      </c>
      <c r="C12" s="220" t="str">
        <f>Cen!B15</f>
        <v>770N5002S</v>
      </c>
      <c r="D12" s="220" t="str">
        <f>Cen!C15</f>
        <v>OG-M</v>
      </c>
      <c r="E12" s="606">
        <f>Cen!D15</f>
        <v>0</v>
      </c>
      <c r="F12" s="198">
        <f t="shared" si="0"/>
        <v>0</v>
      </c>
      <c r="G12" s="221">
        <f>Cen!F15</f>
        <v>19.201000000000001</v>
      </c>
      <c r="H12" s="222">
        <f t="shared" si="1"/>
        <v>0</v>
      </c>
      <c r="I12" s="233"/>
      <c r="J12" s="223">
        <f>Cen!I15</f>
        <v>9978373</v>
      </c>
      <c r="K12" s="223">
        <f>Cen!J15</f>
        <v>227438</v>
      </c>
      <c r="L12" s="219">
        <f t="shared" si="2"/>
        <v>0</v>
      </c>
      <c r="M12" s="463">
        <f t="shared" si="3"/>
        <v>0</v>
      </c>
      <c r="N12" s="356">
        <f>'7N400P'!S8</f>
        <v>0</v>
      </c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469"/>
      <c r="AT12" s="224"/>
      <c r="AU12" s="224"/>
      <c r="AV12" s="224"/>
      <c r="AW12" s="224"/>
      <c r="AX12" s="224"/>
      <c r="AY12" s="224"/>
      <c r="AZ12" s="224"/>
      <c r="BA12" s="469"/>
      <c r="BB12" s="224"/>
      <c r="BC12" s="224"/>
      <c r="BD12" s="548">
        <f t="shared" si="4"/>
        <v>0</v>
      </c>
      <c r="BE12" s="214"/>
    </row>
    <row r="13" spans="2:59" x14ac:dyDescent="0.25">
      <c r="B13" s="220" t="str">
        <f>Cen!A19</f>
        <v>Bočnice M 270mm, Orion šedé</v>
      </c>
      <c r="C13" s="220" t="str">
        <f>Cen!B19</f>
        <v>770M2702S</v>
      </c>
      <c r="D13" s="220" t="str">
        <f>Cen!C19</f>
        <v>OG-M</v>
      </c>
      <c r="E13" s="606">
        <f>Cen!D19</f>
        <v>0</v>
      </c>
      <c r="F13" s="198">
        <f t="shared" si="0"/>
        <v>0</v>
      </c>
      <c r="G13" s="221">
        <f>Cen!F19</f>
        <v>18.533550000000002</v>
      </c>
      <c r="H13" s="222">
        <f t="shared" si="1"/>
        <v>0</v>
      </c>
      <c r="I13" s="233"/>
      <c r="J13" s="223">
        <f>Cen!I19</f>
        <v>8145106</v>
      </c>
      <c r="K13" s="223">
        <f>Cen!J19</f>
        <v>227442</v>
      </c>
      <c r="L13" s="219">
        <f t="shared" si="2"/>
        <v>0</v>
      </c>
      <c r="M13" s="463">
        <f t="shared" si="3"/>
        <v>0</v>
      </c>
      <c r="N13" s="224"/>
      <c r="O13" s="356">
        <f>'7M400P'!S3</f>
        <v>0</v>
      </c>
      <c r="P13" s="356">
        <f>'7M40VP'!S3</f>
        <v>0</v>
      </c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469"/>
      <c r="AT13" s="224"/>
      <c r="AU13" s="224"/>
      <c r="AV13" s="224"/>
      <c r="AW13" s="224"/>
      <c r="AX13" s="224"/>
      <c r="AY13" s="224"/>
      <c r="AZ13" s="224"/>
      <c r="BA13" s="469"/>
      <c r="BB13" s="224"/>
      <c r="BC13" s="224"/>
      <c r="BD13" s="548">
        <f t="shared" si="4"/>
        <v>0</v>
      </c>
      <c r="BE13" s="214"/>
    </row>
    <row r="14" spans="2:59" x14ac:dyDescent="0.25">
      <c r="B14" s="220" t="str">
        <f>Cen!A23</f>
        <v>Bočnice M 300mm, Orion šedé</v>
      </c>
      <c r="C14" s="220" t="str">
        <f>Cen!B23</f>
        <v>770M3002S</v>
      </c>
      <c r="D14" s="220" t="str">
        <f>Cen!C23</f>
        <v>OG-M</v>
      </c>
      <c r="E14" s="606">
        <f>Cen!D23</f>
        <v>0</v>
      </c>
      <c r="F14" s="198">
        <f t="shared" si="0"/>
        <v>0</v>
      </c>
      <c r="G14" s="221">
        <f>Cen!F23</f>
        <v>18.533550000000002</v>
      </c>
      <c r="H14" s="222">
        <f t="shared" si="1"/>
        <v>0</v>
      </c>
      <c r="I14" s="233"/>
      <c r="J14" s="223">
        <f>Cen!I23</f>
        <v>8163892</v>
      </c>
      <c r="K14" s="223">
        <f>Cen!J23</f>
        <v>227446</v>
      </c>
      <c r="L14" s="219">
        <f t="shared" si="2"/>
        <v>0</v>
      </c>
      <c r="M14" s="463">
        <f t="shared" si="3"/>
        <v>0</v>
      </c>
      <c r="N14" s="224"/>
      <c r="O14" s="356">
        <f>'7M400P'!S4</f>
        <v>0</v>
      </c>
      <c r="P14" s="356">
        <f>'7M40VP'!S4</f>
        <v>0</v>
      </c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356">
        <f>'7CM42P'!S3</f>
        <v>0</v>
      </c>
      <c r="AF14" s="356">
        <f>'7CM42F'!S3</f>
        <v>0</v>
      </c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469"/>
      <c r="AT14" s="224"/>
      <c r="AU14" s="224"/>
      <c r="AV14" s="224"/>
      <c r="AW14" s="224"/>
      <c r="AX14" s="224"/>
      <c r="AY14" s="224"/>
      <c r="AZ14" s="224"/>
      <c r="BA14" s="469"/>
      <c r="BB14" s="224"/>
      <c r="BC14" s="224"/>
      <c r="BD14" s="548">
        <f t="shared" si="4"/>
        <v>0</v>
      </c>
      <c r="BE14" s="214"/>
    </row>
    <row r="15" spans="2:59" x14ac:dyDescent="0.25">
      <c r="B15" s="220" t="str">
        <f>Cen!A27</f>
        <v>Bočnice M 350mm, Orion šedé</v>
      </c>
      <c r="C15" s="220" t="str">
        <f>Cen!B27</f>
        <v>770M3502S</v>
      </c>
      <c r="D15" s="220" t="str">
        <f>Cen!C27</f>
        <v>OG-M</v>
      </c>
      <c r="E15" s="606">
        <f>Cen!D27</f>
        <v>0</v>
      </c>
      <c r="F15" s="198">
        <f t="shared" si="0"/>
        <v>0</v>
      </c>
      <c r="G15" s="221">
        <f>Cen!F27</f>
        <v>18.533550000000002</v>
      </c>
      <c r="H15" s="222">
        <f t="shared" si="1"/>
        <v>0</v>
      </c>
      <c r="I15" s="233"/>
      <c r="J15" s="223">
        <f>Cen!I27</f>
        <v>8232508</v>
      </c>
      <c r="K15" s="223">
        <f>Cen!J27</f>
        <v>227450</v>
      </c>
      <c r="L15" s="219">
        <f t="shared" si="2"/>
        <v>0</v>
      </c>
      <c r="M15" s="463">
        <f t="shared" si="3"/>
        <v>0</v>
      </c>
      <c r="N15" s="224"/>
      <c r="O15" s="356">
        <f>'7M400P'!S5</f>
        <v>0</v>
      </c>
      <c r="P15" s="356">
        <f>'7M40VP'!S5</f>
        <v>0</v>
      </c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356">
        <f>'7CM42P'!S4</f>
        <v>0</v>
      </c>
      <c r="AF15" s="356">
        <f>'7CM42F'!S4</f>
        <v>0</v>
      </c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469"/>
      <c r="AT15" s="224"/>
      <c r="AU15" s="224"/>
      <c r="AV15" s="224"/>
      <c r="AW15" s="224"/>
      <c r="AX15" s="224"/>
      <c r="AY15" s="224"/>
      <c r="AZ15" s="224"/>
      <c r="BA15" s="469"/>
      <c r="BB15" s="224"/>
      <c r="BC15" s="224"/>
      <c r="BD15" s="548">
        <f t="shared" si="4"/>
        <v>0</v>
      </c>
      <c r="BE15" s="214"/>
    </row>
    <row r="16" spans="2:59" x14ac:dyDescent="0.25">
      <c r="B16" s="220" t="str">
        <f>Cen!A31</f>
        <v>Bočnice M 400mm, Orion šedé</v>
      </c>
      <c r="C16" s="220" t="str">
        <f>Cen!B31</f>
        <v>770M4002S</v>
      </c>
      <c r="D16" s="220" t="str">
        <f>Cen!C31</f>
        <v>OG-M</v>
      </c>
      <c r="E16" s="606">
        <f>Cen!D31</f>
        <v>0</v>
      </c>
      <c r="F16" s="198">
        <f t="shared" si="0"/>
        <v>0</v>
      </c>
      <c r="G16" s="221">
        <f>Cen!F31</f>
        <v>18.75609</v>
      </c>
      <c r="H16" s="222">
        <f t="shared" si="1"/>
        <v>0</v>
      </c>
      <c r="I16" s="233"/>
      <c r="J16" s="223">
        <f>Cen!I31</f>
        <v>8385764</v>
      </c>
      <c r="K16" s="223">
        <f>Cen!J31</f>
        <v>227454</v>
      </c>
      <c r="L16" s="219">
        <f t="shared" si="2"/>
        <v>0</v>
      </c>
      <c r="M16" s="463">
        <f t="shared" si="3"/>
        <v>0</v>
      </c>
      <c r="N16" s="224"/>
      <c r="O16" s="356">
        <f>'7M400P'!S6</f>
        <v>0</v>
      </c>
      <c r="P16" s="356">
        <f>'7M40VP'!S6</f>
        <v>0</v>
      </c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356">
        <f>'7CM42P'!S5</f>
        <v>0</v>
      </c>
      <c r="AF16" s="356">
        <f>'7CM42F'!S5</f>
        <v>0</v>
      </c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469"/>
      <c r="AT16" s="224"/>
      <c r="AU16" s="224"/>
      <c r="AV16" s="224"/>
      <c r="AW16" s="224"/>
      <c r="AX16" s="224"/>
      <c r="AY16" s="224"/>
      <c r="AZ16" s="224"/>
      <c r="BA16" s="469"/>
      <c r="BB16" s="224"/>
      <c r="BC16" s="224"/>
      <c r="BD16" s="548">
        <f t="shared" si="4"/>
        <v>0</v>
      </c>
      <c r="BE16" s="214"/>
    </row>
    <row r="17" spans="2:57" x14ac:dyDescent="0.25">
      <c r="B17" s="220" t="str">
        <f>Cen!A35</f>
        <v>Bočnice M 450mm, Orion šedé</v>
      </c>
      <c r="C17" s="220" t="str">
        <f>Cen!B35</f>
        <v>770M4502S</v>
      </c>
      <c r="D17" s="220" t="str">
        <f>Cen!C35</f>
        <v>OG-M</v>
      </c>
      <c r="E17" s="606">
        <f>Cen!D35</f>
        <v>0</v>
      </c>
      <c r="F17" s="198">
        <f t="shared" si="0"/>
        <v>0</v>
      </c>
      <c r="G17" s="221">
        <f>Cen!F35</f>
        <v>19.977319999999999</v>
      </c>
      <c r="H17" s="222">
        <f t="shared" si="1"/>
        <v>0</v>
      </c>
      <c r="I17" s="233"/>
      <c r="J17" s="223">
        <f>Cen!I35</f>
        <v>8435320</v>
      </c>
      <c r="K17" s="223">
        <f>Cen!J35</f>
        <v>227458</v>
      </c>
      <c r="L17" s="219">
        <f t="shared" si="2"/>
        <v>0</v>
      </c>
      <c r="M17" s="463">
        <f t="shared" si="3"/>
        <v>0</v>
      </c>
      <c r="N17" s="224"/>
      <c r="O17" s="356">
        <f>'7M400P'!S7</f>
        <v>0</v>
      </c>
      <c r="P17" s="356">
        <f>'7M40VP'!S7</f>
        <v>0</v>
      </c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356">
        <f>'7M442P'!S7</f>
        <v>0</v>
      </c>
      <c r="AC17" s="224"/>
      <c r="AD17" s="224"/>
      <c r="AE17" s="356">
        <f>'7CM42P'!S6</f>
        <v>0</v>
      </c>
      <c r="AF17" s="356">
        <f>'7CM42F'!S6</f>
        <v>0</v>
      </c>
      <c r="AG17" s="224"/>
      <c r="AH17" s="356">
        <f>'7CM52P'!S3</f>
        <v>0</v>
      </c>
      <c r="AI17" s="356">
        <f>'7CM52F'!S3</f>
        <v>0</v>
      </c>
      <c r="AJ17" s="224"/>
      <c r="AK17" s="224"/>
      <c r="AL17" s="224"/>
      <c r="AM17" s="224"/>
      <c r="AN17" s="224"/>
      <c r="AO17" s="356">
        <f>'7STMGP'!S3</f>
        <v>0</v>
      </c>
      <c r="AP17" s="356">
        <f>'7STMGF'!S3</f>
        <v>0</v>
      </c>
      <c r="AQ17" s="356">
        <f>'7STMRP'!S3</f>
        <v>0</v>
      </c>
      <c r="AR17" s="356">
        <f>'7STMRF'!S3</f>
        <v>0</v>
      </c>
      <c r="AS17" s="469"/>
      <c r="AT17" s="224"/>
      <c r="AU17" s="224"/>
      <c r="AV17" s="224"/>
      <c r="AW17" s="224"/>
      <c r="AX17" s="224"/>
      <c r="AY17" s="224"/>
      <c r="AZ17" s="224"/>
      <c r="BA17" s="469"/>
      <c r="BB17" s="224"/>
      <c r="BC17" s="224"/>
      <c r="BD17" s="548">
        <f t="shared" si="4"/>
        <v>0</v>
      </c>
      <c r="BE17" s="214"/>
    </row>
    <row r="18" spans="2:57" x14ac:dyDescent="0.25">
      <c r="B18" s="220" t="str">
        <f>Cen!A39</f>
        <v>Bočnice M 500mm, Orion šedé</v>
      </c>
      <c r="C18" s="220" t="str">
        <f>Cen!B39</f>
        <v>770M5002S</v>
      </c>
      <c r="D18" s="220" t="str">
        <f>Cen!C39</f>
        <v>OG-M</v>
      </c>
      <c r="E18" s="606">
        <f>Cen!D39</f>
        <v>0</v>
      </c>
      <c r="F18" s="198">
        <f t="shared" si="0"/>
        <v>0</v>
      </c>
      <c r="G18" s="221">
        <f>Cen!F39</f>
        <v>20.211580000000001</v>
      </c>
      <c r="H18" s="222">
        <f t="shared" ref="H18:H46" si="5">M18</f>
        <v>0</v>
      </c>
      <c r="I18" s="233"/>
      <c r="J18" s="223">
        <f>Cen!I39</f>
        <v>8477460</v>
      </c>
      <c r="K18" s="223">
        <f>Cen!J39</f>
        <v>227462</v>
      </c>
      <c r="L18" s="219">
        <f t="shared" si="2"/>
        <v>0</v>
      </c>
      <c r="M18" s="463">
        <f t="shared" si="3"/>
        <v>0</v>
      </c>
      <c r="N18" s="224"/>
      <c r="O18" s="356">
        <f>'7M400P'!S8</f>
        <v>0</v>
      </c>
      <c r="P18" s="356">
        <f>'7M40VP'!S8</f>
        <v>0</v>
      </c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356">
        <f>'7M442P'!S8</f>
        <v>0</v>
      </c>
      <c r="AC18" s="224"/>
      <c r="AD18" s="224"/>
      <c r="AE18" s="356">
        <f>'7CM42P'!S7</f>
        <v>0</v>
      </c>
      <c r="AF18" s="356">
        <f>'7CM42F'!S7</f>
        <v>0</v>
      </c>
      <c r="AG18" s="224"/>
      <c r="AH18" s="356">
        <f>'7CM52P'!S4</f>
        <v>0</v>
      </c>
      <c r="AI18" s="356">
        <f>'7CM52F'!S4</f>
        <v>0</v>
      </c>
      <c r="AJ18" s="224"/>
      <c r="AK18" s="224"/>
      <c r="AL18" s="224"/>
      <c r="AM18" s="224"/>
      <c r="AN18" s="224"/>
      <c r="AO18" s="356">
        <f>'7STMGP'!S4</f>
        <v>0</v>
      </c>
      <c r="AP18" s="356">
        <f>'7STMGF'!S4</f>
        <v>0</v>
      </c>
      <c r="AQ18" s="356">
        <f>'7STMRP'!S4</f>
        <v>0</v>
      </c>
      <c r="AR18" s="356">
        <f>'7STMRF'!S4</f>
        <v>0</v>
      </c>
      <c r="AS18" s="469"/>
      <c r="AT18" s="224"/>
      <c r="AU18" s="224"/>
      <c r="AV18" s="224"/>
      <c r="AW18" s="224"/>
      <c r="AX18" s="224"/>
      <c r="AY18" s="224"/>
      <c r="AZ18" s="224"/>
      <c r="BA18" s="469"/>
      <c r="BB18" s="224"/>
      <c r="BC18" s="224"/>
      <c r="BD18" s="548">
        <f t="shared" si="4"/>
        <v>0</v>
      </c>
      <c r="BE18" s="214"/>
    </row>
    <row r="19" spans="2:57" x14ac:dyDescent="0.25">
      <c r="B19" s="220" t="str">
        <f>Cen!A43</f>
        <v>Bočnice M 550mm, Orion šedé</v>
      </c>
      <c r="C19" s="220" t="str">
        <f>Cen!B43</f>
        <v>770M5502S</v>
      </c>
      <c r="D19" s="220" t="str">
        <f>Cen!C43</f>
        <v>OG-M</v>
      </c>
      <c r="E19" s="606">
        <f>Cen!D43</f>
        <v>0</v>
      </c>
      <c r="F19" s="198">
        <f t="shared" si="0"/>
        <v>0</v>
      </c>
      <c r="G19" s="221">
        <f>Cen!F43</f>
        <v>20.980989999999998</v>
      </c>
      <c r="H19" s="222">
        <f t="shared" si="5"/>
        <v>0</v>
      </c>
      <c r="I19" s="233"/>
      <c r="J19" s="223">
        <f>Cen!I43</f>
        <v>8616258</v>
      </c>
      <c r="K19" s="223">
        <f>Cen!J43</f>
        <v>227466</v>
      </c>
      <c r="L19" s="219">
        <f t="shared" si="2"/>
        <v>0</v>
      </c>
      <c r="M19" s="463">
        <f t="shared" si="3"/>
        <v>0</v>
      </c>
      <c r="N19" s="224"/>
      <c r="O19" s="356">
        <f>'7M400P'!S9</f>
        <v>0</v>
      </c>
      <c r="P19" s="356">
        <f>'7M40VP'!S9</f>
        <v>0</v>
      </c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356">
        <f>'7M442P'!S9</f>
        <v>0</v>
      </c>
      <c r="AC19" s="224"/>
      <c r="AD19" s="224"/>
      <c r="AE19" s="224"/>
      <c r="AF19" s="224"/>
      <c r="AG19" s="224"/>
      <c r="AH19" s="356">
        <f>'7CM52P'!S5</f>
        <v>0</v>
      </c>
      <c r="AI19" s="356">
        <f>'7CM52F'!S5</f>
        <v>0</v>
      </c>
      <c r="AJ19" s="224"/>
      <c r="AK19" s="224"/>
      <c r="AL19" s="224"/>
      <c r="AM19" s="224"/>
      <c r="AN19" s="224"/>
      <c r="AO19" s="356">
        <f>'7STMGP'!S5</f>
        <v>0</v>
      </c>
      <c r="AP19" s="356">
        <f>'7STMGF'!S5</f>
        <v>0</v>
      </c>
      <c r="AQ19" s="356">
        <f>'7STMRP'!S5</f>
        <v>0</v>
      </c>
      <c r="AR19" s="356">
        <f>'7STMRF'!S5</f>
        <v>0</v>
      </c>
      <c r="AS19" s="469"/>
      <c r="AT19" s="224"/>
      <c r="AU19" s="224"/>
      <c r="AV19" s="224"/>
      <c r="AW19" s="224"/>
      <c r="AX19" s="224"/>
      <c r="AY19" s="224"/>
      <c r="AZ19" s="224"/>
      <c r="BA19" s="469"/>
      <c r="BB19" s="224"/>
      <c r="BC19" s="224"/>
      <c r="BD19" s="548">
        <f t="shared" si="4"/>
        <v>0</v>
      </c>
      <c r="BE19" s="214"/>
    </row>
    <row r="20" spans="2:57" x14ac:dyDescent="0.25">
      <c r="B20" s="220" t="str">
        <f>Cen!A47</f>
        <v>Bočnice M 600mm, Orion šedé</v>
      </c>
      <c r="C20" s="220" t="str">
        <f>Cen!B47</f>
        <v>770M6002S</v>
      </c>
      <c r="D20" s="220" t="str">
        <f>Cen!C47</f>
        <v>OG-M</v>
      </c>
      <c r="E20" s="606">
        <f>Cen!D47</f>
        <v>0</v>
      </c>
      <c r="F20" s="198">
        <f t="shared" si="0"/>
        <v>0</v>
      </c>
      <c r="G20" s="221">
        <f>Cen!F47</f>
        <v>23.762070000000005</v>
      </c>
      <c r="H20" s="222">
        <f t="shared" si="5"/>
        <v>0</v>
      </c>
      <c r="I20" s="233"/>
      <c r="J20" s="223">
        <f>Cen!I47</f>
        <v>8684084</v>
      </c>
      <c r="K20" s="223">
        <f>Cen!J47</f>
        <v>227470</v>
      </c>
      <c r="L20" s="219">
        <f t="shared" si="2"/>
        <v>0</v>
      </c>
      <c r="M20" s="463">
        <f t="shared" si="3"/>
        <v>0</v>
      </c>
      <c r="N20" s="224"/>
      <c r="O20" s="356">
        <f>'7M400P'!S10</f>
        <v>0</v>
      </c>
      <c r="P20" s="356">
        <f>'7M40VP'!S10</f>
        <v>0</v>
      </c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356">
        <f>'7M442P'!S10</f>
        <v>0</v>
      </c>
      <c r="AC20" s="224"/>
      <c r="AD20" s="224"/>
      <c r="AE20" s="224"/>
      <c r="AF20" s="224"/>
      <c r="AG20" s="224"/>
      <c r="AH20" s="356">
        <f>'7CM52P'!S6</f>
        <v>0</v>
      </c>
      <c r="AI20" s="356">
        <f>'7CM52F'!S6</f>
        <v>0</v>
      </c>
      <c r="AJ20" s="224"/>
      <c r="AK20" s="224"/>
      <c r="AL20" s="224"/>
      <c r="AM20" s="224"/>
      <c r="AN20" s="224"/>
      <c r="AO20" s="224"/>
      <c r="AP20" s="224"/>
      <c r="AQ20" s="224"/>
      <c r="AR20" s="224"/>
      <c r="AS20" s="469"/>
      <c r="AT20" s="224"/>
      <c r="AU20" s="224"/>
      <c r="AV20" s="224"/>
      <c r="AW20" s="224"/>
      <c r="AX20" s="224"/>
      <c r="AY20" s="224"/>
      <c r="AZ20" s="224"/>
      <c r="BA20" s="469"/>
      <c r="BB20" s="224"/>
      <c r="BC20" s="224"/>
      <c r="BD20" s="548">
        <f t="shared" si="4"/>
        <v>0</v>
      </c>
      <c r="BE20" s="214"/>
    </row>
    <row r="21" spans="2:57" x14ac:dyDescent="0.25">
      <c r="B21" s="220" t="str">
        <f>Cen!A51</f>
        <v>Bočnice M 650mm, Orion šedé</v>
      </c>
      <c r="C21" s="220" t="str">
        <f>Cen!B51</f>
        <v>770M6502S</v>
      </c>
      <c r="D21" s="220" t="str">
        <f>Cen!C51</f>
        <v>OG-M</v>
      </c>
      <c r="E21" s="606">
        <f>Cen!D51</f>
        <v>0</v>
      </c>
      <c r="F21" s="198">
        <f t="shared" si="0"/>
        <v>0</v>
      </c>
      <c r="G21" s="221">
        <f>Cen!F51</f>
        <v>24.808240000000001</v>
      </c>
      <c r="H21" s="222">
        <f>M21</f>
        <v>0</v>
      </c>
      <c r="I21" s="233"/>
      <c r="J21" s="223">
        <f>Cen!I51</f>
        <v>8777716</v>
      </c>
      <c r="K21" s="223">
        <f>Cen!J51</f>
        <v>256454</v>
      </c>
      <c r="L21" s="219">
        <f t="shared" si="2"/>
        <v>0</v>
      </c>
      <c r="M21" s="463">
        <f t="shared" si="3"/>
        <v>0</v>
      </c>
      <c r="N21" s="224"/>
      <c r="O21" s="356">
        <f>'7M400P'!S11</f>
        <v>0</v>
      </c>
      <c r="P21" s="356">
        <f>'7M40VP'!S11</f>
        <v>0</v>
      </c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356">
        <f>'7M442P'!S11</f>
        <v>0</v>
      </c>
      <c r="AC21" s="224"/>
      <c r="AD21" s="224"/>
      <c r="AE21" s="224"/>
      <c r="AF21" s="224"/>
      <c r="AG21" s="224"/>
      <c r="AH21" s="356">
        <f>'7CM52P'!S7</f>
        <v>0</v>
      </c>
      <c r="AI21" s="356">
        <f>'7CM52F'!S7</f>
        <v>0</v>
      </c>
      <c r="AJ21" s="224"/>
      <c r="AK21" s="224"/>
      <c r="AL21" s="224"/>
      <c r="AM21" s="224"/>
      <c r="AN21" s="224"/>
      <c r="AO21" s="224"/>
      <c r="AP21" s="224"/>
      <c r="AQ21" s="224"/>
      <c r="AR21" s="224"/>
      <c r="AS21" s="469"/>
      <c r="AT21" s="224"/>
      <c r="AU21" s="224"/>
      <c r="AV21" s="224"/>
      <c r="AW21" s="224"/>
      <c r="AX21" s="224"/>
      <c r="AY21" s="224"/>
      <c r="AZ21" s="224"/>
      <c r="BA21" s="469"/>
      <c r="BB21" s="224"/>
      <c r="BC21" s="224"/>
      <c r="BD21" s="548">
        <f t="shared" si="4"/>
        <v>0</v>
      </c>
      <c r="BE21" s="214"/>
    </row>
    <row r="22" spans="2:57" x14ac:dyDescent="0.25">
      <c r="B22" s="220" t="str">
        <f>Cen!A55</f>
        <v>Bočnice K 350mm, Orion šedé</v>
      </c>
      <c r="C22" s="220" t="str">
        <f>Cen!B55</f>
        <v>770K3502S</v>
      </c>
      <c r="D22" s="220" t="str">
        <f>Cen!C55</f>
        <v>OG-M</v>
      </c>
      <c r="E22" s="606" t="str">
        <f>Cen!D55</f>
        <v>!</v>
      </c>
      <c r="F22" s="198">
        <f t="shared" si="0"/>
        <v>0</v>
      </c>
      <c r="G22" s="221">
        <f>Cen!F55</f>
        <v>23.039159999999995</v>
      </c>
      <c r="H22" s="222">
        <f t="shared" si="5"/>
        <v>0</v>
      </c>
      <c r="I22" s="233"/>
      <c r="J22" s="223">
        <f>Cen!I55</f>
        <v>9340962</v>
      </c>
      <c r="K22" s="223">
        <f>Cen!J55</f>
        <v>227474</v>
      </c>
      <c r="L22" s="219">
        <f t="shared" si="2"/>
        <v>0</v>
      </c>
      <c r="M22" s="463">
        <f t="shared" si="3"/>
        <v>0</v>
      </c>
      <c r="N22" s="224"/>
      <c r="O22" s="224"/>
      <c r="P22" s="224"/>
      <c r="Q22" s="356">
        <f>'7K400P'!S5</f>
        <v>0</v>
      </c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469"/>
      <c r="AT22" s="224"/>
      <c r="AU22" s="224"/>
      <c r="AV22" s="224"/>
      <c r="AW22" s="224"/>
      <c r="AX22" s="224"/>
      <c r="AY22" s="224"/>
      <c r="AZ22" s="224"/>
      <c r="BA22" s="469"/>
      <c r="BB22" s="224"/>
      <c r="BC22" s="224"/>
      <c r="BD22" s="548">
        <f t="shared" si="4"/>
        <v>0</v>
      </c>
      <c r="BE22" s="214"/>
    </row>
    <row r="23" spans="2:57" x14ac:dyDescent="0.25">
      <c r="B23" s="220" t="str">
        <f>Cen!A59</f>
        <v>Bočnice K 400mm, Orion šedé</v>
      </c>
      <c r="C23" s="220" t="str">
        <f>Cen!B59</f>
        <v>770K4002S</v>
      </c>
      <c r="D23" s="220" t="str">
        <f>Cen!C59</f>
        <v>OG-M</v>
      </c>
      <c r="E23" s="606" t="str">
        <f>Cen!D59</f>
        <v>!</v>
      </c>
      <c r="F23" s="198">
        <f t="shared" si="0"/>
        <v>0</v>
      </c>
      <c r="G23" s="221">
        <f>Cen!F59</f>
        <v>23.363859999999999</v>
      </c>
      <c r="H23" s="222">
        <f t="shared" si="5"/>
        <v>0</v>
      </c>
      <c r="I23" s="233"/>
      <c r="J23" s="223">
        <f>Cen!I59</f>
        <v>9409124</v>
      </c>
      <c r="K23" s="223">
        <f>Cen!J59</f>
        <v>227478</v>
      </c>
      <c r="L23" s="219">
        <f t="shared" si="2"/>
        <v>0</v>
      </c>
      <c r="M23" s="463">
        <f t="shared" si="3"/>
        <v>0</v>
      </c>
      <c r="N23" s="224"/>
      <c r="O23" s="224"/>
      <c r="P23" s="224"/>
      <c r="Q23" s="356">
        <f>'7K400P'!S6</f>
        <v>0</v>
      </c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469"/>
      <c r="AT23" s="224"/>
      <c r="AU23" s="224"/>
      <c r="AV23" s="224"/>
      <c r="AW23" s="224"/>
      <c r="AX23" s="224"/>
      <c r="AY23" s="224"/>
      <c r="AZ23" s="224"/>
      <c r="BA23" s="469"/>
      <c r="BB23" s="224"/>
      <c r="BC23" s="224"/>
      <c r="BD23" s="548">
        <f t="shared" si="4"/>
        <v>0</v>
      </c>
      <c r="BE23" s="214"/>
    </row>
    <row r="24" spans="2:57" x14ac:dyDescent="0.25">
      <c r="B24" s="220" t="str">
        <f>Cen!A63</f>
        <v>Bočnice K 450mm, Orion šedé</v>
      </c>
      <c r="C24" s="220" t="str">
        <f>Cen!B63</f>
        <v>770K4502S</v>
      </c>
      <c r="D24" s="220" t="str">
        <f>Cen!C63</f>
        <v>OG-M</v>
      </c>
      <c r="E24" s="606" t="str">
        <f>Cen!D63</f>
        <v>!</v>
      </c>
      <c r="F24" s="198">
        <f t="shared" si="0"/>
        <v>0</v>
      </c>
      <c r="G24" s="221">
        <f>Cen!F63</f>
        <v>23.688369999999999</v>
      </c>
      <c r="H24" s="222">
        <f t="shared" si="5"/>
        <v>0</v>
      </c>
      <c r="I24" s="233"/>
      <c r="J24" s="223">
        <f>Cen!I63</f>
        <v>9485595</v>
      </c>
      <c r="K24" s="223">
        <f>Cen!J63</f>
        <v>227482</v>
      </c>
      <c r="L24" s="219">
        <f t="shared" si="2"/>
        <v>0</v>
      </c>
      <c r="M24" s="463">
        <f t="shared" si="3"/>
        <v>0</v>
      </c>
      <c r="N24" s="224"/>
      <c r="O24" s="224"/>
      <c r="P24" s="224"/>
      <c r="Q24" s="356">
        <f>'7K400P'!S7</f>
        <v>0</v>
      </c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469"/>
      <c r="AT24" s="224"/>
      <c r="AU24" s="224"/>
      <c r="AV24" s="224"/>
      <c r="AW24" s="224"/>
      <c r="AX24" s="224"/>
      <c r="AY24" s="224"/>
      <c r="AZ24" s="224"/>
      <c r="BA24" s="469"/>
      <c r="BB24" s="224"/>
      <c r="BC24" s="224"/>
      <c r="BD24" s="548">
        <f t="shared" si="4"/>
        <v>0</v>
      </c>
      <c r="BE24" s="214"/>
    </row>
    <row r="25" spans="2:57" ht="13.5" x14ac:dyDescent="0.3">
      <c r="B25" s="220" t="str">
        <f>Cen!A67</f>
        <v>Bočnice K 500mm, Orion šedé</v>
      </c>
      <c r="C25" s="220" t="str">
        <f>Cen!B67</f>
        <v>770K5002S</v>
      </c>
      <c r="D25" s="220" t="str">
        <f>Cen!C67</f>
        <v>OG-M</v>
      </c>
      <c r="E25" s="672" t="str">
        <f>Cen!D67</f>
        <v>!</v>
      </c>
      <c r="F25" s="198">
        <f t="shared" si="0"/>
        <v>0</v>
      </c>
      <c r="G25" s="221">
        <f>Cen!F67</f>
        <v>24.013059999999999</v>
      </c>
      <c r="H25" s="222">
        <f t="shared" si="5"/>
        <v>0</v>
      </c>
      <c r="I25" s="233"/>
      <c r="J25" s="223">
        <f>Cen!I67</f>
        <v>9545678</v>
      </c>
      <c r="K25" s="223">
        <f>Cen!J67</f>
        <v>227486</v>
      </c>
      <c r="L25" s="219">
        <f t="shared" si="2"/>
        <v>0</v>
      </c>
      <c r="M25" s="463">
        <f t="shared" si="3"/>
        <v>0</v>
      </c>
      <c r="N25" s="224"/>
      <c r="O25" s="224"/>
      <c r="P25" s="224"/>
      <c r="Q25" s="356">
        <f>'7K400P'!S8</f>
        <v>0</v>
      </c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469"/>
      <c r="AT25" s="224"/>
      <c r="AU25" s="224"/>
      <c r="AV25" s="224"/>
      <c r="AW25" s="224"/>
      <c r="AX25" s="224"/>
      <c r="AY25" s="224"/>
      <c r="AZ25" s="224"/>
      <c r="BA25" s="469"/>
      <c r="BB25" s="224"/>
      <c r="BC25" s="224"/>
      <c r="BD25" s="548">
        <f t="shared" si="4"/>
        <v>0</v>
      </c>
      <c r="BE25" s="214"/>
    </row>
    <row r="26" spans="2:57" x14ac:dyDescent="0.25">
      <c r="B26" s="220" t="str">
        <f>Cen!A71</f>
        <v>Bočnice K 550mm, Orion šedé</v>
      </c>
      <c r="C26" s="220" t="str">
        <f>Cen!B71</f>
        <v>770K5502S</v>
      </c>
      <c r="D26" s="220" t="str">
        <f>Cen!C71</f>
        <v>OG-M</v>
      </c>
      <c r="E26" s="606" t="str">
        <f>Cen!D71</f>
        <v>!</v>
      </c>
      <c r="F26" s="198">
        <f t="shared" si="0"/>
        <v>0</v>
      </c>
      <c r="G26" s="221">
        <f>Cen!F71</f>
        <v>26.612380000000002</v>
      </c>
      <c r="H26" s="222">
        <f t="shared" si="5"/>
        <v>0</v>
      </c>
      <c r="I26" s="233"/>
      <c r="J26" s="223">
        <f>Cen!I71</f>
        <v>9562948</v>
      </c>
      <c r="K26" s="223">
        <f>Cen!J71</f>
        <v>227490</v>
      </c>
      <c r="L26" s="219">
        <f t="shared" si="2"/>
        <v>0</v>
      </c>
      <c r="M26" s="463">
        <f t="shared" si="3"/>
        <v>0</v>
      </c>
      <c r="N26" s="224"/>
      <c r="O26" s="224"/>
      <c r="P26" s="224"/>
      <c r="Q26" s="356">
        <f>'7K400P'!S9</f>
        <v>0</v>
      </c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469"/>
      <c r="AT26" s="224"/>
      <c r="AU26" s="224"/>
      <c r="AV26" s="224"/>
      <c r="AW26" s="224"/>
      <c r="AX26" s="224"/>
      <c r="AY26" s="224"/>
      <c r="AZ26" s="224"/>
      <c r="BA26" s="469"/>
      <c r="BB26" s="224"/>
      <c r="BC26" s="224"/>
      <c r="BD26" s="548">
        <f t="shared" si="4"/>
        <v>0</v>
      </c>
      <c r="BE26" s="214"/>
    </row>
    <row r="27" spans="2:57" ht="13.5" x14ac:dyDescent="0.3">
      <c r="B27" s="220" t="str">
        <f>Cen!A75</f>
        <v>Bočnice C pure, 270mm, Orion šedé</v>
      </c>
      <c r="C27" s="220" t="str">
        <f>Cen!B75</f>
        <v>770C2702S</v>
      </c>
      <c r="D27" s="220" t="str">
        <f>Cen!C75</f>
        <v>OG-M</v>
      </c>
      <c r="E27" s="672">
        <f>Cen!D75</f>
        <v>0</v>
      </c>
      <c r="F27" s="198">
        <f t="shared" si="0"/>
        <v>0</v>
      </c>
      <c r="G27" s="221">
        <f>Cen!F75</f>
        <v>29.004729999999999</v>
      </c>
      <c r="H27" s="222">
        <f t="shared" si="5"/>
        <v>0</v>
      </c>
      <c r="I27" s="233"/>
      <c r="J27" s="223">
        <f>Cen!I75</f>
        <v>8762565</v>
      </c>
      <c r="K27" s="223">
        <f>Cen!J75</f>
        <v>227494</v>
      </c>
      <c r="L27" s="219">
        <f t="shared" si="2"/>
        <v>0</v>
      </c>
      <c r="M27" s="463">
        <f t="shared" si="3"/>
        <v>0</v>
      </c>
      <c r="N27" s="224"/>
      <c r="O27" s="224"/>
      <c r="P27" s="119"/>
      <c r="Q27" s="224"/>
      <c r="R27" s="356">
        <f>'7C410P'!S3</f>
        <v>0</v>
      </c>
      <c r="S27" s="224"/>
      <c r="T27" s="356">
        <f>'7C41VP'!S3</f>
        <v>0</v>
      </c>
      <c r="U27" s="224"/>
      <c r="V27" s="356">
        <f>'7C41NP'!S3</f>
        <v>0</v>
      </c>
      <c r="W27" s="224"/>
      <c r="X27" s="356">
        <f>'7C41RP'!S3</f>
        <v>0</v>
      </c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469"/>
      <c r="AT27" s="224"/>
      <c r="AU27" s="224"/>
      <c r="AV27" s="224"/>
      <c r="AW27" s="224"/>
      <c r="AX27" s="224"/>
      <c r="AY27" s="224"/>
      <c r="AZ27" s="224"/>
      <c r="BA27" s="469"/>
      <c r="BB27" s="224"/>
      <c r="BC27" s="224"/>
      <c r="BD27" s="548">
        <f t="shared" si="4"/>
        <v>0</v>
      </c>
      <c r="BE27" s="214"/>
    </row>
    <row r="28" spans="2:57" ht="13.5" x14ac:dyDescent="0.3">
      <c r="B28" s="220" t="str">
        <f>Cen!A79</f>
        <v>Bočnice C pure, 300mm, Orion šedé</v>
      </c>
      <c r="C28" s="220" t="str">
        <f>Cen!B79</f>
        <v>770C3002S</v>
      </c>
      <c r="D28" s="220" t="str">
        <f>Cen!C79</f>
        <v>OG-M</v>
      </c>
      <c r="E28" s="672">
        <f>Cen!D79</f>
        <v>0</v>
      </c>
      <c r="F28" s="198">
        <f t="shared" si="0"/>
        <v>0</v>
      </c>
      <c r="G28" s="221">
        <f>Cen!F79</f>
        <v>29.004729999999999</v>
      </c>
      <c r="H28" s="222">
        <f t="shared" si="5"/>
        <v>0</v>
      </c>
      <c r="I28" s="233"/>
      <c r="J28" s="223">
        <f>Cen!I79</f>
        <v>8769064</v>
      </c>
      <c r="K28" s="223">
        <f>Cen!J79</f>
        <v>227498</v>
      </c>
      <c r="L28" s="219">
        <f t="shared" si="2"/>
        <v>0</v>
      </c>
      <c r="M28" s="463">
        <f t="shared" si="3"/>
        <v>0</v>
      </c>
      <c r="N28" s="224"/>
      <c r="O28" s="224"/>
      <c r="P28" s="119"/>
      <c r="Q28" s="224"/>
      <c r="R28" s="356">
        <f>'7C410P'!S4</f>
        <v>0</v>
      </c>
      <c r="S28" s="224"/>
      <c r="T28" s="356">
        <f>'7C41VP'!S4</f>
        <v>0</v>
      </c>
      <c r="U28" s="224"/>
      <c r="V28" s="356">
        <f>'7C41NP'!S4</f>
        <v>0</v>
      </c>
      <c r="W28" s="224"/>
      <c r="X28" s="356">
        <f>'7C41RP'!S4</f>
        <v>0</v>
      </c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469"/>
      <c r="AT28" s="224"/>
      <c r="AU28" s="224"/>
      <c r="AV28" s="224"/>
      <c r="AW28" s="224"/>
      <c r="AX28" s="224"/>
      <c r="AY28" s="224"/>
      <c r="AZ28" s="224"/>
      <c r="BA28" s="469"/>
      <c r="BB28" s="224"/>
      <c r="BC28" s="224"/>
      <c r="BD28" s="548">
        <f t="shared" si="4"/>
        <v>0</v>
      </c>
      <c r="BE28" s="214"/>
    </row>
    <row r="29" spans="2:57" x14ac:dyDescent="0.25">
      <c r="B29" s="220" t="str">
        <f>Cen!A83</f>
        <v>Bočnice C pure, 350mm, Orion šedé</v>
      </c>
      <c r="C29" s="220" t="str">
        <f>Cen!B83</f>
        <v>770C3502S</v>
      </c>
      <c r="D29" s="220" t="str">
        <f>Cen!C83</f>
        <v>OG-M</v>
      </c>
      <c r="E29" s="606">
        <f>Cen!D83</f>
        <v>0</v>
      </c>
      <c r="F29" s="198">
        <f t="shared" si="0"/>
        <v>0</v>
      </c>
      <c r="G29" s="221">
        <f>Cen!F83</f>
        <v>29.004729999999999</v>
      </c>
      <c r="H29" s="222">
        <f t="shared" si="5"/>
        <v>0</v>
      </c>
      <c r="I29" s="233"/>
      <c r="J29" s="223">
        <f>Cen!I83</f>
        <v>8799519</v>
      </c>
      <c r="K29" s="223">
        <f>Cen!J83</f>
        <v>227502</v>
      </c>
      <c r="L29" s="219">
        <f t="shared" si="2"/>
        <v>0</v>
      </c>
      <c r="M29" s="463">
        <f t="shared" si="3"/>
        <v>0</v>
      </c>
      <c r="N29" s="224"/>
      <c r="O29" s="224"/>
      <c r="P29" s="119"/>
      <c r="Q29" s="224"/>
      <c r="R29" s="356">
        <f>'7C410P'!S5</f>
        <v>0</v>
      </c>
      <c r="S29" s="224"/>
      <c r="T29" s="356">
        <f>'7C41VP'!S5</f>
        <v>0</v>
      </c>
      <c r="U29" s="224"/>
      <c r="V29" s="356">
        <f>'7C41NP'!S5</f>
        <v>0</v>
      </c>
      <c r="W29" s="224"/>
      <c r="X29" s="356">
        <f>'7C41RP'!S5</f>
        <v>0</v>
      </c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469"/>
      <c r="AT29" s="224"/>
      <c r="AU29" s="224"/>
      <c r="AV29" s="224"/>
      <c r="AW29" s="224"/>
      <c r="AX29" s="224"/>
      <c r="AY29" s="224"/>
      <c r="AZ29" s="224"/>
      <c r="BA29" s="469"/>
      <c r="BB29" s="224"/>
      <c r="BC29" s="224"/>
      <c r="BD29" s="548">
        <f t="shared" si="4"/>
        <v>0</v>
      </c>
      <c r="BE29" s="214"/>
    </row>
    <row r="30" spans="2:57" x14ac:dyDescent="0.25">
      <c r="B30" s="220" t="str">
        <f>Cen!A87</f>
        <v>Bočnice C pure, 400mm, Orion šedé</v>
      </c>
      <c r="C30" s="220" t="str">
        <f>Cen!B87</f>
        <v>770C4002S</v>
      </c>
      <c r="D30" s="220" t="str">
        <f>Cen!C87</f>
        <v>OG-M</v>
      </c>
      <c r="E30" s="606">
        <f>Cen!D87</f>
        <v>0</v>
      </c>
      <c r="F30" s="198">
        <f t="shared" si="0"/>
        <v>0</v>
      </c>
      <c r="G30" s="221">
        <f>Cen!F87</f>
        <v>29.360900000000001</v>
      </c>
      <c r="H30" s="222">
        <f t="shared" si="5"/>
        <v>0</v>
      </c>
      <c r="I30" s="233"/>
      <c r="J30" s="223">
        <f>Cen!I87</f>
        <v>8858929</v>
      </c>
      <c r="K30" s="223">
        <f>Cen!J87</f>
        <v>227506</v>
      </c>
      <c r="L30" s="219">
        <f t="shared" si="2"/>
        <v>0</v>
      </c>
      <c r="M30" s="463">
        <f t="shared" si="3"/>
        <v>0</v>
      </c>
      <c r="N30" s="224"/>
      <c r="O30" s="224"/>
      <c r="P30" s="119"/>
      <c r="Q30" s="224"/>
      <c r="R30" s="356">
        <f>'7C410P'!S6</f>
        <v>0</v>
      </c>
      <c r="S30" s="224"/>
      <c r="T30" s="356">
        <f>'7C41VP'!S6</f>
        <v>0</v>
      </c>
      <c r="U30" s="224"/>
      <c r="V30" s="356">
        <f>'7C41NP'!S6</f>
        <v>0</v>
      </c>
      <c r="W30" s="224"/>
      <c r="X30" s="356">
        <f>'7C41RP'!S6</f>
        <v>0</v>
      </c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469"/>
      <c r="AT30" s="224"/>
      <c r="AU30" s="224"/>
      <c r="AV30" s="224"/>
      <c r="AW30" s="224"/>
      <c r="AX30" s="224"/>
      <c r="AY30" s="224"/>
      <c r="AZ30" s="224"/>
      <c r="BA30" s="469"/>
      <c r="BB30" s="224"/>
      <c r="BC30" s="224"/>
      <c r="BD30" s="548">
        <f t="shared" si="4"/>
        <v>0</v>
      </c>
      <c r="BE30" s="214"/>
    </row>
    <row r="31" spans="2:57" ht="13.5" x14ac:dyDescent="0.3">
      <c r="B31" s="220" t="str">
        <f>Cen!A91</f>
        <v>Bočnice C pure, 450mm, Orion šedé</v>
      </c>
      <c r="C31" s="220" t="str">
        <f>Cen!B91</f>
        <v>770C4502S</v>
      </c>
      <c r="D31" s="220" t="str">
        <f>Cen!C91</f>
        <v>OG-M</v>
      </c>
      <c r="E31" s="672">
        <f>Cen!D91</f>
        <v>0</v>
      </c>
      <c r="F31" s="198">
        <f t="shared" si="0"/>
        <v>0</v>
      </c>
      <c r="G31" s="221">
        <f>Cen!F91</f>
        <v>31.28134</v>
      </c>
      <c r="H31" s="222">
        <f t="shared" si="5"/>
        <v>0</v>
      </c>
      <c r="I31" s="233"/>
      <c r="J31" s="223">
        <f>Cen!I91</f>
        <v>8936515</v>
      </c>
      <c r="K31" s="223">
        <f>Cen!J91</f>
        <v>227510</v>
      </c>
      <c r="L31" s="219">
        <f t="shared" si="2"/>
        <v>0</v>
      </c>
      <c r="M31" s="463">
        <f t="shared" si="3"/>
        <v>0</v>
      </c>
      <c r="N31" s="224"/>
      <c r="O31" s="224"/>
      <c r="P31" s="119"/>
      <c r="Q31" s="224"/>
      <c r="R31" s="356">
        <f>'7C410P'!S7</f>
        <v>0</v>
      </c>
      <c r="S31" s="224"/>
      <c r="T31" s="356">
        <f>'7C41VP'!S7</f>
        <v>0</v>
      </c>
      <c r="U31" s="224"/>
      <c r="V31" s="356">
        <f>'7C41NP'!S7</f>
        <v>0</v>
      </c>
      <c r="W31" s="224"/>
      <c r="X31" s="356">
        <f>'7C41RP'!S7</f>
        <v>0</v>
      </c>
      <c r="Y31" s="224"/>
      <c r="Z31" s="224"/>
      <c r="AA31" s="224"/>
      <c r="AB31" s="224"/>
      <c r="AC31" s="356">
        <f>'7C442P'!S7</f>
        <v>0</v>
      </c>
      <c r="AE31" s="356">
        <f>'7CM42P'!S9</f>
        <v>0</v>
      </c>
      <c r="AG31" s="224"/>
      <c r="AH31" s="356">
        <f>'7CM52P'!S12</f>
        <v>0</v>
      </c>
      <c r="AJ31" s="224"/>
      <c r="AK31" s="467">
        <f>'7STCGP'!S7</f>
        <v>0</v>
      </c>
      <c r="AM31" s="467">
        <f>'7STCRP'!S7</f>
        <v>0</v>
      </c>
      <c r="AO31" s="467">
        <f>'7STMGP'!S7</f>
        <v>0</v>
      </c>
      <c r="AQ31" s="467">
        <f>'7STMRP'!S7</f>
        <v>0</v>
      </c>
      <c r="AS31" s="469"/>
      <c r="AT31" s="224"/>
      <c r="AU31" s="224"/>
      <c r="AV31" s="224"/>
      <c r="AW31" s="224"/>
      <c r="AX31" s="224"/>
      <c r="AY31" s="224"/>
      <c r="AZ31" s="224"/>
      <c r="BA31" s="469"/>
      <c r="BB31" s="224"/>
      <c r="BC31" s="224"/>
      <c r="BD31" s="548">
        <f t="shared" si="4"/>
        <v>0</v>
      </c>
      <c r="BE31" s="214"/>
    </row>
    <row r="32" spans="2:57" x14ac:dyDescent="0.25">
      <c r="B32" s="220" t="str">
        <f>Cen!A95</f>
        <v>Bočnice C pure, 500mm, Orion šedé</v>
      </c>
      <c r="C32" s="220" t="str">
        <f>Cen!B95</f>
        <v>770C5002S</v>
      </c>
      <c r="D32" s="220" t="str">
        <f>Cen!C95</f>
        <v>OG-M</v>
      </c>
      <c r="E32" s="606">
        <f>Cen!D95</f>
        <v>0</v>
      </c>
      <c r="F32" s="198">
        <f t="shared" si="0"/>
        <v>0</v>
      </c>
      <c r="G32" s="221">
        <f>Cen!F95</f>
        <v>31.656259999999996</v>
      </c>
      <c r="H32" s="222">
        <f t="shared" si="5"/>
        <v>0</v>
      </c>
      <c r="I32" s="233"/>
      <c r="J32" s="223">
        <f>Cen!I95</f>
        <v>8962303</v>
      </c>
      <c r="K32" s="223">
        <f>Cen!J95</f>
        <v>227514</v>
      </c>
      <c r="L32" s="219">
        <f t="shared" si="2"/>
        <v>0</v>
      </c>
      <c r="M32" s="463">
        <f t="shared" si="3"/>
        <v>0</v>
      </c>
      <c r="N32" s="224"/>
      <c r="O32" s="224"/>
      <c r="P32" s="119"/>
      <c r="Q32" s="224"/>
      <c r="R32" s="356">
        <f>'7C410P'!S8</f>
        <v>0</v>
      </c>
      <c r="S32" s="224"/>
      <c r="T32" s="356">
        <f>'7C41VP'!S8</f>
        <v>0</v>
      </c>
      <c r="U32" s="224"/>
      <c r="V32" s="356">
        <f>'7C41NP'!S8</f>
        <v>0</v>
      </c>
      <c r="W32" s="224"/>
      <c r="X32" s="356">
        <f>'7C41RP'!S8</f>
        <v>0</v>
      </c>
      <c r="Y32" s="224"/>
      <c r="Z32" s="224"/>
      <c r="AA32" s="224"/>
      <c r="AB32" s="224"/>
      <c r="AC32" s="356">
        <f>'7C442P'!S8</f>
        <v>0</v>
      </c>
      <c r="AE32" s="356">
        <f>'7CM42P'!S10</f>
        <v>0</v>
      </c>
      <c r="AG32" s="224"/>
      <c r="AH32" s="356">
        <f>'7CM52P'!S13</f>
        <v>0</v>
      </c>
      <c r="AJ32" s="224"/>
      <c r="AK32" s="467">
        <f>'7STCGP'!S8</f>
        <v>0</v>
      </c>
      <c r="AM32" s="467">
        <f>'7STCRP'!S8</f>
        <v>0</v>
      </c>
      <c r="AO32" s="467">
        <f>'7STMGP'!S8</f>
        <v>0</v>
      </c>
      <c r="AQ32" s="467">
        <f>'7STMRP'!S8</f>
        <v>0</v>
      </c>
      <c r="AS32" s="469"/>
      <c r="AT32" s="224"/>
      <c r="AU32" s="224"/>
      <c r="AV32" s="224"/>
      <c r="AW32" s="224"/>
      <c r="AX32" s="224"/>
      <c r="AY32" s="224"/>
      <c r="AZ32" s="224"/>
      <c r="BA32" s="469"/>
      <c r="BB32" s="224"/>
      <c r="BC32" s="224"/>
      <c r="BD32" s="548">
        <f t="shared" si="4"/>
        <v>0</v>
      </c>
      <c r="BE32" s="214"/>
    </row>
    <row r="33" spans="1:57" x14ac:dyDescent="0.25">
      <c r="B33" s="220" t="str">
        <f>Cen!A99</f>
        <v>Bočnice C pure, 550mm, Orion šedé</v>
      </c>
      <c r="C33" s="220" t="str">
        <f>Cen!B99</f>
        <v>770C5502S</v>
      </c>
      <c r="D33" s="220" t="str">
        <f>Cen!C99</f>
        <v>OG-M</v>
      </c>
      <c r="E33" s="606">
        <f>Cen!D99</f>
        <v>0</v>
      </c>
      <c r="F33" s="198">
        <f t="shared" si="0"/>
        <v>0</v>
      </c>
      <c r="G33" s="221">
        <f>Cen!F99</f>
        <v>31.853429999999999</v>
      </c>
      <c r="H33" s="222">
        <f t="shared" si="5"/>
        <v>0</v>
      </c>
      <c r="I33" s="233"/>
      <c r="J33" s="223">
        <f>Cen!I99</f>
        <v>8987845</v>
      </c>
      <c r="K33" s="223">
        <f>Cen!J99</f>
        <v>227518</v>
      </c>
      <c r="L33" s="219">
        <f t="shared" si="2"/>
        <v>0</v>
      </c>
      <c r="M33" s="463">
        <f t="shared" si="3"/>
        <v>0</v>
      </c>
      <c r="N33" s="224"/>
      <c r="O33" s="224"/>
      <c r="P33" s="119"/>
      <c r="Q33" s="224"/>
      <c r="R33" s="356">
        <f>'7C410P'!S9</f>
        <v>0</v>
      </c>
      <c r="S33" s="224"/>
      <c r="T33" s="356">
        <f>'7C41VP'!S9</f>
        <v>0</v>
      </c>
      <c r="U33" s="224"/>
      <c r="V33" s="356">
        <f>'7C41NP'!S9</f>
        <v>0</v>
      </c>
      <c r="W33" s="224"/>
      <c r="X33" s="356">
        <f>'7C41RP'!S9</f>
        <v>0</v>
      </c>
      <c r="Y33" s="224"/>
      <c r="Z33" s="224"/>
      <c r="AA33" s="224"/>
      <c r="AB33" s="224"/>
      <c r="AC33" s="356">
        <f>'7C442P'!S9</f>
        <v>0</v>
      </c>
      <c r="AE33" s="356">
        <f>'7CM42P'!S11</f>
        <v>0</v>
      </c>
      <c r="AG33" s="224"/>
      <c r="AH33" s="356">
        <f>'7CM52P'!S14</f>
        <v>0</v>
      </c>
      <c r="AJ33" s="224"/>
      <c r="AK33" s="467">
        <f>'7STCGP'!S9</f>
        <v>0</v>
      </c>
      <c r="AM33" s="467">
        <f>'7STCRP'!S9</f>
        <v>0</v>
      </c>
      <c r="AO33" s="467">
        <f>'7STMGP'!S9</f>
        <v>0</v>
      </c>
      <c r="AQ33" s="467">
        <f>'7STMRP'!S9</f>
        <v>0</v>
      </c>
      <c r="AS33" s="469"/>
      <c r="AT33" s="224"/>
      <c r="AU33" s="224"/>
      <c r="AV33" s="224"/>
      <c r="AW33" s="224"/>
      <c r="AX33" s="224"/>
      <c r="AY33" s="224"/>
      <c r="AZ33" s="224"/>
      <c r="BA33" s="469"/>
      <c r="BB33" s="224"/>
      <c r="BC33" s="224"/>
      <c r="BD33" s="548">
        <f t="shared" si="4"/>
        <v>0</v>
      </c>
      <c r="BE33" s="214"/>
    </row>
    <row r="34" spans="1:57" x14ac:dyDescent="0.25">
      <c r="B34" s="220" t="str">
        <f>Cen!A103</f>
        <v>Bočnice C pure, 600mm, Orion šedé</v>
      </c>
      <c r="C34" s="220" t="str">
        <f>Cen!B103</f>
        <v>770C6002S</v>
      </c>
      <c r="D34" s="220" t="str">
        <f>Cen!C103</f>
        <v>OG-M</v>
      </c>
      <c r="E34" s="606">
        <f>Cen!D103</f>
        <v>0</v>
      </c>
      <c r="F34" s="198">
        <f t="shared" si="0"/>
        <v>0</v>
      </c>
      <c r="G34" s="221">
        <f>Cen!F103</f>
        <v>35.537379999999999</v>
      </c>
      <c r="H34" s="222">
        <f t="shared" si="5"/>
        <v>0</v>
      </c>
      <c r="I34" s="233"/>
      <c r="J34" s="223">
        <f>Cen!I103</f>
        <v>9069622</v>
      </c>
      <c r="K34" s="223">
        <f>Cen!J103</f>
        <v>227522</v>
      </c>
      <c r="L34" s="219">
        <f t="shared" si="2"/>
        <v>0</v>
      </c>
      <c r="M34" s="463">
        <f t="shared" si="3"/>
        <v>0</v>
      </c>
      <c r="N34" s="224"/>
      <c r="O34" s="224"/>
      <c r="P34" s="119"/>
      <c r="Q34" s="224"/>
      <c r="R34" s="356">
        <f>'7C410P'!S10</f>
        <v>0</v>
      </c>
      <c r="S34" s="224"/>
      <c r="T34" s="356">
        <f>'7C41VP'!S10</f>
        <v>0</v>
      </c>
      <c r="U34" s="224"/>
      <c r="V34" s="356">
        <f>'7C41NP'!S10</f>
        <v>0</v>
      </c>
      <c r="W34" s="224"/>
      <c r="X34" s="356">
        <f>'7C41RP'!S10</f>
        <v>0</v>
      </c>
      <c r="Y34" s="224"/>
      <c r="Z34" s="224"/>
      <c r="AA34" s="224"/>
      <c r="AB34" s="224"/>
      <c r="AC34" s="356">
        <f>'7C442P'!S10</f>
        <v>0</v>
      </c>
      <c r="AE34" s="356">
        <f>'7CM42P'!S12</f>
        <v>0</v>
      </c>
      <c r="AG34" s="224"/>
      <c r="AH34" s="356">
        <f>'7CM52P'!S15</f>
        <v>0</v>
      </c>
      <c r="AJ34" s="224"/>
      <c r="AK34" s="224"/>
      <c r="AL34" s="224"/>
      <c r="AM34" s="224"/>
      <c r="AN34" s="224"/>
      <c r="AO34" s="224"/>
      <c r="AP34" s="224"/>
      <c r="AQ34" s="224"/>
      <c r="AR34" s="224"/>
      <c r="AS34" s="469"/>
      <c r="AT34" s="224"/>
      <c r="AU34" s="224"/>
      <c r="AV34" s="224"/>
      <c r="AW34" s="224"/>
      <c r="AX34" s="224"/>
      <c r="AY34" s="224"/>
      <c r="AZ34" s="224"/>
      <c r="BA34" s="469"/>
      <c r="BB34" s="224"/>
      <c r="BC34" s="224"/>
      <c r="BD34" s="548">
        <f t="shared" si="4"/>
        <v>0</v>
      </c>
      <c r="BE34" s="214"/>
    </row>
    <row r="35" spans="1:57" x14ac:dyDescent="0.25">
      <c r="B35" s="220" t="str">
        <f>Cen!A107</f>
        <v>Bočnice C pure, 650mm, Orion šedé</v>
      </c>
      <c r="C35" s="220" t="str">
        <f>Cen!B107</f>
        <v>770C6502S</v>
      </c>
      <c r="D35" s="220" t="str">
        <f>Cen!C107</f>
        <v>OG-M</v>
      </c>
      <c r="E35" s="606">
        <f>Cen!D107</f>
        <v>0</v>
      </c>
      <c r="F35" s="198">
        <f t="shared" si="0"/>
        <v>0</v>
      </c>
      <c r="G35" s="221">
        <f>Cen!F107</f>
        <v>36.783200000000001</v>
      </c>
      <c r="H35" s="222">
        <f t="shared" ref="H35:H42" si="6">M35</f>
        <v>0</v>
      </c>
      <c r="I35" s="233"/>
      <c r="J35" s="223">
        <f>Cen!I107</f>
        <v>7790076</v>
      </c>
      <c r="K35" s="223">
        <f>Cen!J107</f>
        <v>256458</v>
      </c>
      <c r="L35" s="219">
        <f t="shared" si="2"/>
        <v>0</v>
      </c>
      <c r="M35" s="463">
        <f t="shared" si="3"/>
        <v>0</v>
      </c>
      <c r="N35" s="224"/>
      <c r="O35" s="224"/>
      <c r="P35" s="119"/>
      <c r="Q35" s="224"/>
      <c r="R35" s="356">
        <f>'7C410P'!S11</f>
        <v>0</v>
      </c>
      <c r="T35" s="356">
        <f>'7C41VP'!S11</f>
        <v>0</v>
      </c>
      <c r="V35" s="356">
        <f>'7C41NP'!S11</f>
        <v>0</v>
      </c>
      <c r="X35" s="356">
        <f>'7C41RP'!S11</f>
        <v>0</v>
      </c>
      <c r="Z35" s="224"/>
      <c r="AA35" s="224"/>
      <c r="AB35" s="224"/>
      <c r="AC35" s="356">
        <f>'7C442P'!S11</f>
        <v>0</v>
      </c>
      <c r="AE35" s="356">
        <f>'7CM42P'!S13</f>
        <v>0</v>
      </c>
      <c r="AG35" s="224"/>
      <c r="AH35" s="356">
        <f>'7CM52P'!S16</f>
        <v>0</v>
      </c>
      <c r="AJ35" s="224"/>
      <c r="AK35" s="224"/>
      <c r="AL35" s="224"/>
      <c r="AM35" s="224"/>
      <c r="AN35" s="224"/>
      <c r="AO35" s="224"/>
      <c r="AP35" s="224"/>
      <c r="AQ35" s="224"/>
      <c r="AR35" s="224"/>
      <c r="AS35" s="469"/>
      <c r="AT35" s="224"/>
      <c r="AU35" s="224"/>
      <c r="AV35" s="224"/>
      <c r="AW35" s="224"/>
      <c r="AX35" s="224"/>
      <c r="AY35" s="224"/>
      <c r="AZ35" s="224"/>
      <c r="BA35" s="469"/>
      <c r="BB35" s="224"/>
      <c r="BC35" s="224"/>
      <c r="BD35" s="548">
        <f t="shared" si="4"/>
        <v>0</v>
      </c>
      <c r="BE35" s="214"/>
    </row>
    <row r="36" spans="1:57" x14ac:dyDescent="0.25">
      <c r="B36" s="220" t="str">
        <f>Cen!A119</f>
        <v>Bočnice C free, 350mm, Orion šedé</v>
      </c>
      <c r="C36" s="220" t="str">
        <f>Cen!B119</f>
        <v>780C3502S</v>
      </c>
      <c r="D36" s="220" t="str">
        <f>Cen!C119</f>
        <v>OG-M</v>
      </c>
      <c r="E36" s="606">
        <f>Cen!D119</f>
        <v>0</v>
      </c>
      <c r="F36" s="198">
        <f t="shared" si="0"/>
        <v>0</v>
      </c>
      <c r="G36" s="221">
        <f>Cen!F119</f>
        <v>30.157519999999998</v>
      </c>
      <c r="H36" s="222">
        <f t="shared" si="6"/>
        <v>0</v>
      </c>
      <c r="I36" s="233"/>
      <c r="J36" s="223">
        <f>Cen!I119</f>
        <v>3099055</v>
      </c>
      <c r="K36" s="223">
        <f>Cen!J119</f>
        <v>256471</v>
      </c>
      <c r="L36" s="219">
        <f t="shared" si="2"/>
        <v>0</v>
      </c>
      <c r="M36" s="463">
        <f t="shared" si="3"/>
        <v>0</v>
      </c>
      <c r="N36" s="224"/>
      <c r="O36" s="224"/>
      <c r="P36" s="119"/>
      <c r="Q36" s="224"/>
      <c r="R36" s="224"/>
      <c r="S36" s="356">
        <f>'7C410F'!S5</f>
        <v>0</v>
      </c>
      <c r="T36" s="224"/>
      <c r="U36" s="356">
        <f>'7C41VF'!S5</f>
        <v>0</v>
      </c>
      <c r="V36" s="224"/>
      <c r="W36" s="356">
        <f>'7C41NF'!S5</f>
        <v>0</v>
      </c>
      <c r="X36" s="224"/>
      <c r="Y36" s="356">
        <f>'7C41RF'!S5</f>
        <v>0</v>
      </c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469"/>
      <c r="AT36" s="224"/>
      <c r="AU36" s="224"/>
      <c r="AV36" s="224"/>
      <c r="AW36" s="224"/>
      <c r="AX36" s="224"/>
      <c r="AY36" s="224"/>
      <c r="AZ36" s="224"/>
      <c r="BA36" s="469"/>
      <c r="BB36" s="224"/>
      <c r="BC36" s="224"/>
      <c r="BD36" s="548">
        <f t="shared" si="4"/>
        <v>0</v>
      </c>
      <c r="BE36" s="214"/>
    </row>
    <row r="37" spans="1:57" x14ac:dyDescent="0.25">
      <c r="B37" s="220" t="str">
        <f>Cen!A123</f>
        <v>Bočnice C free, 400mm, Orion šedé</v>
      </c>
      <c r="C37" s="220" t="str">
        <f>Cen!B123</f>
        <v>780C4002S</v>
      </c>
      <c r="D37" s="220" t="str">
        <f>Cen!C123</f>
        <v>OG-M</v>
      </c>
      <c r="E37" s="606">
        <f>Cen!D123</f>
        <v>0</v>
      </c>
      <c r="F37" s="198">
        <f t="shared" si="0"/>
        <v>0</v>
      </c>
      <c r="G37" s="221">
        <f>Cen!F123</f>
        <v>30.37988</v>
      </c>
      <c r="H37" s="222">
        <f t="shared" si="6"/>
        <v>0</v>
      </c>
      <c r="I37" s="233"/>
      <c r="J37" s="223">
        <f>Cen!I123</f>
        <v>4025444</v>
      </c>
      <c r="K37" s="223">
        <f>Cen!J123</f>
        <v>256475</v>
      </c>
      <c r="L37" s="219">
        <f t="shared" si="2"/>
        <v>0</v>
      </c>
      <c r="M37" s="463">
        <f t="shared" si="3"/>
        <v>0</v>
      </c>
      <c r="N37" s="224"/>
      <c r="O37" s="224"/>
      <c r="P37" s="119"/>
      <c r="Q37" s="224"/>
      <c r="R37" s="224"/>
      <c r="S37" s="356">
        <f>'7C410F'!S6</f>
        <v>0</v>
      </c>
      <c r="T37" s="224"/>
      <c r="U37" s="356">
        <f>'7C41VF'!S6</f>
        <v>0</v>
      </c>
      <c r="V37" s="224"/>
      <c r="W37" s="356">
        <f>'7C41NF'!S6</f>
        <v>0</v>
      </c>
      <c r="X37" s="224"/>
      <c r="Y37" s="356">
        <f>'7C41RF'!S6</f>
        <v>0</v>
      </c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469"/>
      <c r="AT37" s="224"/>
      <c r="AU37" s="224"/>
      <c r="AV37" s="224"/>
      <c r="AW37" s="224"/>
      <c r="AX37" s="224"/>
      <c r="AY37" s="224"/>
      <c r="AZ37" s="224"/>
      <c r="BA37" s="469"/>
      <c r="BB37" s="224"/>
      <c r="BC37" s="224"/>
      <c r="BD37" s="548">
        <f t="shared" si="4"/>
        <v>0</v>
      </c>
      <c r="BE37" s="214"/>
    </row>
    <row r="38" spans="1:57" x14ac:dyDescent="0.25">
      <c r="B38" s="220" t="str">
        <f>Cen!A127</f>
        <v>Bočnice C free, 450mm, Orion šedé</v>
      </c>
      <c r="C38" s="220" t="str">
        <f>Cen!B127</f>
        <v>780C4502S</v>
      </c>
      <c r="D38" s="220" t="str">
        <f>Cen!C127</f>
        <v>OG-M</v>
      </c>
      <c r="E38" s="606">
        <f>Cen!D127</f>
        <v>0</v>
      </c>
      <c r="F38" s="198">
        <f t="shared" si="0"/>
        <v>0</v>
      </c>
      <c r="G38" s="221">
        <f>Cen!F127</f>
        <v>30.602429999999998</v>
      </c>
      <c r="H38" s="222">
        <f t="shared" si="6"/>
        <v>0</v>
      </c>
      <c r="I38" s="233"/>
      <c r="J38" s="223">
        <f>Cen!I127</f>
        <v>4205596</v>
      </c>
      <c r="K38" s="223">
        <f>Cen!J127</f>
        <v>256479</v>
      </c>
      <c r="L38" s="219">
        <f t="shared" si="2"/>
        <v>0</v>
      </c>
      <c r="M38" s="463">
        <f t="shared" si="3"/>
        <v>0</v>
      </c>
      <c r="N38" s="224"/>
      <c r="O38" s="224"/>
      <c r="P38" s="119"/>
      <c r="Q38" s="224"/>
      <c r="R38" s="224"/>
      <c r="S38" s="356">
        <f>'7C410F'!S7</f>
        <v>0</v>
      </c>
      <c r="T38" s="224"/>
      <c r="U38" s="356">
        <f>'7C41VF'!S7</f>
        <v>0</v>
      </c>
      <c r="V38" s="224"/>
      <c r="W38" s="356">
        <f>'7C41NF'!S7</f>
        <v>0</v>
      </c>
      <c r="X38" s="224"/>
      <c r="Y38" s="356">
        <f>'7C41RF'!S7</f>
        <v>0</v>
      </c>
      <c r="Z38" s="224"/>
      <c r="AA38" s="224"/>
      <c r="AB38" s="224"/>
      <c r="AC38" s="224"/>
      <c r="AD38" s="356">
        <f>'7C442F'!S7</f>
        <v>0</v>
      </c>
      <c r="AE38" s="224"/>
      <c r="AF38" s="356">
        <f>'7CM42F'!S9</f>
        <v>0</v>
      </c>
      <c r="AG38" s="224"/>
      <c r="AH38" s="224"/>
      <c r="AI38" s="356">
        <f>'7CM52F'!S12</f>
        <v>0</v>
      </c>
      <c r="AJ38" s="224"/>
      <c r="AK38" s="224"/>
      <c r="AL38" s="467">
        <f>'7STCGF'!S7</f>
        <v>0</v>
      </c>
      <c r="AM38" s="224"/>
      <c r="AN38" s="467">
        <f>'7STCRF'!S7</f>
        <v>0</v>
      </c>
      <c r="AO38" s="224"/>
      <c r="AP38" s="467">
        <f>'7STMGF'!S7</f>
        <v>0</v>
      </c>
      <c r="AQ38" s="224"/>
      <c r="AR38" s="467">
        <f>'7STMRF'!S7</f>
        <v>0</v>
      </c>
      <c r="AS38" s="469"/>
      <c r="AT38" s="224"/>
      <c r="AU38" s="224"/>
      <c r="AV38" s="224"/>
      <c r="AW38" s="224"/>
      <c r="AX38" s="224"/>
      <c r="AY38" s="224"/>
      <c r="AZ38" s="224"/>
      <c r="BA38" s="469"/>
      <c r="BB38" s="224"/>
      <c r="BC38" s="224"/>
      <c r="BD38" s="548">
        <f t="shared" si="4"/>
        <v>0</v>
      </c>
      <c r="BE38" s="214"/>
    </row>
    <row r="39" spans="1:57" x14ac:dyDescent="0.25">
      <c r="B39" s="220" t="str">
        <f>Cen!A131</f>
        <v>Bočnice C free, 500mm, Orion šedé</v>
      </c>
      <c r="C39" s="220" t="str">
        <f>Cen!B131</f>
        <v>780C5002S</v>
      </c>
      <c r="D39" s="220" t="str">
        <f>Cen!C131</f>
        <v>OG-M</v>
      </c>
      <c r="E39" s="606">
        <f>Cen!D131</f>
        <v>0</v>
      </c>
      <c r="F39" s="198">
        <f t="shared" si="0"/>
        <v>0</v>
      </c>
      <c r="G39" s="221">
        <f>Cen!F131</f>
        <v>30.824969999999997</v>
      </c>
      <c r="H39" s="222">
        <f t="shared" si="6"/>
        <v>0</v>
      </c>
      <c r="I39" s="233"/>
      <c r="J39" s="223">
        <f>Cen!I131</f>
        <v>5095220</v>
      </c>
      <c r="K39" s="223">
        <f>Cen!J131</f>
        <v>256483</v>
      </c>
      <c r="L39" s="219">
        <f t="shared" si="2"/>
        <v>0</v>
      </c>
      <c r="M39" s="463">
        <f t="shared" si="3"/>
        <v>0</v>
      </c>
      <c r="N39" s="224"/>
      <c r="O39" s="224"/>
      <c r="P39" s="119"/>
      <c r="Q39" s="224"/>
      <c r="R39" s="224"/>
      <c r="S39" s="356">
        <f>'7C410F'!S8</f>
        <v>0</v>
      </c>
      <c r="T39" s="224"/>
      <c r="U39" s="356">
        <f>'7C41VF'!S8</f>
        <v>0</v>
      </c>
      <c r="V39" s="224"/>
      <c r="W39" s="356">
        <f>'7C41NF'!S8</f>
        <v>0</v>
      </c>
      <c r="X39" s="224"/>
      <c r="Y39" s="356">
        <f>'7C41RF'!S8</f>
        <v>0</v>
      </c>
      <c r="Z39" s="224"/>
      <c r="AA39" s="224"/>
      <c r="AB39" s="224"/>
      <c r="AC39" s="224"/>
      <c r="AD39" s="356">
        <f>'7C442F'!S8</f>
        <v>0</v>
      </c>
      <c r="AE39" s="224"/>
      <c r="AF39" s="356">
        <f>'7CM42F'!S10</f>
        <v>0</v>
      </c>
      <c r="AG39" s="224"/>
      <c r="AH39" s="224"/>
      <c r="AI39" s="356">
        <f>'7CM52F'!S13</f>
        <v>0</v>
      </c>
      <c r="AJ39" s="224"/>
      <c r="AK39" s="224"/>
      <c r="AL39" s="467">
        <f>'7STCGF'!S8</f>
        <v>0</v>
      </c>
      <c r="AM39" s="224"/>
      <c r="AN39" s="467">
        <f>'7STCRF'!S8</f>
        <v>0</v>
      </c>
      <c r="AO39" s="224"/>
      <c r="AP39" s="467">
        <f>'7STMGF'!S8</f>
        <v>0</v>
      </c>
      <c r="AQ39" s="224"/>
      <c r="AR39" s="467">
        <f>'7STMRF'!S8</f>
        <v>0</v>
      </c>
      <c r="AS39" s="469"/>
      <c r="AT39" s="224"/>
      <c r="AU39" s="224"/>
      <c r="AV39" s="224"/>
      <c r="AW39" s="224"/>
      <c r="AX39" s="224"/>
      <c r="AY39" s="224"/>
      <c r="AZ39" s="224"/>
      <c r="BA39" s="469"/>
      <c r="BB39" s="224"/>
      <c r="BC39" s="224"/>
      <c r="BD39" s="548">
        <f t="shared" si="4"/>
        <v>0</v>
      </c>
      <c r="BE39" s="214"/>
    </row>
    <row r="40" spans="1:57" x14ac:dyDescent="0.25">
      <c r="B40" s="220" t="str">
        <f>Cen!A135</f>
        <v>Bočnice C free, 550mm, Orion šedé</v>
      </c>
      <c r="C40" s="220" t="str">
        <f>Cen!B135</f>
        <v>780C5502S</v>
      </c>
      <c r="D40" s="220" t="str">
        <f>Cen!C135</f>
        <v>OG-M</v>
      </c>
      <c r="E40" s="606">
        <f>Cen!D135</f>
        <v>0</v>
      </c>
      <c r="F40" s="198">
        <f t="shared" si="0"/>
        <v>0</v>
      </c>
      <c r="G40" s="221">
        <f>Cen!F135</f>
        <v>32.604779999999998</v>
      </c>
      <c r="H40" s="222">
        <f t="shared" si="6"/>
        <v>0</v>
      </c>
      <c r="I40" s="233"/>
      <c r="J40" s="223">
        <f>Cen!I135</f>
        <v>7038294</v>
      </c>
      <c r="K40" s="223">
        <f>Cen!J135</f>
        <v>256486</v>
      </c>
      <c r="L40" s="219">
        <f t="shared" si="2"/>
        <v>0</v>
      </c>
      <c r="M40" s="463">
        <f t="shared" si="3"/>
        <v>0</v>
      </c>
      <c r="N40" s="224"/>
      <c r="O40" s="224"/>
      <c r="P40" s="119"/>
      <c r="Q40" s="224"/>
      <c r="R40" s="224"/>
      <c r="S40" s="356">
        <f>'7C410F'!S9</f>
        <v>0</v>
      </c>
      <c r="T40" s="224"/>
      <c r="U40" s="356">
        <f>'7C41VF'!S9</f>
        <v>0</v>
      </c>
      <c r="V40" s="224"/>
      <c r="W40" s="356">
        <f>'7C41NF'!S9</f>
        <v>0</v>
      </c>
      <c r="X40" s="224"/>
      <c r="Y40" s="356">
        <f>'7C41RF'!S9</f>
        <v>0</v>
      </c>
      <c r="Z40" s="224"/>
      <c r="AA40" s="224"/>
      <c r="AB40" s="224"/>
      <c r="AC40" s="224"/>
      <c r="AD40" s="356">
        <f>'7C442F'!S9</f>
        <v>0</v>
      </c>
      <c r="AE40" s="224"/>
      <c r="AF40" s="356">
        <f>'7CM42F'!S11</f>
        <v>0</v>
      </c>
      <c r="AG40" s="224"/>
      <c r="AH40" s="224"/>
      <c r="AI40" s="356">
        <f>'7CM52F'!S14</f>
        <v>0</v>
      </c>
      <c r="AJ40" s="224"/>
      <c r="AK40" s="224"/>
      <c r="AL40" s="467">
        <f>'7STCGF'!S9</f>
        <v>0</v>
      </c>
      <c r="AM40" s="224"/>
      <c r="AN40" s="467">
        <f>'7STCRF'!S9</f>
        <v>0</v>
      </c>
      <c r="AO40" s="224"/>
      <c r="AP40" s="467">
        <f>'7STMGF'!S9</f>
        <v>0</v>
      </c>
      <c r="AQ40" s="224"/>
      <c r="AR40" s="467">
        <f>'7STMRF'!S9</f>
        <v>0</v>
      </c>
      <c r="AS40" s="469"/>
      <c r="AT40" s="224"/>
      <c r="AU40" s="224"/>
      <c r="AV40" s="224"/>
      <c r="AW40" s="224"/>
      <c r="AX40" s="224"/>
      <c r="AY40" s="224"/>
      <c r="AZ40" s="224"/>
      <c r="BA40" s="469"/>
      <c r="BB40" s="224"/>
      <c r="BC40" s="224"/>
      <c r="BD40" s="548">
        <f t="shared" si="4"/>
        <v>0</v>
      </c>
      <c r="BE40" s="214"/>
    </row>
    <row r="41" spans="1:57" x14ac:dyDescent="0.25">
      <c r="B41" s="220" t="str">
        <f>Cen!A139</f>
        <v>Bočnice C free, 600mm, Orion šedé</v>
      </c>
      <c r="C41" s="220" t="str">
        <f>Cen!B139</f>
        <v>780C6002S</v>
      </c>
      <c r="D41" s="220" t="str">
        <f>Cen!C139</f>
        <v>OG-M</v>
      </c>
      <c r="E41" s="606">
        <f>Cen!D139</f>
        <v>0</v>
      </c>
      <c r="F41" s="198">
        <f t="shared" si="0"/>
        <v>0</v>
      </c>
      <c r="G41" s="221">
        <f>Cen!F139</f>
        <v>35.385860000000001</v>
      </c>
      <c r="H41" s="222">
        <f t="shared" si="6"/>
        <v>0</v>
      </c>
      <c r="I41" s="233"/>
      <c r="J41" s="223">
        <f>Cen!I139</f>
        <v>8044415</v>
      </c>
      <c r="K41" s="223">
        <f>Cen!J139</f>
        <v>256491</v>
      </c>
      <c r="L41" s="219">
        <f t="shared" si="2"/>
        <v>0</v>
      </c>
      <c r="M41" s="463">
        <f t="shared" si="3"/>
        <v>0</v>
      </c>
      <c r="N41" s="224"/>
      <c r="O41" s="224"/>
      <c r="P41" s="119"/>
      <c r="Q41" s="224"/>
      <c r="R41" s="224"/>
      <c r="S41" s="356">
        <f>'7C410F'!S10</f>
        <v>0</v>
      </c>
      <c r="T41" s="224"/>
      <c r="U41" s="356">
        <f>'7C41VF'!S10</f>
        <v>0</v>
      </c>
      <c r="V41" s="224"/>
      <c r="W41" s="356">
        <f>'7C41NF'!S10</f>
        <v>0</v>
      </c>
      <c r="X41" s="224"/>
      <c r="Y41" s="356">
        <f>'7C41RF'!S10</f>
        <v>0</v>
      </c>
      <c r="Z41" s="224"/>
      <c r="AA41" s="224"/>
      <c r="AB41" s="224"/>
      <c r="AC41" s="224"/>
      <c r="AD41" s="356">
        <f>'7C442F'!S10</f>
        <v>0</v>
      </c>
      <c r="AE41" s="224"/>
      <c r="AF41" s="356">
        <f>'7CM42F'!S12</f>
        <v>0</v>
      </c>
      <c r="AG41" s="224"/>
      <c r="AH41" s="224"/>
      <c r="AI41" s="356">
        <f>'7CM52F'!S15</f>
        <v>0</v>
      </c>
      <c r="AJ41" s="224"/>
      <c r="AK41" s="224"/>
      <c r="AL41" s="224"/>
      <c r="AM41" s="224"/>
      <c r="AN41" s="224"/>
      <c r="AO41" s="224"/>
      <c r="AP41" s="224"/>
      <c r="AQ41" s="224"/>
      <c r="AR41" s="224"/>
      <c r="AS41" s="469"/>
      <c r="AT41" s="224"/>
      <c r="AU41" s="224"/>
      <c r="AV41" s="224"/>
      <c r="AW41" s="224"/>
      <c r="AX41" s="224"/>
      <c r="AY41" s="224"/>
      <c r="AZ41" s="224"/>
      <c r="BA41" s="469"/>
      <c r="BB41" s="224"/>
      <c r="BC41" s="224"/>
      <c r="BD41" s="548">
        <f t="shared" si="4"/>
        <v>0</v>
      </c>
      <c r="BE41" s="214"/>
    </row>
    <row r="42" spans="1:57" x14ac:dyDescent="0.25">
      <c r="B42" s="220" t="str">
        <f>Cen!A143</f>
        <v>Bočnice C free, 650mm, Orion šedé</v>
      </c>
      <c r="C42" s="220" t="str">
        <f>Cen!B143</f>
        <v>780C6502S</v>
      </c>
      <c r="D42" s="220" t="str">
        <f>Cen!C143</f>
        <v>OG-M</v>
      </c>
      <c r="E42" s="606">
        <f>Cen!D143</f>
        <v>0</v>
      </c>
      <c r="F42" s="198">
        <f t="shared" si="0"/>
        <v>0</v>
      </c>
      <c r="G42" s="221">
        <f>Cen!F143</f>
        <v>36.432029999999997</v>
      </c>
      <c r="H42" s="222">
        <f t="shared" si="6"/>
        <v>0</v>
      </c>
      <c r="I42" s="233"/>
      <c r="J42" s="223">
        <f>Cen!I143</f>
        <v>9037386</v>
      </c>
      <c r="K42" s="223">
        <f>Cen!J140</f>
        <v>0</v>
      </c>
      <c r="L42" s="219">
        <f t="shared" si="2"/>
        <v>0</v>
      </c>
      <c r="M42" s="463">
        <f t="shared" si="3"/>
        <v>0</v>
      </c>
      <c r="N42" s="224"/>
      <c r="O42" s="224"/>
      <c r="P42" s="119"/>
      <c r="Q42" s="224"/>
      <c r="R42" s="224"/>
      <c r="S42" s="356">
        <f>'7C410F'!S11</f>
        <v>0</v>
      </c>
      <c r="T42" s="224"/>
      <c r="U42" s="356">
        <f>'7C41VF'!S11</f>
        <v>0</v>
      </c>
      <c r="V42" s="224"/>
      <c r="W42" s="356">
        <f>'7C41NF'!S11</f>
        <v>0</v>
      </c>
      <c r="X42" s="224"/>
      <c r="Y42" s="356">
        <f>'7C41RF'!S11</f>
        <v>0</v>
      </c>
      <c r="Z42" s="224"/>
      <c r="AA42" s="224"/>
      <c r="AB42" s="224"/>
      <c r="AC42" s="224"/>
      <c r="AD42" s="356">
        <f>'7C442F'!S11</f>
        <v>0</v>
      </c>
      <c r="AE42" s="224"/>
      <c r="AF42" s="356">
        <f>'7CM42F'!S13</f>
        <v>0</v>
      </c>
      <c r="AG42" s="224"/>
      <c r="AH42" s="224"/>
      <c r="AI42" s="356">
        <f>'7CM52F'!S16</f>
        <v>0</v>
      </c>
      <c r="AJ42" s="224"/>
      <c r="AK42" s="224"/>
      <c r="AL42" s="224"/>
      <c r="AM42" s="224"/>
      <c r="AN42" s="224"/>
      <c r="AO42" s="224"/>
      <c r="AP42" s="224"/>
      <c r="AQ42" s="224"/>
      <c r="AR42" s="224"/>
      <c r="AS42" s="469"/>
      <c r="AT42" s="224"/>
      <c r="AU42" s="224"/>
      <c r="AV42" s="224"/>
      <c r="AW42" s="224"/>
      <c r="AX42" s="224"/>
      <c r="AY42" s="224"/>
      <c r="AZ42" s="224"/>
      <c r="BA42" s="469"/>
      <c r="BB42" s="224"/>
      <c r="BC42" s="224"/>
      <c r="BD42" s="548">
        <f t="shared" si="4"/>
        <v>0</v>
      </c>
      <c r="BE42" s="214"/>
    </row>
    <row r="43" spans="1:57" x14ac:dyDescent="0.25">
      <c r="B43" s="220" t="str">
        <f>Cen!A147</f>
        <v>Bočnice F 450mm, Orion šedé</v>
      </c>
      <c r="C43" s="220" t="str">
        <f>Cen!B147</f>
        <v>770F4502S</v>
      </c>
      <c r="D43" s="220" t="str">
        <f>Cen!C147</f>
        <v>OG-M</v>
      </c>
      <c r="E43" s="606">
        <f>Cen!D147</f>
        <v>0</v>
      </c>
      <c r="F43" s="198">
        <f t="shared" si="0"/>
        <v>0</v>
      </c>
      <c r="G43" s="221">
        <f>Cen!F147</f>
        <v>49.551900000000003</v>
      </c>
      <c r="H43" s="222">
        <f t="shared" si="5"/>
        <v>0</v>
      </c>
      <c r="I43" s="233"/>
      <c r="J43" s="223">
        <f>Cen!I147</f>
        <v>9096837</v>
      </c>
      <c r="K43" s="223">
        <f>Cen!J147</f>
        <v>227526</v>
      </c>
      <c r="L43" s="219">
        <f t="shared" si="2"/>
        <v>0</v>
      </c>
      <c r="M43" s="463">
        <f t="shared" si="3"/>
        <v>0</v>
      </c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356">
        <f>'7F410P'!S7</f>
        <v>0</v>
      </c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469"/>
      <c r="AT43" s="224"/>
      <c r="AU43" s="224"/>
      <c r="AV43" s="224"/>
      <c r="AW43" s="224"/>
      <c r="AX43" s="224"/>
      <c r="AY43" s="224"/>
      <c r="AZ43" s="224"/>
      <c r="BA43" s="469"/>
      <c r="BB43" s="224"/>
      <c r="BC43" s="224"/>
      <c r="BD43" s="548">
        <f t="shared" si="4"/>
        <v>0</v>
      </c>
      <c r="BE43" s="214"/>
    </row>
    <row r="44" spans="1:57" x14ac:dyDescent="0.25">
      <c r="B44" s="220" t="str">
        <f>Cen!A151</f>
        <v>Bočnice F 500mm, Orion šedé</v>
      </c>
      <c r="C44" s="220" t="str">
        <f>Cen!B151</f>
        <v>770F5002S</v>
      </c>
      <c r="D44" s="220" t="str">
        <f>Cen!C151</f>
        <v>OG-M</v>
      </c>
      <c r="E44" s="606">
        <f>Cen!D151</f>
        <v>0</v>
      </c>
      <c r="F44" s="198">
        <f t="shared" si="0"/>
        <v>0</v>
      </c>
      <c r="G44" s="221">
        <f>Cen!F151</f>
        <v>49.984830000000002</v>
      </c>
      <c r="H44" s="222">
        <f t="shared" si="5"/>
        <v>0</v>
      </c>
      <c r="I44" s="233"/>
      <c r="J44" s="223">
        <f>Cen!I151</f>
        <v>9153879</v>
      </c>
      <c r="K44" s="223">
        <f>Cen!J151</f>
        <v>227530</v>
      </c>
      <c r="L44" s="219">
        <f t="shared" si="2"/>
        <v>0</v>
      </c>
      <c r="M44" s="463">
        <f t="shared" si="3"/>
        <v>0</v>
      </c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356">
        <f>'7F410P'!S8</f>
        <v>0</v>
      </c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469"/>
      <c r="AT44" s="224"/>
      <c r="AU44" s="224"/>
      <c r="AV44" s="224"/>
      <c r="AW44" s="224"/>
      <c r="AX44" s="224"/>
      <c r="AY44" s="224"/>
      <c r="AZ44" s="224"/>
      <c r="BA44" s="469"/>
      <c r="BB44" s="224"/>
      <c r="BC44" s="224"/>
      <c r="BD44" s="548">
        <f t="shared" si="4"/>
        <v>0</v>
      </c>
      <c r="BE44" s="214"/>
    </row>
    <row r="45" spans="1:57" x14ac:dyDescent="0.25">
      <c r="B45" s="220" t="str">
        <f>Cen!A155</f>
        <v>Bočnice F 550mm, Orion šedé</v>
      </c>
      <c r="C45" s="220" t="str">
        <f>Cen!B155</f>
        <v>770F5502S</v>
      </c>
      <c r="D45" s="220" t="str">
        <f>Cen!C155</f>
        <v>OG-M</v>
      </c>
      <c r="E45" s="606">
        <f>Cen!D155</f>
        <v>0</v>
      </c>
      <c r="F45" s="198">
        <f t="shared" si="0"/>
        <v>0</v>
      </c>
      <c r="G45" s="221">
        <f>Cen!F155</f>
        <v>51.93262</v>
      </c>
      <c r="H45" s="222">
        <f t="shared" si="5"/>
        <v>0</v>
      </c>
      <c r="I45" s="233"/>
      <c r="J45" s="223">
        <f>Cen!I155</f>
        <v>9249100</v>
      </c>
      <c r="K45" s="223">
        <f>Cen!J155</f>
        <v>227534</v>
      </c>
      <c r="L45" s="219">
        <f t="shared" si="2"/>
        <v>0</v>
      </c>
      <c r="M45" s="463">
        <f t="shared" si="3"/>
        <v>0</v>
      </c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356">
        <f>'7F410P'!S9</f>
        <v>0</v>
      </c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469"/>
      <c r="AT45" s="224"/>
      <c r="AU45" s="224"/>
      <c r="AV45" s="224"/>
      <c r="AW45" s="224"/>
      <c r="AX45" s="224"/>
      <c r="AY45" s="224"/>
      <c r="AZ45" s="224"/>
      <c r="BA45" s="469"/>
      <c r="BB45" s="224"/>
      <c r="BC45" s="224"/>
      <c r="BD45" s="548">
        <f t="shared" si="4"/>
        <v>0</v>
      </c>
      <c r="BE45" s="214"/>
    </row>
    <row r="46" spans="1:57" x14ac:dyDescent="0.25">
      <c r="B46" s="220" t="str">
        <f>Cen!A159</f>
        <v>Bočnice F 600mm, Orion šedé</v>
      </c>
      <c r="C46" s="220" t="str">
        <f>Cen!B159</f>
        <v>770F6002S</v>
      </c>
      <c r="D46" s="220" t="str">
        <f>Cen!C159</f>
        <v>OG-M</v>
      </c>
      <c r="E46" s="606">
        <f>Cen!D159</f>
        <v>0</v>
      </c>
      <c r="F46" s="198">
        <f t="shared" si="0"/>
        <v>0</v>
      </c>
      <c r="G46" s="221">
        <f>Cen!F159</f>
        <v>56.477589999999999</v>
      </c>
      <c r="H46" s="222">
        <f t="shared" si="5"/>
        <v>0</v>
      </c>
      <c r="I46" s="233"/>
      <c r="J46" s="223">
        <f>Cen!I159</f>
        <v>9299751</v>
      </c>
      <c r="K46" s="223">
        <f>Cen!J159</f>
        <v>227538</v>
      </c>
      <c r="L46" s="219">
        <f t="shared" si="2"/>
        <v>0</v>
      </c>
      <c r="M46" s="463">
        <f t="shared" si="3"/>
        <v>0</v>
      </c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356">
        <f>'7F410P'!S10</f>
        <v>0</v>
      </c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469"/>
      <c r="AT46" s="224"/>
      <c r="AU46" s="224"/>
      <c r="AV46" s="224"/>
      <c r="AW46" s="224"/>
      <c r="AX46" s="224"/>
      <c r="AY46" s="224"/>
      <c r="AZ46" s="224"/>
      <c r="BA46" s="469"/>
      <c r="BB46" s="224"/>
      <c r="BC46" s="224"/>
      <c r="BD46" s="548">
        <f t="shared" si="4"/>
        <v>0</v>
      </c>
      <c r="BE46" s="214"/>
    </row>
    <row r="47" spans="1:57" x14ac:dyDescent="0.25">
      <c r="B47" s="220" t="str">
        <f>Cen!A163</f>
        <v>Bočnice F 650mm, Orion šedé</v>
      </c>
      <c r="C47" s="220" t="str">
        <f>Cen!B163</f>
        <v>770F6502S</v>
      </c>
      <c r="D47" s="220" t="str">
        <f>Cen!C163</f>
        <v>OG-M</v>
      </c>
      <c r="E47" s="606">
        <f>Cen!D163</f>
        <v>0</v>
      </c>
      <c r="F47" s="198">
        <f t="shared" si="0"/>
        <v>0</v>
      </c>
      <c r="G47" s="221">
        <f>Cen!F163</f>
        <v>58.03593</v>
      </c>
      <c r="H47" s="222">
        <f>M47</f>
        <v>0</v>
      </c>
      <c r="I47" s="233"/>
      <c r="J47" s="223">
        <f>Cen!I163</f>
        <v>1876579</v>
      </c>
      <c r="K47" s="223">
        <f>Cen!J163</f>
        <v>256462</v>
      </c>
      <c r="L47" s="219">
        <f t="shared" si="2"/>
        <v>0</v>
      </c>
      <c r="M47" s="463">
        <f t="shared" si="3"/>
        <v>0</v>
      </c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356">
        <f>'7F410P'!S11</f>
        <v>0</v>
      </c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469"/>
      <c r="AT47" s="224"/>
      <c r="AU47" s="224"/>
      <c r="AV47" s="224"/>
      <c r="AW47" s="224"/>
      <c r="AX47" s="224"/>
      <c r="AY47" s="224"/>
      <c r="AZ47" s="224"/>
      <c r="BA47" s="469"/>
      <c r="BB47" s="224"/>
      <c r="BC47" s="224"/>
      <c r="BD47" s="548">
        <f t="shared" si="4"/>
        <v>0</v>
      </c>
      <c r="BE47" s="214"/>
    </row>
    <row r="48" spans="1:57" customFormat="1" ht="12.75" customHeight="1" x14ac:dyDescent="0.35">
      <c r="A48" s="562"/>
      <c r="E48" s="673"/>
      <c r="L48" s="219">
        <f t="shared" si="2"/>
        <v>0</v>
      </c>
      <c r="M48" s="463">
        <f t="shared" si="3"/>
        <v>0</v>
      </c>
      <c r="BD48" s="548">
        <f t="shared" si="4"/>
        <v>0</v>
      </c>
    </row>
    <row r="49" spans="1:57" customFormat="1" ht="12.75" customHeight="1" x14ac:dyDescent="0.35">
      <c r="A49" s="562"/>
      <c r="B49" s="220" t="str">
        <f>Cen!A168</f>
        <v>Boční zásuvné prvky, sklo, pro 350 mm</v>
      </c>
      <c r="C49" s="220" t="str">
        <f>Cen!B168</f>
        <v>ZE7S238G</v>
      </c>
      <c r="D49" s="220" t="str">
        <f>Cen!C168</f>
        <v>KLA</v>
      </c>
      <c r="E49" s="606">
        <f>Cen!D168</f>
        <v>0</v>
      </c>
      <c r="F49" s="198">
        <f t="shared" ref="F49:F55" si="7">IF(I49&gt;0,I49,SUM(N49:BC49))</f>
        <v>0</v>
      </c>
      <c r="G49" s="221">
        <f>Cen!F168</f>
        <v>20.738469999999996</v>
      </c>
      <c r="H49" s="222">
        <f>M49</f>
        <v>0</v>
      </c>
      <c r="I49" s="233"/>
      <c r="J49" s="223">
        <f>Cen!I168</f>
        <v>6061082</v>
      </c>
      <c r="K49" s="223">
        <f>Cen!J168</f>
        <v>256611</v>
      </c>
      <c r="L49" s="219">
        <f t="shared" si="2"/>
        <v>0</v>
      </c>
      <c r="M49" s="463">
        <f t="shared" si="3"/>
        <v>0</v>
      </c>
      <c r="S49" s="356">
        <f>'7C410F'!S63</f>
        <v>0</v>
      </c>
      <c r="U49" s="356">
        <f>'7C41VF'!S70</f>
        <v>0</v>
      </c>
      <c r="W49" s="356">
        <f>'7C41NF'!S70</f>
        <v>0</v>
      </c>
      <c r="Y49" s="356">
        <f>'7C41RF'!S70</f>
        <v>0</v>
      </c>
      <c r="AD49" s="224"/>
      <c r="AK49" s="562"/>
      <c r="AL49" s="224"/>
      <c r="AM49" s="562"/>
      <c r="AN49" s="224"/>
      <c r="AO49" s="562"/>
      <c r="AP49" s="224"/>
      <c r="AQ49" s="562"/>
      <c r="AR49" s="224"/>
      <c r="BD49" s="548">
        <f t="shared" si="4"/>
        <v>0</v>
      </c>
    </row>
    <row r="50" spans="1:57" customFormat="1" ht="12.75" customHeight="1" x14ac:dyDescent="0.35">
      <c r="A50" s="562"/>
      <c r="B50" s="220" t="str">
        <f>Cen!A169</f>
        <v>Boční zásuvné prvky, sklo, pro 400 mm</v>
      </c>
      <c r="C50" s="220" t="str">
        <f>Cen!B169</f>
        <v>ZE7S288G</v>
      </c>
      <c r="D50" s="220" t="str">
        <f>Cen!C169</f>
        <v>KLA</v>
      </c>
      <c r="E50" s="606">
        <f>Cen!D169</f>
        <v>0</v>
      </c>
      <c r="F50" s="198">
        <f t="shared" si="7"/>
        <v>0</v>
      </c>
      <c r="G50" s="221">
        <f>Cen!F169</f>
        <v>21.912770000000002</v>
      </c>
      <c r="H50" s="222">
        <f t="shared" ref="H50:H55" si="8">M50</f>
        <v>0</v>
      </c>
      <c r="I50" s="233"/>
      <c r="J50" s="223">
        <f>Cen!I169</f>
        <v>3508415</v>
      </c>
      <c r="K50" s="223">
        <f>Cen!J169</f>
        <v>257252</v>
      </c>
      <c r="L50" s="219">
        <f t="shared" si="2"/>
        <v>0</v>
      </c>
      <c r="M50" s="463">
        <f t="shared" si="3"/>
        <v>0</v>
      </c>
      <c r="S50" s="356">
        <f>'7C410F'!S64</f>
        <v>0</v>
      </c>
      <c r="U50" s="356">
        <f>'7C41VF'!S71</f>
        <v>0</v>
      </c>
      <c r="W50" s="356">
        <f>'7C41NF'!S71</f>
        <v>0</v>
      </c>
      <c r="Y50" s="356">
        <f>'7C41RF'!S71</f>
        <v>0</v>
      </c>
      <c r="AD50" s="224"/>
      <c r="AK50" s="562"/>
      <c r="AL50" s="224"/>
      <c r="AM50" s="562"/>
      <c r="AN50" s="224"/>
      <c r="AO50" s="562"/>
      <c r="AP50" s="224"/>
      <c r="AQ50" s="562"/>
      <c r="AR50" s="224"/>
      <c r="BD50" s="548">
        <f t="shared" ref="BD50:BD56" si="9">IF(AND(E50&gt;0,F50&gt;0),1,0)</f>
        <v>0</v>
      </c>
    </row>
    <row r="51" spans="1:57" customFormat="1" ht="12.75" customHeight="1" x14ac:dyDescent="0.35">
      <c r="A51" s="562"/>
      <c r="B51" s="220" t="str">
        <f>Cen!A170</f>
        <v>Boční zásuvné prvky, sklo, pro 450 mm</v>
      </c>
      <c r="C51" s="220" t="str">
        <f>Cen!B170</f>
        <v>ZE7S338G</v>
      </c>
      <c r="D51" s="220" t="str">
        <f>Cen!C170</f>
        <v>KLA</v>
      </c>
      <c r="E51" s="606">
        <f>Cen!D170</f>
        <v>0</v>
      </c>
      <c r="F51" s="198">
        <f t="shared" si="7"/>
        <v>0</v>
      </c>
      <c r="G51" s="221">
        <f>Cen!F170</f>
        <v>23.087060000000001</v>
      </c>
      <c r="H51" s="222">
        <f t="shared" si="8"/>
        <v>0</v>
      </c>
      <c r="I51" s="233"/>
      <c r="J51" s="223">
        <f>Cen!I170</f>
        <v>1507620</v>
      </c>
      <c r="K51" s="223">
        <f>Cen!J170</f>
        <v>257253</v>
      </c>
      <c r="L51" s="219">
        <f t="shared" si="2"/>
        <v>0</v>
      </c>
      <c r="M51" s="463">
        <f t="shared" si="3"/>
        <v>0</v>
      </c>
      <c r="S51" s="356">
        <f>'7C410F'!S65</f>
        <v>0</v>
      </c>
      <c r="U51" s="356">
        <f>'7C41VF'!S72</f>
        <v>0</v>
      </c>
      <c r="W51" s="356">
        <f>'7C41NF'!S72</f>
        <v>0</v>
      </c>
      <c r="Y51" s="356">
        <f>'7C41RF'!S72</f>
        <v>0</v>
      </c>
      <c r="AD51" s="356">
        <f>'7C442F'!S49</f>
        <v>0</v>
      </c>
      <c r="AF51" s="356">
        <f>'7CM42F'!S75</f>
        <v>0</v>
      </c>
      <c r="AI51" s="356">
        <f>'7CM52F'!S49</f>
        <v>0</v>
      </c>
      <c r="AL51" s="356">
        <f>'7STCGF'!S80</f>
        <v>0</v>
      </c>
      <c r="AN51" s="356">
        <f>'7STCRF'!S69</f>
        <v>0</v>
      </c>
      <c r="AP51" s="356">
        <f>'7STMGF'!S81</f>
        <v>0</v>
      </c>
      <c r="AR51" s="356">
        <f>'7STMRF'!S70</f>
        <v>0</v>
      </c>
      <c r="BD51" s="548">
        <f t="shared" si="9"/>
        <v>0</v>
      </c>
    </row>
    <row r="52" spans="1:57" customFormat="1" ht="12.75" customHeight="1" x14ac:dyDescent="0.35">
      <c r="A52" s="562"/>
      <c r="B52" s="220" t="str">
        <f>Cen!A171</f>
        <v>Boční zásuvné prvky, sklo, pro 500 mm</v>
      </c>
      <c r="C52" s="220" t="str">
        <f>Cen!B171</f>
        <v>ZE7S388G</v>
      </c>
      <c r="D52" s="220" t="str">
        <f>Cen!C171</f>
        <v>KLA</v>
      </c>
      <c r="E52" s="606">
        <f>Cen!D171</f>
        <v>0</v>
      </c>
      <c r="F52" s="198">
        <f t="shared" si="7"/>
        <v>0</v>
      </c>
      <c r="G52" s="221">
        <f>Cen!F171</f>
        <v>24.26136</v>
      </c>
      <c r="H52" s="222">
        <f t="shared" si="8"/>
        <v>0</v>
      </c>
      <c r="I52" s="233"/>
      <c r="J52" s="223">
        <f>Cen!I171</f>
        <v>3863908</v>
      </c>
      <c r="K52" s="223">
        <f>Cen!J171</f>
        <v>257254</v>
      </c>
      <c r="L52" s="219">
        <f t="shared" si="2"/>
        <v>0</v>
      </c>
      <c r="M52" s="463">
        <f t="shared" si="3"/>
        <v>0</v>
      </c>
      <c r="S52" s="356">
        <f>'7C410F'!S66</f>
        <v>0</v>
      </c>
      <c r="U52" s="356">
        <f>'7C41VF'!S73</f>
        <v>0</v>
      </c>
      <c r="W52" s="356">
        <f>'7C41NF'!S73</f>
        <v>0</v>
      </c>
      <c r="Y52" s="356">
        <f>'7C41RF'!S73</f>
        <v>0</v>
      </c>
      <c r="AD52" s="356">
        <f>'7C442F'!S50</f>
        <v>0</v>
      </c>
      <c r="AF52" s="356">
        <f>'7CM42F'!S76</f>
        <v>0</v>
      </c>
      <c r="AI52" s="356">
        <f>'7CM52F'!S50</f>
        <v>0</v>
      </c>
      <c r="AL52" s="356">
        <f>'7STCGF'!S81</f>
        <v>0</v>
      </c>
      <c r="AN52" s="356">
        <f>'7STCRF'!S70</f>
        <v>0</v>
      </c>
      <c r="AP52" s="356">
        <f>'7STMGF'!S82</f>
        <v>0</v>
      </c>
      <c r="AR52" s="356">
        <f>'7STMRF'!S71</f>
        <v>0</v>
      </c>
      <c r="BD52" s="548">
        <f t="shared" si="9"/>
        <v>0</v>
      </c>
    </row>
    <row r="53" spans="1:57" customFormat="1" ht="12.75" customHeight="1" x14ac:dyDescent="0.35">
      <c r="A53" s="562"/>
      <c r="B53" s="220" t="str">
        <f>Cen!A172</f>
        <v>Boční zásuvné prvky, sklo, pro 550 mm</v>
      </c>
      <c r="C53" s="220" t="str">
        <f>Cen!B172</f>
        <v>ZE7S438G</v>
      </c>
      <c r="D53" s="220" t="str">
        <f>Cen!C172</f>
        <v>KLA</v>
      </c>
      <c r="E53" s="606">
        <f>Cen!D172</f>
        <v>0</v>
      </c>
      <c r="F53" s="198">
        <f t="shared" si="7"/>
        <v>0</v>
      </c>
      <c r="G53" s="221">
        <f>Cen!F172</f>
        <v>26.609179999999995</v>
      </c>
      <c r="H53" s="222">
        <f t="shared" si="8"/>
        <v>0</v>
      </c>
      <c r="I53" s="233"/>
      <c r="J53" s="223">
        <f>Cen!I172</f>
        <v>3232216</v>
      </c>
      <c r="K53" s="223">
        <f>Cen!J172</f>
        <v>257255</v>
      </c>
      <c r="L53" s="219">
        <f t="shared" si="2"/>
        <v>0</v>
      </c>
      <c r="M53" s="463">
        <f t="shared" si="3"/>
        <v>0</v>
      </c>
      <c r="S53" s="356">
        <f>'7C410F'!S67</f>
        <v>0</v>
      </c>
      <c r="U53" s="356">
        <f>'7C41VF'!S74</f>
        <v>0</v>
      </c>
      <c r="W53" s="356">
        <f>'7C41NF'!S74</f>
        <v>0</v>
      </c>
      <c r="Y53" s="356">
        <f>'7C41RF'!S74</f>
        <v>0</v>
      </c>
      <c r="AD53" s="356">
        <f>'7C442F'!S51</f>
        <v>0</v>
      </c>
      <c r="AF53" s="356">
        <f>'7CM42F'!S77</f>
        <v>0</v>
      </c>
      <c r="AI53" s="356">
        <f>'7CM52F'!S51</f>
        <v>0</v>
      </c>
      <c r="AL53" s="356">
        <f>'7STCGF'!S82</f>
        <v>0</v>
      </c>
      <c r="AN53" s="356">
        <f>'7STCRF'!S71</f>
        <v>0</v>
      </c>
      <c r="AP53" s="356">
        <f>'7STMGF'!S83</f>
        <v>0</v>
      </c>
      <c r="AR53" s="356">
        <f>'7STMRF'!S72</f>
        <v>0</v>
      </c>
      <c r="BD53" s="548">
        <f t="shared" si="9"/>
        <v>0</v>
      </c>
    </row>
    <row r="54" spans="1:57" customFormat="1" ht="12.75" customHeight="1" x14ac:dyDescent="0.35">
      <c r="A54" s="562"/>
      <c r="B54" s="220" t="str">
        <f>Cen!A173</f>
        <v>Boční zásuvné prvky, sklo, pro 600 mm</v>
      </c>
      <c r="C54" s="220" t="str">
        <f>Cen!B173</f>
        <v>ZE7S488G</v>
      </c>
      <c r="D54" s="220" t="str">
        <f>Cen!C173</f>
        <v>KLA</v>
      </c>
      <c r="E54" s="606">
        <f>Cen!D173</f>
        <v>0</v>
      </c>
      <c r="F54" s="198">
        <f t="shared" si="7"/>
        <v>0</v>
      </c>
      <c r="G54" s="221">
        <f>Cen!F173</f>
        <v>28.957020000000004</v>
      </c>
      <c r="H54" s="222">
        <f t="shared" si="8"/>
        <v>0</v>
      </c>
      <c r="I54" s="233"/>
      <c r="J54" s="223">
        <f>Cen!I173</f>
        <v>4637982</v>
      </c>
      <c r="K54" s="223">
        <f>Cen!J173</f>
        <v>257256</v>
      </c>
      <c r="L54" s="219">
        <f t="shared" si="2"/>
        <v>0</v>
      </c>
      <c r="M54" s="463">
        <f t="shared" si="3"/>
        <v>0</v>
      </c>
      <c r="S54" s="356">
        <f>'7C410F'!S68</f>
        <v>0</v>
      </c>
      <c r="U54" s="356">
        <f>'7C41VF'!S75</f>
        <v>0</v>
      </c>
      <c r="W54" s="356">
        <f>'7C41NF'!S75</f>
        <v>0</v>
      </c>
      <c r="Y54" s="356">
        <f>'7C41RF'!S75</f>
        <v>0</v>
      </c>
      <c r="AD54" s="356">
        <f>'7C442F'!S52</f>
        <v>0</v>
      </c>
      <c r="AF54" s="356">
        <f>'7CM42F'!S78</f>
        <v>0</v>
      </c>
      <c r="AI54" s="356">
        <f>'7CM52F'!S52</f>
        <v>0</v>
      </c>
      <c r="AL54" s="356">
        <f>'7STCGF'!S83</f>
        <v>0</v>
      </c>
      <c r="AN54" s="356">
        <f>'7STCRF'!S72</f>
        <v>0</v>
      </c>
      <c r="AP54" s="356">
        <f>'7STMGF'!S84</f>
        <v>0</v>
      </c>
      <c r="AR54" s="356">
        <f>'7STMRF'!S73</f>
        <v>0</v>
      </c>
      <c r="BD54" s="548">
        <f t="shared" si="9"/>
        <v>0</v>
      </c>
    </row>
    <row r="55" spans="1:57" customFormat="1" ht="12.75" customHeight="1" x14ac:dyDescent="0.35">
      <c r="A55" s="562"/>
      <c r="B55" s="220" t="str">
        <f>Cen!A174</f>
        <v>Boční zásuvné prvky, sklo, pro 650 mm</v>
      </c>
      <c r="C55" s="220" t="str">
        <f>Cen!B174</f>
        <v>ZE7S538G</v>
      </c>
      <c r="D55" s="220" t="str">
        <f>Cen!C174</f>
        <v>KLA</v>
      </c>
      <c r="E55" s="606">
        <f>Cen!D174</f>
        <v>0</v>
      </c>
      <c r="F55" s="198">
        <f t="shared" si="7"/>
        <v>0</v>
      </c>
      <c r="G55" s="221">
        <f>Cen!F174</f>
        <v>31.304870000000001</v>
      </c>
      <c r="H55" s="222">
        <f t="shared" si="8"/>
        <v>0</v>
      </c>
      <c r="I55" s="233"/>
      <c r="J55" s="223">
        <f>Cen!I174</f>
        <v>5250952</v>
      </c>
      <c r="K55" s="223">
        <f>Cen!J174</f>
        <v>257258</v>
      </c>
      <c r="L55" s="219">
        <f t="shared" si="2"/>
        <v>0</v>
      </c>
      <c r="M55" s="463">
        <f t="shared" si="3"/>
        <v>0</v>
      </c>
      <c r="S55" s="356">
        <f>'7C410F'!S69</f>
        <v>0</v>
      </c>
      <c r="U55" s="356">
        <f>'7C41VF'!S76</f>
        <v>0</v>
      </c>
      <c r="W55" s="356">
        <f>'7C41NF'!S76</f>
        <v>0</v>
      </c>
      <c r="Y55" s="356">
        <f>'7C41RF'!S76</f>
        <v>0</v>
      </c>
      <c r="AD55" s="356">
        <f>'7C442F'!S53</f>
        <v>0</v>
      </c>
      <c r="AF55" s="356">
        <f>'7CM42F'!S79</f>
        <v>0</v>
      </c>
      <c r="AI55" s="356">
        <f>'7CM52F'!S53</f>
        <v>0</v>
      </c>
      <c r="AL55" s="356">
        <f>'7STCGF'!S84</f>
        <v>0</v>
      </c>
      <c r="AN55" s="356">
        <f>'7STCRF'!S73</f>
        <v>0</v>
      </c>
      <c r="AP55" s="356">
        <f>'7STMGF'!S85</f>
        <v>0</v>
      </c>
      <c r="AR55" s="356">
        <f>'7STMRF'!S74</f>
        <v>0</v>
      </c>
      <c r="BD55" s="548">
        <f t="shared" si="9"/>
        <v>0</v>
      </c>
    </row>
    <row r="56" spans="1:57" customFormat="1" ht="12.75" customHeight="1" x14ac:dyDescent="0.35">
      <c r="A56" s="562"/>
      <c r="B56" s="220"/>
      <c r="C56" s="220"/>
      <c r="D56" s="220"/>
      <c r="E56" s="606"/>
      <c r="F56" s="198"/>
      <c r="G56" s="221"/>
      <c r="H56" s="222"/>
      <c r="I56" s="233"/>
      <c r="J56" s="223"/>
      <c r="K56" s="223"/>
      <c r="L56" s="219">
        <f t="shared" si="2"/>
        <v>0</v>
      </c>
      <c r="M56" s="463">
        <f t="shared" si="3"/>
        <v>0</v>
      </c>
      <c r="BD56" s="548">
        <f t="shared" si="9"/>
        <v>0</v>
      </c>
    </row>
    <row r="57" spans="1:57" x14ac:dyDescent="0.25">
      <c r="B57" s="225" t="str">
        <f>Cen!A177</f>
        <v>Korpusové lišty BLUMOTION, 270mm, 40kg</v>
      </c>
      <c r="C57" s="225" t="str">
        <f>Cen!B177</f>
        <v>750.2701B</v>
      </c>
      <c r="D57" s="225" t="str">
        <f>Cen!C177</f>
        <v>ZN</v>
      </c>
      <c r="E57" s="606">
        <f>Cen!D177</f>
        <v>0</v>
      </c>
      <c r="F57" s="198">
        <f t="shared" ref="F57:F107" si="10">IF(I57&gt;0,I57,SUM(N57:BC57))</f>
        <v>0</v>
      </c>
      <c r="G57" s="221">
        <f>Cen!F177</f>
        <v>21.845690000000001</v>
      </c>
      <c r="H57" s="222">
        <f>M57</f>
        <v>0</v>
      </c>
      <c r="I57" s="233"/>
      <c r="J57" s="223">
        <f>Cen!I177</f>
        <v>1854191</v>
      </c>
      <c r="K57" s="223">
        <f>Cen!J177</f>
        <v>227408</v>
      </c>
      <c r="L57" s="219">
        <f t="shared" si="2"/>
        <v>0</v>
      </c>
      <c r="M57" s="463">
        <f t="shared" si="3"/>
        <v>0</v>
      </c>
      <c r="N57" s="224"/>
      <c r="O57" s="719">
        <f>'7M400P'!S13</f>
        <v>0</v>
      </c>
      <c r="P57" s="356">
        <f>'7M40VP'!S13</f>
        <v>0</v>
      </c>
      <c r="Q57" s="224"/>
      <c r="R57" s="356">
        <f>'7C410P'!S13</f>
        <v>0</v>
      </c>
      <c r="S57" s="356">
        <f>'7C410F'!S13</f>
        <v>0</v>
      </c>
      <c r="T57" s="356">
        <f>'7C41VP'!S13</f>
        <v>0</v>
      </c>
      <c r="U57" s="356">
        <f>'7C41VF'!S13</f>
        <v>0</v>
      </c>
      <c r="V57" s="356">
        <f>'7C41NP'!S13</f>
        <v>0</v>
      </c>
      <c r="W57" s="356">
        <f>'7C41NF'!S13</f>
        <v>0</v>
      </c>
      <c r="X57" s="356">
        <f>'7C41RP'!S13</f>
        <v>0</v>
      </c>
      <c r="Y57" s="356">
        <f>'7C41RF'!S13</f>
        <v>0</v>
      </c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24"/>
      <c r="AS57" s="469"/>
      <c r="AT57" s="224"/>
      <c r="AU57" s="224"/>
      <c r="AV57" s="224"/>
      <c r="AW57" s="224"/>
      <c r="AX57" s="224"/>
      <c r="AY57" s="224"/>
      <c r="AZ57" s="224"/>
      <c r="BA57" s="469"/>
      <c r="BB57" s="224"/>
      <c r="BC57" s="224"/>
      <c r="BD57" s="548">
        <f t="shared" ref="BD57:BD104" si="11">IF(AND(E57&gt;0,F57&gt;0),1,0)</f>
        <v>0</v>
      </c>
      <c r="BE57" s="214"/>
    </row>
    <row r="58" spans="1:57" x14ac:dyDescent="0.25">
      <c r="B58" s="225" t="str">
        <f>Cen!A178</f>
        <v>Korpusové lišty BLUMOTION, 300mm, 40kg</v>
      </c>
      <c r="C58" s="225" t="str">
        <f>Cen!B178</f>
        <v>750.3001B</v>
      </c>
      <c r="D58" s="225" t="str">
        <f>Cen!C178</f>
        <v>ZN</v>
      </c>
      <c r="E58" s="606">
        <f>Cen!D178</f>
        <v>0</v>
      </c>
      <c r="F58" s="198">
        <f t="shared" si="10"/>
        <v>0</v>
      </c>
      <c r="G58" s="221">
        <f>Cen!F178</f>
        <v>21.925909999999998</v>
      </c>
      <c r="H58" s="222">
        <f t="shared" ref="H58:H71" si="12">M58</f>
        <v>0</v>
      </c>
      <c r="I58" s="233"/>
      <c r="J58" s="223">
        <f>Cen!I178</f>
        <v>1899809</v>
      </c>
      <c r="K58" s="223">
        <f>Cen!J178</f>
        <v>227409</v>
      </c>
      <c r="L58" s="219">
        <f t="shared" si="2"/>
        <v>0</v>
      </c>
      <c r="M58" s="463">
        <f t="shared" si="3"/>
        <v>0</v>
      </c>
      <c r="N58" s="224"/>
      <c r="O58" s="356">
        <f>'7M400P'!S14</f>
        <v>0</v>
      </c>
      <c r="P58" s="356">
        <f>'7M40VP'!S14</f>
        <v>0</v>
      </c>
      <c r="Q58" s="224"/>
      <c r="R58" s="356">
        <f>'7C410P'!S14</f>
        <v>0</v>
      </c>
      <c r="S58" s="356">
        <f>'7C410F'!S14</f>
        <v>0</v>
      </c>
      <c r="T58" s="356">
        <f>'7C41VP'!S14</f>
        <v>0</v>
      </c>
      <c r="U58" s="356">
        <f>'7C41VF'!S14</f>
        <v>0</v>
      </c>
      <c r="V58" s="356">
        <f>'7C41NP'!S14</f>
        <v>0</v>
      </c>
      <c r="W58" s="356">
        <f>'7C41NF'!S14</f>
        <v>0</v>
      </c>
      <c r="X58" s="356">
        <f>'7C41RP'!S14</f>
        <v>0</v>
      </c>
      <c r="Y58" s="356">
        <f>'7C41RF'!S14</f>
        <v>0</v>
      </c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 s="224"/>
      <c r="AM58" s="224"/>
      <c r="AN58" s="224"/>
      <c r="AO58" s="224"/>
      <c r="AP58" s="224"/>
      <c r="AQ58" s="224"/>
      <c r="AR58" s="224"/>
      <c r="AS58" s="469"/>
      <c r="AT58" s="224"/>
      <c r="AU58" s="224"/>
      <c r="AV58" s="224"/>
      <c r="AW58" s="224"/>
      <c r="AX58" s="224"/>
      <c r="AY58" s="224"/>
      <c r="AZ58" s="224"/>
      <c r="BA58" s="469"/>
      <c r="BB58" s="224"/>
      <c r="BC58" s="224"/>
      <c r="BD58" s="548">
        <f t="shared" si="11"/>
        <v>0</v>
      </c>
      <c r="BE58" s="214"/>
    </row>
    <row r="59" spans="1:57" x14ac:dyDescent="0.25">
      <c r="B59" s="225" t="str">
        <f>Cen!A179</f>
        <v>Korpusové lišty BLUMOTION, 350mm, 40kg</v>
      </c>
      <c r="C59" s="225" t="str">
        <f>Cen!B179</f>
        <v>750.3501B</v>
      </c>
      <c r="D59" s="225" t="str">
        <f>Cen!C179</f>
        <v>ZN</v>
      </c>
      <c r="E59" s="606">
        <f>Cen!D179</f>
        <v>0</v>
      </c>
      <c r="F59" s="198">
        <f t="shared" si="10"/>
        <v>0</v>
      </c>
      <c r="G59" s="221">
        <f>Cen!F179</f>
        <v>21.845690000000001</v>
      </c>
      <c r="H59" s="222">
        <f t="shared" si="12"/>
        <v>0</v>
      </c>
      <c r="I59" s="233"/>
      <c r="J59" s="223">
        <f>Cen!I179</f>
        <v>2040276</v>
      </c>
      <c r="K59" s="223">
        <f>Cen!J179</f>
        <v>227410</v>
      </c>
      <c r="L59" s="219">
        <f t="shared" si="2"/>
        <v>0</v>
      </c>
      <c r="M59" s="463">
        <f t="shared" si="3"/>
        <v>0</v>
      </c>
      <c r="N59" s="224"/>
      <c r="O59" s="356">
        <f>'7M400P'!S15</f>
        <v>0</v>
      </c>
      <c r="P59" s="356">
        <f>'7M40VP'!S15</f>
        <v>0</v>
      </c>
      <c r="Q59" s="356">
        <f>'7K400P'!S14</f>
        <v>0</v>
      </c>
      <c r="R59" s="356">
        <f>'7C410P'!S15</f>
        <v>0</v>
      </c>
      <c r="S59" s="356">
        <f>'7C410F'!S15</f>
        <v>0</v>
      </c>
      <c r="T59" s="356">
        <f>'7C41VP'!S15</f>
        <v>0</v>
      </c>
      <c r="U59" s="356">
        <f>'7C41VF'!S15</f>
        <v>0</v>
      </c>
      <c r="V59" s="356">
        <f>'7C41NP'!S15</f>
        <v>0</v>
      </c>
      <c r="W59" s="356">
        <f>'7C41NF'!S15</f>
        <v>0</v>
      </c>
      <c r="X59" s="356">
        <f>'7C41RP'!S15</f>
        <v>0</v>
      </c>
      <c r="Y59" s="356">
        <f>'7C41RF'!S15</f>
        <v>0</v>
      </c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N59" s="224"/>
      <c r="AO59" s="224"/>
      <c r="AP59" s="224"/>
      <c r="AQ59" s="224"/>
      <c r="AR59" s="224"/>
      <c r="AS59" s="469"/>
      <c r="AT59" s="224"/>
      <c r="AU59" s="224"/>
      <c r="AV59" s="224"/>
      <c r="AW59" s="224"/>
      <c r="AX59" s="224"/>
      <c r="AY59" s="224"/>
      <c r="AZ59" s="224"/>
      <c r="BA59" s="469"/>
      <c r="BB59" s="224"/>
      <c r="BC59" s="224"/>
      <c r="BD59" s="548">
        <f t="shared" si="11"/>
        <v>0</v>
      </c>
      <c r="BE59" s="214"/>
    </row>
    <row r="60" spans="1:57" x14ac:dyDescent="0.25">
      <c r="B60" s="225" t="str">
        <f>Cen!A180</f>
        <v>Korpusové lišty BLUMOTION, 400mm, 40kg</v>
      </c>
      <c r="C60" s="225" t="str">
        <f>Cen!B180</f>
        <v>750.4001B</v>
      </c>
      <c r="D60" s="225" t="str">
        <f>Cen!C180</f>
        <v>ZN</v>
      </c>
      <c r="E60" s="606">
        <f>Cen!D180</f>
        <v>0</v>
      </c>
      <c r="F60" s="198">
        <f t="shared" si="10"/>
        <v>0</v>
      </c>
      <c r="G60" s="221">
        <f>Cen!F180</f>
        <v>22.204979999999999</v>
      </c>
      <c r="H60" s="222">
        <f t="shared" si="12"/>
        <v>0</v>
      </c>
      <c r="I60" s="233"/>
      <c r="J60" s="223">
        <f>Cen!I180</f>
        <v>2191349</v>
      </c>
      <c r="K60" s="223">
        <f>Cen!J180</f>
        <v>227411</v>
      </c>
      <c r="L60" s="219">
        <f t="shared" si="2"/>
        <v>0</v>
      </c>
      <c r="M60" s="463">
        <f t="shared" si="3"/>
        <v>0</v>
      </c>
      <c r="N60" s="224"/>
      <c r="O60" s="356">
        <f>'7M400P'!S16</f>
        <v>0</v>
      </c>
      <c r="P60" s="356">
        <f>'7M40VP'!S16</f>
        <v>0</v>
      </c>
      <c r="Q60" s="356">
        <f>'7K400P'!S15</f>
        <v>0</v>
      </c>
      <c r="R60" s="356">
        <f>'7C410P'!S16</f>
        <v>0</v>
      </c>
      <c r="S60" s="356">
        <f>'7C410F'!S16</f>
        <v>0</v>
      </c>
      <c r="T60" s="356">
        <f>'7C41VP'!S16</f>
        <v>0</v>
      </c>
      <c r="U60" s="356">
        <f>'7C41VF'!S16</f>
        <v>0</v>
      </c>
      <c r="V60" s="356">
        <f>'7C41NP'!S16</f>
        <v>0</v>
      </c>
      <c r="W60" s="356">
        <f>'7C41NF'!S16</f>
        <v>0</v>
      </c>
      <c r="X60" s="356">
        <f>'7C41RP'!S16</f>
        <v>0</v>
      </c>
      <c r="Y60" s="356">
        <f>'7C41RF'!S16</f>
        <v>0</v>
      </c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469"/>
      <c r="AT60" s="224"/>
      <c r="AU60" s="224"/>
      <c r="AV60" s="224"/>
      <c r="AW60" s="224"/>
      <c r="AX60" s="224"/>
      <c r="AY60" s="224"/>
      <c r="AZ60" s="224"/>
      <c r="BA60" s="469"/>
      <c r="BB60" s="224"/>
      <c r="BC60" s="224"/>
      <c r="BD60" s="548">
        <f t="shared" si="11"/>
        <v>0</v>
      </c>
      <c r="BE60" s="214"/>
    </row>
    <row r="61" spans="1:57" x14ac:dyDescent="0.25">
      <c r="B61" s="225" t="str">
        <f>Cen!A181</f>
        <v>Korpusové lišty BLUMOTION, 450mm, 40kg</v>
      </c>
      <c r="C61" s="225" t="str">
        <f>Cen!B181</f>
        <v>750.4501B</v>
      </c>
      <c r="D61" s="225" t="str">
        <f>Cen!C181</f>
        <v>ZN</v>
      </c>
      <c r="E61" s="606">
        <f>Cen!D181</f>
        <v>0</v>
      </c>
      <c r="F61" s="198">
        <f t="shared" si="10"/>
        <v>0</v>
      </c>
      <c r="G61" s="221">
        <f>Cen!F181</f>
        <v>23.667639999999995</v>
      </c>
      <c r="H61" s="222">
        <f t="shared" si="12"/>
        <v>0</v>
      </c>
      <c r="I61" s="233"/>
      <c r="J61" s="223">
        <f>Cen!I181</f>
        <v>2345608</v>
      </c>
      <c r="K61" s="223">
        <f>Cen!J181</f>
        <v>227412</v>
      </c>
      <c r="L61" s="219">
        <f t="shared" si="2"/>
        <v>0</v>
      </c>
      <c r="M61" s="463">
        <f t="shared" si="3"/>
        <v>0</v>
      </c>
      <c r="N61" s="356">
        <f>'7N400P'!S16</f>
        <v>0</v>
      </c>
      <c r="O61" s="356">
        <f>'7M400P'!S17</f>
        <v>0</v>
      </c>
      <c r="P61" s="356">
        <f>'7M40VP'!S17</f>
        <v>0</v>
      </c>
      <c r="Q61" s="356">
        <f>'7K400P'!S16</f>
        <v>0</v>
      </c>
      <c r="R61" s="356">
        <f>'7C410P'!S17</f>
        <v>0</v>
      </c>
      <c r="S61" s="356">
        <f>'7C410F'!S17</f>
        <v>0</v>
      </c>
      <c r="T61" s="356">
        <f>'7C41VP'!S17</f>
        <v>0</v>
      </c>
      <c r="U61" s="356">
        <f>'7C41VF'!S17</f>
        <v>0</v>
      </c>
      <c r="V61" s="356">
        <f>'7C41NP'!S17</f>
        <v>0</v>
      </c>
      <c r="W61" s="356">
        <f>'7C41NF'!S17</f>
        <v>0</v>
      </c>
      <c r="X61" s="356">
        <f>'7C41RP'!S17</f>
        <v>0</v>
      </c>
      <c r="Y61" s="356">
        <f>'7C41RF'!S17</f>
        <v>0</v>
      </c>
      <c r="Z61" s="356">
        <f>'7F410P'!S17</f>
        <v>0</v>
      </c>
      <c r="AA61" s="224"/>
      <c r="AB61" s="356">
        <f>'7M442P'!S17</f>
        <v>0</v>
      </c>
      <c r="AC61" s="356">
        <f>'7C442P'!S17</f>
        <v>0</v>
      </c>
      <c r="AD61" s="356">
        <f>'7C442F'!S17</f>
        <v>0</v>
      </c>
      <c r="AE61" s="356">
        <f>'7CM42P'!S17</f>
        <v>0</v>
      </c>
      <c r="AF61" s="356">
        <f>'7CM42F'!S17</f>
        <v>0</v>
      </c>
      <c r="AG61" s="224"/>
      <c r="AH61" s="356">
        <f>'7CM52P'!S26</f>
        <v>0</v>
      </c>
      <c r="AI61" s="356">
        <f>'7CM52F'!S26</f>
        <v>0</v>
      </c>
      <c r="AJ61" s="224"/>
      <c r="AK61" s="356">
        <f>'7STCGP'!S16</f>
        <v>0</v>
      </c>
      <c r="AL61" s="356">
        <f>'7STCGF'!S16</f>
        <v>0</v>
      </c>
      <c r="AM61" s="356">
        <f>'7STCRP'!S16</f>
        <v>0</v>
      </c>
      <c r="AN61" s="356">
        <f>'7STCRF'!S16</f>
        <v>0</v>
      </c>
      <c r="AO61" s="356">
        <f>'7STMGP'!S16</f>
        <v>0</v>
      </c>
      <c r="AP61" s="356">
        <f>'7STMGF'!S16</f>
        <v>0</v>
      </c>
      <c r="AQ61" s="356">
        <f>'7STMRP'!S16</f>
        <v>0</v>
      </c>
      <c r="AR61" s="356">
        <f>'7STMRF'!S16</f>
        <v>0</v>
      </c>
      <c r="AS61" s="469"/>
      <c r="AT61" s="224"/>
      <c r="AU61" s="224"/>
      <c r="AV61" s="224"/>
      <c r="AW61" s="224"/>
      <c r="AX61" s="224"/>
      <c r="AY61" s="224"/>
      <c r="AZ61" s="224"/>
      <c r="BA61" s="469"/>
      <c r="BB61" s="224"/>
      <c r="BC61" s="224"/>
      <c r="BD61" s="548">
        <f t="shared" si="11"/>
        <v>0</v>
      </c>
      <c r="BE61" s="214"/>
    </row>
    <row r="62" spans="1:57" x14ac:dyDescent="0.25">
      <c r="B62" s="225" t="str">
        <f>Cen!A182</f>
        <v>Korpusové lišty BLUMOTION, 450mm, 70kg</v>
      </c>
      <c r="C62" s="225" t="str">
        <f>Cen!B182</f>
        <v>753.4501B</v>
      </c>
      <c r="D62" s="225" t="str">
        <f>Cen!C182</f>
        <v>ZN</v>
      </c>
      <c r="E62" s="606">
        <f>Cen!D182</f>
        <v>0</v>
      </c>
      <c r="F62" s="198">
        <f t="shared" si="10"/>
        <v>0</v>
      </c>
      <c r="G62" s="221">
        <f>Cen!F182</f>
        <v>27.780560000000001</v>
      </c>
      <c r="H62" s="222">
        <f t="shared" si="12"/>
        <v>0</v>
      </c>
      <c r="I62" s="233"/>
      <c r="J62" s="223">
        <f>Cen!I182</f>
        <v>3367546</v>
      </c>
      <c r="K62" s="223">
        <f>Cen!J182</f>
        <v>227416</v>
      </c>
      <c r="L62" s="219">
        <f t="shared" si="2"/>
        <v>0</v>
      </c>
      <c r="M62" s="463">
        <f t="shared" si="3"/>
        <v>0</v>
      </c>
      <c r="N62" s="224"/>
      <c r="O62" s="356">
        <f>'7M400P'!S18</f>
        <v>0</v>
      </c>
      <c r="P62" s="356">
        <f>'7M40VP'!S18</f>
        <v>0</v>
      </c>
      <c r="Q62" s="356">
        <f>'7K400P'!S17</f>
        <v>0</v>
      </c>
      <c r="R62" s="356">
        <f>'7C410P'!S18</f>
        <v>0</v>
      </c>
      <c r="S62" s="356">
        <f>'7C410F'!S18</f>
        <v>0</v>
      </c>
      <c r="T62" s="356">
        <f>'7C41VP'!S18</f>
        <v>0</v>
      </c>
      <c r="U62" s="356">
        <f>'7C41VF'!S18</f>
        <v>0</v>
      </c>
      <c r="V62" s="356">
        <f>'7C41NP'!S18</f>
        <v>0</v>
      </c>
      <c r="W62" s="356">
        <f>'7C41NF'!S18</f>
        <v>0</v>
      </c>
      <c r="X62" s="356">
        <f>'7C41RP'!S18</f>
        <v>0</v>
      </c>
      <c r="Y62" s="356">
        <f>'7C41RF'!S18</f>
        <v>0</v>
      </c>
      <c r="Z62" s="356">
        <f>'7F410P'!S18</f>
        <v>0</v>
      </c>
      <c r="AA62" s="224"/>
      <c r="AB62" s="356">
        <f>'7M442P'!S18</f>
        <v>0</v>
      </c>
      <c r="AC62" s="356">
        <f>'7C442P'!S18</f>
        <v>0</v>
      </c>
      <c r="AD62" s="356">
        <f>'7C442F'!S18</f>
        <v>0</v>
      </c>
      <c r="AE62" s="356">
        <f>'7CM42P'!S18</f>
        <v>0</v>
      </c>
      <c r="AF62" s="356">
        <f>'7CM42F'!S18</f>
        <v>0</v>
      </c>
      <c r="AG62" s="224"/>
      <c r="AH62" s="224"/>
      <c r="AI62" s="224"/>
      <c r="AJ62" s="224"/>
      <c r="AK62" s="356">
        <f>'7STCGP'!S17</f>
        <v>0</v>
      </c>
      <c r="AL62" s="356">
        <f>'7STCGF'!S17</f>
        <v>0</v>
      </c>
      <c r="AM62" s="356">
        <f>'7STCRP'!S17</f>
        <v>0</v>
      </c>
      <c r="AN62" s="356">
        <f>'7STCRF'!S17</f>
        <v>0</v>
      </c>
      <c r="AO62" s="356">
        <f>'7STMGP'!S17</f>
        <v>0</v>
      </c>
      <c r="AP62" s="356">
        <f>'7STMGF'!S17</f>
        <v>0</v>
      </c>
      <c r="AQ62" s="356">
        <f>'7STMRP'!S17</f>
        <v>0</v>
      </c>
      <c r="AR62" s="356">
        <f>'7STMRF'!S17</f>
        <v>0</v>
      </c>
      <c r="AS62" s="469"/>
      <c r="AT62" s="224"/>
      <c r="AU62" s="224"/>
      <c r="AV62" s="224"/>
      <c r="AW62" s="224"/>
      <c r="AX62" s="224"/>
      <c r="AY62" s="224"/>
      <c r="AZ62" s="224"/>
      <c r="BA62" s="469"/>
      <c r="BB62" s="224"/>
      <c r="BC62" s="224"/>
      <c r="BD62" s="548">
        <f t="shared" si="11"/>
        <v>0</v>
      </c>
      <c r="BE62" s="214"/>
    </row>
    <row r="63" spans="1:57" x14ac:dyDescent="0.25">
      <c r="B63" s="225" t="str">
        <f>Cen!A183</f>
        <v>Korpusové lišty BLUMOTION, 500mm, 40kg</v>
      </c>
      <c r="C63" s="225" t="str">
        <f>Cen!B183</f>
        <v>750.5001B</v>
      </c>
      <c r="D63" s="225" t="str">
        <f>Cen!C183</f>
        <v>ZN</v>
      </c>
      <c r="E63" s="606">
        <f>Cen!D183</f>
        <v>0</v>
      </c>
      <c r="F63" s="198">
        <f t="shared" si="10"/>
        <v>0</v>
      </c>
      <c r="G63" s="221">
        <f>Cen!F183</f>
        <v>22.680199999999999</v>
      </c>
      <c r="H63" s="222">
        <f t="shared" si="12"/>
        <v>0</v>
      </c>
      <c r="I63" s="233"/>
      <c r="J63" s="223">
        <f>Cen!I183</f>
        <v>2719117</v>
      </c>
      <c r="K63" s="223">
        <f>Cen!J183</f>
        <v>227413</v>
      </c>
      <c r="L63" s="219">
        <f t="shared" si="2"/>
        <v>0</v>
      </c>
      <c r="M63" s="463">
        <f t="shared" si="3"/>
        <v>0</v>
      </c>
      <c r="N63" s="356">
        <f>'7N400P'!S18</f>
        <v>0</v>
      </c>
      <c r="O63" s="356">
        <f>'7M400P'!S19</f>
        <v>0</v>
      </c>
      <c r="P63" s="356">
        <f>'7M40VP'!S19</f>
        <v>0</v>
      </c>
      <c r="Q63" s="356">
        <f>'7K400P'!S18</f>
        <v>0</v>
      </c>
      <c r="R63" s="356">
        <f>'7C410P'!S19</f>
        <v>0</v>
      </c>
      <c r="S63" s="356">
        <f>'7C410F'!S19</f>
        <v>0</v>
      </c>
      <c r="T63" s="356">
        <f>'7C41VP'!S19</f>
        <v>0</v>
      </c>
      <c r="U63" s="356">
        <f>'7C41VF'!S19</f>
        <v>0</v>
      </c>
      <c r="V63" s="356">
        <f>'7C41NP'!S19</f>
        <v>0</v>
      </c>
      <c r="W63" s="356">
        <f>'7C41NF'!S19</f>
        <v>0</v>
      </c>
      <c r="X63" s="356">
        <f>'7C41RP'!S19</f>
        <v>0</v>
      </c>
      <c r="Y63" s="356">
        <f>'7C41RF'!S19</f>
        <v>0</v>
      </c>
      <c r="Z63" s="356">
        <f>'7F410P'!S19</f>
        <v>0</v>
      </c>
      <c r="AA63" s="224"/>
      <c r="AB63" s="356">
        <f>'7M442P'!S19</f>
        <v>0</v>
      </c>
      <c r="AC63" s="356">
        <f>'7C442P'!S19</f>
        <v>0</v>
      </c>
      <c r="AD63" s="356">
        <f>'7C442F'!S19</f>
        <v>0</v>
      </c>
      <c r="AE63" s="356">
        <f>'7CM42P'!S19</f>
        <v>0</v>
      </c>
      <c r="AF63" s="356">
        <f>'7CM42F'!S19</f>
        <v>0</v>
      </c>
      <c r="AG63" s="224"/>
      <c r="AH63" s="356">
        <f>'7CM52P'!S28</f>
        <v>0</v>
      </c>
      <c r="AI63" s="356">
        <f>'7CM52F'!S28</f>
        <v>0</v>
      </c>
      <c r="AJ63" s="224"/>
      <c r="AK63" s="356">
        <f>'7STCGP'!S18</f>
        <v>0</v>
      </c>
      <c r="AL63" s="356">
        <f>'7STCGF'!S18</f>
        <v>0</v>
      </c>
      <c r="AM63" s="356">
        <f>'7STCRP'!S18</f>
        <v>0</v>
      </c>
      <c r="AN63" s="356">
        <f>'7STCRF'!S18</f>
        <v>0</v>
      </c>
      <c r="AO63" s="356">
        <f>'7STMGP'!S18</f>
        <v>0</v>
      </c>
      <c r="AP63" s="356">
        <f>'7STMGF'!S18</f>
        <v>0</v>
      </c>
      <c r="AQ63" s="356">
        <f>'7STMRP'!S18</f>
        <v>0</v>
      </c>
      <c r="AR63" s="356">
        <f>'7STMRF'!S18</f>
        <v>0</v>
      </c>
      <c r="AS63" s="469"/>
      <c r="AT63" s="224"/>
      <c r="AU63" s="224"/>
      <c r="AV63" s="224"/>
      <c r="AW63" s="224"/>
      <c r="AX63" s="224"/>
      <c r="AY63" s="224"/>
      <c r="AZ63" s="224"/>
      <c r="BA63" s="469"/>
      <c r="BB63" s="224"/>
      <c r="BC63" s="224"/>
      <c r="BD63" s="548">
        <f t="shared" si="11"/>
        <v>0</v>
      </c>
      <c r="BE63" s="214"/>
    </row>
    <row r="64" spans="1:57" x14ac:dyDescent="0.25">
      <c r="B64" s="225" t="str">
        <f>Cen!A184</f>
        <v>Korpusové lišty BLUMOTION, 500mm, 70kg</v>
      </c>
      <c r="C64" s="225" t="str">
        <f>Cen!B184</f>
        <v>753.5001B</v>
      </c>
      <c r="D64" s="225" t="str">
        <f>Cen!C184</f>
        <v>ZN</v>
      </c>
      <c r="E64" s="606">
        <f>Cen!D184</f>
        <v>0</v>
      </c>
      <c r="F64" s="198">
        <f t="shared" si="10"/>
        <v>0</v>
      </c>
      <c r="G64" s="221">
        <f>Cen!F184</f>
        <v>28.059809999999999</v>
      </c>
      <c r="H64" s="222">
        <f t="shared" si="12"/>
        <v>0</v>
      </c>
      <c r="I64" s="233"/>
      <c r="J64" s="223">
        <f>Cen!I184</f>
        <v>3428699</v>
      </c>
      <c r="K64" s="223">
        <f>Cen!J184</f>
        <v>227417</v>
      </c>
      <c r="L64" s="219">
        <f t="shared" si="2"/>
        <v>0</v>
      </c>
      <c r="M64" s="463">
        <f t="shared" si="3"/>
        <v>0</v>
      </c>
      <c r="N64" s="224"/>
      <c r="O64" s="356">
        <f>'7M400P'!S20</f>
        <v>0</v>
      </c>
      <c r="P64" s="356">
        <f>'7M40VP'!S20</f>
        <v>0</v>
      </c>
      <c r="Q64" s="356">
        <f>'7K400P'!S19</f>
        <v>0</v>
      </c>
      <c r="R64" s="356">
        <f>'7C410P'!S20</f>
        <v>0</v>
      </c>
      <c r="S64" s="356">
        <f>'7C410F'!S20</f>
        <v>0</v>
      </c>
      <c r="T64" s="356">
        <f>'7C41VP'!S20</f>
        <v>0</v>
      </c>
      <c r="U64" s="356">
        <f>'7C41VF'!S20</f>
        <v>0</v>
      </c>
      <c r="V64" s="356">
        <f>'7C41NP'!S20</f>
        <v>0</v>
      </c>
      <c r="W64" s="356">
        <f>'7C41NF'!S20</f>
        <v>0</v>
      </c>
      <c r="X64" s="356">
        <f>'7C41RP'!S20</f>
        <v>0</v>
      </c>
      <c r="Y64" s="356">
        <f>'7C41RF'!S20</f>
        <v>0</v>
      </c>
      <c r="Z64" s="356">
        <f>'7F410P'!S20</f>
        <v>0</v>
      </c>
      <c r="AA64" s="224"/>
      <c r="AB64" s="356">
        <f>'7M442P'!S20</f>
        <v>0</v>
      </c>
      <c r="AC64" s="356">
        <f>'7C442P'!S20</f>
        <v>0</v>
      </c>
      <c r="AD64" s="356">
        <f>'7C442F'!S20</f>
        <v>0</v>
      </c>
      <c r="AE64" s="356">
        <f>'7CM42P'!S20</f>
        <v>0</v>
      </c>
      <c r="AF64" s="356">
        <f>'7CM42F'!S20</f>
        <v>0</v>
      </c>
      <c r="AG64" s="224"/>
      <c r="AH64" s="224"/>
      <c r="AI64" s="224"/>
      <c r="AJ64" s="224"/>
      <c r="AK64" s="356">
        <f>'7STCGP'!S19</f>
        <v>0</v>
      </c>
      <c r="AL64" s="356">
        <f>'7STCGF'!S19</f>
        <v>0</v>
      </c>
      <c r="AM64" s="356">
        <f>'7STCRP'!S19</f>
        <v>0</v>
      </c>
      <c r="AN64" s="356">
        <f>'7STCRF'!S19</f>
        <v>0</v>
      </c>
      <c r="AO64" s="356">
        <f>'7STMGP'!S19</f>
        <v>0</v>
      </c>
      <c r="AP64" s="356">
        <f>'7STMGF'!S19</f>
        <v>0</v>
      </c>
      <c r="AQ64" s="356">
        <f>'7STMRP'!S19</f>
        <v>0</v>
      </c>
      <c r="AR64" s="356">
        <f>'7STMRF'!S19</f>
        <v>0</v>
      </c>
      <c r="AS64" s="469"/>
      <c r="AT64" s="224"/>
      <c r="AU64" s="224"/>
      <c r="AV64" s="224"/>
      <c r="AW64" s="224"/>
      <c r="AX64" s="224"/>
      <c r="AY64" s="224"/>
      <c r="AZ64" s="224"/>
      <c r="BA64" s="469"/>
      <c r="BB64" s="224"/>
      <c r="BC64" s="224"/>
      <c r="BD64" s="548">
        <f t="shared" si="11"/>
        <v>0</v>
      </c>
      <c r="BE64" s="214"/>
    </row>
    <row r="65" spans="1:57" x14ac:dyDescent="0.25">
      <c r="B65" s="225" t="str">
        <f>Cen!A185</f>
        <v>Korpusové lišty BLUMOTION, 550mm, 40kg</v>
      </c>
      <c r="C65" s="225" t="str">
        <f>Cen!B185</f>
        <v>750.5501B</v>
      </c>
      <c r="D65" s="225" t="str">
        <f>Cen!C185</f>
        <v>ZN</v>
      </c>
      <c r="E65" s="606">
        <f>Cen!D185</f>
        <v>0</v>
      </c>
      <c r="F65" s="198">
        <f t="shared" si="10"/>
        <v>0</v>
      </c>
      <c r="G65" s="221">
        <f>Cen!F185</f>
        <v>24.254210000000004</v>
      </c>
      <c r="H65" s="222">
        <f t="shared" si="12"/>
        <v>0</v>
      </c>
      <c r="I65" s="233"/>
      <c r="J65" s="223">
        <f>Cen!I185</f>
        <v>3171218</v>
      </c>
      <c r="K65" s="223">
        <f>Cen!J185</f>
        <v>227414</v>
      </c>
      <c r="L65" s="219">
        <f t="shared" si="2"/>
        <v>0</v>
      </c>
      <c r="M65" s="463">
        <f t="shared" si="3"/>
        <v>0</v>
      </c>
      <c r="N65" s="224"/>
      <c r="O65" s="356">
        <f>'7M400P'!S21</f>
        <v>0</v>
      </c>
      <c r="P65" s="356">
        <f>'7M40VP'!S21</f>
        <v>0</v>
      </c>
      <c r="Q65" s="356">
        <f>'7K400P'!S20</f>
        <v>0</v>
      </c>
      <c r="R65" s="356">
        <f>'7C410P'!S21</f>
        <v>0</v>
      </c>
      <c r="S65" s="356">
        <f>'7C410F'!S21</f>
        <v>0</v>
      </c>
      <c r="T65" s="356">
        <f>'7C41VP'!S21</f>
        <v>0</v>
      </c>
      <c r="U65" s="356">
        <f>'7C41VF'!S21</f>
        <v>0</v>
      </c>
      <c r="V65" s="356">
        <f>'7C41NP'!S21</f>
        <v>0</v>
      </c>
      <c r="W65" s="356">
        <f>'7C41NF'!S21</f>
        <v>0</v>
      </c>
      <c r="X65" s="356">
        <f>'7C41RP'!S21</f>
        <v>0</v>
      </c>
      <c r="Y65" s="356">
        <f>'7C41RF'!S21</f>
        <v>0</v>
      </c>
      <c r="Z65" s="356">
        <f>'7F410P'!S21</f>
        <v>0</v>
      </c>
      <c r="AA65" s="224"/>
      <c r="AB65" s="356">
        <f>'7M442P'!S21</f>
        <v>0</v>
      </c>
      <c r="AC65" s="356">
        <f>'7C442P'!S21</f>
        <v>0</v>
      </c>
      <c r="AD65" s="356">
        <f>'7C442F'!S21</f>
        <v>0</v>
      </c>
      <c r="AE65" s="356">
        <f>'7CM42P'!S21</f>
        <v>0</v>
      </c>
      <c r="AF65" s="356">
        <f>'7CM42F'!S21</f>
        <v>0</v>
      </c>
      <c r="AG65" s="224"/>
      <c r="AH65" s="356">
        <f>'7CM52P'!S30</f>
        <v>0</v>
      </c>
      <c r="AI65" s="356">
        <f>'7CM52F'!S30</f>
        <v>0</v>
      </c>
      <c r="AJ65" s="224"/>
      <c r="AK65" s="356">
        <f>'7STCGP'!S20</f>
        <v>0</v>
      </c>
      <c r="AL65" s="356">
        <f>'7STCGF'!S20</f>
        <v>0</v>
      </c>
      <c r="AM65" s="356">
        <f>'7STCRP'!S20</f>
        <v>0</v>
      </c>
      <c r="AN65" s="356">
        <f>'7STCRF'!S20</f>
        <v>0</v>
      </c>
      <c r="AO65" s="356">
        <f>'7STMGP'!S20</f>
        <v>0</v>
      </c>
      <c r="AP65" s="356">
        <f>'7STMGF'!S20</f>
        <v>0</v>
      </c>
      <c r="AQ65" s="356">
        <f>'7STMRP'!S20</f>
        <v>0</v>
      </c>
      <c r="AR65" s="356">
        <f>'7STMRF'!S20</f>
        <v>0</v>
      </c>
      <c r="AS65" s="469"/>
      <c r="AT65" s="224"/>
      <c r="AU65" s="224"/>
      <c r="AV65" s="224"/>
      <c r="AW65" s="224"/>
      <c r="AX65" s="224"/>
      <c r="AY65" s="224"/>
      <c r="AZ65" s="224"/>
      <c r="BA65" s="469"/>
      <c r="BB65" s="224"/>
      <c r="BC65" s="224"/>
      <c r="BD65" s="548">
        <f t="shared" si="11"/>
        <v>0</v>
      </c>
      <c r="BE65" s="214"/>
    </row>
    <row r="66" spans="1:57" x14ac:dyDescent="0.25">
      <c r="B66" s="225" t="str">
        <f>Cen!A186</f>
        <v>Korpusové lišty BLUMOTION, 550mm, 70kg</v>
      </c>
      <c r="C66" s="225" t="str">
        <f>Cen!B186</f>
        <v>753.5501B</v>
      </c>
      <c r="D66" s="225" t="str">
        <f>Cen!C186</f>
        <v>ZN</v>
      </c>
      <c r="E66" s="606">
        <f>Cen!D186</f>
        <v>0</v>
      </c>
      <c r="F66" s="198">
        <f t="shared" si="10"/>
        <v>0</v>
      </c>
      <c r="G66" s="221">
        <f>Cen!F186</f>
        <v>29.550529999999998</v>
      </c>
      <c r="H66" s="222">
        <f t="shared" si="12"/>
        <v>0</v>
      </c>
      <c r="I66" s="233"/>
      <c r="J66" s="223">
        <f>Cen!I186</f>
        <v>3574954</v>
      </c>
      <c r="K66" s="223">
        <f>Cen!J186</f>
        <v>227418</v>
      </c>
      <c r="L66" s="219">
        <f t="shared" si="2"/>
        <v>0</v>
      </c>
      <c r="M66" s="463">
        <f t="shared" si="3"/>
        <v>0</v>
      </c>
      <c r="N66" s="224"/>
      <c r="O66" s="356">
        <f>'7M400P'!S22</f>
        <v>0</v>
      </c>
      <c r="P66" s="356">
        <f>'7M40VP'!S22</f>
        <v>0</v>
      </c>
      <c r="Q66" s="356">
        <f>'7K400P'!S21</f>
        <v>0</v>
      </c>
      <c r="R66" s="356">
        <f>'7C410P'!S22</f>
        <v>0</v>
      </c>
      <c r="S66" s="356">
        <f>'7C410F'!S22</f>
        <v>0</v>
      </c>
      <c r="T66" s="356">
        <f>'7C41VP'!S22</f>
        <v>0</v>
      </c>
      <c r="U66" s="356">
        <f>'7C41VF'!S22</f>
        <v>0</v>
      </c>
      <c r="V66" s="356">
        <f>'7C41NP'!S22</f>
        <v>0</v>
      </c>
      <c r="W66" s="356">
        <f>'7C41NF'!S22</f>
        <v>0</v>
      </c>
      <c r="X66" s="356">
        <f>'7C41RP'!S22</f>
        <v>0</v>
      </c>
      <c r="Y66" s="356">
        <f>'7C41RF'!S22</f>
        <v>0</v>
      </c>
      <c r="Z66" s="356">
        <f>'7F410P'!S22</f>
        <v>0</v>
      </c>
      <c r="AA66" s="224"/>
      <c r="AB66" s="356">
        <f>'7M442P'!S22</f>
        <v>0</v>
      </c>
      <c r="AC66" s="356">
        <f>'7C442P'!S22</f>
        <v>0</v>
      </c>
      <c r="AD66" s="356">
        <f>'7C442F'!S22</f>
        <v>0</v>
      </c>
      <c r="AE66" s="356">
        <f>'7CM42P'!S22</f>
        <v>0</v>
      </c>
      <c r="AF66" s="356">
        <f>'7CM42F'!S22</f>
        <v>0</v>
      </c>
      <c r="AG66" s="224"/>
      <c r="AH66" s="224"/>
      <c r="AI66" s="224"/>
      <c r="AJ66" s="224"/>
      <c r="AK66" s="356">
        <f>'7STCGP'!S21</f>
        <v>0</v>
      </c>
      <c r="AL66" s="356">
        <f>'7STCGF'!S21</f>
        <v>0</v>
      </c>
      <c r="AM66" s="356">
        <f>'7STCRP'!S21</f>
        <v>0</v>
      </c>
      <c r="AN66" s="356">
        <f>'7STCRF'!S21</f>
        <v>0</v>
      </c>
      <c r="AO66" s="356">
        <f>'7STMGP'!S21</f>
        <v>0</v>
      </c>
      <c r="AP66" s="356">
        <f>'7STMGF'!S21</f>
        <v>0</v>
      </c>
      <c r="AQ66" s="356">
        <f>'7STMRP'!S21</f>
        <v>0</v>
      </c>
      <c r="AR66" s="356">
        <f>'7STMRF'!S21</f>
        <v>0</v>
      </c>
      <c r="AS66" s="469"/>
      <c r="AT66" s="224"/>
      <c r="AU66" s="224"/>
      <c r="AV66" s="224"/>
      <c r="AW66" s="224"/>
      <c r="AX66" s="224"/>
      <c r="AY66" s="224"/>
      <c r="AZ66" s="224"/>
      <c r="BA66" s="469"/>
      <c r="BB66" s="224"/>
      <c r="BC66" s="224"/>
      <c r="BD66" s="548">
        <f t="shared" si="11"/>
        <v>0</v>
      </c>
      <c r="BE66" s="214"/>
    </row>
    <row r="67" spans="1:57" x14ac:dyDescent="0.25">
      <c r="B67" s="225" t="str">
        <f>Cen!A187</f>
        <v>Korpusové lišty BLUMOTION, 600mm, 40kg</v>
      </c>
      <c r="C67" s="225" t="str">
        <f>Cen!B187</f>
        <v>750.6001B</v>
      </c>
      <c r="D67" s="225" t="str">
        <f>Cen!C187</f>
        <v>ZN</v>
      </c>
      <c r="E67" s="606">
        <f>Cen!D187</f>
        <v>0</v>
      </c>
      <c r="F67" s="198">
        <f t="shared" si="10"/>
        <v>0</v>
      </c>
      <c r="G67" s="221">
        <f>Cen!F187</f>
        <v>27.259979999999999</v>
      </c>
      <c r="H67" s="222">
        <f t="shared" si="12"/>
        <v>0</v>
      </c>
      <c r="I67" s="233"/>
      <c r="J67" s="223">
        <f>Cen!I187</f>
        <v>3275653</v>
      </c>
      <c r="K67" s="223">
        <f>Cen!J187</f>
        <v>227415</v>
      </c>
      <c r="L67" s="219">
        <f t="shared" si="2"/>
        <v>0</v>
      </c>
      <c r="M67" s="463">
        <f t="shared" si="3"/>
        <v>0</v>
      </c>
      <c r="N67" s="224"/>
      <c r="O67" s="356">
        <f>'7M400P'!S23</f>
        <v>0</v>
      </c>
      <c r="P67" s="356">
        <f>'7M40VP'!S23</f>
        <v>0</v>
      </c>
      <c r="Q67" s="224"/>
      <c r="R67" s="356">
        <f>'7C410P'!S23</f>
        <v>0</v>
      </c>
      <c r="S67" s="356">
        <f>'7C410F'!S23</f>
        <v>0</v>
      </c>
      <c r="T67" s="356">
        <f>'7C41VP'!S23</f>
        <v>0</v>
      </c>
      <c r="U67" s="356">
        <f>'7C41VF'!S23</f>
        <v>0</v>
      </c>
      <c r="V67" s="356">
        <f>'7C41NP'!S23</f>
        <v>0</v>
      </c>
      <c r="W67" s="356">
        <f>'7C41NF'!S23</f>
        <v>0</v>
      </c>
      <c r="X67" s="356">
        <f>'7C41RP'!S23</f>
        <v>0</v>
      </c>
      <c r="Y67" s="356">
        <f>'7C41RF'!S23</f>
        <v>0</v>
      </c>
      <c r="Z67" s="356">
        <f>'7F410P'!S23</f>
        <v>0</v>
      </c>
      <c r="AA67" s="224"/>
      <c r="AB67" s="356">
        <f>'7M442P'!S23</f>
        <v>0</v>
      </c>
      <c r="AC67" s="356">
        <f>'7C442P'!S23</f>
        <v>0</v>
      </c>
      <c r="AD67" s="356">
        <f>'7C442F'!S23</f>
        <v>0</v>
      </c>
      <c r="AE67" s="356">
        <f>'7CM42P'!S23</f>
        <v>0</v>
      </c>
      <c r="AF67" s="356">
        <f>'7CM42F'!S23</f>
        <v>0</v>
      </c>
      <c r="AG67" s="224"/>
      <c r="AH67" s="356">
        <f>'7CM52P'!S32</f>
        <v>0</v>
      </c>
      <c r="AI67" s="356">
        <f>'7CM52F'!S32</f>
        <v>0</v>
      </c>
      <c r="AJ67" s="224"/>
      <c r="AK67" s="224"/>
      <c r="AL67" s="224"/>
      <c r="AM67" s="224"/>
      <c r="AN67" s="224"/>
      <c r="AO67" s="224"/>
      <c r="AP67" s="224"/>
      <c r="AQ67" s="224"/>
      <c r="AR67" s="224"/>
      <c r="AS67" s="469"/>
      <c r="AT67" s="224"/>
      <c r="AU67" s="224"/>
      <c r="AV67" s="224"/>
      <c r="AW67" s="224"/>
      <c r="AX67" s="224"/>
      <c r="AY67" s="224"/>
      <c r="AZ67" s="224"/>
      <c r="BA67" s="469"/>
      <c r="BB67" s="224"/>
      <c r="BC67" s="224"/>
      <c r="BD67" s="548">
        <f t="shared" si="11"/>
        <v>0</v>
      </c>
      <c r="BE67" s="214"/>
    </row>
    <row r="68" spans="1:57" x14ac:dyDescent="0.25">
      <c r="B68" s="225" t="str">
        <f>Cen!A188</f>
        <v>Korpusové lišty BLUMOTION, 600mm, 70kg</v>
      </c>
      <c r="C68" s="225" t="str">
        <f>Cen!B188</f>
        <v>753.6001B</v>
      </c>
      <c r="D68" s="225" t="str">
        <f>Cen!C188</f>
        <v>ZN</v>
      </c>
      <c r="E68" s="606">
        <f>Cen!D188</f>
        <v>0</v>
      </c>
      <c r="F68" s="198">
        <f t="shared" si="10"/>
        <v>0</v>
      </c>
      <c r="G68" s="221">
        <f>Cen!F188</f>
        <v>32.5563</v>
      </c>
      <c r="H68" s="222">
        <f t="shared" si="12"/>
        <v>0</v>
      </c>
      <c r="I68" s="233"/>
      <c r="J68" s="223">
        <f>Cen!I188</f>
        <v>3768000</v>
      </c>
      <c r="K68" s="223">
        <f>Cen!J188</f>
        <v>227419</v>
      </c>
      <c r="L68" s="219">
        <f t="shared" si="2"/>
        <v>0</v>
      </c>
      <c r="M68" s="463">
        <f t="shared" si="3"/>
        <v>0</v>
      </c>
      <c r="N68" s="224"/>
      <c r="O68" s="356">
        <f>'7M400P'!S24</f>
        <v>0</v>
      </c>
      <c r="P68" s="356">
        <f>'7M40VP'!S24</f>
        <v>0</v>
      </c>
      <c r="Q68" s="224"/>
      <c r="R68" s="356">
        <f>'7C410P'!S24</f>
        <v>0</v>
      </c>
      <c r="S68" s="356">
        <f>'7C410F'!S24</f>
        <v>0</v>
      </c>
      <c r="T68" s="356">
        <f>'7C41VP'!S24</f>
        <v>0</v>
      </c>
      <c r="U68" s="356">
        <f>'7C41VF'!S24</f>
        <v>0</v>
      </c>
      <c r="V68" s="356">
        <f>'7C41NP'!S24</f>
        <v>0</v>
      </c>
      <c r="W68" s="356">
        <f>'7C41NF'!S24</f>
        <v>0</v>
      </c>
      <c r="X68" s="356">
        <f>'7C41RP'!S24</f>
        <v>0</v>
      </c>
      <c r="Y68" s="356">
        <f>'7C41RF'!S24</f>
        <v>0</v>
      </c>
      <c r="Z68" s="356">
        <f>'7F410P'!S24</f>
        <v>0</v>
      </c>
      <c r="AA68" s="224"/>
      <c r="AB68" s="356">
        <f>'7M442P'!S24</f>
        <v>0</v>
      </c>
      <c r="AC68" s="356">
        <f>'7C442P'!S24</f>
        <v>0</v>
      </c>
      <c r="AD68" s="356">
        <f>'7C442F'!S24</f>
        <v>0</v>
      </c>
      <c r="AE68" s="356">
        <f>'7CM42P'!S24</f>
        <v>0</v>
      </c>
      <c r="AF68" s="356">
        <f>'7CM42F'!S24</f>
        <v>0</v>
      </c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469"/>
      <c r="AT68" s="224"/>
      <c r="AU68" s="224"/>
      <c r="AV68" s="224"/>
      <c r="AW68" s="224"/>
      <c r="AX68" s="224"/>
      <c r="AY68" s="224"/>
      <c r="AZ68" s="224"/>
      <c r="BA68" s="469"/>
      <c r="BB68" s="224"/>
      <c r="BC68" s="224"/>
      <c r="BD68" s="548">
        <f t="shared" si="11"/>
        <v>0</v>
      </c>
      <c r="BE68" s="214"/>
    </row>
    <row r="69" spans="1:57" customFormat="1" ht="12.75" customHeight="1" x14ac:dyDescent="0.35">
      <c r="A69" s="562"/>
      <c r="B69" s="225" t="str">
        <f>Cen!A189</f>
        <v>Korpusové lišty BLUMOTION, 650mm, 70kg</v>
      </c>
      <c r="C69" s="225" t="str">
        <f>Cen!B189</f>
        <v>753.6501B</v>
      </c>
      <c r="D69" s="225" t="str">
        <f>Cen!C189</f>
        <v>ZN</v>
      </c>
      <c r="E69" s="606">
        <f>Cen!D189</f>
        <v>0</v>
      </c>
      <c r="F69" s="198">
        <f t="shared" si="10"/>
        <v>0</v>
      </c>
      <c r="G69" s="221">
        <f>Cen!F189</f>
        <v>34.047020000000003</v>
      </c>
      <c r="H69" s="222">
        <f>M69</f>
        <v>0</v>
      </c>
      <c r="I69" s="233"/>
      <c r="J69" s="223">
        <f>Cen!I189</f>
        <v>3977695</v>
      </c>
      <c r="K69" s="223">
        <f>Cen!J189</f>
        <v>253716</v>
      </c>
      <c r="L69" s="219">
        <f t="shared" si="2"/>
        <v>0</v>
      </c>
      <c r="M69" s="463">
        <f t="shared" si="3"/>
        <v>0</v>
      </c>
      <c r="O69" s="356">
        <f>'7M400P'!S25</f>
        <v>0</v>
      </c>
      <c r="P69" s="356">
        <f>'7M40VP'!S25</f>
        <v>0</v>
      </c>
      <c r="Q69" s="224"/>
      <c r="R69" s="356">
        <f>'7C410P'!S25</f>
        <v>0</v>
      </c>
      <c r="S69" s="356">
        <f>'7C410F'!S25</f>
        <v>0</v>
      </c>
      <c r="T69" s="356">
        <f>'7C41VP'!S25</f>
        <v>0</v>
      </c>
      <c r="U69" s="356">
        <f>'7C41VF'!S25</f>
        <v>0</v>
      </c>
      <c r="V69" s="356">
        <f>'7C41NP'!S25</f>
        <v>0</v>
      </c>
      <c r="W69" s="356">
        <f>'7C41NF'!S25</f>
        <v>0</v>
      </c>
      <c r="X69" s="356">
        <f>'7C41RP'!S25</f>
        <v>0</v>
      </c>
      <c r="Y69" s="356">
        <f>'7C41RF'!S25</f>
        <v>0</v>
      </c>
      <c r="Z69" s="356">
        <f>'7F410P'!S25</f>
        <v>0</v>
      </c>
      <c r="AA69" s="224"/>
      <c r="AB69" s="356">
        <f>'7M442P'!S25</f>
        <v>0</v>
      </c>
      <c r="AC69" s="356">
        <f>'7C442P'!S25</f>
        <v>0</v>
      </c>
      <c r="AD69" s="356">
        <f>'7C442F'!S25</f>
        <v>0</v>
      </c>
      <c r="AE69" s="356">
        <f>'7CM42P'!S25</f>
        <v>0</v>
      </c>
      <c r="AF69" s="356">
        <f>'7CM42F'!S25</f>
        <v>0</v>
      </c>
      <c r="AG69" s="224"/>
      <c r="AH69" s="356">
        <f>'7CM52P'!S34</f>
        <v>0</v>
      </c>
      <c r="AI69" s="356">
        <f>'7CM52F'!S34</f>
        <v>0</v>
      </c>
      <c r="AJ69" s="224"/>
      <c r="AK69" s="224"/>
      <c r="AL69" s="224"/>
      <c r="AM69" s="224"/>
      <c r="AN69" s="224"/>
      <c r="AO69" s="224"/>
      <c r="AP69" s="224"/>
      <c r="AQ69" s="224"/>
      <c r="AR69" s="224"/>
      <c r="AS69" s="469"/>
      <c r="AT69" s="224"/>
      <c r="AU69" s="224"/>
      <c r="AV69" s="224"/>
      <c r="AW69" s="224"/>
      <c r="AX69" s="224"/>
      <c r="AY69" s="224"/>
      <c r="AZ69" s="224"/>
      <c r="BA69" s="469"/>
      <c r="BB69" s="224"/>
      <c r="BC69" s="224"/>
      <c r="BD69" s="548">
        <f t="shared" si="11"/>
        <v>0</v>
      </c>
    </row>
    <row r="70" spans="1:57" x14ac:dyDescent="0.25">
      <c r="B70" s="225"/>
      <c r="C70" s="225"/>
      <c r="D70" s="225"/>
      <c r="E70" s="606"/>
      <c r="F70" s="198">
        <f t="shared" si="10"/>
        <v>0</v>
      </c>
      <c r="G70" s="221"/>
      <c r="H70" s="222"/>
      <c r="I70" s="222"/>
      <c r="J70" s="223"/>
      <c r="K70" s="223"/>
      <c r="L70" s="219">
        <f t="shared" si="2"/>
        <v>0</v>
      </c>
      <c r="M70" s="463">
        <f t="shared" si="3"/>
        <v>0</v>
      </c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4"/>
      <c r="AN70" s="224"/>
      <c r="AO70" s="224"/>
      <c r="AP70" s="224"/>
      <c r="AQ70" s="224"/>
      <c r="AR70" s="224"/>
      <c r="AS70" s="469"/>
      <c r="AT70" s="224"/>
      <c r="AU70" s="224"/>
      <c r="AV70" s="224"/>
      <c r="AW70" s="224"/>
      <c r="AX70" s="224"/>
      <c r="AY70" s="224"/>
      <c r="AZ70" s="224"/>
      <c r="BA70" s="469"/>
      <c r="BB70" s="224"/>
      <c r="BC70" s="224"/>
      <c r="BD70" s="548">
        <f t="shared" si="11"/>
        <v>0</v>
      </c>
      <c r="BE70" s="214"/>
    </row>
    <row r="71" spans="1:57" x14ac:dyDescent="0.25">
      <c r="B71" s="225" t="str">
        <f>Cen!A193</f>
        <v>Korpusové lišty TIP-ON, 270mm, 40kg</v>
      </c>
      <c r="C71" s="225" t="str">
        <f>Cen!B193</f>
        <v>750.2701T</v>
      </c>
      <c r="D71" s="225" t="str">
        <f>Cen!C193</f>
        <v>ZN</v>
      </c>
      <c r="E71" s="606">
        <f>Cen!D193</f>
        <v>0</v>
      </c>
      <c r="F71" s="198">
        <f t="shared" si="10"/>
        <v>0</v>
      </c>
      <c r="G71" s="221">
        <f>Cen!F193</f>
        <v>30.366460000000004</v>
      </c>
      <c r="H71" s="222">
        <f t="shared" si="12"/>
        <v>0</v>
      </c>
      <c r="I71" s="233"/>
      <c r="J71" s="223">
        <f>Cen!I193</f>
        <v>3790819</v>
      </c>
      <c r="K71" s="223">
        <f>Cen!J193</f>
        <v>227420</v>
      </c>
      <c r="L71" s="219">
        <f t="shared" si="2"/>
        <v>0</v>
      </c>
      <c r="M71" s="463">
        <f t="shared" si="3"/>
        <v>0</v>
      </c>
      <c r="N71" s="224"/>
      <c r="O71" s="356">
        <f>'7M400P'!S27</f>
        <v>0</v>
      </c>
      <c r="P71" s="356">
        <f>'7M40VP'!S27</f>
        <v>0</v>
      </c>
      <c r="Q71" s="224"/>
      <c r="R71" s="356">
        <f>'7C410P'!S27</f>
        <v>0</v>
      </c>
      <c r="S71" s="356">
        <f>'7C410F'!S27</f>
        <v>0</v>
      </c>
      <c r="T71" s="356">
        <f>'7C41VP'!S27</f>
        <v>0</v>
      </c>
      <c r="U71" s="356">
        <f>'7C41VF'!S27</f>
        <v>0</v>
      </c>
      <c r="V71" s="356">
        <f>'7C41NP'!S27</f>
        <v>0</v>
      </c>
      <c r="W71" s="356">
        <f>'7C41NF'!S27</f>
        <v>0</v>
      </c>
      <c r="X71" s="356">
        <f>'7C41RP'!S27</f>
        <v>0</v>
      </c>
      <c r="Y71" s="356">
        <f>'7C41RF'!S27</f>
        <v>0</v>
      </c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  <c r="AO71" s="224"/>
      <c r="AP71" s="224"/>
      <c r="AQ71" s="224"/>
      <c r="AR71" s="224"/>
      <c r="AS71" s="469"/>
      <c r="AT71" s="224"/>
      <c r="AU71" s="224"/>
      <c r="AV71" s="224"/>
      <c r="AW71" s="224"/>
      <c r="AX71" s="224"/>
      <c r="AY71" s="224"/>
      <c r="AZ71" s="224"/>
      <c r="BA71" s="469"/>
      <c r="BB71" s="224"/>
      <c r="BC71" s="224"/>
      <c r="BD71" s="548">
        <f t="shared" si="11"/>
        <v>0</v>
      </c>
      <c r="BE71" s="214"/>
    </row>
    <row r="72" spans="1:57" x14ac:dyDescent="0.25">
      <c r="B72" s="225" t="str">
        <f>Cen!A194</f>
        <v>Korpusové lišty TIP-ON, 300mm, 40kg</v>
      </c>
      <c r="C72" s="225" t="str">
        <f>Cen!B194</f>
        <v>750.3001T</v>
      </c>
      <c r="D72" s="225" t="str">
        <f>Cen!C194</f>
        <v>ZN</v>
      </c>
      <c r="E72" s="606">
        <f>Cen!D194</f>
        <v>0</v>
      </c>
      <c r="F72" s="198">
        <f t="shared" si="10"/>
        <v>0</v>
      </c>
      <c r="G72" s="221">
        <f>Cen!F194</f>
        <v>30.366460000000004</v>
      </c>
      <c r="H72" s="222">
        <f t="shared" ref="H72:H83" si="13">M72</f>
        <v>0</v>
      </c>
      <c r="I72" s="233"/>
      <c r="J72" s="223">
        <f>Cen!I194</f>
        <v>3867722</v>
      </c>
      <c r="K72" s="223">
        <f>Cen!J194</f>
        <v>227421</v>
      </c>
      <c r="L72" s="219">
        <f t="shared" si="2"/>
        <v>0</v>
      </c>
      <c r="M72" s="463">
        <f t="shared" si="3"/>
        <v>0</v>
      </c>
      <c r="N72" s="224"/>
      <c r="O72" s="356">
        <f>'7M400P'!S28</f>
        <v>0</v>
      </c>
      <c r="P72" s="356">
        <f>'7M40VP'!S28</f>
        <v>0</v>
      </c>
      <c r="Q72" s="224"/>
      <c r="R72" s="356">
        <f>'7C410P'!S28</f>
        <v>0</v>
      </c>
      <c r="S72" s="356">
        <f>'7C410F'!S28</f>
        <v>0</v>
      </c>
      <c r="T72" s="356">
        <f>'7C41VP'!S28</f>
        <v>0</v>
      </c>
      <c r="U72" s="356">
        <f>'7C41VF'!S28</f>
        <v>0</v>
      </c>
      <c r="V72" s="356">
        <f>'7C41NP'!S28</f>
        <v>0</v>
      </c>
      <c r="W72" s="356">
        <f>'7C41NF'!S28</f>
        <v>0</v>
      </c>
      <c r="X72" s="356">
        <f>'7C41RP'!S28</f>
        <v>0</v>
      </c>
      <c r="Y72" s="356">
        <f>'7C41RF'!S28</f>
        <v>0</v>
      </c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24"/>
      <c r="AP72" s="224"/>
      <c r="AQ72" s="224"/>
      <c r="AR72" s="224"/>
      <c r="AS72" s="469"/>
      <c r="AT72" s="224"/>
      <c r="AU72" s="224"/>
      <c r="AV72" s="224"/>
      <c r="AW72" s="224"/>
      <c r="AX72" s="224"/>
      <c r="AY72" s="224"/>
      <c r="AZ72" s="224"/>
      <c r="BA72" s="469"/>
      <c r="BB72" s="224"/>
      <c r="BC72" s="224"/>
      <c r="BD72" s="548">
        <f t="shared" si="11"/>
        <v>0</v>
      </c>
      <c r="BE72" s="214"/>
    </row>
    <row r="73" spans="1:57" x14ac:dyDescent="0.25">
      <c r="B73" s="225" t="str">
        <f>Cen!A195</f>
        <v>Korpusové lišty TIP-ON, 350mm, 40kg</v>
      </c>
      <c r="C73" s="225" t="str">
        <f>Cen!B195</f>
        <v>750.3501T</v>
      </c>
      <c r="D73" s="225" t="str">
        <f>Cen!C195</f>
        <v>ZN</v>
      </c>
      <c r="E73" s="606">
        <f>Cen!D195</f>
        <v>0</v>
      </c>
      <c r="F73" s="198">
        <f t="shared" si="10"/>
        <v>0</v>
      </c>
      <c r="G73" s="221">
        <f>Cen!F195</f>
        <v>30.366460000000004</v>
      </c>
      <c r="H73" s="222">
        <f t="shared" si="13"/>
        <v>0</v>
      </c>
      <c r="I73" s="233"/>
      <c r="J73" s="223">
        <f>Cen!I195</f>
        <v>5075795</v>
      </c>
      <c r="K73" s="223">
        <f>Cen!J195</f>
        <v>227422</v>
      </c>
      <c r="L73" s="219">
        <f t="shared" si="2"/>
        <v>0</v>
      </c>
      <c r="M73" s="463">
        <f t="shared" si="3"/>
        <v>0</v>
      </c>
      <c r="N73" s="224"/>
      <c r="O73" s="356">
        <f>'7M400P'!S29</f>
        <v>0</v>
      </c>
      <c r="P73" s="356">
        <f>'7M40VP'!S29</f>
        <v>0</v>
      </c>
      <c r="Q73" s="356">
        <f>'7K400P'!S27</f>
        <v>0</v>
      </c>
      <c r="R73" s="356">
        <f>'7C410P'!S29</f>
        <v>0</v>
      </c>
      <c r="S73" s="356">
        <f>'7C410F'!S29</f>
        <v>0</v>
      </c>
      <c r="T73" s="356">
        <f>'7C41VP'!S29</f>
        <v>0</v>
      </c>
      <c r="U73" s="356">
        <f>'7C41VF'!S29</f>
        <v>0</v>
      </c>
      <c r="V73" s="356">
        <f>'7C41NP'!S29</f>
        <v>0</v>
      </c>
      <c r="W73" s="356">
        <f>'7C41NF'!S29</f>
        <v>0</v>
      </c>
      <c r="X73" s="356">
        <f>'7C41RP'!S29</f>
        <v>0</v>
      </c>
      <c r="Y73" s="356">
        <f>'7C41RF'!S29</f>
        <v>0</v>
      </c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4"/>
      <c r="AN73" s="224"/>
      <c r="AO73" s="224"/>
      <c r="AP73" s="224"/>
      <c r="AQ73" s="224"/>
      <c r="AR73" s="224"/>
      <c r="AS73" s="469"/>
      <c r="AT73" s="224"/>
      <c r="AU73" s="224"/>
      <c r="AV73" s="224"/>
      <c r="AW73" s="224"/>
      <c r="AX73" s="224"/>
      <c r="AY73" s="224"/>
      <c r="AZ73" s="224"/>
      <c r="BA73" s="469"/>
      <c r="BB73" s="224"/>
      <c r="BC73" s="224"/>
      <c r="BD73" s="548">
        <f t="shared" si="11"/>
        <v>0</v>
      </c>
      <c r="BE73" s="214"/>
    </row>
    <row r="74" spans="1:57" x14ac:dyDescent="0.25">
      <c r="B74" s="225" t="str">
        <f>Cen!A196</f>
        <v>Korpusové lišty TIP-ON, 400mm, 40kg</v>
      </c>
      <c r="C74" s="225" t="str">
        <f>Cen!B196</f>
        <v>750.4001T</v>
      </c>
      <c r="D74" s="225" t="str">
        <f>Cen!C196</f>
        <v>ZN</v>
      </c>
      <c r="E74" s="606">
        <f>Cen!D196</f>
        <v>0</v>
      </c>
      <c r="F74" s="198">
        <f t="shared" si="10"/>
        <v>0</v>
      </c>
      <c r="G74" s="221">
        <f>Cen!F196</f>
        <v>30.645720000000001</v>
      </c>
      <c r="H74" s="222">
        <f t="shared" si="13"/>
        <v>0</v>
      </c>
      <c r="I74" s="233"/>
      <c r="J74" s="223">
        <f>Cen!I196</f>
        <v>5085127</v>
      </c>
      <c r="K74" s="223">
        <f>Cen!J196</f>
        <v>227423</v>
      </c>
      <c r="L74" s="219">
        <f t="shared" si="2"/>
        <v>0</v>
      </c>
      <c r="M74" s="463">
        <f t="shared" si="3"/>
        <v>0</v>
      </c>
      <c r="N74" s="224"/>
      <c r="O74" s="356">
        <f>'7M400P'!S30</f>
        <v>0</v>
      </c>
      <c r="P74" s="356">
        <f>'7M40VP'!S30</f>
        <v>0</v>
      </c>
      <c r="Q74" s="356">
        <f>'7K400P'!S28</f>
        <v>0</v>
      </c>
      <c r="R74" s="356">
        <f>'7C410P'!S30</f>
        <v>0</v>
      </c>
      <c r="S74" s="356">
        <f>'7C410F'!S30</f>
        <v>0</v>
      </c>
      <c r="T74" s="356">
        <f>'7C41VP'!S30</f>
        <v>0</v>
      </c>
      <c r="U74" s="356">
        <f>'7C41VF'!S30</f>
        <v>0</v>
      </c>
      <c r="V74" s="356">
        <f>'7C41NP'!S30</f>
        <v>0</v>
      </c>
      <c r="W74" s="356">
        <f>'7C41NF'!S30</f>
        <v>0</v>
      </c>
      <c r="X74" s="356">
        <f>'7C41RP'!S30</f>
        <v>0</v>
      </c>
      <c r="Y74" s="356">
        <f>'7C41RF'!S30</f>
        <v>0</v>
      </c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469"/>
      <c r="AT74" s="224"/>
      <c r="AU74" s="224"/>
      <c r="AV74" s="224"/>
      <c r="AW74" s="224"/>
      <c r="AX74" s="224"/>
      <c r="AY74" s="224"/>
      <c r="AZ74" s="224"/>
      <c r="BA74" s="469"/>
      <c r="BB74" s="224"/>
      <c r="BC74" s="224"/>
      <c r="BD74" s="548">
        <f t="shared" si="11"/>
        <v>0</v>
      </c>
      <c r="BE74" s="214"/>
    </row>
    <row r="75" spans="1:57" x14ac:dyDescent="0.25">
      <c r="B75" s="225" t="str">
        <f>Cen!A197</f>
        <v>Korpusové lišty TIP-ON, 450mm, 40kg</v>
      </c>
      <c r="C75" s="225" t="str">
        <f>Cen!B197</f>
        <v>750.4501T</v>
      </c>
      <c r="D75" s="225" t="str">
        <f>Cen!C197</f>
        <v>ZN</v>
      </c>
      <c r="E75" s="606">
        <f>Cen!D197</f>
        <v>0</v>
      </c>
      <c r="F75" s="198">
        <f t="shared" si="10"/>
        <v>0</v>
      </c>
      <c r="G75" s="221">
        <f>Cen!F197</f>
        <v>32.552599999999998</v>
      </c>
      <c r="H75" s="222">
        <f t="shared" si="13"/>
        <v>0</v>
      </c>
      <c r="I75" s="233"/>
      <c r="J75" s="223">
        <f>Cen!I197</f>
        <v>5257996</v>
      </c>
      <c r="K75" s="223">
        <f>Cen!J197</f>
        <v>227424</v>
      </c>
      <c r="L75" s="219">
        <f t="shared" ref="L75:L103" si="14">IF(I75="x",0,IF(I75&gt;0,I75,F75))</f>
        <v>0</v>
      </c>
      <c r="M75" s="463">
        <f t="shared" ref="M75:M103" si="15">PRODUCT(L75,G75)</f>
        <v>0</v>
      </c>
      <c r="N75" s="356">
        <f>'7N400P'!S29</f>
        <v>0</v>
      </c>
      <c r="O75" s="356">
        <f>'7M400P'!S31</f>
        <v>0</v>
      </c>
      <c r="P75" s="356">
        <f>'7M40VP'!S31</f>
        <v>0</v>
      </c>
      <c r="Q75" s="356">
        <f>'7K400P'!S29</f>
        <v>0</v>
      </c>
      <c r="R75" s="356">
        <f>'7C410P'!S31</f>
        <v>0</v>
      </c>
      <c r="S75" s="356">
        <f>'7C410F'!S31</f>
        <v>0</v>
      </c>
      <c r="T75" s="356">
        <f>'7C41VP'!S31</f>
        <v>0</v>
      </c>
      <c r="U75" s="356">
        <f>'7C41VF'!S31</f>
        <v>0</v>
      </c>
      <c r="V75" s="356">
        <f>'7C41NP'!S31</f>
        <v>0</v>
      </c>
      <c r="W75" s="356">
        <f>'7C41NF'!S31</f>
        <v>0</v>
      </c>
      <c r="X75" s="356">
        <f>'7C41RP'!S31</f>
        <v>0</v>
      </c>
      <c r="Y75" s="356">
        <f>'7C41RF'!S31</f>
        <v>0</v>
      </c>
      <c r="Z75" s="356">
        <f>'7F410P'!S31</f>
        <v>0</v>
      </c>
      <c r="AA75" s="224"/>
      <c r="AB75" s="224"/>
      <c r="AC75" s="224"/>
      <c r="AD75" s="224"/>
      <c r="AE75" s="719">
        <f>'7CM42P'!$S29</f>
        <v>0</v>
      </c>
      <c r="AF75" s="719">
        <f>'7CM42F'!$S29</f>
        <v>0</v>
      </c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469"/>
      <c r="AT75" s="224"/>
      <c r="AU75" s="224"/>
      <c r="AV75" s="224"/>
      <c r="AW75" s="224"/>
      <c r="AX75" s="224"/>
      <c r="AY75" s="224"/>
      <c r="AZ75" s="224"/>
      <c r="BA75" s="469"/>
      <c r="BB75" s="224"/>
      <c r="BC75" s="224"/>
      <c r="BD75" s="548">
        <f t="shared" si="11"/>
        <v>0</v>
      </c>
      <c r="BE75" s="214"/>
    </row>
    <row r="76" spans="1:57" x14ac:dyDescent="0.25">
      <c r="B76" s="225" t="str">
        <f>Cen!A198</f>
        <v>Korpusové lišty TIP-ON, 450mm, 70kg</v>
      </c>
      <c r="C76" s="225" t="str">
        <f>Cen!B198</f>
        <v>753.4501T</v>
      </c>
      <c r="D76" s="225" t="str">
        <f>Cen!C198</f>
        <v>ZN</v>
      </c>
      <c r="E76" s="606">
        <f>Cen!D198</f>
        <v>0</v>
      </c>
      <c r="F76" s="198">
        <f t="shared" si="10"/>
        <v>0</v>
      </c>
      <c r="G76" s="221">
        <f>Cen!F198</f>
        <v>36.006259999999997</v>
      </c>
      <c r="H76" s="222">
        <f t="shared" si="13"/>
        <v>0</v>
      </c>
      <c r="I76" s="233"/>
      <c r="J76" s="223">
        <f>Cen!I198</f>
        <v>5767239</v>
      </c>
      <c r="K76" s="223">
        <f>Cen!J198</f>
        <v>227428</v>
      </c>
      <c r="L76" s="219">
        <f t="shared" si="14"/>
        <v>0</v>
      </c>
      <c r="M76" s="463">
        <f t="shared" si="15"/>
        <v>0</v>
      </c>
      <c r="N76" s="224"/>
      <c r="O76" s="356">
        <f>'7M400P'!S32</f>
        <v>0</v>
      </c>
      <c r="P76" s="356">
        <f>'7M40VP'!S32</f>
        <v>0</v>
      </c>
      <c r="Q76" s="356">
        <f>'7K400P'!S30</f>
        <v>0</v>
      </c>
      <c r="R76" s="356">
        <f>'7C410P'!S32</f>
        <v>0</v>
      </c>
      <c r="S76" s="356">
        <f>'7C410F'!S32</f>
        <v>0</v>
      </c>
      <c r="T76" s="356">
        <f>'7C41VP'!S32</f>
        <v>0</v>
      </c>
      <c r="U76" s="356">
        <f>'7C41VF'!S32</f>
        <v>0</v>
      </c>
      <c r="V76" s="356">
        <f>'7C41NP'!S32</f>
        <v>0</v>
      </c>
      <c r="W76" s="356">
        <f>'7C41NF'!S32</f>
        <v>0</v>
      </c>
      <c r="X76" s="356">
        <f>'7C41RP'!S32</f>
        <v>0</v>
      </c>
      <c r="Y76" s="356">
        <f>'7C41RF'!S32</f>
        <v>0</v>
      </c>
      <c r="Z76" s="356">
        <f>'7F410P'!S32</f>
        <v>0</v>
      </c>
      <c r="AA76" s="224"/>
      <c r="AB76" s="224"/>
      <c r="AC76" s="224"/>
      <c r="AD76" s="224"/>
      <c r="AE76" s="719">
        <f>'7CM42P'!$S30</f>
        <v>0</v>
      </c>
      <c r="AF76" s="719">
        <f>'7CM42F'!$S30</f>
        <v>0</v>
      </c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469"/>
      <c r="AT76" s="224"/>
      <c r="AU76" s="224"/>
      <c r="AV76" s="224"/>
      <c r="AW76" s="224"/>
      <c r="AX76" s="224"/>
      <c r="AY76" s="224"/>
      <c r="AZ76" s="224"/>
      <c r="BA76" s="469"/>
      <c r="BB76" s="224"/>
      <c r="BC76" s="224"/>
      <c r="BD76" s="548">
        <f t="shared" si="11"/>
        <v>0</v>
      </c>
      <c r="BE76" s="214"/>
    </row>
    <row r="77" spans="1:57" x14ac:dyDescent="0.25">
      <c r="B77" s="225" t="str">
        <f>Cen!A199</f>
        <v>Korpusové lišty TIP-ON, 500mm, 40kg</v>
      </c>
      <c r="C77" s="225" t="str">
        <f>Cen!B199</f>
        <v>750.5001T</v>
      </c>
      <c r="D77" s="225" t="str">
        <f>Cen!C199</f>
        <v>ZN</v>
      </c>
      <c r="E77" s="606">
        <f>Cen!D199</f>
        <v>0</v>
      </c>
      <c r="F77" s="198">
        <f t="shared" si="10"/>
        <v>0</v>
      </c>
      <c r="G77" s="221">
        <f>Cen!F199</f>
        <v>32.846359999999997</v>
      </c>
      <c r="H77" s="222">
        <f t="shared" si="13"/>
        <v>0</v>
      </c>
      <c r="I77" s="233"/>
      <c r="J77" s="223">
        <f>Cen!I199</f>
        <v>5372007</v>
      </c>
      <c r="K77" s="223">
        <f>Cen!J199</f>
        <v>227425</v>
      </c>
      <c r="L77" s="219">
        <f t="shared" si="14"/>
        <v>0</v>
      </c>
      <c r="M77" s="463">
        <f t="shared" si="15"/>
        <v>0</v>
      </c>
      <c r="N77" s="356">
        <f>'7N400P'!S31</f>
        <v>0</v>
      </c>
      <c r="O77" s="356">
        <f>'7M400P'!S33</f>
        <v>0</v>
      </c>
      <c r="P77" s="356">
        <f>'7M40VP'!S33</f>
        <v>0</v>
      </c>
      <c r="Q77" s="356">
        <f>'7K400P'!S31</f>
        <v>0</v>
      </c>
      <c r="R77" s="356">
        <f>'7C410P'!S33</f>
        <v>0</v>
      </c>
      <c r="S77" s="356">
        <f>'7C410F'!S33</f>
        <v>0</v>
      </c>
      <c r="T77" s="356">
        <f>'7C41VP'!S33</f>
        <v>0</v>
      </c>
      <c r="U77" s="356">
        <f>'7C41VF'!S33</f>
        <v>0</v>
      </c>
      <c r="V77" s="356">
        <f>'7C41NP'!S33</f>
        <v>0</v>
      </c>
      <c r="W77" s="356">
        <f>'7C41NF'!S33</f>
        <v>0</v>
      </c>
      <c r="X77" s="356">
        <f>'7C41RP'!S33</f>
        <v>0</v>
      </c>
      <c r="Y77" s="356">
        <f>'7C41RF'!S33</f>
        <v>0</v>
      </c>
      <c r="Z77" s="356">
        <f>'7F410P'!S33</f>
        <v>0</v>
      </c>
      <c r="AA77" s="224"/>
      <c r="AB77" s="224"/>
      <c r="AC77" s="224"/>
      <c r="AD77" s="224"/>
      <c r="AE77" s="719">
        <f>'7CM42P'!$S31</f>
        <v>0</v>
      </c>
      <c r="AF77" s="719">
        <f>'7CM42F'!$S31</f>
        <v>0</v>
      </c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469"/>
      <c r="AT77" s="224"/>
      <c r="AU77" s="224"/>
      <c r="AV77" s="224"/>
      <c r="AW77" s="224"/>
      <c r="AX77" s="224"/>
      <c r="AY77" s="224"/>
      <c r="AZ77" s="224"/>
      <c r="BA77" s="469"/>
      <c r="BB77" s="224"/>
      <c r="BC77" s="224"/>
      <c r="BD77" s="548">
        <f t="shared" si="11"/>
        <v>0</v>
      </c>
      <c r="BE77" s="214"/>
    </row>
    <row r="78" spans="1:57" x14ac:dyDescent="0.25">
      <c r="B78" s="225" t="str">
        <f>Cen!A200</f>
        <v>Korpusové lišty TIP-ON, 500mm, 70kg</v>
      </c>
      <c r="C78" s="225" t="str">
        <f>Cen!B200</f>
        <v>753.5001T</v>
      </c>
      <c r="D78" s="225" t="str">
        <f>Cen!C200</f>
        <v>ZN</v>
      </c>
      <c r="E78" s="606">
        <f>Cen!D200</f>
        <v>0</v>
      </c>
      <c r="F78" s="198">
        <f t="shared" si="10"/>
        <v>0</v>
      </c>
      <c r="G78" s="221">
        <f>Cen!F200</f>
        <v>36.285339999999998</v>
      </c>
      <c r="H78" s="222">
        <f t="shared" si="13"/>
        <v>0</v>
      </c>
      <c r="I78" s="233"/>
      <c r="J78" s="223">
        <f>Cen!I200</f>
        <v>5817679</v>
      </c>
      <c r="K78" s="223">
        <f>Cen!J200</f>
        <v>227429</v>
      </c>
      <c r="L78" s="219">
        <f t="shared" si="14"/>
        <v>0</v>
      </c>
      <c r="M78" s="463">
        <f t="shared" si="15"/>
        <v>0</v>
      </c>
      <c r="N78" s="224"/>
      <c r="O78" s="356">
        <f>'7M400P'!S34</f>
        <v>0</v>
      </c>
      <c r="P78" s="356">
        <f>'7M40VP'!S34</f>
        <v>0</v>
      </c>
      <c r="Q78" s="356">
        <f>'7K400P'!S32</f>
        <v>0</v>
      </c>
      <c r="R78" s="356">
        <f>'7C410P'!S34</f>
        <v>0</v>
      </c>
      <c r="S78" s="356">
        <f>'7C410F'!S34</f>
        <v>0</v>
      </c>
      <c r="T78" s="356">
        <f>'7C41VP'!S34</f>
        <v>0</v>
      </c>
      <c r="U78" s="356">
        <f>'7C41VF'!S34</f>
        <v>0</v>
      </c>
      <c r="V78" s="356">
        <f>'7C41NP'!S34</f>
        <v>0</v>
      </c>
      <c r="W78" s="356">
        <f>'7C41NF'!S34</f>
        <v>0</v>
      </c>
      <c r="X78" s="356">
        <f>'7C41RP'!S34</f>
        <v>0</v>
      </c>
      <c r="Y78" s="356">
        <f>'7C41RF'!S34</f>
        <v>0</v>
      </c>
      <c r="Z78" s="356">
        <f>'7F410P'!S34</f>
        <v>0</v>
      </c>
      <c r="AA78" s="224"/>
      <c r="AB78" s="224"/>
      <c r="AC78" s="224"/>
      <c r="AD78" s="224"/>
      <c r="AE78" s="719">
        <f>'7CM42P'!$S32</f>
        <v>0</v>
      </c>
      <c r="AF78" s="719">
        <f>'7CM42F'!$S32</f>
        <v>0</v>
      </c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469"/>
      <c r="AT78" s="224"/>
      <c r="AU78" s="224"/>
      <c r="AV78" s="224"/>
      <c r="AW78" s="224"/>
      <c r="AX78" s="224"/>
      <c r="AY78" s="224"/>
      <c r="AZ78" s="224"/>
      <c r="BA78" s="469"/>
      <c r="BB78" s="224"/>
      <c r="BC78" s="224"/>
      <c r="BD78" s="548">
        <f t="shared" si="11"/>
        <v>0</v>
      </c>
      <c r="BE78" s="214"/>
    </row>
    <row r="79" spans="1:57" x14ac:dyDescent="0.25">
      <c r="B79" s="225" t="str">
        <f>Cen!A201</f>
        <v>Korpusové lišty TIP-ON, 550mm, 40kg</v>
      </c>
      <c r="C79" s="225" t="str">
        <f>Cen!B201</f>
        <v>750.5501T</v>
      </c>
      <c r="D79" s="225" t="str">
        <f>Cen!C201</f>
        <v>ZN</v>
      </c>
      <c r="E79" s="606">
        <f>Cen!D201</f>
        <v>0</v>
      </c>
      <c r="F79" s="198">
        <f t="shared" si="10"/>
        <v>0</v>
      </c>
      <c r="G79" s="221">
        <f>Cen!F201</f>
        <v>32.694760000000002</v>
      </c>
      <c r="H79" s="222">
        <f t="shared" si="13"/>
        <v>0</v>
      </c>
      <c r="I79" s="233"/>
      <c r="J79" s="223">
        <f>Cen!I201</f>
        <v>5385115</v>
      </c>
      <c r="K79" s="223">
        <f>Cen!J201</f>
        <v>227426</v>
      </c>
      <c r="L79" s="219">
        <f t="shared" si="14"/>
        <v>0</v>
      </c>
      <c r="M79" s="463">
        <f t="shared" si="15"/>
        <v>0</v>
      </c>
      <c r="N79" s="224"/>
      <c r="O79" s="356">
        <f>'7M400P'!S35</f>
        <v>0</v>
      </c>
      <c r="P79" s="356">
        <f>'7M40VP'!S35</f>
        <v>0</v>
      </c>
      <c r="Q79" s="356">
        <f>'7K400P'!S33</f>
        <v>0</v>
      </c>
      <c r="R79" s="356">
        <f>'7C410P'!S35</f>
        <v>0</v>
      </c>
      <c r="S79" s="356">
        <f>'7C410F'!S35</f>
        <v>0</v>
      </c>
      <c r="T79" s="356">
        <f>'7C41VP'!S35</f>
        <v>0</v>
      </c>
      <c r="U79" s="356">
        <f>'7C41VF'!S35</f>
        <v>0</v>
      </c>
      <c r="V79" s="356">
        <f>'7C41NP'!S35</f>
        <v>0</v>
      </c>
      <c r="W79" s="356">
        <f>'7C41NF'!S35</f>
        <v>0</v>
      </c>
      <c r="X79" s="356">
        <f>'7C41RP'!S35</f>
        <v>0</v>
      </c>
      <c r="Y79" s="356">
        <f>'7C41RF'!S35</f>
        <v>0</v>
      </c>
      <c r="Z79" s="356">
        <f>'7F410P'!S35</f>
        <v>0</v>
      </c>
      <c r="AA79" s="224"/>
      <c r="AB79" s="224"/>
      <c r="AC79" s="224"/>
      <c r="AD79" s="224"/>
      <c r="AE79" s="719">
        <f>'7CM42P'!$S33</f>
        <v>0</v>
      </c>
      <c r="AF79" s="719">
        <f>'7CM42F'!$S33</f>
        <v>0</v>
      </c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469"/>
      <c r="AT79" s="224"/>
      <c r="AU79" s="224"/>
      <c r="AV79" s="224"/>
      <c r="AW79" s="224"/>
      <c r="AX79" s="224"/>
      <c r="AY79" s="224"/>
      <c r="AZ79" s="224"/>
      <c r="BA79" s="469"/>
      <c r="BB79" s="224"/>
      <c r="BC79" s="224"/>
      <c r="BD79" s="548">
        <f t="shared" si="11"/>
        <v>0</v>
      </c>
      <c r="BE79" s="214"/>
    </row>
    <row r="80" spans="1:57" x14ac:dyDescent="0.25">
      <c r="B80" s="225" t="str">
        <f>Cen!A202</f>
        <v>Korpusové lišty TIP-ON, 550mm, 70kg</v>
      </c>
      <c r="C80" s="225" t="str">
        <f>Cen!B202</f>
        <v>753.5501T</v>
      </c>
      <c r="D80" s="225" t="str">
        <f>Cen!C202</f>
        <v>ZN</v>
      </c>
      <c r="E80" s="606">
        <f>Cen!D202</f>
        <v>0</v>
      </c>
      <c r="F80" s="198">
        <f t="shared" si="10"/>
        <v>0</v>
      </c>
      <c r="G80" s="221">
        <f>Cen!F202</f>
        <v>37.776060000000001</v>
      </c>
      <c r="H80" s="222">
        <f t="shared" si="13"/>
        <v>0</v>
      </c>
      <c r="I80" s="233"/>
      <c r="J80" s="223">
        <f>Cen!I202</f>
        <v>6134281</v>
      </c>
      <c r="K80" s="223">
        <f>Cen!J202</f>
        <v>227430</v>
      </c>
      <c r="L80" s="219">
        <f t="shared" si="14"/>
        <v>0</v>
      </c>
      <c r="M80" s="463">
        <f t="shared" si="15"/>
        <v>0</v>
      </c>
      <c r="N80" s="224"/>
      <c r="O80" s="356">
        <f>'7M400P'!S36</f>
        <v>0</v>
      </c>
      <c r="P80" s="356">
        <f>'7M40VP'!S36</f>
        <v>0</v>
      </c>
      <c r="Q80" s="356">
        <f>'7K400P'!S34</f>
        <v>0</v>
      </c>
      <c r="R80" s="356">
        <f>'7C410P'!S36</f>
        <v>0</v>
      </c>
      <c r="S80" s="356">
        <f>'7C410F'!S36</f>
        <v>0</v>
      </c>
      <c r="T80" s="356">
        <f>'7C41VP'!S36</f>
        <v>0</v>
      </c>
      <c r="U80" s="356">
        <f>'7C41VF'!S36</f>
        <v>0</v>
      </c>
      <c r="V80" s="356">
        <f>'7C41NP'!S36</f>
        <v>0</v>
      </c>
      <c r="W80" s="356">
        <f>'7C41NF'!S36</f>
        <v>0</v>
      </c>
      <c r="X80" s="356">
        <f>'7C41RP'!S36</f>
        <v>0</v>
      </c>
      <c r="Y80" s="356">
        <f>'7C41RF'!S36</f>
        <v>0</v>
      </c>
      <c r="Z80" s="356">
        <f>'7F410P'!S36</f>
        <v>0</v>
      </c>
      <c r="AA80" s="224"/>
      <c r="AB80" s="224"/>
      <c r="AC80" s="224"/>
      <c r="AD80" s="224"/>
      <c r="AE80" s="719">
        <f>'7CM42P'!$S34</f>
        <v>0</v>
      </c>
      <c r="AF80" s="719">
        <f>'7CM42F'!$S34</f>
        <v>0</v>
      </c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469"/>
      <c r="AT80" s="224"/>
      <c r="AU80" s="224"/>
      <c r="AV80" s="224"/>
      <c r="AW80" s="224"/>
      <c r="AX80" s="224"/>
      <c r="AY80" s="224"/>
      <c r="AZ80" s="224"/>
      <c r="BA80" s="469"/>
      <c r="BB80" s="224"/>
      <c r="BC80" s="224"/>
      <c r="BD80" s="548">
        <f t="shared" si="11"/>
        <v>0</v>
      </c>
      <c r="BE80" s="214"/>
    </row>
    <row r="81" spans="2:57" x14ac:dyDescent="0.25">
      <c r="B81" s="225" t="str">
        <f>Cen!A203</f>
        <v>Korpusové lišty TIP-ON, 600mm, 40kg</v>
      </c>
      <c r="C81" s="225" t="str">
        <f>Cen!B203</f>
        <v>750.6001T</v>
      </c>
      <c r="D81" s="225" t="str">
        <f>Cen!C203</f>
        <v>ZN</v>
      </c>
      <c r="E81" s="606">
        <f>Cen!D203</f>
        <v>0</v>
      </c>
      <c r="F81" s="198">
        <f t="shared" si="10"/>
        <v>0</v>
      </c>
      <c r="G81" s="221">
        <f>Cen!F203</f>
        <v>35.700530000000001</v>
      </c>
      <c r="H81" s="222">
        <f t="shared" si="13"/>
        <v>0</v>
      </c>
      <c r="I81" s="233"/>
      <c r="J81" s="223">
        <f>Cen!I203</f>
        <v>5743471</v>
      </c>
      <c r="K81" s="223">
        <f>Cen!J203</f>
        <v>227427</v>
      </c>
      <c r="L81" s="219">
        <f t="shared" si="14"/>
        <v>0</v>
      </c>
      <c r="M81" s="463">
        <f t="shared" si="15"/>
        <v>0</v>
      </c>
      <c r="N81" s="224"/>
      <c r="O81" s="356">
        <f>'7M400P'!S37</f>
        <v>0</v>
      </c>
      <c r="P81" s="356">
        <f>'7M40VP'!S37</f>
        <v>0</v>
      </c>
      <c r="Q81" s="224"/>
      <c r="R81" s="356">
        <f>'7C410P'!S37</f>
        <v>0</v>
      </c>
      <c r="S81" s="356">
        <f>'7C410F'!S37</f>
        <v>0</v>
      </c>
      <c r="T81" s="356">
        <f>'7C41VP'!S37</f>
        <v>0</v>
      </c>
      <c r="U81" s="356">
        <f>'7C41VF'!S37</f>
        <v>0</v>
      </c>
      <c r="V81" s="356">
        <f>'7C41NP'!S37</f>
        <v>0</v>
      </c>
      <c r="W81" s="356">
        <f>'7C41NF'!S37</f>
        <v>0</v>
      </c>
      <c r="X81" s="356">
        <f>'7C41RP'!S37</f>
        <v>0</v>
      </c>
      <c r="Y81" s="356">
        <f>'7C41RF'!S37</f>
        <v>0</v>
      </c>
      <c r="Z81" s="356">
        <f>'7F410P'!S37</f>
        <v>0</v>
      </c>
      <c r="AA81" s="224"/>
      <c r="AB81" s="224"/>
      <c r="AC81" s="224"/>
      <c r="AD81" s="224"/>
      <c r="AE81" s="719">
        <f>'7CM42P'!$S35</f>
        <v>0</v>
      </c>
      <c r="AF81" s="719">
        <f>'7CM42F'!$S35</f>
        <v>0</v>
      </c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469"/>
      <c r="AT81" s="224"/>
      <c r="AU81" s="224"/>
      <c r="AV81" s="224"/>
      <c r="AW81" s="224"/>
      <c r="AX81" s="224"/>
      <c r="AY81" s="224"/>
      <c r="AZ81" s="224"/>
      <c r="BA81" s="469"/>
      <c r="BB81" s="224"/>
      <c r="BC81" s="224"/>
      <c r="BD81" s="548">
        <f t="shared" si="11"/>
        <v>0</v>
      </c>
      <c r="BE81" s="214"/>
    </row>
    <row r="82" spans="2:57" x14ac:dyDescent="0.25">
      <c r="B82" s="225" t="str">
        <f>Cen!A204</f>
        <v>Korpusové lišty TIP-ON, 600mm, 70kg</v>
      </c>
      <c r="C82" s="225" t="str">
        <f>Cen!B204</f>
        <v>753.6001T</v>
      </c>
      <c r="D82" s="225" t="str">
        <f>Cen!C204</f>
        <v>ZN</v>
      </c>
      <c r="E82" s="606">
        <f>Cen!D204</f>
        <v>0</v>
      </c>
      <c r="F82" s="198">
        <f t="shared" si="10"/>
        <v>0</v>
      </c>
      <c r="G82" s="221">
        <f>Cen!F204</f>
        <v>40.781829999999999</v>
      </c>
      <c r="H82" s="222">
        <f t="shared" si="13"/>
        <v>0</v>
      </c>
      <c r="I82" s="233"/>
      <c r="J82" s="223">
        <f>Cen!I204</f>
        <v>6459880</v>
      </c>
      <c r="K82" s="223">
        <f>Cen!J204</f>
        <v>227431</v>
      </c>
      <c r="L82" s="219">
        <f t="shared" si="14"/>
        <v>0</v>
      </c>
      <c r="M82" s="463">
        <f t="shared" si="15"/>
        <v>0</v>
      </c>
      <c r="N82" s="224"/>
      <c r="O82" s="356">
        <f>'7M400P'!S38</f>
        <v>0</v>
      </c>
      <c r="P82" s="356">
        <f>'7M40VP'!S38</f>
        <v>0</v>
      </c>
      <c r="Q82" s="224"/>
      <c r="R82" s="356">
        <f>'7C410P'!S38</f>
        <v>0</v>
      </c>
      <c r="S82" s="356">
        <f>'7C410F'!S38</f>
        <v>0</v>
      </c>
      <c r="T82" s="356">
        <f>'7C41VP'!S38</f>
        <v>0</v>
      </c>
      <c r="U82" s="356">
        <f>'7C41VF'!S38</f>
        <v>0</v>
      </c>
      <c r="V82" s="356">
        <f>'7C41NP'!S38</f>
        <v>0</v>
      </c>
      <c r="W82" s="356">
        <f>'7C41NF'!S38</f>
        <v>0</v>
      </c>
      <c r="X82" s="356">
        <f>'7C41RP'!S38</f>
        <v>0</v>
      </c>
      <c r="Y82" s="356">
        <f>'7C41RF'!S38</f>
        <v>0</v>
      </c>
      <c r="Z82" s="356">
        <f>'7F410P'!S38</f>
        <v>0</v>
      </c>
      <c r="AA82" s="224"/>
      <c r="AB82" s="224"/>
      <c r="AC82" s="224"/>
      <c r="AD82" s="224"/>
      <c r="AE82" s="719">
        <f>'7CM42P'!$S36</f>
        <v>0</v>
      </c>
      <c r="AF82" s="719">
        <f>'7CM42F'!$S36</f>
        <v>0</v>
      </c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469"/>
      <c r="AT82" s="224"/>
      <c r="AU82" s="224"/>
      <c r="AV82" s="224"/>
      <c r="AW82" s="224"/>
      <c r="AX82" s="224"/>
      <c r="AY82" s="224"/>
      <c r="AZ82" s="224"/>
      <c r="BA82" s="469"/>
      <c r="BB82" s="224"/>
      <c r="BC82" s="224"/>
      <c r="BD82" s="548">
        <f t="shared" si="11"/>
        <v>0</v>
      </c>
      <c r="BE82" s="214"/>
    </row>
    <row r="83" spans="2:57" x14ac:dyDescent="0.25">
      <c r="B83" s="225" t="str">
        <f>Cen!A205</f>
        <v>Korpusové lišty TIP-ON, 650mm, 70kg</v>
      </c>
      <c r="C83" s="225" t="str">
        <f>Cen!B205</f>
        <v>753.6501T</v>
      </c>
      <c r="D83" s="225" t="str">
        <f>Cen!C205</f>
        <v>ZN</v>
      </c>
      <c r="E83" s="606">
        <f>Cen!D205</f>
        <v>0</v>
      </c>
      <c r="F83" s="198">
        <f t="shared" si="10"/>
        <v>0</v>
      </c>
      <c r="G83" s="221">
        <f>Cen!F205</f>
        <v>42.272550000000003</v>
      </c>
      <c r="H83" s="222">
        <f t="shared" si="13"/>
        <v>0</v>
      </c>
      <c r="I83" s="233"/>
      <c r="J83" s="223">
        <f>Cen!I205</f>
        <v>1661174</v>
      </c>
      <c r="K83" s="223">
        <f>Cen!J205</f>
        <v>253717</v>
      </c>
      <c r="L83" s="219">
        <f t="shared" si="14"/>
        <v>0</v>
      </c>
      <c r="M83" s="463">
        <f t="shared" si="15"/>
        <v>0</v>
      </c>
      <c r="N83" s="224"/>
      <c r="O83" s="356">
        <f>'7M400P'!S39</f>
        <v>0</v>
      </c>
      <c r="P83" s="356">
        <f>'7M40VP'!S39</f>
        <v>0</v>
      </c>
      <c r="Q83" s="224"/>
      <c r="R83" s="356">
        <f>'7C410P'!S39</f>
        <v>0</v>
      </c>
      <c r="S83" s="356">
        <f>'7C410F'!S39</f>
        <v>0</v>
      </c>
      <c r="T83" s="356">
        <f>'7C41VP'!S39</f>
        <v>0</v>
      </c>
      <c r="U83" s="356">
        <f>'7C41VF'!S39</f>
        <v>0</v>
      </c>
      <c r="V83" s="356">
        <f>'7C41NP'!S39</f>
        <v>0</v>
      </c>
      <c r="W83" s="356">
        <f>'7C41NF'!S39</f>
        <v>0</v>
      </c>
      <c r="X83" s="356">
        <f>'7C41RP'!S39</f>
        <v>0</v>
      </c>
      <c r="Y83" s="356">
        <f>'7C41RF'!S39</f>
        <v>0</v>
      </c>
      <c r="Z83" s="356">
        <f>'7F410P'!S39</f>
        <v>0</v>
      </c>
      <c r="AA83" s="224"/>
      <c r="AB83" s="224"/>
      <c r="AC83" s="224"/>
      <c r="AD83" s="224"/>
      <c r="AE83" s="719">
        <f>'7CM42P'!$S37</f>
        <v>0</v>
      </c>
      <c r="AF83" s="719">
        <f>'7CM42F'!$S37</f>
        <v>0</v>
      </c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469"/>
      <c r="AT83" s="224"/>
      <c r="AU83" s="224"/>
      <c r="AV83" s="224"/>
      <c r="AW83" s="224"/>
      <c r="AX83" s="224"/>
      <c r="AY83" s="224"/>
      <c r="AZ83" s="224"/>
      <c r="BA83" s="469"/>
      <c r="BB83" s="224"/>
      <c r="BC83" s="224"/>
      <c r="BD83" s="548">
        <f t="shared" si="11"/>
        <v>0</v>
      </c>
      <c r="BE83" s="214"/>
    </row>
    <row r="84" spans="2:57" x14ac:dyDescent="0.25">
      <c r="B84" s="225"/>
      <c r="C84" s="225"/>
      <c r="D84" s="225"/>
      <c r="E84" s="606"/>
      <c r="F84" s="198">
        <f t="shared" si="10"/>
        <v>0</v>
      </c>
      <c r="G84" s="221"/>
      <c r="H84" s="222"/>
      <c r="I84" s="222"/>
      <c r="J84" s="223"/>
      <c r="K84" s="223">
        <f>Cen!J205</f>
        <v>253717</v>
      </c>
      <c r="L84" s="219">
        <f t="shared" si="14"/>
        <v>0</v>
      </c>
      <c r="M84" s="463">
        <f t="shared" si="15"/>
        <v>0</v>
      </c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469"/>
      <c r="AT84" s="224"/>
      <c r="AU84" s="224"/>
      <c r="AV84" s="224"/>
      <c r="AW84" s="224"/>
      <c r="AX84" s="224"/>
      <c r="AY84" s="224"/>
      <c r="AZ84" s="224"/>
      <c r="BA84" s="469"/>
      <c r="BB84" s="224"/>
      <c r="BC84" s="224"/>
      <c r="BD84" s="548">
        <f t="shared" si="11"/>
        <v>0</v>
      </c>
      <c r="BE84" s="214"/>
    </row>
    <row r="85" spans="2:57" x14ac:dyDescent="0.25">
      <c r="B85" s="225" t="str">
        <f>Cen!A209</f>
        <v>Korpusové lišty TIP-ON BLUMOTION, 270mm, 40kg</v>
      </c>
      <c r="C85" s="225" t="str">
        <f>Cen!B209</f>
        <v>750.2700M</v>
      </c>
      <c r="D85" s="225" t="str">
        <f>Cen!C209</f>
        <v>ZN</v>
      </c>
      <c r="E85" s="606">
        <f>Cen!D209</f>
        <v>0</v>
      </c>
      <c r="F85" s="198">
        <f>IF(I85&gt;0,I85,SUM(N85:BC85))</f>
        <v>0</v>
      </c>
      <c r="G85" s="221">
        <f>Cen!F209</f>
        <v>21.925909999999998</v>
      </c>
      <c r="H85" s="222">
        <f>M85</f>
        <v>0</v>
      </c>
      <c r="I85" s="233"/>
      <c r="J85" s="223">
        <f>Cen!I209</f>
        <v>8589412</v>
      </c>
      <c r="K85" s="223">
        <f>Cen!J209</f>
        <v>275330</v>
      </c>
      <c r="L85" s="219">
        <f t="shared" si="14"/>
        <v>0</v>
      </c>
      <c r="M85" s="463">
        <f t="shared" si="15"/>
        <v>0</v>
      </c>
      <c r="N85" s="224"/>
      <c r="O85" s="356">
        <f>'7M400P'!$S41</f>
        <v>0</v>
      </c>
      <c r="P85" s="719">
        <f>'7M40VP'!$S41</f>
        <v>0</v>
      </c>
      <c r="Q85" s="224"/>
      <c r="R85" s="719">
        <f>'7C410P'!$S41</f>
        <v>0</v>
      </c>
      <c r="S85" s="224"/>
      <c r="T85" s="719">
        <f>'7C41VP'!$S41</f>
        <v>0</v>
      </c>
      <c r="U85" s="224"/>
      <c r="V85" s="719">
        <f>'7C41NP'!$S41</f>
        <v>0</v>
      </c>
      <c r="W85" s="224"/>
      <c r="X85" s="719">
        <f>'7C41RP'!$S41</f>
        <v>0</v>
      </c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469"/>
      <c r="AT85" s="224"/>
      <c r="AU85" s="224"/>
      <c r="AV85" s="224"/>
      <c r="AW85" s="224"/>
      <c r="AX85" s="224"/>
      <c r="AY85" s="224"/>
      <c r="AZ85" s="224"/>
      <c r="BA85" s="469"/>
      <c r="BB85" s="224"/>
      <c r="BC85" s="224"/>
      <c r="BD85" s="548">
        <f t="shared" si="11"/>
        <v>0</v>
      </c>
      <c r="BE85" s="214"/>
    </row>
    <row r="86" spans="2:57" x14ac:dyDescent="0.25">
      <c r="B86" s="225" t="str">
        <f>Cen!A210</f>
        <v>Korpusové lišty TIP-ON BLUMOTION, 300mm, 40kg</v>
      </c>
      <c r="C86" s="225" t="str">
        <f>Cen!B210</f>
        <v>750.3001M</v>
      </c>
      <c r="D86" s="225" t="str">
        <f>Cen!C210</f>
        <v>ZN</v>
      </c>
      <c r="E86" s="606">
        <f>Cen!D210</f>
        <v>0</v>
      </c>
      <c r="F86" s="198">
        <f t="shared" ref="F86:F102" si="16">IF(I86&gt;0,I86,SUM(N86:BC86))</f>
        <v>0</v>
      </c>
      <c r="G86" s="221">
        <f>Cen!F210</f>
        <v>21.925909999999998</v>
      </c>
      <c r="H86" s="222">
        <f t="shared" ref="H86:H102" si="17">M86</f>
        <v>0</v>
      </c>
      <c r="I86" s="233"/>
      <c r="J86" s="223">
        <f>Cen!I210</f>
        <v>5663406</v>
      </c>
      <c r="K86" s="223">
        <f>Cen!J210</f>
        <v>275331</v>
      </c>
      <c r="L86" s="219">
        <f t="shared" si="14"/>
        <v>0</v>
      </c>
      <c r="M86" s="463">
        <f t="shared" si="15"/>
        <v>0</v>
      </c>
      <c r="N86" s="224"/>
      <c r="O86" s="719">
        <f>'7M400P'!$S42</f>
        <v>0</v>
      </c>
      <c r="P86" s="719">
        <f>'7M40VP'!$S42</f>
        <v>0</v>
      </c>
      <c r="Q86" s="224"/>
      <c r="R86" s="719">
        <f>'7C410P'!$S42</f>
        <v>0</v>
      </c>
      <c r="S86" s="224"/>
      <c r="T86" s="719">
        <f>'7C41VP'!$S42</f>
        <v>0</v>
      </c>
      <c r="U86" s="224"/>
      <c r="V86" s="719">
        <f>'7C41NP'!$S42</f>
        <v>0</v>
      </c>
      <c r="W86" s="224"/>
      <c r="X86" s="719">
        <f>'7C41RP'!$S42</f>
        <v>0</v>
      </c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469"/>
      <c r="AT86" s="224"/>
      <c r="AU86" s="224"/>
      <c r="AV86" s="224"/>
      <c r="AW86" s="224"/>
      <c r="AX86" s="224"/>
      <c r="AY86" s="224"/>
      <c r="AZ86" s="224"/>
      <c r="BA86" s="469"/>
      <c r="BB86" s="224"/>
      <c r="BC86" s="224"/>
      <c r="BD86" s="548">
        <f t="shared" si="11"/>
        <v>0</v>
      </c>
      <c r="BE86" s="214"/>
    </row>
    <row r="87" spans="2:57" x14ac:dyDescent="0.25">
      <c r="B87" s="225" t="str">
        <f>Cen!A211</f>
        <v>Korpusové lišty TIP-ON BLUMOTION, 350mm, 40kg</v>
      </c>
      <c r="C87" s="225" t="str">
        <f>Cen!B211</f>
        <v>750.3501M</v>
      </c>
      <c r="D87" s="225" t="str">
        <f>Cen!C211</f>
        <v>ZN</v>
      </c>
      <c r="E87" s="606">
        <f>Cen!D211</f>
        <v>0</v>
      </c>
      <c r="F87" s="198">
        <f t="shared" si="16"/>
        <v>0</v>
      </c>
      <c r="G87" s="221">
        <f>Cen!F211</f>
        <v>21.925909999999998</v>
      </c>
      <c r="H87" s="222">
        <f t="shared" si="17"/>
        <v>0</v>
      </c>
      <c r="I87" s="233"/>
      <c r="J87" s="223">
        <f>Cen!I211</f>
        <v>4538135</v>
      </c>
      <c r="K87" s="223">
        <f>Cen!J211</f>
        <v>275332</v>
      </c>
      <c r="L87" s="219">
        <f t="shared" si="14"/>
        <v>0</v>
      </c>
      <c r="M87" s="463">
        <f t="shared" si="15"/>
        <v>0</v>
      </c>
      <c r="N87" s="224"/>
      <c r="O87" s="719">
        <f>'7M400P'!$S43</f>
        <v>0</v>
      </c>
      <c r="P87" s="719">
        <f>'7M40VP'!$S43</f>
        <v>0</v>
      </c>
      <c r="Q87" s="719">
        <f>'7K400P'!S43</f>
        <v>0</v>
      </c>
      <c r="R87" s="719">
        <f>'7C410P'!$S43</f>
        <v>0</v>
      </c>
      <c r="S87" s="719">
        <f>'7C410F'!$S43</f>
        <v>0</v>
      </c>
      <c r="T87" s="719">
        <f>'7C41VP'!$S43</f>
        <v>0</v>
      </c>
      <c r="U87" s="719">
        <f>'7C41VF'!$S43</f>
        <v>0</v>
      </c>
      <c r="V87" s="719">
        <f>'7C41NP'!$S43</f>
        <v>0</v>
      </c>
      <c r="W87" s="719">
        <f>'7C41NF'!$S43</f>
        <v>0</v>
      </c>
      <c r="X87" s="719">
        <f>'7C41RP'!$S43</f>
        <v>0</v>
      </c>
      <c r="Y87" s="719">
        <f>'7C41RF'!$S43</f>
        <v>0</v>
      </c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469"/>
      <c r="AT87" s="224"/>
      <c r="AU87" s="224"/>
      <c r="AV87" s="224"/>
      <c r="AW87" s="224"/>
      <c r="AX87" s="224"/>
      <c r="AY87" s="224"/>
      <c r="AZ87" s="224"/>
      <c r="BA87" s="469"/>
      <c r="BB87" s="224"/>
      <c r="BC87" s="224"/>
      <c r="BD87" s="548">
        <f t="shared" si="11"/>
        <v>0</v>
      </c>
      <c r="BE87" s="214"/>
    </row>
    <row r="88" spans="2:57" x14ac:dyDescent="0.25">
      <c r="B88" s="225" t="str">
        <f>Cen!A212</f>
        <v>Korpusové lišty TIP-ON BLUMOTION, 400mm, 40kg</v>
      </c>
      <c r="C88" s="225" t="str">
        <f>Cen!B212</f>
        <v>750.4001M</v>
      </c>
      <c r="D88" s="225" t="str">
        <f>Cen!C212</f>
        <v>ZN</v>
      </c>
      <c r="E88" s="606">
        <f>Cen!D212</f>
        <v>0</v>
      </c>
      <c r="F88" s="198">
        <f t="shared" si="16"/>
        <v>0</v>
      </c>
      <c r="G88" s="221">
        <f>Cen!F212</f>
        <v>22.204979999999999</v>
      </c>
      <c r="H88" s="222">
        <f t="shared" si="17"/>
        <v>0</v>
      </c>
      <c r="I88" s="233"/>
      <c r="J88" s="223">
        <f>Cen!I212</f>
        <v>2346429</v>
      </c>
      <c r="K88" s="223">
        <f>Cen!J212</f>
        <v>275333</v>
      </c>
      <c r="L88" s="219">
        <f t="shared" si="14"/>
        <v>0</v>
      </c>
      <c r="M88" s="463">
        <f t="shared" si="15"/>
        <v>0</v>
      </c>
      <c r="N88" s="224"/>
      <c r="O88" s="719">
        <f>'7M400P'!$S44</f>
        <v>0</v>
      </c>
      <c r="P88" s="719">
        <f>'7M40VP'!$S44</f>
        <v>0</v>
      </c>
      <c r="Q88" s="719">
        <f>'7K400P'!S44</f>
        <v>0</v>
      </c>
      <c r="R88" s="719">
        <f>'7C410P'!$S44</f>
        <v>0</v>
      </c>
      <c r="S88" s="719">
        <f>'7C410F'!$S44</f>
        <v>0</v>
      </c>
      <c r="T88" s="719">
        <f>'7C41VP'!$S44</f>
        <v>0</v>
      </c>
      <c r="U88" s="719">
        <f>'7C41VF'!$S44</f>
        <v>0</v>
      </c>
      <c r="V88" s="719">
        <f>'7C41NP'!$S44</f>
        <v>0</v>
      </c>
      <c r="W88" s="719">
        <f>'7C41NF'!$S44</f>
        <v>0</v>
      </c>
      <c r="X88" s="719">
        <f>'7C41RP'!$S44</f>
        <v>0</v>
      </c>
      <c r="Y88" s="719">
        <f>'7C41RF'!$S44</f>
        <v>0</v>
      </c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469"/>
      <c r="AT88" s="224"/>
      <c r="AU88" s="224"/>
      <c r="AV88" s="224"/>
      <c r="AW88" s="224"/>
      <c r="AX88" s="224"/>
      <c r="AY88" s="224"/>
      <c r="AZ88" s="224"/>
      <c r="BA88" s="469"/>
      <c r="BB88" s="224"/>
      <c r="BC88" s="224"/>
      <c r="BD88" s="548">
        <f t="shared" si="11"/>
        <v>0</v>
      </c>
      <c r="BE88" s="214"/>
    </row>
    <row r="89" spans="2:57" x14ac:dyDescent="0.25">
      <c r="B89" s="225" t="str">
        <f>Cen!A213</f>
        <v>Korpusové lišty TIP-ON BLUMOTION, 450mm, 40kg</v>
      </c>
      <c r="C89" s="225" t="str">
        <f>Cen!B213</f>
        <v>750.4501M</v>
      </c>
      <c r="D89" s="225" t="str">
        <f>Cen!C213</f>
        <v>ZN</v>
      </c>
      <c r="E89" s="606">
        <f>Cen!D213</f>
        <v>0</v>
      </c>
      <c r="F89" s="198">
        <f t="shared" si="16"/>
        <v>0</v>
      </c>
      <c r="G89" s="221">
        <f>Cen!F213</f>
        <v>23.667639999999995</v>
      </c>
      <c r="H89" s="222">
        <f t="shared" si="17"/>
        <v>0</v>
      </c>
      <c r="I89" s="233"/>
      <c r="J89" s="223">
        <f>Cen!I213</f>
        <v>2508131</v>
      </c>
      <c r="K89" s="223">
        <f>Cen!J213</f>
        <v>275334</v>
      </c>
      <c r="L89" s="219">
        <f t="shared" si="14"/>
        <v>0</v>
      </c>
      <c r="M89" s="463">
        <f t="shared" si="15"/>
        <v>0</v>
      </c>
      <c r="N89" s="356">
        <f>'7N400P'!S45</f>
        <v>0</v>
      </c>
      <c r="O89" s="719">
        <f>'7M400P'!$S45</f>
        <v>0</v>
      </c>
      <c r="P89" s="719">
        <f>'7M40VP'!$S45</f>
        <v>0</v>
      </c>
      <c r="Q89" s="719">
        <f>'7K400P'!S45</f>
        <v>0</v>
      </c>
      <c r="R89" s="719">
        <f>'7C410P'!$S45</f>
        <v>0</v>
      </c>
      <c r="S89" s="719">
        <f>'7C410F'!$S45</f>
        <v>0</v>
      </c>
      <c r="T89" s="719">
        <f>'7C41VP'!$S45</f>
        <v>0</v>
      </c>
      <c r="U89" s="719">
        <f>'7C41VF'!$S45</f>
        <v>0</v>
      </c>
      <c r="V89" s="719">
        <f>'7C41NP'!$S45</f>
        <v>0</v>
      </c>
      <c r="W89" s="719">
        <f>'7C41NF'!$S45</f>
        <v>0</v>
      </c>
      <c r="X89" s="719">
        <f>'7C41RP'!$S45</f>
        <v>0</v>
      </c>
      <c r="Y89" s="719">
        <f>'7C41RF'!$S45</f>
        <v>0</v>
      </c>
      <c r="Z89" s="719">
        <f>'7F410P'!$S45</f>
        <v>0</v>
      </c>
      <c r="AA89" s="224"/>
      <c r="AB89" s="224"/>
      <c r="AC89" s="224"/>
      <c r="AD89" s="224"/>
      <c r="AE89" s="719">
        <f>'7CM42P'!$S45</f>
        <v>0</v>
      </c>
      <c r="AF89" s="719">
        <f>'7CM42F'!$S45</f>
        <v>0</v>
      </c>
      <c r="AG89" s="224"/>
      <c r="AH89" s="224"/>
      <c r="AI89" s="224"/>
      <c r="AJ89" s="224"/>
      <c r="AK89" s="719">
        <f>'7STCGP'!$S45</f>
        <v>0</v>
      </c>
      <c r="AL89" s="719">
        <f>'7STCGF'!$S45</f>
        <v>0</v>
      </c>
      <c r="AM89" s="719">
        <f>'7STCRP'!$S45</f>
        <v>0</v>
      </c>
      <c r="AN89" s="719">
        <f>'7STCRF'!$S45</f>
        <v>0</v>
      </c>
      <c r="AO89" s="719">
        <f>'7STMGP'!$S45</f>
        <v>0</v>
      </c>
      <c r="AP89" s="719">
        <f>'7STMGF'!$S45</f>
        <v>0</v>
      </c>
      <c r="AQ89" s="719">
        <f>'7STMRP'!$S45</f>
        <v>0</v>
      </c>
      <c r="AR89" s="719">
        <f>'7STMRF'!$S45</f>
        <v>0</v>
      </c>
      <c r="AS89" s="469"/>
      <c r="AT89" s="224"/>
      <c r="AU89" s="224"/>
      <c r="AV89" s="224"/>
      <c r="AW89" s="224"/>
      <c r="AX89" s="224"/>
      <c r="AY89" s="224"/>
      <c r="AZ89" s="224"/>
      <c r="BA89" s="469"/>
      <c r="BB89" s="224"/>
      <c r="BC89" s="224"/>
      <c r="BD89" s="548">
        <f t="shared" si="11"/>
        <v>0</v>
      </c>
      <c r="BE89" s="214"/>
    </row>
    <row r="90" spans="2:57" x14ac:dyDescent="0.25">
      <c r="B90" s="225" t="str">
        <f>Cen!A214</f>
        <v>Korpusové lišty TIP-ON BLUMOTION, 450mm, 70kg</v>
      </c>
      <c r="C90" s="225" t="str">
        <f>Cen!B214</f>
        <v>753.4501M</v>
      </c>
      <c r="D90" s="225" t="str">
        <f>Cen!C214</f>
        <v>ZN</v>
      </c>
      <c r="E90" s="606">
        <f>Cen!D214</f>
        <v>0</v>
      </c>
      <c r="F90" s="198">
        <f t="shared" si="16"/>
        <v>0</v>
      </c>
      <c r="G90" s="221">
        <f>Cen!F214</f>
        <v>27.780560000000001</v>
      </c>
      <c r="H90" s="222">
        <f t="shared" si="17"/>
        <v>0</v>
      </c>
      <c r="I90" s="233"/>
      <c r="J90" s="223">
        <f>Cen!I214</f>
        <v>4419145</v>
      </c>
      <c r="K90" s="223">
        <f>Cen!J214</f>
        <v>275338</v>
      </c>
      <c r="L90" s="219">
        <f t="shared" si="14"/>
        <v>0</v>
      </c>
      <c r="M90" s="463">
        <f t="shared" si="15"/>
        <v>0</v>
      </c>
      <c r="N90" s="224"/>
      <c r="O90" s="719">
        <f>'7M400P'!$S46</f>
        <v>0</v>
      </c>
      <c r="P90" s="719">
        <f>'7M40VP'!$S46</f>
        <v>0</v>
      </c>
      <c r="Q90" s="719">
        <f>'7K400P'!S46</f>
        <v>0</v>
      </c>
      <c r="R90" s="719">
        <f>'7C410P'!$S46</f>
        <v>0</v>
      </c>
      <c r="S90" s="719">
        <f>'7C410F'!$S46</f>
        <v>0</v>
      </c>
      <c r="T90" s="719">
        <f>'7C41VP'!$S46</f>
        <v>0</v>
      </c>
      <c r="U90" s="719">
        <f>'7C41VF'!$S46</f>
        <v>0</v>
      </c>
      <c r="V90" s="719">
        <f>'7C41NP'!$S46</f>
        <v>0</v>
      </c>
      <c r="W90" s="719">
        <f>'7C41NF'!$S46</f>
        <v>0</v>
      </c>
      <c r="X90" s="719">
        <f>'7C41RP'!$S46</f>
        <v>0</v>
      </c>
      <c r="Y90" s="719">
        <f>'7C41RF'!$S46</f>
        <v>0</v>
      </c>
      <c r="Z90" s="719">
        <f>'7F410P'!$S46</f>
        <v>0</v>
      </c>
      <c r="AA90" s="224"/>
      <c r="AB90" s="224"/>
      <c r="AC90" s="224"/>
      <c r="AD90" s="224"/>
      <c r="AE90" s="719">
        <f>'7CM42P'!$S46</f>
        <v>0</v>
      </c>
      <c r="AF90" s="719">
        <f>'7CM42F'!$S46</f>
        <v>0</v>
      </c>
      <c r="AG90" s="224"/>
      <c r="AH90" s="224"/>
      <c r="AI90" s="224"/>
      <c r="AJ90" s="224"/>
      <c r="AK90" s="719">
        <f>'7STCGP'!$S46</f>
        <v>0</v>
      </c>
      <c r="AL90" s="719">
        <f>'7STCGF'!$S46</f>
        <v>0</v>
      </c>
      <c r="AM90" s="719">
        <f>'7STCRP'!$S46</f>
        <v>0</v>
      </c>
      <c r="AN90" s="719">
        <f>'7STCRF'!$S46</f>
        <v>0</v>
      </c>
      <c r="AO90" s="719">
        <f>'7STMGP'!$S46</f>
        <v>0</v>
      </c>
      <c r="AP90" s="719">
        <f>'7STMGF'!$S46</f>
        <v>0</v>
      </c>
      <c r="AQ90" s="719">
        <f>'7STMRP'!$S46</f>
        <v>0</v>
      </c>
      <c r="AR90" s="719">
        <f>'7STMRF'!$S46</f>
        <v>0</v>
      </c>
      <c r="AS90" s="469"/>
      <c r="AT90" s="224"/>
      <c r="AU90" s="224"/>
      <c r="AV90" s="224"/>
      <c r="AW90" s="224"/>
      <c r="AX90" s="224"/>
      <c r="AY90" s="224"/>
      <c r="AZ90" s="224"/>
      <c r="BA90" s="469"/>
      <c r="BB90" s="224"/>
      <c r="BC90" s="224"/>
      <c r="BD90" s="548">
        <f t="shared" si="11"/>
        <v>0</v>
      </c>
      <c r="BE90" s="214"/>
    </row>
    <row r="91" spans="2:57" x14ac:dyDescent="0.25">
      <c r="B91" s="225" t="str">
        <f>Cen!A215</f>
        <v>Korpusové lišty TIP-ON BLUMOTION, 500mm, 40kg</v>
      </c>
      <c r="C91" s="225" t="str">
        <f>Cen!B215</f>
        <v>750.5001M</v>
      </c>
      <c r="D91" s="225" t="str">
        <f>Cen!C215</f>
        <v>ZN</v>
      </c>
      <c r="E91" s="606">
        <f>Cen!D215</f>
        <v>0</v>
      </c>
      <c r="F91" s="198">
        <f t="shared" si="16"/>
        <v>0</v>
      </c>
      <c r="G91" s="221">
        <f>Cen!F215</f>
        <v>23.961559999999999</v>
      </c>
      <c r="H91" s="222">
        <f t="shared" si="17"/>
        <v>0</v>
      </c>
      <c r="I91" s="233"/>
      <c r="J91" s="223">
        <f>Cen!I215</f>
        <v>9554467</v>
      </c>
      <c r="K91" s="223">
        <f>Cen!J215</f>
        <v>275335</v>
      </c>
      <c r="L91" s="219">
        <f t="shared" si="14"/>
        <v>0</v>
      </c>
      <c r="M91" s="463">
        <f t="shared" si="15"/>
        <v>0</v>
      </c>
      <c r="N91" s="356">
        <f>'7N400P'!S47</f>
        <v>0</v>
      </c>
      <c r="O91" s="719">
        <f>'7M400P'!$S47</f>
        <v>0</v>
      </c>
      <c r="P91" s="719">
        <f>'7M40VP'!$S47</f>
        <v>0</v>
      </c>
      <c r="Q91" s="719">
        <f>'7K400P'!S47</f>
        <v>0</v>
      </c>
      <c r="R91" s="719">
        <f>'7C410P'!$S47</f>
        <v>0</v>
      </c>
      <c r="S91" s="719">
        <f>'7C410F'!$S47</f>
        <v>0</v>
      </c>
      <c r="T91" s="719">
        <f>'7C41VP'!$S47</f>
        <v>0</v>
      </c>
      <c r="U91" s="719">
        <f>'7C41VF'!$S47</f>
        <v>0</v>
      </c>
      <c r="V91" s="719">
        <f>'7C41NP'!$S47</f>
        <v>0</v>
      </c>
      <c r="W91" s="719">
        <f>'7C41NF'!$S47</f>
        <v>0</v>
      </c>
      <c r="X91" s="719">
        <f>'7C41RP'!$S47</f>
        <v>0</v>
      </c>
      <c r="Y91" s="719">
        <f>'7C41RF'!$S47</f>
        <v>0</v>
      </c>
      <c r="Z91" s="719">
        <f>'7F410P'!$S47</f>
        <v>0</v>
      </c>
      <c r="AA91" s="224"/>
      <c r="AB91" s="224"/>
      <c r="AC91" s="224"/>
      <c r="AD91" s="224"/>
      <c r="AE91" s="719">
        <f>'7CM42P'!$S47</f>
        <v>0</v>
      </c>
      <c r="AF91" s="719">
        <f>'7CM42F'!$S47</f>
        <v>0</v>
      </c>
      <c r="AG91" s="224"/>
      <c r="AH91" s="224"/>
      <c r="AI91" s="224"/>
      <c r="AJ91" s="224"/>
      <c r="AK91" s="719">
        <f>'7STCGP'!$S47</f>
        <v>0</v>
      </c>
      <c r="AL91" s="719">
        <f>'7STCGF'!$S47</f>
        <v>0</v>
      </c>
      <c r="AM91" s="719">
        <f>'7STCRP'!$S47</f>
        <v>0</v>
      </c>
      <c r="AN91" s="719">
        <f>'7STCRF'!$S47</f>
        <v>0</v>
      </c>
      <c r="AO91" s="719">
        <f>'7STMGP'!$S47</f>
        <v>0</v>
      </c>
      <c r="AP91" s="719">
        <f>'7STMGF'!$S47</f>
        <v>0</v>
      </c>
      <c r="AQ91" s="719">
        <f>'7STMRP'!$S47</f>
        <v>0</v>
      </c>
      <c r="AR91" s="719">
        <f>'7STMRF'!$S47</f>
        <v>0</v>
      </c>
      <c r="AS91" s="469"/>
      <c r="AT91" s="224"/>
      <c r="AU91" s="224"/>
      <c r="AV91" s="224"/>
      <c r="AW91" s="224"/>
      <c r="AX91" s="224"/>
      <c r="AY91" s="224"/>
      <c r="AZ91" s="224"/>
      <c r="BA91" s="469"/>
      <c r="BB91" s="224"/>
      <c r="BC91" s="224"/>
      <c r="BD91" s="548">
        <f t="shared" si="11"/>
        <v>0</v>
      </c>
      <c r="BE91" s="214"/>
    </row>
    <row r="92" spans="2:57" x14ac:dyDescent="0.25">
      <c r="B92" s="225" t="str">
        <f>Cen!A216</f>
        <v>Korpusové lišty TIP-ON BLUMOTION, 500mm, 70kg</v>
      </c>
      <c r="C92" s="225" t="str">
        <f>Cen!B216</f>
        <v>753.5001M</v>
      </c>
      <c r="D92" s="225" t="str">
        <f>Cen!C216</f>
        <v>ZN</v>
      </c>
      <c r="E92" s="606">
        <f>Cen!D216</f>
        <v>0</v>
      </c>
      <c r="F92" s="198">
        <f t="shared" si="16"/>
        <v>0</v>
      </c>
      <c r="G92" s="221">
        <f>Cen!F216</f>
        <v>28.059809999999999</v>
      </c>
      <c r="H92" s="222">
        <f t="shared" si="17"/>
        <v>0</v>
      </c>
      <c r="I92" s="233"/>
      <c r="J92" s="223">
        <f>Cen!I216</f>
        <v>5699464</v>
      </c>
      <c r="K92" s="223">
        <f>Cen!J216</f>
        <v>275339</v>
      </c>
      <c r="L92" s="219">
        <f t="shared" si="14"/>
        <v>0</v>
      </c>
      <c r="M92" s="463">
        <f t="shared" si="15"/>
        <v>0</v>
      </c>
      <c r="N92" s="224"/>
      <c r="O92" s="719">
        <f>'7M400P'!$S48</f>
        <v>0</v>
      </c>
      <c r="P92" s="719">
        <f>'7M40VP'!$S48</f>
        <v>0</v>
      </c>
      <c r="Q92" s="719">
        <f>'7K400P'!S48</f>
        <v>0</v>
      </c>
      <c r="R92" s="719">
        <f>'7C410P'!$S48</f>
        <v>0</v>
      </c>
      <c r="S92" s="719">
        <f>'7C410F'!$S48</f>
        <v>0</v>
      </c>
      <c r="T92" s="719">
        <f>'7C41VP'!$S48</f>
        <v>0</v>
      </c>
      <c r="U92" s="719">
        <f>'7C41VF'!$S48</f>
        <v>0</v>
      </c>
      <c r="V92" s="719">
        <f>'7C41NP'!$S48</f>
        <v>0</v>
      </c>
      <c r="W92" s="719">
        <f>'7C41NF'!$S48</f>
        <v>0</v>
      </c>
      <c r="X92" s="719">
        <f>'7C41RP'!$S48</f>
        <v>0</v>
      </c>
      <c r="Y92" s="719">
        <f>'7C41RF'!$S48</f>
        <v>0</v>
      </c>
      <c r="Z92" s="719">
        <f>'7F410P'!$S48</f>
        <v>0</v>
      </c>
      <c r="AA92" s="224"/>
      <c r="AB92" s="224"/>
      <c r="AC92" s="224"/>
      <c r="AD92" s="224"/>
      <c r="AE92" s="719">
        <f>'7CM42P'!$S48</f>
        <v>0</v>
      </c>
      <c r="AF92" s="719">
        <f>'7CM42F'!$S48</f>
        <v>0</v>
      </c>
      <c r="AG92" s="224"/>
      <c r="AH92" s="224"/>
      <c r="AI92" s="224"/>
      <c r="AJ92" s="224"/>
      <c r="AK92" s="719">
        <f>'7STCGP'!$S48</f>
        <v>0</v>
      </c>
      <c r="AL92" s="719">
        <f>'7STCGF'!$S48</f>
        <v>0</v>
      </c>
      <c r="AM92" s="719">
        <f>'7STCRP'!$S48</f>
        <v>0</v>
      </c>
      <c r="AN92" s="719">
        <f>'7STCRF'!$S48</f>
        <v>0</v>
      </c>
      <c r="AO92" s="719">
        <f>'7STMGP'!$S48</f>
        <v>0</v>
      </c>
      <c r="AP92" s="719">
        <f>'7STMGF'!$S48</f>
        <v>0</v>
      </c>
      <c r="AQ92" s="719">
        <f>'7STMRP'!$S48</f>
        <v>0</v>
      </c>
      <c r="AR92" s="719">
        <f>'7STMRF'!$S48</f>
        <v>0</v>
      </c>
      <c r="AS92" s="469"/>
      <c r="AT92" s="224"/>
      <c r="AU92" s="224"/>
      <c r="AV92" s="224"/>
      <c r="AW92" s="224"/>
      <c r="AX92" s="224"/>
      <c r="AY92" s="224"/>
      <c r="AZ92" s="224"/>
      <c r="BA92" s="469"/>
      <c r="BB92" s="224"/>
      <c r="BC92" s="224"/>
      <c r="BD92" s="548">
        <f t="shared" si="11"/>
        <v>0</v>
      </c>
      <c r="BE92" s="214"/>
    </row>
    <row r="93" spans="2:57" x14ac:dyDescent="0.25">
      <c r="B93" s="225" t="str">
        <f>Cen!A217</f>
        <v>Korpusové lišty TIP-ON BLUMOTION, 550mm, 40kg</v>
      </c>
      <c r="C93" s="225" t="str">
        <f>Cen!B217</f>
        <v>750.5501M</v>
      </c>
      <c r="D93" s="225" t="str">
        <f>Cen!C217</f>
        <v>ZN</v>
      </c>
      <c r="E93" s="606">
        <f>Cen!$D217</f>
        <v>0</v>
      </c>
      <c r="F93" s="198">
        <f t="shared" si="16"/>
        <v>0</v>
      </c>
      <c r="G93" s="221">
        <f>Cen!F217</f>
        <v>24.254210000000004</v>
      </c>
      <c r="H93" s="222">
        <f t="shared" si="17"/>
        <v>0</v>
      </c>
      <c r="I93" s="233"/>
      <c r="J93" s="223">
        <f>Cen!I217</f>
        <v>1309911</v>
      </c>
      <c r="K93" s="223">
        <f>Cen!J217</f>
        <v>275336</v>
      </c>
      <c r="L93" s="219">
        <f t="shared" si="14"/>
        <v>0</v>
      </c>
      <c r="M93" s="463">
        <f t="shared" si="15"/>
        <v>0</v>
      </c>
      <c r="N93" s="224"/>
      <c r="O93" s="719">
        <f>'7M400P'!$S49</f>
        <v>0</v>
      </c>
      <c r="P93" s="719">
        <f>'7M40VP'!$S49</f>
        <v>0</v>
      </c>
      <c r="Q93" s="719">
        <f>'7K400P'!S49</f>
        <v>0</v>
      </c>
      <c r="R93" s="719">
        <f>'7C410P'!$S49</f>
        <v>0</v>
      </c>
      <c r="S93" s="719">
        <f>'7C410F'!$S49</f>
        <v>0</v>
      </c>
      <c r="T93" s="719">
        <f>'7C41VP'!$S49</f>
        <v>0</v>
      </c>
      <c r="U93" s="719">
        <f>'7C41VF'!$S49</f>
        <v>0</v>
      </c>
      <c r="V93" s="719">
        <f>'7C41NP'!$S49</f>
        <v>0</v>
      </c>
      <c r="W93" s="719">
        <f>'7C41NF'!$S49</f>
        <v>0</v>
      </c>
      <c r="X93" s="719">
        <f>'7C41RP'!$S49</f>
        <v>0</v>
      </c>
      <c r="Y93" s="719">
        <f>'7C41RF'!$S49</f>
        <v>0</v>
      </c>
      <c r="Z93" s="719">
        <f>'7F410P'!$S49</f>
        <v>0</v>
      </c>
      <c r="AA93" s="224"/>
      <c r="AB93" s="224"/>
      <c r="AC93" s="224"/>
      <c r="AD93" s="224"/>
      <c r="AE93" s="719">
        <f>'7CM42P'!$S49</f>
        <v>0</v>
      </c>
      <c r="AF93" s="719">
        <f>'7CM42F'!$S49</f>
        <v>0</v>
      </c>
      <c r="AG93" s="224"/>
      <c r="AH93" s="224"/>
      <c r="AI93" s="224"/>
      <c r="AJ93" s="224"/>
      <c r="AK93" s="719">
        <f>'7STCGP'!$S49</f>
        <v>0</v>
      </c>
      <c r="AL93" s="719">
        <f>'7STCGF'!$S49</f>
        <v>0</v>
      </c>
      <c r="AM93" s="719">
        <f>'7STCRP'!$S49</f>
        <v>0</v>
      </c>
      <c r="AN93" s="719">
        <f>'7STCRF'!$S49</f>
        <v>0</v>
      </c>
      <c r="AO93" s="719">
        <f>'7STMGP'!$S49</f>
        <v>0</v>
      </c>
      <c r="AP93" s="719">
        <f>'7STMGF'!$S49</f>
        <v>0</v>
      </c>
      <c r="AQ93" s="719">
        <f>'7STMRP'!$S49</f>
        <v>0</v>
      </c>
      <c r="AR93" s="719">
        <f>'7STMRF'!$S49</f>
        <v>0</v>
      </c>
      <c r="AS93" s="469"/>
      <c r="AT93" s="224"/>
      <c r="AU93" s="224"/>
      <c r="AV93" s="224"/>
      <c r="AW93" s="224"/>
      <c r="AX93" s="224"/>
      <c r="AY93" s="224"/>
      <c r="AZ93" s="224"/>
      <c r="BA93" s="469"/>
      <c r="BB93" s="224"/>
      <c r="BC93" s="224"/>
      <c r="BD93" s="548">
        <f t="shared" si="11"/>
        <v>0</v>
      </c>
      <c r="BE93" s="214"/>
    </row>
    <row r="94" spans="2:57" x14ac:dyDescent="0.25">
      <c r="B94" s="225" t="str">
        <f>Cen!A218</f>
        <v>Korpusové lišty TIP-ON BLUMOTION, 550mm, 70kg</v>
      </c>
      <c r="C94" s="225" t="str">
        <f>Cen!B218</f>
        <v>753.5501M</v>
      </c>
      <c r="D94" s="225" t="str">
        <f>Cen!C218</f>
        <v>ZN</v>
      </c>
      <c r="E94" s="606">
        <f>Cen!D218</f>
        <v>0</v>
      </c>
      <c r="F94" s="198">
        <f t="shared" si="16"/>
        <v>0</v>
      </c>
      <c r="G94" s="221">
        <f>Cen!F218</f>
        <v>29.550529999999998</v>
      </c>
      <c r="H94" s="222">
        <f t="shared" si="17"/>
        <v>0</v>
      </c>
      <c r="I94" s="233"/>
      <c r="J94" s="223">
        <f>Cen!I218</f>
        <v>6306480</v>
      </c>
      <c r="K94" s="223">
        <f>Cen!J218</f>
        <v>275340</v>
      </c>
      <c r="L94" s="219">
        <f t="shared" si="14"/>
        <v>0</v>
      </c>
      <c r="M94" s="463">
        <f t="shared" si="15"/>
        <v>0</v>
      </c>
      <c r="N94" s="224"/>
      <c r="O94" s="719">
        <f>'7M400P'!$S50</f>
        <v>0</v>
      </c>
      <c r="P94" s="719">
        <f>'7M40VP'!$S50</f>
        <v>0</v>
      </c>
      <c r="Q94" s="719">
        <f>'7K400P'!S50</f>
        <v>0</v>
      </c>
      <c r="R94" s="719">
        <f>'7C410P'!$S50</f>
        <v>0</v>
      </c>
      <c r="S94" s="719">
        <f>'7C410F'!$S50</f>
        <v>0</v>
      </c>
      <c r="T94" s="719">
        <f>'7C41VP'!$S50</f>
        <v>0</v>
      </c>
      <c r="U94" s="719">
        <f>'7C41VF'!$S50</f>
        <v>0</v>
      </c>
      <c r="V94" s="719">
        <f>'7C41NP'!$S50</f>
        <v>0</v>
      </c>
      <c r="W94" s="719">
        <f>'7C41NF'!$S50</f>
        <v>0</v>
      </c>
      <c r="X94" s="719">
        <f>'7C41RP'!$S50</f>
        <v>0</v>
      </c>
      <c r="Y94" s="719">
        <f>'7C41RF'!$S50</f>
        <v>0</v>
      </c>
      <c r="Z94" s="719">
        <f>'7F410P'!$S50</f>
        <v>0</v>
      </c>
      <c r="AA94" s="224"/>
      <c r="AB94" s="224"/>
      <c r="AC94" s="224"/>
      <c r="AD94" s="224"/>
      <c r="AE94" s="719">
        <f>'7CM42P'!$S50</f>
        <v>0</v>
      </c>
      <c r="AF94" s="719">
        <f>'7CM42F'!$S50</f>
        <v>0</v>
      </c>
      <c r="AG94" s="224"/>
      <c r="AH94" s="224"/>
      <c r="AI94" s="224"/>
      <c r="AJ94" s="224"/>
      <c r="AK94" s="719">
        <f>'7STCGP'!$S50</f>
        <v>0</v>
      </c>
      <c r="AL94" s="719">
        <f>'7STCGF'!$S50</f>
        <v>0</v>
      </c>
      <c r="AM94" s="719">
        <f>'7STCRP'!$S50</f>
        <v>0</v>
      </c>
      <c r="AN94" s="719">
        <f>'7STCRF'!$S50</f>
        <v>0</v>
      </c>
      <c r="AO94" s="719">
        <f>'7STMGP'!$S50</f>
        <v>0</v>
      </c>
      <c r="AP94" s="719">
        <f>'7STMGF'!$S50</f>
        <v>0</v>
      </c>
      <c r="AQ94" s="719">
        <f>'7STMRP'!$S50</f>
        <v>0</v>
      </c>
      <c r="AR94" s="719">
        <f>'7STMRF'!$S50</f>
        <v>0</v>
      </c>
      <c r="AS94" s="469"/>
      <c r="AT94" s="224"/>
      <c r="AU94" s="224"/>
      <c r="AV94" s="224"/>
      <c r="AW94" s="224"/>
      <c r="AX94" s="224"/>
      <c r="AY94" s="224"/>
      <c r="AZ94" s="224"/>
      <c r="BA94" s="469"/>
      <c r="BB94" s="224"/>
      <c r="BC94" s="224"/>
      <c r="BD94" s="548">
        <f t="shared" si="11"/>
        <v>0</v>
      </c>
      <c r="BE94" s="214"/>
    </row>
    <row r="95" spans="2:57" x14ac:dyDescent="0.25">
      <c r="B95" s="225" t="str">
        <f>Cen!A219</f>
        <v>Korpusové lišty TIP-ON BLUMOTION, 600mm, 40kg</v>
      </c>
      <c r="C95" s="225" t="str">
        <f>Cen!B219</f>
        <v>750.6001M</v>
      </c>
      <c r="D95" s="225" t="str">
        <f>Cen!C219</f>
        <v>ZN</v>
      </c>
      <c r="E95" s="606">
        <f>Cen!D219</f>
        <v>0</v>
      </c>
      <c r="F95" s="198">
        <f t="shared" si="16"/>
        <v>0</v>
      </c>
      <c r="G95" s="221">
        <f>Cen!F219</f>
        <v>27.259979999999999</v>
      </c>
      <c r="H95" s="222">
        <f t="shared" si="17"/>
        <v>0</v>
      </c>
      <c r="I95" s="233"/>
      <c r="J95" s="223">
        <f>Cen!I219</f>
        <v>9677262</v>
      </c>
      <c r="K95" s="223">
        <f>Cen!J219</f>
        <v>275337</v>
      </c>
      <c r="L95" s="219">
        <f t="shared" si="14"/>
        <v>0</v>
      </c>
      <c r="M95" s="463">
        <f t="shared" si="15"/>
        <v>0</v>
      </c>
      <c r="N95" s="224"/>
      <c r="O95" s="719">
        <f>'7M400P'!$S51</f>
        <v>0</v>
      </c>
      <c r="P95" s="719">
        <f>'7M40VP'!$S51</f>
        <v>0</v>
      </c>
      <c r="Q95" s="224"/>
      <c r="R95" s="719">
        <f>'7C410P'!$S51</f>
        <v>0</v>
      </c>
      <c r="S95" s="719">
        <f>'7C410F'!$S51</f>
        <v>0</v>
      </c>
      <c r="T95" s="719">
        <f>'7C41VP'!$S51</f>
        <v>0</v>
      </c>
      <c r="U95" s="719">
        <f>'7C41VF'!$S51</f>
        <v>0</v>
      </c>
      <c r="V95" s="719">
        <f>'7C41NP'!$S51</f>
        <v>0</v>
      </c>
      <c r="W95" s="719">
        <f>'7C41NF'!$S51</f>
        <v>0</v>
      </c>
      <c r="X95" s="719">
        <f>'7C41RP'!$S51</f>
        <v>0</v>
      </c>
      <c r="Y95" s="719">
        <f>'7C41RF'!$S51</f>
        <v>0</v>
      </c>
      <c r="Z95" s="719">
        <f>'7F410P'!$S51</f>
        <v>0</v>
      </c>
      <c r="AA95" s="224"/>
      <c r="AB95" s="224"/>
      <c r="AC95" s="224"/>
      <c r="AD95" s="224"/>
      <c r="AE95" s="719">
        <f>'7CM42P'!$S51</f>
        <v>0</v>
      </c>
      <c r="AF95" s="719">
        <f>'7CM42F'!$S51</f>
        <v>0</v>
      </c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469"/>
      <c r="AT95" s="224"/>
      <c r="AU95" s="224"/>
      <c r="AV95" s="224"/>
      <c r="AW95" s="224"/>
      <c r="AX95" s="224"/>
      <c r="AY95" s="224"/>
      <c r="AZ95" s="224"/>
      <c r="BA95" s="469"/>
      <c r="BB95" s="224"/>
      <c r="BC95" s="224"/>
      <c r="BD95" s="548">
        <f t="shared" si="11"/>
        <v>0</v>
      </c>
      <c r="BE95" s="214"/>
    </row>
    <row r="96" spans="2:57" x14ac:dyDescent="0.25">
      <c r="B96" s="225" t="str">
        <f>Cen!A220</f>
        <v>Korpusové lišty TIP-ON BLUMOTION, 600mm, 70kg</v>
      </c>
      <c r="C96" s="225" t="str">
        <f>Cen!B220</f>
        <v>753.6001M</v>
      </c>
      <c r="D96" s="225" t="str">
        <f>Cen!C220</f>
        <v>ZN</v>
      </c>
      <c r="E96" s="606">
        <f>Cen!D220</f>
        <v>0</v>
      </c>
      <c r="F96" s="198">
        <f t="shared" si="16"/>
        <v>0</v>
      </c>
      <c r="G96" s="221">
        <f>Cen!F220</f>
        <v>32.5563</v>
      </c>
      <c r="H96" s="222">
        <f t="shared" si="17"/>
        <v>0</v>
      </c>
      <c r="I96" s="233"/>
      <c r="J96" s="223">
        <f>Cen!I220</f>
        <v>8301756</v>
      </c>
      <c r="K96" s="223">
        <f>Cen!J220</f>
        <v>275341</v>
      </c>
      <c r="L96" s="219">
        <f t="shared" si="14"/>
        <v>0</v>
      </c>
      <c r="M96" s="463">
        <f t="shared" si="15"/>
        <v>0</v>
      </c>
      <c r="N96" s="224"/>
      <c r="O96" s="719">
        <f>'7M400P'!$S52</f>
        <v>0</v>
      </c>
      <c r="P96" s="719">
        <f>'7M40VP'!$S52</f>
        <v>0</v>
      </c>
      <c r="Q96" s="224"/>
      <c r="R96" s="719">
        <f>'7C410P'!$S52</f>
        <v>0</v>
      </c>
      <c r="S96" s="719">
        <f>'7C410F'!$S52</f>
        <v>0</v>
      </c>
      <c r="T96" s="719">
        <f>'7C41VP'!$S52</f>
        <v>0</v>
      </c>
      <c r="U96" s="719">
        <f>'7C41VF'!$S52</f>
        <v>0</v>
      </c>
      <c r="V96" s="719">
        <f>'7C41NP'!$S52</f>
        <v>0</v>
      </c>
      <c r="W96" s="719">
        <f>'7C41NF'!$S52</f>
        <v>0</v>
      </c>
      <c r="X96" s="719">
        <f>'7C41RP'!$S52</f>
        <v>0</v>
      </c>
      <c r="Y96" s="719">
        <f>'7C41RF'!$S52</f>
        <v>0</v>
      </c>
      <c r="Z96" s="719">
        <f>'7F410P'!$S52</f>
        <v>0</v>
      </c>
      <c r="AA96" s="224"/>
      <c r="AB96" s="224"/>
      <c r="AC96" s="224"/>
      <c r="AD96" s="224"/>
      <c r="AE96" s="719">
        <f>'7CM42P'!$S52</f>
        <v>0</v>
      </c>
      <c r="AF96" s="719">
        <f>'7CM42F'!$S52</f>
        <v>0</v>
      </c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469"/>
      <c r="AT96" s="224"/>
      <c r="AU96" s="224"/>
      <c r="AV96" s="224"/>
      <c r="AW96" s="224"/>
      <c r="AX96" s="224"/>
      <c r="AY96" s="224"/>
      <c r="AZ96" s="224"/>
      <c r="BA96" s="469"/>
      <c r="BB96" s="224"/>
      <c r="BC96" s="224"/>
      <c r="BD96" s="548">
        <f t="shared" si="11"/>
        <v>0</v>
      </c>
      <c r="BE96" s="214"/>
    </row>
    <row r="97" spans="2:57" x14ac:dyDescent="0.25">
      <c r="B97" s="225" t="str">
        <f>Cen!A221</f>
        <v>Korpusové lišty TIP-ON BLUMOTION, 650mm, 70kg</v>
      </c>
      <c r="C97" s="225" t="str">
        <f>Cen!B221</f>
        <v>753.6501M</v>
      </c>
      <c r="D97" s="225" t="str">
        <f>Cen!C221</f>
        <v>ZN</v>
      </c>
      <c r="E97" s="606">
        <f>Cen!D221</f>
        <v>0</v>
      </c>
      <c r="F97" s="198">
        <f t="shared" si="16"/>
        <v>0</v>
      </c>
      <c r="G97" s="221">
        <f>Cen!F221</f>
        <v>34.047020000000003</v>
      </c>
      <c r="H97" s="222">
        <f t="shared" si="17"/>
        <v>0</v>
      </c>
      <c r="I97" s="233"/>
      <c r="J97" s="223">
        <f>Cen!I221</f>
        <v>9722794</v>
      </c>
      <c r="K97" s="223">
        <f>Cen!J221</f>
        <v>275342</v>
      </c>
      <c r="L97" s="219">
        <f t="shared" si="14"/>
        <v>0</v>
      </c>
      <c r="M97" s="463">
        <f t="shared" si="15"/>
        <v>0</v>
      </c>
      <c r="N97" s="224"/>
      <c r="O97" s="719">
        <f>'7M400P'!$S53</f>
        <v>0</v>
      </c>
      <c r="P97" s="719">
        <f>'7M40VP'!$S53</f>
        <v>0</v>
      </c>
      <c r="Q97" s="224"/>
      <c r="R97" s="719">
        <f>'7C410P'!$S53</f>
        <v>0</v>
      </c>
      <c r="S97" s="719">
        <f>'7C410F'!$S53</f>
        <v>0</v>
      </c>
      <c r="T97" s="719">
        <f>'7C41VP'!$S53</f>
        <v>0</v>
      </c>
      <c r="U97" s="719">
        <f>'7C41VF'!$S53</f>
        <v>0</v>
      </c>
      <c r="V97" s="719">
        <f>'7C41NP'!$S53</f>
        <v>0</v>
      </c>
      <c r="W97" s="719">
        <f>'7C41NF'!$S53</f>
        <v>0</v>
      </c>
      <c r="X97" s="719">
        <f>'7C41RP'!$S53</f>
        <v>0</v>
      </c>
      <c r="Y97" s="719">
        <f>'7C41RF'!$S53</f>
        <v>0</v>
      </c>
      <c r="Z97" s="719">
        <f>'7F410P'!$S53</f>
        <v>0</v>
      </c>
      <c r="AA97" s="224"/>
      <c r="AB97" s="224"/>
      <c r="AC97" s="224"/>
      <c r="AD97" s="224"/>
      <c r="AE97" s="719">
        <f>'7CM42P'!$S53</f>
        <v>0</v>
      </c>
      <c r="AF97" s="719">
        <f>'7CM42F'!$S53</f>
        <v>0</v>
      </c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469"/>
      <c r="AT97" s="224"/>
      <c r="AU97" s="224"/>
      <c r="AV97" s="224"/>
      <c r="AW97" s="224"/>
      <c r="AX97" s="224"/>
      <c r="AY97" s="224"/>
      <c r="AZ97" s="224"/>
      <c r="BA97" s="469"/>
      <c r="BB97" s="224"/>
      <c r="BC97" s="224"/>
      <c r="BD97" s="548">
        <f t="shared" si="11"/>
        <v>0</v>
      </c>
      <c r="BE97" s="214"/>
    </row>
    <row r="98" spans="2:57" x14ac:dyDescent="0.25">
      <c r="B98" s="225">
        <f>Cen!A222</f>
        <v>0</v>
      </c>
      <c r="C98" s="225">
        <f>Cen!B222</f>
        <v>0</v>
      </c>
      <c r="D98" s="225">
        <f>Cen!C222</f>
        <v>0</v>
      </c>
      <c r="E98" s="606"/>
      <c r="F98" s="198">
        <f t="shared" si="16"/>
        <v>0</v>
      </c>
      <c r="G98" s="221">
        <f>Cen!F222</f>
        <v>0</v>
      </c>
      <c r="H98" s="222">
        <f t="shared" si="17"/>
        <v>0</v>
      </c>
      <c r="I98" s="233"/>
      <c r="J98" s="223">
        <f>Cen!I222</f>
        <v>0</v>
      </c>
      <c r="K98" s="223">
        <f>Cen!J222</f>
        <v>0</v>
      </c>
      <c r="L98" s="219">
        <f t="shared" si="14"/>
        <v>0</v>
      </c>
      <c r="M98" s="463">
        <f t="shared" si="15"/>
        <v>0</v>
      </c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469"/>
      <c r="AT98" s="224"/>
      <c r="AU98" s="224"/>
      <c r="AV98" s="224"/>
      <c r="AW98" s="224"/>
      <c r="AX98" s="224"/>
      <c r="AY98" s="224"/>
      <c r="AZ98" s="224"/>
      <c r="BA98" s="469"/>
      <c r="BB98" s="224"/>
      <c r="BC98" s="224"/>
      <c r="BD98" s="548">
        <f t="shared" si="11"/>
        <v>0</v>
      </c>
      <c r="BE98" s="214"/>
    </row>
    <row r="99" spans="2:57" x14ac:dyDescent="0.25">
      <c r="B99" s="225" t="str">
        <f>Cen!A223</f>
        <v>Sada jednotek TIP-ON BLUMOTION, S1</v>
      </c>
      <c r="C99" s="225" t="str">
        <f>Cen!B223</f>
        <v>T60L7140</v>
      </c>
      <c r="D99" s="225" t="str">
        <f>Cen!C223</f>
        <v>ZN</v>
      </c>
      <c r="E99" s="606">
        <f>Cen!D223</f>
        <v>0</v>
      </c>
      <c r="F99" s="198">
        <f t="shared" si="16"/>
        <v>0</v>
      </c>
      <c r="G99" s="221">
        <f>Cen!F223</f>
        <v>15.883479999999999</v>
      </c>
      <c r="H99" s="222">
        <f t="shared" si="17"/>
        <v>0</v>
      </c>
      <c r="I99" s="233"/>
      <c r="J99" s="223">
        <f>Cen!I223</f>
        <v>3451357</v>
      </c>
      <c r="K99" s="223">
        <f>Cen!J223</f>
        <v>275343</v>
      </c>
      <c r="L99" s="219">
        <f t="shared" si="14"/>
        <v>0</v>
      </c>
      <c r="M99" s="463">
        <f t="shared" si="15"/>
        <v>0</v>
      </c>
      <c r="N99" s="224"/>
      <c r="O99" s="356">
        <f>'7M400P'!$S55</f>
        <v>0</v>
      </c>
      <c r="P99" s="719">
        <f>'7M40VP'!$S55</f>
        <v>0</v>
      </c>
      <c r="Q99" s="224"/>
      <c r="R99" s="719">
        <f>'7C410P'!$S55</f>
        <v>0</v>
      </c>
      <c r="S99" s="224"/>
      <c r="T99" s="719">
        <f>'7C41VP'!$S55</f>
        <v>0</v>
      </c>
      <c r="U99" s="224"/>
      <c r="V99" s="719">
        <f>'7C41NP'!$S55</f>
        <v>0</v>
      </c>
      <c r="W99" s="224"/>
      <c r="X99" s="719">
        <f>'7C41RP'!$S55</f>
        <v>0</v>
      </c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469"/>
      <c r="AT99" s="224"/>
      <c r="AU99" s="224"/>
      <c r="AV99" s="224"/>
      <c r="AW99" s="224"/>
      <c r="AX99" s="224"/>
      <c r="AY99" s="224"/>
      <c r="AZ99" s="224"/>
      <c r="BA99" s="469"/>
      <c r="BB99" s="224"/>
      <c r="BC99" s="224"/>
      <c r="BD99" s="548">
        <f t="shared" si="11"/>
        <v>0</v>
      </c>
      <c r="BE99" s="214"/>
    </row>
    <row r="100" spans="2:57" x14ac:dyDescent="0.25">
      <c r="B100" s="225" t="str">
        <f>Cen!A224</f>
        <v>Sada jednotek TIP-ON BLUMOTION, L1</v>
      </c>
      <c r="C100" s="225" t="str">
        <f>Cen!B224</f>
        <v>T60L7340</v>
      </c>
      <c r="D100" s="225" t="str">
        <f>Cen!C224</f>
        <v>ZN</v>
      </c>
      <c r="E100" s="606">
        <f>Cen!D224</f>
        <v>0</v>
      </c>
      <c r="F100" s="198">
        <f t="shared" si="16"/>
        <v>0</v>
      </c>
      <c r="G100" s="221">
        <f>Cen!F224</f>
        <v>15.883479999999999</v>
      </c>
      <c r="H100" s="222">
        <f t="shared" si="17"/>
        <v>0</v>
      </c>
      <c r="I100" s="233"/>
      <c r="J100" s="223">
        <f>Cen!I224</f>
        <v>2234802</v>
      </c>
      <c r="K100" s="223">
        <f>Cen!J224</f>
        <v>275344</v>
      </c>
      <c r="L100" s="219">
        <f t="shared" si="14"/>
        <v>0</v>
      </c>
      <c r="M100" s="463">
        <f t="shared" si="15"/>
        <v>0</v>
      </c>
      <c r="N100" s="356">
        <f>'7N400P'!S56</f>
        <v>0</v>
      </c>
      <c r="O100" s="719">
        <f>'7M400P'!$S56</f>
        <v>0</v>
      </c>
      <c r="P100" s="719">
        <f>'7M40VP'!$S56</f>
        <v>0</v>
      </c>
      <c r="Q100" s="719">
        <f>'7K400P'!$S56</f>
        <v>0</v>
      </c>
      <c r="R100" s="719">
        <f>'7C410P'!$S56</f>
        <v>0</v>
      </c>
      <c r="S100" s="719">
        <f>'7C410F'!$S56</f>
        <v>0</v>
      </c>
      <c r="T100" s="719">
        <f>'7C41VP'!$S56</f>
        <v>0</v>
      </c>
      <c r="U100" s="719">
        <f>'7C41VF'!$S56</f>
        <v>0</v>
      </c>
      <c r="V100" s="719">
        <f>'7C41NP'!$S56</f>
        <v>0</v>
      </c>
      <c r="W100" s="719">
        <f>'7C41NF'!$S56</f>
        <v>0</v>
      </c>
      <c r="X100" s="719">
        <f>'7C41RP'!$S56</f>
        <v>0</v>
      </c>
      <c r="Y100" s="719">
        <f>'7C41RF'!$S56</f>
        <v>0</v>
      </c>
      <c r="Z100" s="719">
        <f>'7F410P'!$S56</f>
        <v>0</v>
      </c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469"/>
      <c r="AT100" s="224"/>
      <c r="AU100" s="224"/>
      <c r="AV100" s="224"/>
      <c r="AW100" s="224"/>
      <c r="AX100" s="224"/>
      <c r="AY100" s="224"/>
      <c r="AZ100" s="224"/>
      <c r="BA100" s="469"/>
      <c r="BB100" s="224"/>
      <c r="BC100" s="224"/>
      <c r="BD100" s="548">
        <f t="shared" si="11"/>
        <v>0</v>
      </c>
      <c r="BE100" s="214"/>
    </row>
    <row r="101" spans="2:57" x14ac:dyDescent="0.25">
      <c r="B101" s="225" t="str">
        <f>Cen!A225</f>
        <v>Sada jednotek TIP-ON BLUMOTION, L3</v>
      </c>
      <c r="C101" s="225" t="str">
        <f>Cen!B225</f>
        <v>T60L7540</v>
      </c>
      <c r="D101" s="225" t="str">
        <f>Cen!C225</f>
        <v>ZN</v>
      </c>
      <c r="E101" s="606">
        <f>Cen!D225</f>
        <v>0</v>
      </c>
      <c r="F101" s="198">
        <f t="shared" si="16"/>
        <v>0</v>
      </c>
      <c r="G101" s="221">
        <f>Cen!F225</f>
        <v>15.883479999999999</v>
      </c>
      <c r="H101" s="222">
        <f t="shared" si="17"/>
        <v>0</v>
      </c>
      <c r="I101" s="233"/>
      <c r="J101" s="223">
        <f>Cen!I225</f>
        <v>1365128</v>
      </c>
      <c r="K101" s="223">
        <f>Cen!J225</f>
        <v>275345</v>
      </c>
      <c r="L101" s="219">
        <f t="shared" si="14"/>
        <v>0</v>
      </c>
      <c r="M101" s="463">
        <f t="shared" si="15"/>
        <v>0</v>
      </c>
      <c r="N101" s="719">
        <f>'7N400P'!S57</f>
        <v>0</v>
      </c>
      <c r="O101" s="719">
        <f>'7M400P'!$S57</f>
        <v>0</v>
      </c>
      <c r="P101" s="719">
        <f>'7M40VP'!$S57</f>
        <v>0</v>
      </c>
      <c r="Q101" s="719">
        <f>'7K400P'!$S57</f>
        <v>0</v>
      </c>
      <c r="R101" s="719">
        <f>'7C410P'!$S57</f>
        <v>0</v>
      </c>
      <c r="S101" s="719">
        <f>'7C410F'!$S57</f>
        <v>0</v>
      </c>
      <c r="T101" s="719">
        <f>'7C41VP'!$S57</f>
        <v>0</v>
      </c>
      <c r="U101" s="719">
        <f>'7C41VF'!$S57</f>
        <v>0</v>
      </c>
      <c r="V101" s="719">
        <f>'7C41NP'!$S57</f>
        <v>0</v>
      </c>
      <c r="W101" s="719">
        <f>'7C41NF'!$S57</f>
        <v>0</v>
      </c>
      <c r="X101" s="719">
        <f>'7C41RP'!$S57</f>
        <v>0</v>
      </c>
      <c r="Y101" s="719">
        <f>'7C41RF'!$S57</f>
        <v>0</v>
      </c>
      <c r="Z101" s="719">
        <f>'7F410P'!$S57</f>
        <v>0</v>
      </c>
      <c r="AA101" s="224"/>
      <c r="AB101" s="224"/>
      <c r="AC101" s="224"/>
      <c r="AD101" s="224"/>
      <c r="AE101" s="719">
        <f>'7CM42P'!$S57</f>
        <v>0</v>
      </c>
      <c r="AF101" s="719">
        <f>'7CM42F'!$S57</f>
        <v>0</v>
      </c>
      <c r="AG101" s="224"/>
      <c r="AH101" s="224"/>
      <c r="AI101" s="224"/>
      <c r="AJ101" s="224"/>
      <c r="AK101" s="719">
        <f>'7STCGP'!$S57</f>
        <v>0</v>
      </c>
      <c r="AL101" s="719">
        <f>'7STCGF'!$S57</f>
        <v>0</v>
      </c>
      <c r="AM101" s="719">
        <f>'7STCRP'!$S57</f>
        <v>0</v>
      </c>
      <c r="AN101" s="719">
        <f>'7STCRF'!$S57</f>
        <v>0</v>
      </c>
      <c r="AO101" s="719">
        <f>'7STMGP'!$S57</f>
        <v>0</v>
      </c>
      <c r="AP101" s="719">
        <f>'7STMGF'!$S57</f>
        <v>0</v>
      </c>
      <c r="AQ101" s="719">
        <f>'7STMRP'!$S57</f>
        <v>0</v>
      </c>
      <c r="AR101" s="719">
        <f>'7STMRF'!$S57</f>
        <v>0</v>
      </c>
      <c r="AS101" s="469"/>
      <c r="AT101" s="224"/>
      <c r="AU101" s="224"/>
      <c r="AV101" s="224"/>
      <c r="AW101" s="224"/>
      <c r="AX101" s="224"/>
      <c r="AY101" s="224"/>
      <c r="AZ101" s="224"/>
      <c r="BA101" s="469"/>
      <c r="BB101" s="224"/>
      <c r="BC101" s="224"/>
      <c r="BD101" s="548">
        <f t="shared" si="11"/>
        <v>0</v>
      </c>
      <c r="BE101" s="214"/>
    </row>
    <row r="102" spans="2:57" x14ac:dyDescent="0.25">
      <c r="B102" s="225" t="str">
        <f>Cen!A226</f>
        <v>Sada jednotek TIP-ON BLUMOTION, L5</v>
      </c>
      <c r="C102" s="225" t="str">
        <f>Cen!B226</f>
        <v>T60L7570</v>
      </c>
      <c r="D102" s="225" t="str">
        <f>Cen!C226</f>
        <v>ZN</v>
      </c>
      <c r="E102" s="606">
        <f>Cen!D226</f>
        <v>0</v>
      </c>
      <c r="F102" s="198">
        <f t="shared" si="16"/>
        <v>0</v>
      </c>
      <c r="G102" s="221">
        <f>Cen!F226</f>
        <v>15.883479999999999</v>
      </c>
      <c r="H102" s="222">
        <f t="shared" si="17"/>
        <v>0</v>
      </c>
      <c r="I102" s="233"/>
      <c r="J102" s="223">
        <f>Cen!I226</f>
        <v>9133117</v>
      </c>
      <c r="K102" s="223">
        <f>Cen!J226</f>
        <v>275347</v>
      </c>
      <c r="L102" s="219">
        <f t="shared" si="14"/>
        <v>0</v>
      </c>
      <c r="M102" s="463">
        <f t="shared" si="15"/>
        <v>0</v>
      </c>
      <c r="N102" s="224"/>
      <c r="O102" s="719">
        <f>'7M400P'!$S58</f>
        <v>0</v>
      </c>
      <c r="P102" s="719">
        <f>'7M40VP'!$S58</f>
        <v>0</v>
      </c>
      <c r="Q102" s="719">
        <f>'7K400P'!$S58</f>
        <v>0</v>
      </c>
      <c r="R102" s="719">
        <f>'7C410P'!$S58</f>
        <v>0</v>
      </c>
      <c r="S102" s="719">
        <f>'7C410F'!$S58</f>
        <v>0</v>
      </c>
      <c r="T102" s="719">
        <f>'7C41VP'!$S58</f>
        <v>0</v>
      </c>
      <c r="U102" s="719">
        <f>'7C41VF'!$S58</f>
        <v>0</v>
      </c>
      <c r="V102" s="719">
        <f>'7C41NP'!$S58</f>
        <v>0</v>
      </c>
      <c r="W102" s="719">
        <f>'7C41NF'!$S58</f>
        <v>0</v>
      </c>
      <c r="X102" s="719">
        <f>'7C41RP'!$S58</f>
        <v>0</v>
      </c>
      <c r="Y102" s="719">
        <f>'7C41RF'!$S58</f>
        <v>0</v>
      </c>
      <c r="Z102" s="719">
        <f>'7F410P'!$S58</f>
        <v>0</v>
      </c>
      <c r="AA102" s="224"/>
      <c r="AB102" s="224"/>
      <c r="AC102" s="224"/>
      <c r="AD102" s="224"/>
      <c r="AE102" s="719">
        <f>'7CM42P'!$S58</f>
        <v>0</v>
      </c>
      <c r="AF102" s="719">
        <f>'7CM42F'!$S58</f>
        <v>0</v>
      </c>
      <c r="AG102" s="224"/>
      <c r="AH102" s="224"/>
      <c r="AI102" s="224"/>
      <c r="AJ102" s="224"/>
      <c r="AK102" s="719">
        <f>'7STCGP'!$S58</f>
        <v>0</v>
      </c>
      <c r="AL102" s="719">
        <f>'7STCGF'!$S58</f>
        <v>0</v>
      </c>
      <c r="AM102" s="719">
        <f>'7STCRP'!$S58</f>
        <v>0</v>
      </c>
      <c r="AN102" s="719">
        <f>'7STCRF'!$S58</f>
        <v>0</v>
      </c>
      <c r="AO102" s="719">
        <f>'7STMGP'!$S58</f>
        <v>0</v>
      </c>
      <c r="AP102" s="719">
        <f>'7STMGF'!$S58</f>
        <v>0</v>
      </c>
      <c r="AQ102" s="719">
        <f>'7STMRP'!$S58</f>
        <v>0</v>
      </c>
      <c r="AR102" s="719">
        <f>'7STMRF'!$S58</f>
        <v>0</v>
      </c>
      <c r="AS102" s="469"/>
      <c r="AT102" s="224"/>
      <c r="AU102" s="224"/>
      <c r="AV102" s="224"/>
      <c r="AW102" s="224"/>
      <c r="AX102" s="224"/>
      <c r="AY102" s="224"/>
      <c r="AZ102" s="224"/>
      <c r="BA102" s="469"/>
      <c r="BB102" s="224"/>
      <c r="BC102" s="224"/>
      <c r="BD102" s="548">
        <f t="shared" si="11"/>
        <v>0</v>
      </c>
      <c r="BE102" s="214"/>
    </row>
    <row r="103" spans="2:57" x14ac:dyDescent="0.25">
      <c r="B103" s="225"/>
      <c r="C103" s="225"/>
      <c r="D103" s="225"/>
      <c r="E103" s="606"/>
      <c r="F103" s="198"/>
      <c r="G103" s="221"/>
      <c r="H103" s="222"/>
      <c r="I103" s="222"/>
      <c r="J103" s="223"/>
      <c r="K103" s="223"/>
      <c r="L103" s="219">
        <f t="shared" si="14"/>
        <v>0</v>
      </c>
      <c r="M103" s="463">
        <f t="shared" si="15"/>
        <v>0</v>
      </c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469"/>
      <c r="AT103" s="224"/>
      <c r="AU103" s="224"/>
      <c r="AV103" s="224"/>
      <c r="AW103" s="224"/>
      <c r="AX103" s="224"/>
      <c r="AY103" s="224"/>
      <c r="AZ103" s="224"/>
      <c r="BA103" s="469"/>
      <c r="BB103" s="224"/>
      <c r="BC103" s="224"/>
      <c r="BD103" s="548">
        <f t="shared" si="11"/>
        <v>0</v>
      </c>
      <c r="BE103" s="214"/>
    </row>
    <row r="104" spans="2:57" x14ac:dyDescent="0.25">
      <c r="B104" s="225" t="str">
        <f>Cen!A230</f>
        <v>TIP-ON synchronizace, sada pastorků</v>
      </c>
      <c r="C104" s="225" t="str">
        <f>Cen!B230</f>
        <v>T57.7400.01</v>
      </c>
      <c r="D104" s="225" t="str">
        <f>Cen!C230</f>
        <v>R737</v>
      </c>
      <c r="E104" s="606">
        <f>Cen!D230</f>
        <v>0</v>
      </c>
      <c r="F104" s="198">
        <f t="shared" si="10"/>
        <v>0</v>
      </c>
      <c r="G104" s="221">
        <f>Cen!F230</f>
        <v>6.60684</v>
      </c>
      <c r="H104" s="222">
        <f t="shared" ref="H104:H109" si="18">M104</f>
        <v>0</v>
      </c>
      <c r="I104" s="233"/>
      <c r="J104" s="223">
        <f>Cen!I230</f>
        <v>1605111</v>
      </c>
      <c r="K104" s="223">
        <f>Cen!J230</f>
        <v>227606</v>
      </c>
      <c r="L104" s="219">
        <f t="shared" ref="L104:L110" si="19">IF(I104="x",0,IF(I104&gt;0,I104,F104))</f>
        <v>0</v>
      </c>
      <c r="M104" s="463">
        <f t="shared" ref="M104:M110" si="20">PRODUCT(L104,G104)</f>
        <v>0</v>
      </c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469"/>
      <c r="AT104" s="224"/>
      <c r="AU104" s="224"/>
      <c r="AV104" s="224"/>
      <c r="AW104" s="224"/>
      <c r="AX104" s="224"/>
      <c r="AY104" s="224"/>
      <c r="AZ104" s="224"/>
      <c r="BA104" s="469"/>
      <c r="BB104" s="356">
        <f>Acs!E3</f>
        <v>0</v>
      </c>
      <c r="BC104" s="224"/>
      <c r="BD104" s="548">
        <f t="shared" si="11"/>
        <v>0</v>
      </c>
      <c r="BE104" s="214"/>
    </row>
    <row r="105" spans="2:57" x14ac:dyDescent="0.25">
      <c r="B105" s="225" t="str">
        <f>Cen!A231</f>
        <v>TIP-ON synchronizace, tyč ke zkrácení</v>
      </c>
      <c r="C105" s="225" t="str">
        <f>Cen!B231</f>
        <v>ZST.1160W</v>
      </c>
      <c r="D105" s="225" t="str">
        <f>Cen!C231</f>
        <v>ROH</v>
      </c>
      <c r="E105" s="606">
        <f>Cen!D231</f>
        <v>0</v>
      </c>
      <c r="F105" s="198">
        <f t="shared" si="10"/>
        <v>0</v>
      </c>
      <c r="G105" s="221">
        <f>Cen!F231</f>
        <v>3.6422699999999999</v>
      </c>
      <c r="H105" s="222">
        <f t="shared" si="18"/>
        <v>0</v>
      </c>
      <c r="I105" s="233"/>
      <c r="J105" s="223">
        <f>Cen!I231</f>
        <v>5075934</v>
      </c>
      <c r="K105" s="223">
        <f>Cen!J231</f>
        <v>227607</v>
      </c>
      <c r="L105" s="219">
        <f t="shared" si="19"/>
        <v>0</v>
      </c>
      <c r="M105" s="463">
        <f t="shared" si="20"/>
        <v>0</v>
      </c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469"/>
      <c r="AT105" s="224"/>
      <c r="AU105" s="224"/>
      <c r="AV105" s="224"/>
      <c r="AW105" s="224"/>
      <c r="AX105" s="224"/>
      <c r="AY105" s="224"/>
      <c r="AZ105" s="224"/>
      <c r="BA105" s="469"/>
      <c r="BB105" s="356">
        <f>Acs!E4</f>
        <v>0</v>
      </c>
      <c r="BC105" s="224"/>
      <c r="BD105" s="548">
        <f t="shared" ref="BD105:BD136" si="21">IF(AND(E105&gt;0,F105&gt;0),1,0)</f>
        <v>0</v>
      </c>
      <c r="BE105" s="214"/>
    </row>
    <row r="106" spans="2:57" x14ac:dyDescent="0.25">
      <c r="B106" s="225" t="str">
        <f>Cen!A234</f>
        <v>Boční stabilizace, sada NL 250-400mm</v>
      </c>
      <c r="C106" s="225" t="str">
        <f>Cen!B234</f>
        <v>ZS7.400LU</v>
      </c>
      <c r="D106" s="225" t="str">
        <f>Cen!C234</f>
        <v>R737</v>
      </c>
      <c r="E106" s="606">
        <f>Cen!D234</f>
        <v>0</v>
      </c>
      <c r="F106" s="198">
        <f t="shared" si="10"/>
        <v>0</v>
      </c>
      <c r="G106" s="221">
        <f>Cen!F234</f>
        <v>0</v>
      </c>
      <c r="H106" s="222">
        <f t="shared" si="18"/>
        <v>0</v>
      </c>
      <c r="I106" s="233"/>
      <c r="J106" s="223">
        <f>Cen!I234</f>
        <v>8483933</v>
      </c>
      <c r="K106" s="223" t="str">
        <f>Cen!J234</f>
        <v>-</v>
      </c>
      <c r="L106" s="219">
        <f t="shared" si="19"/>
        <v>0</v>
      </c>
      <c r="M106" s="463">
        <f t="shared" si="20"/>
        <v>0</v>
      </c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469"/>
      <c r="AT106" s="224"/>
      <c r="AU106" s="224"/>
      <c r="AV106" s="224"/>
      <c r="AW106" s="224"/>
      <c r="AX106" s="224"/>
      <c r="AY106" s="224"/>
      <c r="AZ106" s="224"/>
      <c r="BA106" s="469"/>
      <c r="BB106" s="356">
        <f>Acs!E5</f>
        <v>0</v>
      </c>
      <c r="BC106" s="224"/>
      <c r="BD106" s="548">
        <f t="shared" si="21"/>
        <v>0</v>
      </c>
      <c r="BE106" s="214"/>
    </row>
    <row r="107" spans="2:57" x14ac:dyDescent="0.25">
      <c r="B107" s="225" t="str">
        <f>Cen!A235</f>
        <v>Boční stabilizace, sada NL 450-600mm</v>
      </c>
      <c r="C107" s="225" t="str">
        <f>Cen!B235</f>
        <v>ZS7.650LU</v>
      </c>
      <c r="D107" s="225" t="str">
        <f>Cen!C235</f>
        <v>R737</v>
      </c>
      <c r="E107" s="606">
        <f>Cen!D235</f>
        <v>0</v>
      </c>
      <c r="F107" s="198">
        <f t="shared" si="10"/>
        <v>0</v>
      </c>
      <c r="G107" s="221">
        <f>Cen!F235</f>
        <v>0</v>
      </c>
      <c r="H107" s="222">
        <f t="shared" si="18"/>
        <v>0</v>
      </c>
      <c r="I107" s="233"/>
      <c r="J107" s="223">
        <f>Cen!I235</f>
        <v>3658072</v>
      </c>
      <c r="K107" s="223" t="str">
        <f>Cen!J235</f>
        <v>-</v>
      </c>
      <c r="L107" s="219">
        <f t="shared" si="19"/>
        <v>0</v>
      </c>
      <c r="M107" s="463">
        <f t="shared" si="20"/>
        <v>0</v>
      </c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469"/>
      <c r="AT107" s="224"/>
      <c r="AU107" s="224"/>
      <c r="AV107" s="224"/>
      <c r="AW107" s="224"/>
      <c r="AX107" s="224"/>
      <c r="AY107" s="224"/>
      <c r="AZ107" s="224"/>
      <c r="BA107" s="469"/>
      <c r="BB107" s="356">
        <f>Acs!E6</f>
        <v>0</v>
      </c>
      <c r="BC107" s="224"/>
      <c r="BD107" s="548">
        <f t="shared" si="21"/>
        <v>0</v>
      </c>
      <c r="BE107" s="214"/>
    </row>
    <row r="108" spans="2:57" x14ac:dyDescent="0.25">
      <c r="B108" s="225" t="str">
        <f>Cen!A239</f>
        <v>TIP-ON BLM synchronizační adaptér</v>
      </c>
      <c r="C108" s="225" t="str">
        <f>Cen!B239</f>
        <v>T60.000D</v>
      </c>
      <c r="D108" s="225" t="str">
        <f>Cen!C239</f>
        <v>R736</v>
      </c>
      <c r="E108" s="606">
        <f>Cen!D239</f>
        <v>0</v>
      </c>
      <c r="F108" s="198">
        <f>IF(I108&gt;0,I108,SUM(N108:BC108))</f>
        <v>0</v>
      </c>
      <c r="G108" s="221">
        <f>Cen!F239</f>
        <v>0.22786000000000001</v>
      </c>
      <c r="H108" s="222">
        <f t="shared" si="18"/>
        <v>0</v>
      </c>
      <c r="I108" s="233"/>
      <c r="J108" s="223">
        <f>Cen!I239</f>
        <v>1512005</v>
      </c>
      <c r="K108" s="223">
        <f>Cen!J239</f>
        <v>275348</v>
      </c>
      <c r="L108" s="219">
        <f>IF(I108="x",0,IF(I108&gt;0,I108,F108))</f>
        <v>0</v>
      </c>
      <c r="M108" s="463">
        <f t="shared" si="20"/>
        <v>0</v>
      </c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469"/>
      <c r="AT108" s="224"/>
      <c r="AU108" s="224"/>
      <c r="AV108" s="224"/>
      <c r="AW108" s="224"/>
      <c r="AX108" s="224"/>
      <c r="AY108" s="224"/>
      <c r="AZ108" s="224"/>
      <c r="BA108" s="469"/>
      <c r="BB108" s="356">
        <f>Acs!E7</f>
        <v>0</v>
      </c>
      <c r="BC108" s="224"/>
      <c r="BD108" s="548">
        <f>IF(AND(E108&gt;0,F108&gt;0),1,0)</f>
        <v>0</v>
      </c>
      <c r="BE108" s="214"/>
    </row>
    <row r="109" spans="2:57" x14ac:dyDescent="0.25">
      <c r="B109" s="225" t="str">
        <f>Cen!A240</f>
        <v>TIP-ON BLM hřídel synchronizace, ke zkrácení</v>
      </c>
      <c r="C109" s="225" t="str">
        <f>Cen!B240</f>
        <v>T60L1125W</v>
      </c>
      <c r="D109" s="225" t="str">
        <f>Cen!C240</f>
        <v>S</v>
      </c>
      <c r="E109" s="606">
        <f>Cen!D240</f>
        <v>0</v>
      </c>
      <c r="F109" s="198">
        <f>IF(I109&gt;0,I109,SUM(N109:BC109))</f>
        <v>0</v>
      </c>
      <c r="G109" s="221">
        <f>Cen!F240</f>
        <v>3.7524400000000004</v>
      </c>
      <c r="H109" s="222">
        <f t="shared" si="18"/>
        <v>0</v>
      </c>
      <c r="I109" s="233"/>
      <c r="J109" s="223">
        <f>Cen!I240</f>
        <v>2101757</v>
      </c>
      <c r="K109" s="223">
        <f>Cen!J240</f>
        <v>282277</v>
      </c>
      <c r="L109" s="219">
        <f>IF(I109="x",0,IF(I109&gt;0,I109,F109))</f>
        <v>0</v>
      </c>
      <c r="M109" s="463">
        <f t="shared" si="20"/>
        <v>0</v>
      </c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469"/>
      <c r="AT109" s="224"/>
      <c r="AU109" s="224"/>
      <c r="AV109" s="224"/>
      <c r="AW109" s="224"/>
      <c r="AX109" s="224"/>
      <c r="AY109" s="224"/>
      <c r="AZ109" s="224"/>
      <c r="BA109" s="469"/>
      <c r="BB109" s="356">
        <f>Acs!E8</f>
        <v>0</v>
      </c>
      <c r="BC109" s="224"/>
      <c r="BD109" s="548">
        <f>IF(AND(E109&gt;0,F109&gt;0),1,0)</f>
        <v>0</v>
      </c>
      <c r="BE109" s="214"/>
    </row>
    <row r="110" spans="2:57" x14ac:dyDescent="0.25">
      <c r="B110" s="225"/>
      <c r="C110" s="225"/>
      <c r="D110" s="225"/>
      <c r="E110" s="606"/>
      <c r="F110" s="198">
        <f t="shared" ref="F110:F142" si="22">IF(I110&gt;0,I110,SUM(N110:BC110))</f>
        <v>0</v>
      </c>
      <c r="G110" s="221"/>
      <c r="H110" s="222"/>
      <c r="I110" s="222"/>
      <c r="J110" s="223"/>
      <c r="K110" s="223"/>
      <c r="L110" s="219">
        <f t="shared" si="19"/>
        <v>0</v>
      </c>
      <c r="M110" s="463">
        <f t="shared" si="20"/>
        <v>0</v>
      </c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469"/>
      <c r="AT110" s="224"/>
      <c r="AU110" s="224"/>
      <c r="AV110" s="224"/>
      <c r="AW110" s="224"/>
      <c r="AX110" s="224"/>
      <c r="AY110" s="224"/>
      <c r="AZ110" s="224"/>
      <c r="BA110" s="469"/>
      <c r="BB110" s="224"/>
      <c r="BC110" s="224"/>
      <c r="BD110" s="548">
        <f t="shared" si="21"/>
        <v>0</v>
      </c>
      <c r="BE110" s="214"/>
    </row>
    <row r="111" spans="2:57" x14ac:dyDescent="0.25">
      <c r="B111" s="220" t="str">
        <f>Cen!A247</f>
        <v>Držáky zadní stěny N, Orion šedé</v>
      </c>
      <c r="C111" s="220" t="str">
        <f>Cen!B247</f>
        <v>ZB7N000S</v>
      </c>
      <c r="D111" s="220" t="str">
        <f>Cen!C247</f>
        <v>OG-M</v>
      </c>
      <c r="E111" s="606">
        <f>Cen!D247</f>
        <v>0</v>
      </c>
      <c r="F111" s="198">
        <f t="shared" si="22"/>
        <v>0</v>
      </c>
      <c r="G111" s="221">
        <f>Cen!F247</f>
        <v>1.20011</v>
      </c>
      <c r="H111" s="222">
        <f t="shared" ref="H111:H125" si="23">M111</f>
        <v>0</v>
      </c>
      <c r="I111" s="233"/>
      <c r="J111" s="223">
        <f>Cen!I247</f>
        <v>2948763</v>
      </c>
      <c r="K111" s="223">
        <f>Cen!J247</f>
        <v>227550</v>
      </c>
      <c r="L111" s="219">
        <f t="shared" ref="L111:L125" si="24">IF(I111="x",0,IF(I111&gt;0,I111,F111))</f>
        <v>0</v>
      </c>
      <c r="M111" s="463">
        <f t="shared" ref="M111:M125" si="25">PRODUCT(L111,G111)</f>
        <v>0</v>
      </c>
      <c r="N111" s="356">
        <f>'7N400P'!S60</f>
        <v>0</v>
      </c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469"/>
      <c r="AT111" s="224"/>
      <c r="AU111" s="224"/>
      <c r="AV111" s="224"/>
      <c r="AW111" s="224"/>
      <c r="AX111" s="224"/>
      <c r="AY111" s="224"/>
      <c r="AZ111" s="224"/>
      <c r="BA111" s="469"/>
      <c r="BB111" s="224"/>
      <c r="BC111" s="224"/>
      <c r="BD111" s="548">
        <f t="shared" si="21"/>
        <v>0</v>
      </c>
      <c r="BE111" s="214"/>
    </row>
    <row r="112" spans="2:57" x14ac:dyDescent="0.25">
      <c r="B112" s="225" t="str">
        <f>Cen!A251</f>
        <v>Držáky zadní stěny M, Orion šedé</v>
      </c>
      <c r="C112" s="225" t="str">
        <f>Cen!B251</f>
        <v>ZB7M000S</v>
      </c>
      <c r="D112" s="225" t="str">
        <f>Cen!C251</f>
        <v>OG-M</v>
      </c>
      <c r="E112" s="606">
        <f>Cen!D251</f>
        <v>0</v>
      </c>
      <c r="F112" s="198">
        <f t="shared" si="22"/>
        <v>0</v>
      </c>
      <c r="G112" s="221">
        <f>Cen!F251</f>
        <v>1.20011</v>
      </c>
      <c r="H112" s="222">
        <f t="shared" si="23"/>
        <v>0</v>
      </c>
      <c r="I112" s="233"/>
      <c r="J112" s="223">
        <f>Cen!I251</f>
        <v>6440820</v>
      </c>
      <c r="K112" s="223">
        <f>Cen!J251</f>
        <v>227554</v>
      </c>
      <c r="L112" s="219">
        <f t="shared" si="24"/>
        <v>0</v>
      </c>
      <c r="M112" s="463">
        <f t="shared" si="25"/>
        <v>0</v>
      </c>
      <c r="N112" s="224"/>
      <c r="O112" s="356">
        <f>'7M400P'!S60</f>
        <v>0</v>
      </c>
      <c r="P112" s="356">
        <f>'7M40VP'!S60</f>
        <v>0</v>
      </c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356">
        <f>'7M442P'!S41</f>
        <v>0</v>
      </c>
      <c r="AC112" s="224"/>
      <c r="AD112" s="224"/>
      <c r="AE112" s="356">
        <f>'7CM42P'!S60</f>
        <v>0</v>
      </c>
      <c r="AF112" s="356">
        <f>'7CM42F'!S60</f>
        <v>0</v>
      </c>
      <c r="AG112" s="224"/>
      <c r="AH112" s="356">
        <f>'7CM52P'!S36</f>
        <v>0</v>
      </c>
      <c r="AI112" s="356">
        <f>'7CM52F'!S36</f>
        <v>0</v>
      </c>
      <c r="AJ112" s="224"/>
      <c r="AK112" s="224"/>
      <c r="AL112" s="224"/>
      <c r="AM112" s="224"/>
      <c r="AN112" s="224"/>
      <c r="AO112" s="356">
        <f>'7STMGP'!S60</f>
        <v>0</v>
      </c>
      <c r="AP112" s="356">
        <f>'7STMGF'!S60</f>
        <v>0</v>
      </c>
      <c r="AQ112" s="356">
        <f>'7STMRP'!S60</f>
        <v>0</v>
      </c>
      <c r="AR112" s="356">
        <f>'7STMRF'!S60</f>
        <v>0</v>
      </c>
      <c r="AS112" s="469"/>
      <c r="AT112" s="224"/>
      <c r="AU112" s="224"/>
      <c r="AV112" s="224"/>
      <c r="AW112" s="224"/>
      <c r="AX112" s="224"/>
      <c r="AY112" s="224"/>
      <c r="AZ112" s="224"/>
      <c r="BA112" s="469"/>
      <c r="BB112" s="224"/>
      <c r="BC112" s="224"/>
      <c r="BD112" s="548">
        <f t="shared" si="21"/>
        <v>0</v>
      </c>
      <c r="BE112" s="214"/>
    </row>
    <row r="113" spans="2:57" x14ac:dyDescent="0.25">
      <c r="B113" s="225" t="str">
        <f>Cen!A255</f>
        <v>Držáky zadní stěny K, Orion šedé</v>
      </c>
      <c r="C113" s="225" t="str">
        <f>Cen!B255</f>
        <v>ZB7K000S</v>
      </c>
      <c r="D113" s="225" t="str">
        <f>Cen!C255</f>
        <v>OG-M</v>
      </c>
      <c r="E113" s="606">
        <f>Cen!D255</f>
        <v>0</v>
      </c>
      <c r="F113" s="198">
        <f t="shared" si="22"/>
        <v>0</v>
      </c>
      <c r="G113" s="221">
        <f>Cen!F255</f>
        <v>1.4279500000000001</v>
      </c>
      <c r="H113" s="222">
        <f t="shared" si="23"/>
        <v>0</v>
      </c>
      <c r="I113" s="233"/>
      <c r="J113" s="223">
        <f>Cen!I255</f>
        <v>1537116</v>
      </c>
      <c r="K113" s="223">
        <f>Cen!J255</f>
        <v>227558</v>
      </c>
      <c r="L113" s="219">
        <f t="shared" si="24"/>
        <v>0</v>
      </c>
      <c r="M113" s="463">
        <f t="shared" si="25"/>
        <v>0</v>
      </c>
      <c r="N113" s="224"/>
      <c r="O113" s="224"/>
      <c r="P113" s="224"/>
      <c r="Q113" s="356">
        <f>'7K400P'!S60</f>
        <v>0</v>
      </c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469"/>
      <c r="AT113" s="224"/>
      <c r="AU113" s="224"/>
      <c r="AV113" s="224"/>
      <c r="AW113" s="224"/>
      <c r="AX113" s="224"/>
      <c r="AY113" s="224"/>
      <c r="AZ113" s="224"/>
      <c r="BA113" s="469"/>
      <c r="BB113" s="224"/>
      <c r="BC113" s="224"/>
      <c r="BD113" s="548">
        <f t="shared" si="21"/>
        <v>0</v>
      </c>
      <c r="BE113" s="214"/>
    </row>
    <row r="114" spans="2:57" x14ac:dyDescent="0.25">
      <c r="B114" s="225" t="str">
        <f>Cen!A259</f>
        <v>Držáky zadní stěny C, Orion šedé</v>
      </c>
      <c r="C114" s="225" t="str">
        <f>Cen!B259</f>
        <v>ZB7C000S</v>
      </c>
      <c r="D114" s="225" t="str">
        <f>Cen!C259</f>
        <v>OG-M</v>
      </c>
      <c r="E114" s="606">
        <f>Cen!D259</f>
        <v>0</v>
      </c>
      <c r="F114" s="198">
        <f t="shared" si="22"/>
        <v>0</v>
      </c>
      <c r="G114" s="221">
        <f>Cen!F259</f>
        <v>1.59894</v>
      </c>
      <c r="H114" s="222">
        <f t="shared" si="23"/>
        <v>0</v>
      </c>
      <c r="I114" s="233"/>
      <c r="J114" s="223">
        <f>Cen!I259</f>
        <v>4160461</v>
      </c>
      <c r="K114" s="223">
        <f>Cen!J259</f>
        <v>227562</v>
      </c>
      <c r="L114" s="219">
        <f t="shared" si="24"/>
        <v>0</v>
      </c>
      <c r="M114" s="463">
        <f t="shared" si="25"/>
        <v>0</v>
      </c>
      <c r="N114" s="224"/>
      <c r="O114" s="224"/>
      <c r="P114" s="224"/>
      <c r="Q114" s="224"/>
      <c r="R114" s="356">
        <f>'7C410P'!S60</f>
        <v>0</v>
      </c>
      <c r="S114" s="356">
        <f>'7C410F'!S60</f>
        <v>0</v>
      </c>
      <c r="T114" s="356">
        <f>'7C41VP'!S60</f>
        <v>0</v>
      </c>
      <c r="U114" s="356">
        <f>'7C41VF'!S60</f>
        <v>0</v>
      </c>
      <c r="V114" s="356">
        <f>'7C41NP'!S60</f>
        <v>0</v>
      </c>
      <c r="W114" s="356">
        <f>'7C41NF'!S60</f>
        <v>0</v>
      </c>
      <c r="X114" s="356">
        <f>'7C41RP'!S60</f>
        <v>0</v>
      </c>
      <c r="Y114" s="356">
        <f>'7C41RF'!S60</f>
        <v>0</v>
      </c>
      <c r="Z114" s="224"/>
      <c r="AA114" s="224"/>
      <c r="AB114" s="224"/>
      <c r="AC114" s="356">
        <f>'7C442P'!S41</f>
        <v>0</v>
      </c>
      <c r="AD114" s="356">
        <f>'7C442F'!S41</f>
        <v>0</v>
      </c>
      <c r="AE114" s="356">
        <f>'7CM42P'!S61</f>
        <v>0</v>
      </c>
      <c r="AF114" s="356">
        <f>'7CM42F'!S61</f>
        <v>0</v>
      </c>
      <c r="AG114" s="224"/>
      <c r="AH114" s="356">
        <f>'7CM52P'!S38</f>
        <v>0</v>
      </c>
      <c r="AI114" s="356">
        <f>'7CM52F'!S38</f>
        <v>0</v>
      </c>
      <c r="AJ114" s="224"/>
      <c r="AK114" s="356">
        <f>'7STCGP'!S61</f>
        <v>0</v>
      </c>
      <c r="AL114" s="356">
        <f>'7STCGF'!S60</f>
        <v>0</v>
      </c>
      <c r="AM114" s="356">
        <f>'7STCRP'!S60</f>
        <v>0</v>
      </c>
      <c r="AN114" s="356">
        <f>'7STCRF'!S60</f>
        <v>0</v>
      </c>
      <c r="AO114" s="356">
        <f>'7STMGP'!S61</f>
        <v>0</v>
      </c>
      <c r="AP114" s="356">
        <f>'7STMGF'!S61</f>
        <v>0</v>
      </c>
      <c r="AQ114" s="356">
        <f>'7STMRP'!S61</f>
        <v>0</v>
      </c>
      <c r="AR114" s="356">
        <f>'7STMRF'!S61</f>
        <v>0</v>
      </c>
      <c r="AS114" s="469"/>
      <c r="AT114" s="224"/>
      <c r="AU114" s="224"/>
      <c r="AV114" s="224"/>
      <c r="AW114" s="224"/>
      <c r="AX114" s="224"/>
      <c r="AY114" s="224"/>
      <c r="AZ114" s="224"/>
      <c r="BA114" s="469"/>
      <c r="BB114" s="224"/>
      <c r="BC114" s="224"/>
      <c r="BD114" s="548">
        <f t="shared" si="21"/>
        <v>0</v>
      </c>
      <c r="BE114" s="214"/>
    </row>
    <row r="115" spans="2:57" x14ac:dyDescent="0.25">
      <c r="B115" s="225" t="str">
        <f>Cen!A263</f>
        <v>Držáky zadní stěny F, Orion šedé</v>
      </c>
      <c r="C115" s="225" t="str">
        <f>Cen!B263</f>
        <v>ZB7F000S</v>
      </c>
      <c r="D115" s="225" t="str">
        <f>Cen!C263</f>
        <v>OG-M</v>
      </c>
      <c r="E115" s="606">
        <f>Cen!D263</f>
        <v>0</v>
      </c>
      <c r="F115" s="198">
        <f t="shared" si="22"/>
        <v>0</v>
      </c>
      <c r="G115" s="221">
        <f>Cen!F263</f>
        <v>3.3417300000000001</v>
      </c>
      <c r="H115" s="222">
        <f t="shared" si="23"/>
        <v>0</v>
      </c>
      <c r="I115" s="233"/>
      <c r="J115" s="223">
        <f>Cen!I263</f>
        <v>7246986</v>
      </c>
      <c r="K115" s="223">
        <f>Cen!J263</f>
        <v>227566</v>
      </c>
      <c r="L115" s="219">
        <f t="shared" si="24"/>
        <v>0</v>
      </c>
      <c r="M115" s="463">
        <f t="shared" si="25"/>
        <v>0</v>
      </c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356">
        <f>'7F410P'!S60</f>
        <v>0</v>
      </c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469"/>
      <c r="AT115" s="224"/>
      <c r="AU115" s="224"/>
      <c r="AV115" s="224"/>
      <c r="AW115" s="224"/>
      <c r="AX115" s="224"/>
      <c r="AY115" s="224"/>
      <c r="AZ115" s="224"/>
      <c r="BA115" s="469"/>
      <c r="BB115" s="224"/>
      <c r="BC115" s="224"/>
      <c r="BD115" s="548">
        <f t="shared" si="21"/>
        <v>0</v>
      </c>
      <c r="BE115" s="214"/>
    </row>
    <row r="116" spans="2:57" x14ac:dyDescent="0.25">
      <c r="B116" s="225"/>
      <c r="C116" s="225"/>
      <c r="D116" s="225"/>
      <c r="E116" s="606"/>
      <c r="F116" s="198"/>
      <c r="G116" s="221"/>
      <c r="H116" s="222"/>
      <c r="I116" s="222"/>
      <c r="J116" s="223"/>
      <c r="K116" s="223"/>
      <c r="L116" s="219">
        <f t="shared" si="24"/>
        <v>0</v>
      </c>
      <c r="M116" s="463">
        <f t="shared" si="25"/>
        <v>0</v>
      </c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469"/>
      <c r="AT116" s="224"/>
      <c r="AU116" s="224"/>
      <c r="AV116" s="224"/>
      <c r="AW116" s="224"/>
      <c r="AX116" s="224"/>
      <c r="AY116" s="224"/>
      <c r="AZ116" s="224"/>
      <c r="BA116" s="469"/>
      <c r="BB116" s="224"/>
      <c r="BC116" s="224"/>
      <c r="BD116" s="548">
        <f t="shared" si="21"/>
        <v>0</v>
      </c>
      <c r="BE116" s="214"/>
    </row>
    <row r="117" spans="2:57" x14ac:dyDescent="0.25">
      <c r="B117" s="225" t="str">
        <f>Cen!A272</f>
        <v>Čelní kování N, EXPANDO</v>
      </c>
      <c r="C117" s="225" t="str">
        <f>Cen!B272</f>
        <v>ZF7N70E2</v>
      </c>
      <c r="D117" s="225" t="str">
        <f>Cen!C272</f>
        <v>BL</v>
      </c>
      <c r="E117" s="606">
        <f>Cen!D272</f>
        <v>0</v>
      </c>
      <c r="F117" s="198">
        <f t="shared" si="22"/>
        <v>0</v>
      </c>
      <c r="G117" s="221">
        <f>Cen!F272</f>
        <v>0.76114999999999999</v>
      </c>
      <c r="H117" s="222">
        <f t="shared" si="23"/>
        <v>0</v>
      </c>
      <c r="I117" s="233"/>
      <c r="J117" s="223">
        <f>Cen!I272</f>
        <v>4745381</v>
      </c>
      <c r="K117" s="223">
        <f>Cen!J272</f>
        <v>227542</v>
      </c>
      <c r="L117" s="219">
        <f t="shared" si="24"/>
        <v>0</v>
      </c>
      <c r="M117" s="463">
        <f t="shared" si="25"/>
        <v>0</v>
      </c>
      <c r="N117" s="356">
        <f>'7N400P'!S61</f>
        <v>0</v>
      </c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469"/>
      <c r="AT117" s="224"/>
      <c r="AU117" s="224"/>
      <c r="AV117" s="224"/>
      <c r="AW117" s="224"/>
      <c r="AX117" s="224"/>
      <c r="AY117" s="224"/>
      <c r="AZ117" s="224"/>
      <c r="BA117" s="469"/>
      <c r="BB117" s="224"/>
      <c r="BC117" s="224"/>
      <c r="BD117" s="548">
        <f t="shared" si="21"/>
        <v>0</v>
      </c>
      <c r="BE117" s="214"/>
    </row>
    <row r="118" spans="2:57" x14ac:dyDescent="0.25">
      <c r="B118" s="225" t="str">
        <f>Cen!A274</f>
        <v>Čelní kování M, EXPANDO</v>
      </c>
      <c r="C118" s="225" t="str">
        <f>Cen!B274</f>
        <v>ZF7M70E2</v>
      </c>
      <c r="D118" s="225" t="str">
        <f>Cen!C274</f>
        <v>BL</v>
      </c>
      <c r="E118" s="606">
        <f>Cen!D274</f>
        <v>0</v>
      </c>
      <c r="F118" s="198">
        <f t="shared" si="22"/>
        <v>0</v>
      </c>
      <c r="G118" s="221">
        <f>Cen!F274</f>
        <v>0.35138999999999998</v>
      </c>
      <c r="H118" s="222">
        <f t="shared" si="23"/>
        <v>0</v>
      </c>
      <c r="I118" s="233"/>
      <c r="J118" s="223">
        <f>Cen!I274</f>
        <v>7054881</v>
      </c>
      <c r="K118" s="223">
        <f>Cen!J274</f>
        <v>227544</v>
      </c>
      <c r="L118" s="219">
        <f t="shared" si="24"/>
        <v>0</v>
      </c>
      <c r="M118" s="463">
        <f t="shared" si="25"/>
        <v>0</v>
      </c>
      <c r="N118" s="224"/>
      <c r="O118" s="356">
        <f>'7M400P'!S61</f>
        <v>0</v>
      </c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356">
        <f>'7F410P'!S61</f>
        <v>0</v>
      </c>
      <c r="AA118" s="224"/>
      <c r="AB118" s="356">
        <f>'7M442P'!S42</f>
        <v>0</v>
      </c>
      <c r="AC118" s="224"/>
      <c r="AD118" s="224"/>
      <c r="AE118" s="356">
        <f>'7CM42P'!S62</f>
        <v>0</v>
      </c>
      <c r="AF118" s="356">
        <f>'7CM42F'!S62</f>
        <v>0</v>
      </c>
      <c r="AG118" s="224"/>
      <c r="AH118" s="356">
        <f>'7CM52P'!S40</f>
        <v>0</v>
      </c>
      <c r="AI118" s="356">
        <f>'7CM52F'!S40</f>
        <v>0</v>
      </c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469"/>
      <c r="AT118" s="224"/>
      <c r="AU118" s="224"/>
      <c r="AV118" s="224"/>
      <c r="AW118" s="224"/>
      <c r="AX118" s="224"/>
      <c r="AY118" s="224"/>
      <c r="AZ118" s="224"/>
      <c r="BA118" s="469"/>
      <c r="BB118" s="224"/>
      <c r="BC118" s="224"/>
      <c r="BD118" s="548">
        <f t="shared" si="21"/>
        <v>0</v>
      </c>
      <c r="BE118" s="214"/>
    </row>
    <row r="119" spans="2:57" x14ac:dyDescent="0.25">
      <c r="B119" s="225" t="str">
        <f>Cen!A276</f>
        <v>Čelní kování K, EXPANDO</v>
      </c>
      <c r="C119" s="225" t="str">
        <f>Cen!B276</f>
        <v>ZF7K70E2</v>
      </c>
      <c r="D119" s="225" t="str">
        <f>Cen!C276</f>
        <v>BL</v>
      </c>
      <c r="E119" s="606">
        <f>Cen!D276</f>
        <v>0</v>
      </c>
      <c r="F119" s="198">
        <f t="shared" si="22"/>
        <v>0</v>
      </c>
      <c r="G119" s="221">
        <f>Cen!F276</f>
        <v>0.59467999999999999</v>
      </c>
      <c r="H119" s="222">
        <f t="shared" si="23"/>
        <v>0</v>
      </c>
      <c r="I119" s="233"/>
      <c r="J119" s="223">
        <f>Cen!I276</f>
        <v>4314617</v>
      </c>
      <c r="K119" s="223">
        <f>Cen!J276</f>
        <v>227546</v>
      </c>
      <c r="L119" s="219">
        <f t="shared" si="24"/>
        <v>0</v>
      </c>
      <c r="M119" s="463">
        <f t="shared" si="25"/>
        <v>0</v>
      </c>
      <c r="N119" s="224"/>
      <c r="O119" s="224"/>
      <c r="P119" s="224"/>
      <c r="Q119" s="356">
        <f>'7K400P'!S61</f>
        <v>0</v>
      </c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469"/>
      <c r="AT119" s="224"/>
      <c r="AU119" s="224"/>
      <c r="AV119" s="224"/>
      <c r="AW119" s="224"/>
      <c r="AX119" s="224"/>
      <c r="AY119" s="224"/>
      <c r="AZ119" s="224"/>
      <c r="BA119" s="469"/>
      <c r="BB119" s="224"/>
      <c r="BC119" s="224"/>
      <c r="BD119" s="548">
        <f t="shared" si="21"/>
        <v>0</v>
      </c>
      <c r="BE119" s="214"/>
    </row>
    <row r="120" spans="2:57" x14ac:dyDescent="0.25">
      <c r="B120" s="225" t="str">
        <f>Cen!A278</f>
        <v>Čelní kování C, EXPANDO</v>
      </c>
      <c r="C120" s="225" t="str">
        <f>Cen!B278</f>
        <v>ZF7C70E2</v>
      </c>
      <c r="D120" s="225" t="str">
        <f>Cen!C278</f>
        <v>BL</v>
      </c>
      <c r="E120" s="606">
        <f>Cen!D278</f>
        <v>0</v>
      </c>
      <c r="F120" s="198">
        <f t="shared" si="22"/>
        <v>0</v>
      </c>
      <c r="G120" s="221">
        <f>Cen!F278</f>
        <v>0.76134999999999986</v>
      </c>
      <c r="H120" s="222">
        <f t="shared" si="23"/>
        <v>0</v>
      </c>
      <c r="I120" s="233"/>
      <c r="J120" s="223">
        <f>Cen!I278</f>
        <v>6997079</v>
      </c>
      <c r="K120" s="223">
        <f>Cen!J278</f>
        <v>227548</v>
      </c>
      <c r="L120" s="219">
        <f t="shared" si="24"/>
        <v>0</v>
      </c>
      <c r="M120" s="463">
        <f t="shared" si="25"/>
        <v>0</v>
      </c>
      <c r="N120" s="224"/>
      <c r="O120" s="224"/>
      <c r="P120" s="224"/>
      <c r="Q120" s="224"/>
      <c r="R120" s="356">
        <f>'7C410P'!S61</f>
        <v>0</v>
      </c>
      <c r="S120" s="356">
        <f>'7C410F'!S61</f>
        <v>0</v>
      </c>
      <c r="T120" s="224"/>
      <c r="U120" s="224"/>
      <c r="V120" s="224"/>
      <c r="W120" s="224"/>
      <c r="X120" s="224"/>
      <c r="Y120" s="224"/>
      <c r="Z120" s="356">
        <f>'7F410P'!S62</f>
        <v>0</v>
      </c>
      <c r="AA120" s="224"/>
      <c r="AB120" s="224"/>
      <c r="AC120" s="356">
        <f>'7C442P'!S42</f>
        <v>0</v>
      </c>
      <c r="AD120" s="356">
        <f>'7C442F'!S42</f>
        <v>0</v>
      </c>
      <c r="AE120" s="356">
        <f>'7CM42P'!S63</f>
        <v>0</v>
      </c>
      <c r="AF120" s="356">
        <f>'7CM42F'!S63</f>
        <v>0</v>
      </c>
      <c r="AG120" s="224"/>
      <c r="AH120" s="356">
        <f>'7CM52P'!S42</f>
        <v>0</v>
      </c>
      <c r="AI120" s="356">
        <f>'7CM52F'!S42</f>
        <v>0</v>
      </c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469"/>
      <c r="AT120" s="224"/>
      <c r="AU120" s="224"/>
      <c r="AV120" s="224"/>
      <c r="AW120" s="224"/>
      <c r="AX120" s="224"/>
      <c r="AY120" s="224"/>
      <c r="AZ120" s="224"/>
      <c r="BA120" s="469"/>
      <c r="BB120" s="224"/>
      <c r="BC120" s="224"/>
      <c r="BD120" s="548">
        <f t="shared" si="21"/>
        <v>0</v>
      </c>
      <c r="BE120" s="214"/>
    </row>
    <row r="121" spans="2:57" x14ac:dyDescent="0.25">
      <c r="B121" s="225"/>
      <c r="C121" s="225"/>
      <c r="D121" s="225"/>
      <c r="E121" s="606"/>
      <c r="F121" s="198"/>
      <c r="G121" s="221"/>
      <c r="H121" s="222"/>
      <c r="I121" s="222"/>
      <c r="J121" s="223"/>
      <c r="K121" s="223"/>
      <c r="L121" s="219">
        <f t="shared" si="24"/>
        <v>0</v>
      </c>
      <c r="M121" s="463">
        <f t="shared" si="25"/>
        <v>0</v>
      </c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469"/>
      <c r="AT121" s="224"/>
      <c r="AU121" s="224"/>
      <c r="AV121" s="224"/>
      <c r="AW121" s="224"/>
      <c r="AX121" s="224"/>
      <c r="AY121" s="224"/>
      <c r="AZ121" s="224"/>
      <c r="BA121" s="469"/>
      <c r="BB121" s="224"/>
      <c r="BC121" s="224"/>
      <c r="BD121" s="548">
        <f t="shared" si="21"/>
        <v>0</v>
      </c>
      <c r="BE121" s="214"/>
    </row>
    <row r="122" spans="2:57" x14ac:dyDescent="0.25">
      <c r="B122" s="225" t="str">
        <f>Cen!A285</f>
        <v>Sada kování vnitřní zásuvky M, Orion šedá</v>
      </c>
      <c r="C122" s="225" t="str">
        <f>Cen!B285</f>
        <v>ZI7.0MS0</v>
      </c>
      <c r="D122" s="225" t="str">
        <f>Cen!C285</f>
        <v>OG-M</v>
      </c>
      <c r="E122" s="606">
        <f>Cen!D285</f>
        <v>0</v>
      </c>
      <c r="F122" s="198">
        <f t="shared" si="22"/>
        <v>0</v>
      </c>
      <c r="G122" s="221">
        <f>Cen!F285</f>
        <v>13.714750000000002</v>
      </c>
      <c r="H122" s="222">
        <f t="shared" si="23"/>
        <v>0</v>
      </c>
      <c r="I122" s="233"/>
      <c r="J122" s="223">
        <f>Cen!I285</f>
        <v>5156741</v>
      </c>
      <c r="K122" s="223">
        <f>Cen!J285</f>
        <v>227571</v>
      </c>
      <c r="L122" s="219">
        <f t="shared" si="24"/>
        <v>0</v>
      </c>
      <c r="M122" s="463">
        <f t="shared" si="25"/>
        <v>0</v>
      </c>
      <c r="N122" s="224"/>
      <c r="O122" s="224"/>
      <c r="P122" s="356">
        <f>'7M40VP'!S61</f>
        <v>0</v>
      </c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356">
        <f>'7STMGP'!S63</f>
        <v>0</v>
      </c>
      <c r="AP122" s="356">
        <f>'7STMGF'!S63</f>
        <v>0</v>
      </c>
      <c r="AQ122" s="356">
        <f>'7STMRP'!S63</f>
        <v>0</v>
      </c>
      <c r="AR122" s="356">
        <f>'7STMRF'!S63</f>
        <v>0</v>
      </c>
      <c r="AS122" s="469"/>
      <c r="AT122" s="224"/>
      <c r="AU122" s="224"/>
      <c r="AV122" s="224"/>
      <c r="AW122" s="224"/>
      <c r="AX122" s="224"/>
      <c r="AY122" s="224"/>
      <c r="AZ122" s="224"/>
      <c r="BA122" s="469"/>
      <c r="BB122" s="224"/>
      <c r="BC122" s="224"/>
      <c r="BD122" s="548">
        <f t="shared" si="21"/>
        <v>0</v>
      </c>
      <c r="BE122" s="214"/>
    </row>
    <row r="123" spans="2:57" x14ac:dyDescent="0.25">
      <c r="B123" s="225" t="str">
        <f>Cen!A293</f>
        <v>Sada kování vnitř.výs. C, se zás.prvkem, Orion šedá</v>
      </c>
      <c r="C123" s="225" t="str">
        <f>Cen!B293</f>
        <v>ZI7.2CS0</v>
      </c>
      <c r="D123" s="225" t="str">
        <f>Cen!C293</f>
        <v>OG-M</v>
      </c>
      <c r="E123" s="606">
        <f>Cen!D293</f>
        <v>0</v>
      </c>
      <c r="F123" s="198">
        <f t="shared" si="22"/>
        <v>0</v>
      </c>
      <c r="G123" s="221">
        <f>Cen!F293</f>
        <v>19.402619999999999</v>
      </c>
      <c r="H123" s="222">
        <f t="shared" si="23"/>
        <v>0</v>
      </c>
      <c r="I123" s="233"/>
      <c r="J123" s="223">
        <f>Cen!I293</f>
        <v>4529568</v>
      </c>
      <c r="K123" s="223">
        <f>Cen!J293</f>
        <v>227575</v>
      </c>
      <c r="L123" s="219">
        <f t="shared" si="24"/>
        <v>0</v>
      </c>
      <c r="M123" s="463">
        <f t="shared" si="25"/>
        <v>0</v>
      </c>
      <c r="N123" s="224"/>
      <c r="O123" s="224"/>
      <c r="P123" s="224"/>
      <c r="Q123" s="224"/>
      <c r="R123" s="224"/>
      <c r="S123" s="224"/>
      <c r="T123" s="356">
        <f>'7C41VP'!S61</f>
        <v>0</v>
      </c>
      <c r="U123" s="356">
        <f>'7C41VF'!S61</f>
        <v>0</v>
      </c>
      <c r="V123" s="356">
        <f>'7C41NP'!S61</f>
        <v>0</v>
      </c>
      <c r="W123" s="356">
        <f>'7C41NF'!S61</f>
        <v>0</v>
      </c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356">
        <f>'7STCGP'!S61</f>
        <v>0</v>
      </c>
      <c r="AL123" s="356">
        <f>'7STCGF'!S60</f>
        <v>0</v>
      </c>
      <c r="AM123" s="224"/>
      <c r="AN123" s="224"/>
      <c r="AO123" s="356">
        <f>'7STMGP'!S62</f>
        <v>0</v>
      </c>
      <c r="AP123" s="356">
        <f>'7STMGF'!S62</f>
        <v>0</v>
      </c>
      <c r="AQ123" s="224"/>
      <c r="AR123" s="224"/>
      <c r="AS123" s="469"/>
      <c r="AT123" s="224"/>
      <c r="AU123" s="224"/>
      <c r="AV123" s="224"/>
      <c r="AW123" s="224"/>
      <c r="AX123" s="224"/>
      <c r="AY123" s="224"/>
      <c r="AZ123" s="224"/>
      <c r="BA123" s="469"/>
      <c r="BB123" s="224"/>
      <c r="BC123" s="224"/>
      <c r="BD123" s="548">
        <f t="shared" si="21"/>
        <v>0</v>
      </c>
      <c r="BE123" s="214"/>
    </row>
    <row r="124" spans="2:57" x14ac:dyDescent="0.25">
      <c r="B124" s="225" t="str">
        <f>Cen!A297</f>
        <v>Sada kování vnitř.výs. C, s relingem, Orion šedá</v>
      </c>
      <c r="C124" s="225" t="str">
        <f>Cen!B297</f>
        <v>ZI7.3CS0</v>
      </c>
      <c r="D124" s="225" t="str">
        <f>Cen!C297</f>
        <v>OG-M</v>
      </c>
      <c r="E124" s="606">
        <f>Cen!D297</f>
        <v>0</v>
      </c>
      <c r="F124" s="198">
        <f t="shared" si="22"/>
        <v>0</v>
      </c>
      <c r="G124" s="221">
        <f>Cen!F297</f>
        <v>18.150179999999999</v>
      </c>
      <c r="H124" s="222">
        <f t="shared" si="23"/>
        <v>0</v>
      </c>
      <c r="I124" s="233"/>
      <c r="J124" s="223">
        <f>Cen!I297</f>
        <v>3868654</v>
      </c>
      <c r="K124" s="223">
        <f>Cen!J297</f>
        <v>236547</v>
      </c>
      <c r="L124" s="219">
        <f t="shared" si="24"/>
        <v>0</v>
      </c>
      <c r="M124" s="463">
        <f t="shared" si="25"/>
        <v>0</v>
      </c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356">
        <f>'7C41RP'!S61</f>
        <v>0</v>
      </c>
      <c r="Y124" s="356">
        <f>'7C41RF'!S61</f>
        <v>0</v>
      </c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356">
        <f>'7STCRP'!S61</f>
        <v>0</v>
      </c>
      <c r="AN124" s="356">
        <f>'7STCRF'!S61</f>
        <v>0</v>
      </c>
      <c r="AO124" s="224"/>
      <c r="AP124" s="224"/>
      <c r="AQ124" s="356">
        <f>'7STMRP'!S62</f>
        <v>0</v>
      </c>
      <c r="AR124" s="356">
        <f>'7STMRF'!S62</f>
        <v>0</v>
      </c>
      <c r="AS124" s="469"/>
      <c r="AT124" s="224"/>
      <c r="AU124" s="224"/>
      <c r="AV124" s="224"/>
      <c r="AW124" s="224"/>
      <c r="AX124" s="224"/>
      <c r="AY124" s="224"/>
      <c r="AZ124" s="224"/>
      <c r="BA124" s="469"/>
      <c r="BB124" s="224"/>
      <c r="BC124" s="224"/>
      <c r="BD124" s="548">
        <f t="shared" si="21"/>
        <v>0</v>
      </c>
      <c r="BE124" s="214"/>
    </row>
    <row r="125" spans="2:57" x14ac:dyDescent="0.25">
      <c r="B125" s="225" t="str">
        <f>Cen!A306</f>
        <v>Přední díl vnitřní zásuvky, s drážkou, Orion šedý</v>
      </c>
      <c r="C125" s="225" t="str">
        <f>Cen!B306</f>
        <v>ZV7.1043MN1</v>
      </c>
      <c r="D125" s="225" t="str">
        <f>Cen!C306</f>
        <v>OG-M</v>
      </c>
      <c r="E125" s="606">
        <f>Cen!D306</f>
        <v>0</v>
      </c>
      <c r="F125" s="198">
        <f t="shared" si="22"/>
        <v>0</v>
      </c>
      <c r="G125" s="221">
        <f>Cen!F306</f>
        <v>14.808439999999997</v>
      </c>
      <c r="H125" s="222">
        <f t="shared" si="23"/>
        <v>0</v>
      </c>
      <c r="I125" s="233"/>
      <c r="J125" s="223">
        <f>Cen!I306</f>
        <v>1302013</v>
      </c>
      <c r="K125" s="223">
        <f>Cen!J306</f>
        <v>227583</v>
      </c>
      <c r="L125" s="219">
        <f t="shared" si="24"/>
        <v>0</v>
      </c>
      <c r="M125" s="463">
        <f t="shared" si="25"/>
        <v>0</v>
      </c>
      <c r="N125" s="224"/>
      <c r="O125" s="224"/>
      <c r="P125" s="224"/>
      <c r="Q125" s="224"/>
      <c r="R125" s="224"/>
      <c r="S125" s="224"/>
      <c r="T125" s="356">
        <f>'7C41VP'!S63</f>
        <v>0</v>
      </c>
      <c r="U125" s="356">
        <f>'7C41VF'!S63</f>
        <v>0</v>
      </c>
      <c r="V125" s="356">
        <f>'7C41NP'!S63</f>
        <v>0</v>
      </c>
      <c r="W125" s="356">
        <f>'7C41NF'!S63</f>
        <v>0</v>
      </c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356">
        <f>'7STCGP'!S63</f>
        <v>0</v>
      </c>
      <c r="AL125" s="356">
        <f>'7STCGF'!S63</f>
        <v>0</v>
      </c>
      <c r="AM125" s="224"/>
      <c r="AN125" s="224"/>
      <c r="AO125" s="356">
        <f>'7STMGP'!S64</f>
        <v>0</v>
      </c>
      <c r="AP125" s="356">
        <f>'7STMGF'!S64</f>
        <v>0</v>
      </c>
      <c r="AQ125" s="224"/>
      <c r="AR125" s="224"/>
      <c r="AS125" s="469"/>
      <c r="AT125" s="224"/>
      <c r="AU125" s="224"/>
      <c r="AV125" s="224"/>
      <c r="AW125" s="224"/>
      <c r="AX125" s="224"/>
      <c r="AY125" s="224"/>
      <c r="AZ125" s="224"/>
      <c r="BA125" s="469"/>
      <c r="BB125" s="224"/>
      <c r="BC125" s="224"/>
      <c r="BD125" s="548">
        <f t="shared" si="21"/>
        <v>0</v>
      </c>
      <c r="BE125" s="214"/>
    </row>
    <row r="126" spans="2:57" x14ac:dyDescent="0.25">
      <c r="B126" s="225" t="str">
        <f>Cen!A310</f>
        <v>Přední díl vnitřní zásuvky, bez drážky, Orion šedý</v>
      </c>
      <c r="C126" s="225" t="str">
        <f>Cen!B310</f>
        <v>ZV7.1043C01</v>
      </c>
      <c r="D126" s="225" t="str">
        <f>Cen!C310</f>
        <v>OG-M</v>
      </c>
      <c r="E126" s="606">
        <f>Cen!D310</f>
        <v>0</v>
      </c>
      <c r="F126" s="198">
        <f t="shared" si="22"/>
        <v>0</v>
      </c>
      <c r="G126" s="221">
        <f>Cen!F310</f>
        <v>15.491620000000001</v>
      </c>
      <c r="H126" s="222">
        <f>M126</f>
        <v>0</v>
      </c>
      <c r="I126" s="233"/>
      <c r="J126" s="223">
        <f>Cen!I310</f>
        <v>5897587</v>
      </c>
      <c r="K126" s="223">
        <f>Cen!J310</f>
        <v>227579</v>
      </c>
      <c r="L126" s="219">
        <f t="shared" ref="L126:L150" si="26">IF(I126="x",0,IF(I126&gt;0,I126,F126))</f>
        <v>0</v>
      </c>
      <c r="M126" s="463">
        <f t="shared" ref="M126:M150" si="27">PRODUCT(L126,G126)</f>
        <v>0</v>
      </c>
      <c r="N126" s="224"/>
      <c r="O126" s="224"/>
      <c r="P126" s="356">
        <f>'7M40VP'!S63</f>
        <v>0</v>
      </c>
      <c r="Q126" s="224"/>
      <c r="R126" s="224"/>
      <c r="S126" s="224"/>
      <c r="T126" s="224"/>
      <c r="U126" s="224"/>
      <c r="V126" s="224"/>
      <c r="W126" s="224"/>
      <c r="X126" s="356">
        <f>'7C41RP'!S63</f>
        <v>0</v>
      </c>
      <c r="Y126" s="356">
        <f>'7C41RF'!S63</f>
        <v>0</v>
      </c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356">
        <f>'7STCRP'!S63</f>
        <v>0</v>
      </c>
      <c r="AN126" s="356">
        <f>'7STCRF'!S63</f>
        <v>0</v>
      </c>
      <c r="AO126" s="356">
        <f>'7STMGP'!S65</f>
        <v>0</v>
      </c>
      <c r="AP126" s="356">
        <f>'7STMGF'!S65</f>
        <v>0</v>
      </c>
      <c r="AQ126" s="356">
        <f>'7STMRP'!S64</f>
        <v>0</v>
      </c>
      <c r="AR126" s="356">
        <f>'7STMRF'!S64</f>
        <v>0</v>
      </c>
      <c r="AS126" s="469"/>
      <c r="AT126" s="224"/>
      <c r="AU126" s="224"/>
      <c r="AV126" s="224"/>
      <c r="AW126" s="224"/>
      <c r="AX126" s="224"/>
      <c r="AY126" s="224"/>
      <c r="AZ126" s="224"/>
      <c r="BA126" s="469"/>
      <c r="BB126" s="224"/>
      <c r="BC126" s="224"/>
      <c r="BD126" s="548">
        <f t="shared" si="21"/>
        <v>0</v>
      </c>
      <c r="BE126" s="214"/>
    </row>
    <row r="127" spans="2:57" x14ac:dyDescent="0.25">
      <c r="B127" s="225" t="str">
        <f>Cen!A338</f>
        <v>Příčný reling vnitřní zásuvky, Orion šedý</v>
      </c>
      <c r="C127" s="225" t="str">
        <f>Cen!B338</f>
        <v>ZR7.1080U</v>
      </c>
      <c r="D127" s="225" t="str">
        <f>Cen!C338</f>
        <v>OG-M</v>
      </c>
      <c r="E127" s="606">
        <f>Cen!D338</f>
        <v>0</v>
      </c>
      <c r="F127" s="198">
        <f t="shared" si="22"/>
        <v>0</v>
      </c>
      <c r="G127" s="221">
        <f>Cen!F338</f>
        <v>6.60684</v>
      </c>
      <c r="H127" s="222">
        <f>M127</f>
        <v>0</v>
      </c>
      <c r="I127" s="233"/>
      <c r="J127" s="223">
        <f>Cen!I338</f>
        <v>3359148</v>
      </c>
      <c r="K127" s="223">
        <f>Cen!J338</f>
        <v>227597</v>
      </c>
      <c r="L127" s="219">
        <f t="shared" si="26"/>
        <v>0</v>
      </c>
      <c r="M127" s="463">
        <f t="shared" si="27"/>
        <v>0</v>
      </c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356">
        <f>'7C41RP'!S64</f>
        <v>0</v>
      </c>
      <c r="Y127" s="356">
        <f>'7C41RF'!S64</f>
        <v>0</v>
      </c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356">
        <f>'7STCRP'!S64</f>
        <v>0</v>
      </c>
      <c r="AN127" s="356">
        <f>'7STCRF'!S64</f>
        <v>0</v>
      </c>
      <c r="AO127" s="224"/>
      <c r="AP127" s="224"/>
      <c r="AQ127" s="356">
        <f>'7STMRP'!S65</f>
        <v>0</v>
      </c>
      <c r="AR127" s="356">
        <f>'7STMRF'!S65</f>
        <v>0</v>
      </c>
      <c r="AS127" s="469"/>
      <c r="AT127" s="224"/>
      <c r="AU127" s="224"/>
      <c r="AV127" s="224"/>
      <c r="AW127" s="224"/>
      <c r="AX127" s="224"/>
      <c r="AY127" s="356">
        <f>ALrel!H15</f>
        <v>0</v>
      </c>
      <c r="AZ127" s="224"/>
      <c r="BA127" s="469"/>
      <c r="BB127" s="224"/>
      <c r="BC127" s="224"/>
      <c r="BD127" s="548">
        <f t="shared" si="21"/>
        <v>0</v>
      </c>
      <c r="BE127" s="214"/>
    </row>
    <row r="128" spans="2:57" x14ac:dyDescent="0.25">
      <c r="B128" s="225" t="str">
        <f>Cen!A318</f>
        <v>Unašeč pro vnirřní zásuvku M, Orion šedý</v>
      </c>
      <c r="C128" s="225" t="str">
        <f>Cen!B318</f>
        <v>ZI7.0M07</v>
      </c>
      <c r="D128" s="225" t="str">
        <f>Cen!C318</f>
        <v>OG-M</v>
      </c>
      <c r="E128" s="606">
        <f>Cen!D318</f>
        <v>0</v>
      </c>
      <c r="F128" s="198">
        <f t="shared" si="22"/>
        <v>0</v>
      </c>
      <c r="G128" s="221">
        <f>Cen!F318</f>
        <v>5.73271</v>
      </c>
      <c r="H128" s="222">
        <f>M128</f>
        <v>0</v>
      </c>
      <c r="I128" s="233"/>
      <c r="J128" s="223">
        <f>Cen!I318</f>
        <v>5209105</v>
      </c>
      <c r="K128" s="223">
        <f>Cen!J318</f>
        <v>227604</v>
      </c>
      <c r="L128" s="219">
        <f>IF(I128="x",0,IF(I128&gt;0,I128,F128))</f>
        <v>0</v>
      </c>
      <c r="M128" s="463">
        <f>PRODUCT(L128,G128)</f>
        <v>0</v>
      </c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356">
        <f>'7STCRP'!S65</f>
        <v>0</v>
      </c>
      <c r="AN128" s="356"/>
      <c r="AO128" s="224"/>
      <c r="AP128" s="224"/>
      <c r="AQ128" s="356">
        <f>'7STMRP'!S66</f>
        <v>0</v>
      </c>
      <c r="AR128" s="356"/>
      <c r="AS128" s="469"/>
      <c r="AT128" s="224"/>
      <c r="AU128" s="224"/>
      <c r="AV128" s="224"/>
      <c r="AW128" s="224"/>
      <c r="AX128" s="224"/>
      <c r="AZ128" s="224"/>
      <c r="BA128" s="469"/>
      <c r="BB128" s="356">
        <f>Acs!E9</f>
        <v>0</v>
      </c>
      <c r="BC128" s="224"/>
      <c r="BD128" s="548">
        <f t="shared" si="21"/>
        <v>0</v>
      </c>
      <c r="BE128" s="214"/>
    </row>
    <row r="129" spans="2:57" x14ac:dyDescent="0.25">
      <c r="B129" s="225"/>
      <c r="C129" s="225"/>
      <c r="D129" s="225"/>
      <c r="E129" s="606"/>
      <c r="F129" s="198"/>
      <c r="G129" s="221"/>
      <c r="H129" s="222"/>
      <c r="I129" s="222"/>
      <c r="J129" s="223"/>
      <c r="K129" s="223"/>
      <c r="L129" s="219">
        <f t="shared" si="26"/>
        <v>0</v>
      </c>
      <c r="M129" s="463">
        <f t="shared" si="27"/>
        <v>0</v>
      </c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469"/>
      <c r="AT129" s="224"/>
      <c r="AU129" s="224"/>
      <c r="AV129" s="224"/>
      <c r="AW129" s="224"/>
      <c r="AX129" s="224"/>
      <c r="AZ129" s="224"/>
      <c r="BA129" s="469"/>
      <c r="BB129" s="224"/>
      <c r="BC129" s="224"/>
      <c r="BD129" s="548">
        <f t="shared" si="21"/>
        <v>0</v>
      </c>
      <c r="BE129" s="214"/>
    </row>
    <row r="130" spans="2:57" x14ac:dyDescent="0.25">
      <c r="B130" s="225" t="str">
        <f>Cen!A322</f>
        <v>Přední zásuvný prvek vysoký, sklo, KB 450mm</v>
      </c>
      <c r="C130" s="225" t="str">
        <f>Cen!B322</f>
        <v>ZE7W332G</v>
      </c>
      <c r="D130" s="225" t="str">
        <f>Cen!C322</f>
        <v>KLA</v>
      </c>
      <c r="E130" s="606">
        <f>Cen!D322</f>
        <v>0</v>
      </c>
      <c r="F130" s="198">
        <f t="shared" si="22"/>
        <v>0</v>
      </c>
      <c r="G130" s="221">
        <f>Cen!F322</f>
        <v>12.912559999999999</v>
      </c>
      <c r="H130" s="222">
        <f t="shared" ref="H130:H137" si="28">M130</f>
        <v>0</v>
      </c>
      <c r="I130" s="233"/>
      <c r="J130" s="223">
        <f>Cen!I322</f>
        <v>6831132</v>
      </c>
      <c r="K130" s="223">
        <f>Cen!J322</f>
        <v>227587</v>
      </c>
      <c r="L130" s="219">
        <f t="shared" si="26"/>
        <v>0</v>
      </c>
      <c r="M130" s="463">
        <f t="shared" si="27"/>
        <v>0</v>
      </c>
      <c r="N130" s="224"/>
      <c r="O130" s="224"/>
      <c r="P130" s="224"/>
      <c r="Q130" s="224"/>
      <c r="R130" s="224"/>
      <c r="S130" s="224"/>
      <c r="T130" s="356">
        <f>'7C41VP'!S65</f>
        <v>0</v>
      </c>
      <c r="U130" s="356">
        <f>'7C41VF'!S65</f>
        <v>0</v>
      </c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356">
        <f>'7STCGP'!S65</f>
        <v>0</v>
      </c>
      <c r="AL130" s="356">
        <f>'7STCGF'!S65</f>
        <v>0</v>
      </c>
      <c r="AM130" s="224"/>
      <c r="AN130" s="224"/>
      <c r="AO130" s="356">
        <f>'7STMGP'!S66</f>
        <v>0</v>
      </c>
      <c r="AP130" s="356">
        <f>'7STMGF'!S66</f>
        <v>0</v>
      </c>
      <c r="AQ130" s="224"/>
      <c r="AR130" s="224"/>
      <c r="AS130" s="469"/>
      <c r="AT130" s="224"/>
      <c r="AU130" s="224"/>
      <c r="AV130" s="224"/>
      <c r="AW130" s="224"/>
      <c r="AX130" s="224"/>
      <c r="AY130" s="224"/>
      <c r="AZ130" s="224"/>
      <c r="BA130" s="469"/>
      <c r="BB130" s="224"/>
      <c r="BC130" s="224"/>
      <c r="BD130" s="548">
        <f t="shared" si="21"/>
        <v>0</v>
      </c>
      <c r="BE130" s="214"/>
    </row>
    <row r="131" spans="2:57" x14ac:dyDescent="0.25">
      <c r="B131" s="225" t="str">
        <f>Cen!A323</f>
        <v>Přední zásuvný prvek vysoký, sklo, KB 600mm</v>
      </c>
      <c r="C131" s="225" t="str">
        <f>Cen!B323</f>
        <v>ZE7W482G</v>
      </c>
      <c r="D131" s="225" t="str">
        <f>Cen!C323</f>
        <v>KLA</v>
      </c>
      <c r="E131" s="606">
        <f>Cen!D323</f>
        <v>0</v>
      </c>
      <c r="F131" s="198">
        <f t="shared" si="22"/>
        <v>0</v>
      </c>
      <c r="G131" s="221">
        <f>Cen!F323</f>
        <v>14.673980000000002</v>
      </c>
      <c r="H131" s="222">
        <f t="shared" si="28"/>
        <v>0</v>
      </c>
      <c r="I131" s="233"/>
      <c r="J131" s="223">
        <f>Cen!I323</f>
        <v>4562065</v>
      </c>
      <c r="K131" s="223">
        <f>Cen!J323</f>
        <v>227588</v>
      </c>
      <c r="L131" s="219">
        <f t="shared" si="26"/>
        <v>0</v>
      </c>
      <c r="M131" s="463">
        <f t="shared" si="27"/>
        <v>0</v>
      </c>
      <c r="N131" s="224"/>
      <c r="O131" s="224"/>
      <c r="P131" s="224"/>
      <c r="Q131" s="224"/>
      <c r="R131" s="224"/>
      <c r="S131" s="224"/>
      <c r="T131" s="356">
        <f>'7C41VP'!S66</f>
        <v>0</v>
      </c>
      <c r="U131" s="356">
        <f>'7C41VF'!S66</f>
        <v>0</v>
      </c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719">
        <f>'7STCGP'!S66</f>
        <v>0</v>
      </c>
      <c r="AL131" s="356">
        <f>'7STCGF'!S66</f>
        <v>0</v>
      </c>
      <c r="AM131" s="224"/>
      <c r="AN131" s="224"/>
      <c r="AO131" s="356">
        <f>'7STMGP'!S67</f>
        <v>0</v>
      </c>
      <c r="AP131" s="356">
        <f>'7STMGF'!S67</f>
        <v>0</v>
      </c>
      <c r="AQ131" s="224"/>
      <c r="AR131" s="224"/>
      <c r="AS131" s="469"/>
      <c r="AT131" s="224"/>
      <c r="AU131" s="224"/>
      <c r="AV131" s="224"/>
      <c r="AW131" s="224"/>
      <c r="AX131" s="224"/>
      <c r="AY131" s="224"/>
      <c r="AZ131" s="224"/>
      <c r="BA131" s="469"/>
      <c r="BB131" s="224"/>
      <c r="BC131" s="224"/>
      <c r="BD131" s="548">
        <f t="shared" si="21"/>
        <v>0</v>
      </c>
      <c r="BE131" s="214"/>
    </row>
    <row r="132" spans="2:57" x14ac:dyDescent="0.25">
      <c r="B132" s="225" t="str">
        <f>Cen!A324</f>
        <v>Přední zásuvný prvek vysoký, sklo, KB 900mm</v>
      </c>
      <c r="C132" s="225" t="str">
        <f>Cen!B324</f>
        <v>ZE7W782G</v>
      </c>
      <c r="D132" s="225" t="str">
        <f>Cen!C324</f>
        <v>KLA</v>
      </c>
      <c r="E132" s="606" t="str">
        <f>Cen!D324</f>
        <v>!</v>
      </c>
      <c r="F132" s="198">
        <f t="shared" si="22"/>
        <v>0</v>
      </c>
      <c r="G132" s="221">
        <f>Cen!F324</f>
        <v>24.45665</v>
      </c>
      <c r="H132" s="222">
        <f t="shared" si="28"/>
        <v>0</v>
      </c>
      <c r="I132" s="233"/>
      <c r="J132" s="223">
        <f>Cen!I324</f>
        <v>8741762</v>
      </c>
      <c r="K132" s="223">
        <f>Cen!J324</f>
        <v>227589</v>
      </c>
      <c r="L132" s="219">
        <f t="shared" si="26"/>
        <v>0</v>
      </c>
      <c r="M132" s="463">
        <f t="shared" si="27"/>
        <v>0</v>
      </c>
      <c r="N132" s="224"/>
      <c r="O132" s="224"/>
      <c r="P132" s="224"/>
      <c r="Q132" s="224"/>
      <c r="R132" s="224"/>
      <c r="S132" s="224"/>
      <c r="T132" s="356">
        <f>'7C41VP'!S67</f>
        <v>0</v>
      </c>
      <c r="U132" s="356">
        <f>'7C41VF'!S67</f>
        <v>0</v>
      </c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469"/>
      <c r="AT132" s="224"/>
      <c r="AU132" s="224"/>
      <c r="AV132" s="224"/>
      <c r="AW132" s="224"/>
      <c r="AX132" s="224"/>
      <c r="AY132" s="224"/>
      <c r="AZ132" s="224"/>
      <c r="BA132" s="469"/>
      <c r="BB132" s="224"/>
      <c r="BC132" s="224"/>
      <c r="BD132" s="548">
        <f t="shared" si="21"/>
        <v>0</v>
      </c>
      <c r="BE132" s="214"/>
    </row>
    <row r="133" spans="2:57" x14ac:dyDescent="0.25">
      <c r="B133" s="225" t="str">
        <f>Cen!A325</f>
        <v>Přední zásuvný prvek vysoký, sklo, KB 1200mm</v>
      </c>
      <c r="C133" s="225" t="str">
        <f>Cen!B325</f>
        <v>ZE7W1082G</v>
      </c>
      <c r="D133" s="225" t="str">
        <f>Cen!C325</f>
        <v>KLA</v>
      </c>
      <c r="E133" s="606" t="str">
        <f>Cen!D325</f>
        <v>!</v>
      </c>
      <c r="F133" s="198">
        <f t="shared" si="22"/>
        <v>0</v>
      </c>
      <c r="G133" s="221">
        <f>Cen!F325</f>
        <v>31.500150000000005</v>
      </c>
      <c r="H133" s="222">
        <f t="shared" si="28"/>
        <v>0</v>
      </c>
      <c r="I133" s="233"/>
      <c r="J133" s="223">
        <f>Cen!I325</f>
        <v>1039565</v>
      </c>
      <c r="K133" s="223">
        <f>Cen!J325</f>
        <v>227590</v>
      </c>
      <c r="L133" s="219">
        <f t="shared" si="26"/>
        <v>0</v>
      </c>
      <c r="M133" s="463">
        <f t="shared" si="27"/>
        <v>0</v>
      </c>
      <c r="N133" s="224"/>
      <c r="O133" s="224"/>
      <c r="P133" s="224"/>
      <c r="Q133" s="224"/>
      <c r="R133" s="224"/>
      <c r="S133" s="224"/>
      <c r="T133" s="356">
        <f>'7C41VP'!S68</f>
        <v>0</v>
      </c>
      <c r="U133" s="356">
        <f>'7C41VF'!S68</f>
        <v>0</v>
      </c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469"/>
      <c r="AT133" s="224"/>
      <c r="AU133" s="224"/>
      <c r="AV133" s="224"/>
      <c r="AW133" s="224"/>
      <c r="AX133" s="224"/>
      <c r="AY133" s="224"/>
      <c r="AZ133" s="224"/>
      <c r="BA133" s="469"/>
      <c r="BB133" s="224"/>
      <c r="BC133" s="224"/>
      <c r="BD133" s="548">
        <f t="shared" si="21"/>
        <v>0</v>
      </c>
      <c r="BE133" s="214"/>
    </row>
    <row r="134" spans="2:57" x14ac:dyDescent="0.25">
      <c r="B134" s="225" t="str">
        <f>Cen!A330</f>
        <v>Přední zásuvný prvek nízký, sklo, KB 450mm</v>
      </c>
      <c r="C134" s="225" t="str">
        <f>Cen!B330</f>
        <v>ZE7V332G</v>
      </c>
      <c r="D134" s="225" t="str">
        <f>Cen!C330</f>
        <v>KLA</v>
      </c>
      <c r="E134" s="606">
        <f>Cen!D330</f>
        <v>0</v>
      </c>
      <c r="F134" s="198">
        <f t="shared" si="22"/>
        <v>0</v>
      </c>
      <c r="G134" s="221">
        <f>Cen!F330</f>
        <v>8.02196</v>
      </c>
      <c r="H134" s="222">
        <f t="shared" si="28"/>
        <v>0</v>
      </c>
      <c r="I134" s="233"/>
      <c r="J134" s="223">
        <f>Cen!I330</f>
        <v>9062400</v>
      </c>
      <c r="K134" s="223">
        <f>Cen!J330</f>
        <v>227591</v>
      </c>
      <c r="L134" s="219">
        <f t="shared" si="26"/>
        <v>0</v>
      </c>
      <c r="M134" s="463">
        <f t="shared" si="27"/>
        <v>0</v>
      </c>
      <c r="N134" s="224"/>
      <c r="O134" s="224"/>
      <c r="P134" s="224"/>
      <c r="Q134" s="224"/>
      <c r="R134" s="224"/>
      <c r="S134" s="224"/>
      <c r="T134" s="224"/>
      <c r="U134" s="224"/>
      <c r="V134" s="356">
        <f>'7C41NP'!S65</f>
        <v>0</v>
      </c>
      <c r="W134" s="356">
        <f>'7C41NF'!S65</f>
        <v>0</v>
      </c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356">
        <f>'7STCGP'!S70</f>
        <v>0</v>
      </c>
      <c r="AL134" s="356">
        <f>'7STCGF'!S70</f>
        <v>0</v>
      </c>
      <c r="AM134" s="224"/>
      <c r="AN134" s="224"/>
      <c r="AO134" s="356">
        <f>'7STMGP'!S71</f>
        <v>0</v>
      </c>
      <c r="AP134" s="356">
        <f>'7STMGF'!S71</f>
        <v>0</v>
      </c>
      <c r="AQ134" s="224"/>
      <c r="AR134" s="224"/>
      <c r="AS134" s="469"/>
      <c r="AT134" s="224"/>
      <c r="AU134" s="224"/>
      <c r="AV134" s="224"/>
      <c r="AW134" s="224"/>
      <c r="AX134" s="224"/>
      <c r="AY134" s="224"/>
      <c r="AZ134" s="224"/>
      <c r="BA134" s="469"/>
      <c r="BB134" s="224"/>
      <c r="BC134" s="224"/>
      <c r="BD134" s="548">
        <f t="shared" si="21"/>
        <v>0</v>
      </c>
      <c r="BE134" s="214"/>
    </row>
    <row r="135" spans="2:57" x14ac:dyDescent="0.25">
      <c r="B135" s="225" t="str">
        <f>Cen!A331</f>
        <v>Přední zásuvný prvek nízký, sklo, KB 600mm</v>
      </c>
      <c r="C135" s="225" t="str">
        <f>Cen!B331</f>
        <v>ZE7V482G</v>
      </c>
      <c r="D135" s="225" t="str">
        <f>Cen!C331</f>
        <v>KLA</v>
      </c>
      <c r="E135" s="606">
        <f>Cen!D331</f>
        <v>0</v>
      </c>
      <c r="F135" s="198">
        <f t="shared" si="22"/>
        <v>0</v>
      </c>
      <c r="G135" s="221">
        <f>Cen!F331</f>
        <v>9.1958699999999993</v>
      </c>
      <c r="H135" s="222">
        <f t="shared" si="28"/>
        <v>0</v>
      </c>
      <c r="I135" s="233"/>
      <c r="J135" s="223">
        <f>Cen!I331</f>
        <v>7032427</v>
      </c>
      <c r="K135" s="223">
        <f>Cen!J331</f>
        <v>227592</v>
      </c>
      <c r="L135" s="219">
        <f t="shared" si="26"/>
        <v>0</v>
      </c>
      <c r="M135" s="463">
        <f t="shared" si="27"/>
        <v>0</v>
      </c>
      <c r="N135" s="224"/>
      <c r="O135" s="224"/>
      <c r="P135" s="224"/>
      <c r="Q135" s="224"/>
      <c r="R135" s="224"/>
      <c r="S135" s="224"/>
      <c r="T135" s="224"/>
      <c r="U135" s="224"/>
      <c r="V135" s="356">
        <f>'7C41NP'!S66</f>
        <v>0</v>
      </c>
      <c r="W135" s="356">
        <f>'7C41NF'!S66</f>
        <v>0</v>
      </c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719">
        <f>'7STCGP'!S71</f>
        <v>0</v>
      </c>
      <c r="AL135" s="356">
        <f>'7STCGF'!S71</f>
        <v>0</v>
      </c>
      <c r="AM135" s="224"/>
      <c r="AN135" s="224"/>
      <c r="AO135" s="356">
        <f>'7STMGP'!S72</f>
        <v>0</v>
      </c>
      <c r="AP135" s="356">
        <f>'7STMGF'!S72</f>
        <v>0</v>
      </c>
      <c r="AQ135" s="224"/>
      <c r="AR135" s="224"/>
      <c r="AS135" s="469"/>
      <c r="AT135" s="848" t="s">
        <v>921</v>
      </c>
      <c r="AU135" s="848" t="s">
        <v>922</v>
      </c>
      <c r="AV135" s="730"/>
      <c r="AW135" s="848" t="s">
        <v>923</v>
      </c>
      <c r="AX135" s="848" t="s">
        <v>924</v>
      </c>
      <c r="AY135" s="848" t="s">
        <v>1162</v>
      </c>
      <c r="AZ135" s="848" t="s">
        <v>925</v>
      </c>
      <c r="BA135" s="469"/>
      <c r="BB135" s="224"/>
      <c r="BC135" s="224"/>
      <c r="BD135" s="548">
        <f t="shared" si="21"/>
        <v>0</v>
      </c>
      <c r="BE135" s="214"/>
    </row>
    <row r="136" spans="2:57" x14ac:dyDescent="0.25">
      <c r="B136" s="225" t="str">
        <f>Cen!A332</f>
        <v>Přední zásuvný prvek nízký, sklo, KB 900mm</v>
      </c>
      <c r="C136" s="225" t="str">
        <f>Cen!B332</f>
        <v>ZE7V782G</v>
      </c>
      <c r="D136" s="225" t="str">
        <f>Cen!C332</f>
        <v>KLA</v>
      </c>
      <c r="E136" s="606" t="str">
        <f>Cen!D332</f>
        <v>!</v>
      </c>
      <c r="F136" s="198">
        <f t="shared" si="22"/>
        <v>0</v>
      </c>
      <c r="G136" s="221">
        <f>Cen!F332</f>
        <v>16.2394</v>
      </c>
      <c r="H136" s="222">
        <f t="shared" si="28"/>
        <v>0</v>
      </c>
      <c r="I136" s="233"/>
      <c r="J136" s="223">
        <f>Cen!I332</f>
        <v>7696491</v>
      </c>
      <c r="K136" s="223">
        <f>Cen!J332</f>
        <v>227593</v>
      </c>
      <c r="L136" s="219">
        <f t="shared" si="26"/>
        <v>0</v>
      </c>
      <c r="M136" s="463">
        <f t="shared" si="27"/>
        <v>0</v>
      </c>
      <c r="N136" s="224"/>
      <c r="O136" s="224"/>
      <c r="P136" s="224"/>
      <c r="Q136" s="224"/>
      <c r="R136" s="224"/>
      <c r="S136" s="224"/>
      <c r="T136" s="224"/>
      <c r="U136" s="224"/>
      <c r="V136" s="356">
        <f>'7C41NP'!S67</f>
        <v>0</v>
      </c>
      <c r="W136" s="356">
        <f>'7C41NF'!S67</f>
        <v>0</v>
      </c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469"/>
      <c r="AT136" s="848"/>
      <c r="AU136" s="848"/>
      <c r="AV136" s="730"/>
      <c r="AW136" s="848"/>
      <c r="AX136" s="848"/>
      <c r="AY136" s="848"/>
      <c r="AZ136" s="848"/>
      <c r="BA136" s="469"/>
      <c r="BB136" s="224"/>
      <c r="BC136" s="224"/>
      <c r="BD136" s="548">
        <f t="shared" si="21"/>
        <v>0</v>
      </c>
      <c r="BE136" s="214"/>
    </row>
    <row r="137" spans="2:57" x14ac:dyDescent="0.25">
      <c r="B137" s="225" t="str">
        <f>Cen!A333</f>
        <v>Přední zásuvný prvek nízký, sklo, KB 1200mm</v>
      </c>
      <c r="C137" s="225" t="str">
        <f>Cen!B333</f>
        <v>ZE7V1082G</v>
      </c>
      <c r="D137" s="225" t="str">
        <f>Cen!C333</f>
        <v>KLA</v>
      </c>
      <c r="E137" s="606" t="str">
        <f>Cen!D333</f>
        <v>!</v>
      </c>
      <c r="F137" s="198">
        <f t="shared" si="22"/>
        <v>0</v>
      </c>
      <c r="G137" s="221">
        <f>Cen!F333</f>
        <v>20.93506</v>
      </c>
      <c r="H137" s="222">
        <f t="shared" si="28"/>
        <v>0</v>
      </c>
      <c r="I137" s="233"/>
      <c r="J137" s="223">
        <f>Cen!I333</f>
        <v>7710993</v>
      </c>
      <c r="K137" s="223">
        <f>Cen!J333</f>
        <v>227594</v>
      </c>
      <c r="L137" s="219">
        <f t="shared" si="26"/>
        <v>0</v>
      </c>
      <c r="M137" s="463">
        <f t="shared" si="27"/>
        <v>0</v>
      </c>
      <c r="N137" s="224"/>
      <c r="O137" s="224"/>
      <c r="P137" s="224"/>
      <c r="Q137" s="224"/>
      <c r="R137" s="224"/>
      <c r="S137" s="224"/>
      <c r="T137" s="224"/>
      <c r="U137" s="224"/>
      <c r="V137" s="356">
        <f>'7C41NP'!S68</f>
        <v>0</v>
      </c>
      <c r="W137" s="356">
        <f>'7C41NF'!S68</f>
        <v>0</v>
      </c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469"/>
      <c r="AT137" s="848"/>
      <c r="AU137" s="848"/>
      <c r="AV137" s="730"/>
      <c r="AW137" s="848"/>
      <c r="AX137" s="848"/>
      <c r="AY137" s="848"/>
      <c r="AZ137" s="848"/>
      <c r="BA137" s="469"/>
      <c r="BB137" s="224"/>
      <c r="BC137" s="224"/>
      <c r="BD137" s="548">
        <f t="shared" ref="BD137:BD177" si="29">IF(AND(E137&gt;0,F137&gt;0),1,0)</f>
        <v>0</v>
      </c>
      <c r="BE137" s="214"/>
    </row>
    <row r="138" spans="2:57" x14ac:dyDescent="0.25">
      <c r="B138" s="225"/>
      <c r="C138" s="225"/>
      <c r="D138" s="225"/>
      <c r="E138" s="606"/>
      <c r="F138" s="198"/>
      <c r="G138" s="221"/>
      <c r="H138" s="222"/>
      <c r="I138" s="222"/>
      <c r="J138" s="223"/>
      <c r="K138" s="223"/>
      <c r="L138" s="219">
        <f t="shared" si="26"/>
        <v>0</v>
      </c>
      <c r="M138" s="463">
        <f t="shared" si="27"/>
        <v>0</v>
      </c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469"/>
      <c r="AT138" s="224"/>
      <c r="AU138" s="224"/>
      <c r="AV138" s="224"/>
      <c r="AW138" s="224"/>
      <c r="AX138" s="224"/>
      <c r="AY138" s="224"/>
      <c r="AZ138" s="224"/>
      <c r="BA138" s="469"/>
      <c r="BB138" s="224"/>
      <c r="BC138" s="224"/>
      <c r="BD138" s="548">
        <f t="shared" si="29"/>
        <v>0</v>
      </c>
      <c r="BE138" s="214"/>
    </row>
    <row r="139" spans="2:57" x14ac:dyDescent="0.25">
      <c r="B139" s="225" t="str">
        <f>Cen!A345</f>
        <v>Příborník, 450mm, Orion šedý</v>
      </c>
      <c r="C139" s="225" t="str">
        <f>Cen!B345</f>
        <v>ZC7S450BS3</v>
      </c>
      <c r="D139" s="225" t="str">
        <f>Cen!C345</f>
        <v>OG-M</v>
      </c>
      <c r="E139" s="606">
        <f>Cen!D345</f>
        <v>0</v>
      </c>
      <c r="F139" s="198">
        <f t="shared" si="22"/>
        <v>0</v>
      </c>
      <c r="G139" s="221">
        <f>Cen!F345</f>
        <v>72.901949999999999</v>
      </c>
      <c r="H139" s="222">
        <f t="shared" ref="H139:H150" si="30">M139</f>
        <v>0</v>
      </c>
      <c r="I139" s="233"/>
      <c r="J139" s="223">
        <f>Cen!I345</f>
        <v>9653503</v>
      </c>
      <c r="K139" s="223">
        <f>Cen!J345</f>
        <v>227614</v>
      </c>
      <c r="L139" s="219">
        <f t="shared" si="26"/>
        <v>0</v>
      </c>
      <c r="M139" s="463">
        <f t="shared" si="27"/>
        <v>0</v>
      </c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469"/>
      <c r="AT139" s="356">
        <f>ALds!S3</f>
        <v>0</v>
      </c>
      <c r="AU139" s="224"/>
      <c r="AV139" s="224"/>
      <c r="AW139" s="224"/>
      <c r="AX139" s="224"/>
      <c r="AY139" s="224"/>
      <c r="AZ139" s="224"/>
      <c r="BA139" s="469"/>
      <c r="BB139" s="224"/>
      <c r="BC139" s="224"/>
      <c r="BD139" s="548">
        <f t="shared" si="29"/>
        <v>0</v>
      </c>
      <c r="BE139" s="214"/>
    </row>
    <row r="140" spans="2:57" x14ac:dyDescent="0.25">
      <c r="B140" s="225" t="str">
        <f>Cen!A348</f>
        <v>Příborník, 500mm, Orion šedý</v>
      </c>
      <c r="C140" s="225" t="str">
        <f>Cen!B348</f>
        <v>ZC7S500BS3</v>
      </c>
      <c r="D140" s="225" t="str">
        <f>Cen!C348</f>
        <v>OG-M</v>
      </c>
      <c r="E140" s="606">
        <f>Cen!D348</f>
        <v>0</v>
      </c>
      <c r="F140" s="198">
        <f t="shared" si="22"/>
        <v>0</v>
      </c>
      <c r="G140" s="221">
        <f>Cen!F348</f>
        <v>75.180109999999999</v>
      </c>
      <c r="H140" s="222">
        <f t="shared" si="30"/>
        <v>0</v>
      </c>
      <c r="I140" s="233"/>
      <c r="J140" s="223">
        <f>Cen!I348</f>
        <v>4497947</v>
      </c>
      <c r="K140" s="223">
        <f>Cen!J348</f>
        <v>227617</v>
      </c>
      <c r="L140" s="219">
        <f t="shared" si="26"/>
        <v>0</v>
      </c>
      <c r="M140" s="463">
        <f t="shared" si="27"/>
        <v>0</v>
      </c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469"/>
      <c r="AT140" s="356">
        <f>ALds!S4</f>
        <v>0</v>
      </c>
      <c r="AU140" s="224"/>
      <c r="AV140" s="224"/>
      <c r="AW140" s="224"/>
      <c r="AX140" s="224"/>
      <c r="AY140" s="224"/>
      <c r="AZ140" s="224"/>
      <c r="BA140" s="469"/>
      <c r="BB140" s="224"/>
      <c r="BC140" s="224"/>
      <c r="BD140" s="548">
        <f t="shared" si="29"/>
        <v>0</v>
      </c>
      <c r="BE140" s="214"/>
    </row>
    <row r="141" spans="2:57" x14ac:dyDescent="0.25">
      <c r="B141" s="225" t="str">
        <f>Cen!A351</f>
        <v>Příborník, 550mm, Orion šedý</v>
      </c>
      <c r="C141" s="225" t="str">
        <f>Cen!B351</f>
        <v>ZC7S550BS3</v>
      </c>
      <c r="D141" s="225" t="str">
        <f>Cen!C351</f>
        <v>OG-M</v>
      </c>
      <c r="E141" s="606">
        <f>Cen!D351</f>
        <v>0</v>
      </c>
      <c r="F141" s="198">
        <f t="shared" si="22"/>
        <v>0</v>
      </c>
      <c r="G141" s="221">
        <f>Cen!F351</f>
        <v>111.28931</v>
      </c>
      <c r="H141" s="222">
        <f t="shared" si="30"/>
        <v>0</v>
      </c>
      <c r="I141" s="233"/>
      <c r="J141" s="223">
        <f>Cen!I351</f>
        <v>5140460</v>
      </c>
      <c r="K141" s="223">
        <f>Cen!J351</f>
        <v>227621</v>
      </c>
      <c r="L141" s="219">
        <f t="shared" si="26"/>
        <v>0</v>
      </c>
      <c r="M141" s="463">
        <f t="shared" si="27"/>
        <v>0</v>
      </c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469"/>
      <c r="AT141" s="356">
        <f>ALds!S5</f>
        <v>0</v>
      </c>
      <c r="AU141" s="224"/>
      <c r="AV141" s="224"/>
      <c r="AW141" s="224"/>
      <c r="AX141" s="224"/>
      <c r="AY141" s="224"/>
      <c r="AZ141" s="224"/>
      <c r="BA141" s="469"/>
      <c r="BB141" s="224"/>
      <c r="BC141" s="224"/>
      <c r="BD141" s="548">
        <f t="shared" si="29"/>
        <v>0</v>
      </c>
      <c r="BE141" s="214"/>
    </row>
    <row r="142" spans="2:57" x14ac:dyDescent="0.25">
      <c r="B142" s="225" t="str">
        <f>Cen!A354</f>
        <v>Příborník, 600mm, Orion šedý</v>
      </c>
      <c r="C142" s="225" t="str">
        <f>Cen!B354</f>
        <v>ZC7S600BS3</v>
      </c>
      <c r="D142" s="225" t="str">
        <f>Cen!C354</f>
        <v>OG-M</v>
      </c>
      <c r="E142" s="606">
        <f>Cen!D354</f>
        <v>0</v>
      </c>
      <c r="F142" s="198">
        <f t="shared" si="22"/>
        <v>0</v>
      </c>
      <c r="G142" s="221">
        <f>Cen!F354</f>
        <v>113.56747</v>
      </c>
      <c r="H142" s="222">
        <f t="shared" si="30"/>
        <v>0</v>
      </c>
      <c r="I142" s="233"/>
      <c r="J142" s="223">
        <f>Cen!I354</f>
        <v>2003515</v>
      </c>
      <c r="K142" s="223">
        <f>Cen!J354</f>
        <v>227624</v>
      </c>
      <c r="L142" s="219">
        <f t="shared" si="26"/>
        <v>0</v>
      </c>
      <c r="M142" s="463">
        <f t="shared" si="27"/>
        <v>0</v>
      </c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469"/>
      <c r="AT142" s="356">
        <f>ALds!S6</f>
        <v>0</v>
      </c>
      <c r="AU142" s="224"/>
      <c r="AV142" s="224"/>
      <c r="AW142" s="224"/>
      <c r="AX142" s="224"/>
      <c r="AY142" s="224"/>
      <c r="AZ142" s="224"/>
      <c r="BA142" s="469"/>
      <c r="BB142" s="224"/>
      <c r="BC142" s="224"/>
      <c r="BD142" s="548">
        <f t="shared" si="29"/>
        <v>0</v>
      </c>
      <c r="BE142" s="214"/>
    </row>
    <row r="143" spans="2:57" x14ac:dyDescent="0.25">
      <c r="B143" s="225" t="str">
        <f>Cen!A357</f>
        <v>Příborník, 650mm, Orion šedý</v>
      </c>
      <c r="C143" s="225" t="str">
        <f>Cen!B357</f>
        <v>ZC7S650BS3</v>
      </c>
      <c r="D143" s="225" t="str">
        <f>Cen!C357</f>
        <v>OG-M</v>
      </c>
      <c r="E143" s="606">
        <f>Cen!D357</f>
        <v>0</v>
      </c>
      <c r="F143" s="198">
        <f>IF(I143&gt;0,I143,SUM(N143:BC143))</f>
        <v>0</v>
      </c>
      <c r="G143" s="221">
        <f>Cen!F357</f>
        <v>142.95611</v>
      </c>
      <c r="H143" s="222">
        <f>M143</f>
        <v>0</v>
      </c>
      <c r="I143" s="233"/>
      <c r="J143" s="223">
        <f>Cen!I357</f>
        <v>7864958</v>
      </c>
      <c r="K143" s="223">
        <f>Cen!J357</f>
        <v>279407</v>
      </c>
      <c r="L143" s="219">
        <f>IF(I143="x",0,IF(I143&gt;0,I143,F143))</f>
        <v>0</v>
      </c>
      <c r="M143" s="463">
        <f>PRODUCT(L143,G143)</f>
        <v>0</v>
      </c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469"/>
      <c r="AT143" s="356">
        <f>ALds!S7</f>
        <v>0</v>
      </c>
      <c r="AU143" s="224"/>
      <c r="AV143" s="224"/>
      <c r="AW143" s="224"/>
      <c r="AX143" s="224"/>
      <c r="AY143" s="224"/>
      <c r="AZ143" s="224"/>
      <c r="BA143" s="469"/>
      <c r="BB143" s="224"/>
      <c r="BC143" s="224"/>
      <c r="BD143" s="548">
        <f>IF(AND(E143&gt;0,F143&gt;0),1,0)</f>
        <v>0</v>
      </c>
      <c r="BE143" s="214"/>
    </row>
    <row r="144" spans="2:57" x14ac:dyDescent="0.25">
      <c r="B144" s="225"/>
      <c r="C144" s="225"/>
      <c r="D144" s="225"/>
      <c r="E144" s="606"/>
      <c r="F144" s="198"/>
      <c r="G144" s="221"/>
      <c r="H144" s="222"/>
      <c r="I144" s="222"/>
      <c r="J144" s="223"/>
      <c r="K144" s="223"/>
      <c r="L144" s="219">
        <f t="shared" si="26"/>
        <v>0</v>
      </c>
      <c r="M144" s="463">
        <f t="shared" si="27"/>
        <v>0</v>
      </c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469"/>
      <c r="AT144" s="224"/>
      <c r="AU144" s="224"/>
      <c r="AV144" s="224"/>
      <c r="AW144" s="224"/>
      <c r="AX144" s="224"/>
      <c r="AY144" s="224"/>
      <c r="AZ144" s="224"/>
      <c r="BA144" s="469"/>
      <c r="BB144" s="224"/>
      <c r="BC144" s="224"/>
      <c r="BD144" s="548">
        <f t="shared" si="29"/>
        <v>0</v>
      </c>
      <c r="BE144" s="214"/>
    </row>
    <row r="145" spans="2:57" x14ac:dyDescent="0.25">
      <c r="B145" s="225" t="str">
        <f>Cen!A361</f>
        <v>Zásuvkové rámečky úzké, 450mm, Orion šedé</v>
      </c>
      <c r="C145" s="225" t="str">
        <f>Cen!B361</f>
        <v>ZC7S450RS1</v>
      </c>
      <c r="D145" s="225" t="str">
        <f>Cen!C361</f>
        <v>OG-M</v>
      </c>
      <c r="E145" s="606">
        <f>Cen!D361</f>
        <v>0</v>
      </c>
      <c r="F145" s="198">
        <f t="shared" ref="F145:F174" si="31">IF(I145&gt;0,I145,SUM(N145:BC145))</f>
        <v>0</v>
      </c>
      <c r="G145" s="221">
        <f>Cen!F361</f>
        <v>20.207260000000002</v>
      </c>
      <c r="H145" s="222">
        <f t="shared" si="30"/>
        <v>0</v>
      </c>
      <c r="I145" s="233"/>
      <c r="J145" s="223">
        <f>Cen!I361</f>
        <v>3560959</v>
      </c>
      <c r="K145" s="223">
        <f>Cen!J361</f>
        <v>227636</v>
      </c>
      <c r="L145" s="219">
        <f t="shared" si="26"/>
        <v>0</v>
      </c>
      <c r="M145" s="463">
        <f t="shared" si="27"/>
        <v>0</v>
      </c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469"/>
      <c r="AT145" s="356">
        <f>ALds!S9</f>
        <v>0</v>
      </c>
      <c r="AU145" s="224"/>
      <c r="AV145" s="224"/>
      <c r="AW145" s="224"/>
      <c r="AX145" s="224"/>
      <c r="AY145" s="224"/>
      <c r="AZ145" s="224"/>
      <c r="BA145" s="469"/>
      <c r="BB145" s="224"/>
      <c r="BC145" s="224"/>
      <c r="BD145" s="548">
        <f t="shared" si="29"/>
        <v>0</v>
      </c>
      <c r="BE145" s="214"/>
    </row>
    <row r="146" spans="2:57" x14ac:dyDescent="0.25">
      <c r="B146" s="225" t="str">
        <f>Cen!A364</f>
        <v>Zásuvkové rámečky úzké, 500mm, Orion šedé</v>
      </c>
      <c r="C146" s="225" t="str">
        <f>Cen!B364</f>
        <v>ZC7S500RS1</v>
      </c>
      <c r="D146" s="225" t="str">
        <f>Cen!C364</f>
        <v>OG-M</v>
      </c>
      <c r="E146" s="606">
        <f>Cen!D364</f>
        <v>0</v>
      </c>
      <c r="F146" s="198">
        <f t="shared" si="31"/>
        <v>0</v>
      </c>
      <c r="G146" s="221">
        <f>Cen!F364</f>
        <v>20.503470000000004</v>
      </c>
      <c r="H146" s="222">
        <f t="shared" si="30"/>
        <v>0</v>
      </c>
      <c r="I146" s="233"/>
      <c r="J146" s="223">
        <f>Cen!I364</f>
        <v>8693820</v>
      </c>
      <c r="K146" s="223">
        <f>Cen!J364</f>
        <v>227639</v>
      </c>
      <c r="L146" s="219">
        <f t="shared" si="26"/>
        <v>0</v>
      </c>
      <c r="M146" s="463">
        <f t="shared" si="27"/>
        <v>0</v>
      </c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469"/>
      <c r="AT146" s="356">
        <f>ALds!S10</f>
        <v>0</v>
      </c>
      <c r="AU146" s="224"/>
      <c r="AV146" s="224"/>
      <c r="AW146" s="224"/>
      <c r="AX146" s="224"/>
      <c r="AY146" s="224"/>
      <c r="AZ146" s="224"/>
      <c r="BA146" s="469"/>
      <c r="BB146" s="224"/>
      <c r="BC146" s="224"/>
      <c r="BD146" s="548">
        <f t="shared" si="29"/>
        <v>0</v>
      </c>
      <c r="BE146" s="214"/>
    </row>
    <row r="147" spans="2:57" x14ac:dyDescent="0.25">
      <c r="B147" s="225" t="str">
        <f>Cen!A367</f>
        <v>Zásuvkové rámečky úzké, 550mm, Orion šedé</v>
      </c>
      <c r="C147" s="225" t="str">
        <f>Cen!B367</f>
        <v>ZC7S550RS1</v>
      </c>
      <c r="D147" s="225" t="str">
        <f>Cen!C367</f>
        <v>OG-M</v>
      </c>
      <c r="E147" s="606">
        <f>Cen!D367</f>
        <v>0</v>
      </c>
      <c r="F147" s="198">
        <f t="shared" si="31"/>
        <v>0</v>
      </c>
      <c r="G147" s="221">
        <f>Cen!F367</f>
        <v>21.027159999999999</v>
      </c>
      <c r="H147" s="222">
        <f t="shared" si="30"/>
        <v>0</v>
      </c>
      <c r="I147" s="233"/>
      <c r="J147" s="223">
        <f>Cen!I367</f>
        <v>7888159</v>
      </c>
      <c r="K147" s="223">
        <f>Cen!J367</f>
        <v>227642</v>
      </c>
      <c r="L147" s="219">
        <f t="shared" si="26"/>
        <v>0</v>
      </c>
      <c r="M147" s="463">
        <f t="shared" si="27"/>
        <v>0</v>
      </c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469"/>
      <c r="AT147" s="356">
        <f>ALds!S11</f>
        <v>0</v>
      </c>
      <c r="AU147" s="224"/>
      <c r="AV147" s="224"/>
      <c r="AW147" s="224"/>
      <c r="AX147" s="224"/>
      <c r="AY147" s="224"/>
      <c r="AZ147" s="224"/>
      <c r="BA147" s="469"/>
      <c r="BB147" s="224"/>
      <c r="BC147" s="224"/>
      <c r="BD147" s="548">
        <f t="shared" si="29"/>
        <v>0</v>
      </c>
      <c r="BE147" s="214"/>
    </row>
    <row r="148" spans="2:57" x14ac:dyDescent="0.25">
      <c r="B148" s="225" t="str">
        <f>Cen!A370</f>
        <v>Zásuvkové rámečky úzké, 600mm, Orion šedé</v>
      </c>
      <c r="C148" s="225" t="str">
        <f>Cen!B370</f>
        <v>ZC7S600RS1</v>
      </c>
      <c r="D148" s="225" t="str">
        <f>Cen!C370</f>
        <v>OG-M</v>
      </c>
      <c r="E148" s="606">
        <f>Cen!D370</f>
        <v>0</v>
      </c>
      <c r="F148" s="198">
        <f t="shared" si="31"/>
        <v>0</v>
      </c>
      <c r="G148" s="221">
        <f>Cen!F370</f>
        <v>21.551040000000004</v>
      </c>
      <c r="H148" s="222">
        <f t="shared" si="30"/>
        <v>0</v>
      </c>
      <c r="I148" s="233"/>
      <c r="J148" s="223">
        <f>Cen!I370</f>
        <v>5406259</v>
      </c>
      <c r="K148" s="223">
        <f>Cen!J370</f>
        <v>227645</v>
      </c>
      <c r="L148" s="219">
        <f t="shared" si="26"/>
        <v>0</v>
      </c>
      <c r="M148" s="463">
        <f t="shared" si="27"/>
        <v>0</v>
      </c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469"/>
      <c r="AT148" s="356">
        <f>ALds!S12</f>
        <v>0</v>
      </c>
      <c r="AU148" s="224"/>
      <c r="AV148" s="224"/>
      <c r="AW148" s="224"/>
      <c r="AX148" s="224"/>
      <c r="AY148" s="224"/>
      <c r="AZ148" s="224"/>
      <c r="BA148" s="469"/>
      <c r="BB148" s="224"/>
      <c r="BC148" s="224"/>
      <c r="BD148" s="548">
        <f t="shared" si="29"/>
        <v>0</v>
      </c>
      <c r="BE148" s="214"/>
    </row>
    <row r="149" spans="2:57" x14ac:dyDescent="0.25">
      <c r="B149" s="225" t="str">
        <f>Cen!A373</f>
        <v>Zásuvkové rámečky úzké, 650mm, Orion šedé</v>
      </c>
      <c r="C149" s="225" t="str">
        <f>Cen!B373</f>
        <v>ZC7S650RS1</v>
      </c>
      <c r="D149" s="225" t="str">
        <f>Cen!C373</f>
        <v>OG-M</v>
      </c>
      <c r="E149" s="606">
        <f>Cen!D373</f>
        <v>0</v>
      </c>
      <c r="F149" s="198">
        <f>IF(I149&gt;0,I149,SUM(N149:BC149))</f>
        <v>0</v>
      </c>
      <c r="G149" s="221">
        <f>Cen!F373</f>
        <v>22.07471</v>
      </c>
      <c r="H149" s="222">
        <f>M149</f>
        <v>0</v>
      </c>
      <c r="I149" s="233"/>
      <c r="J149" s="223">
        <f>Cen!I373</f>
        <v>9535897</v>
      </c>
      <c r="K149" s="223">
        <f>Cen!J373</f>
        <v>275842</v>
      </c>
      <c r="L149" s="219">
        <f>IF(I149="x",0,IF(I149&gt;0,I149,F149))</f>
        <v>0</v>
      </c>
      <c r="M149" s="463">
        <f>PRODUCT(L149,G149)</f>
        <v>0</v>
      </c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469"/>
      <c r="AT149" s="356">
        <f>ALds!S13</f>
        <v>0</v>
      </c>
      <c r="AU149" s="224"/>
      <c r="AV149" s="224"/>
      <c r="AW149" s="224"/>
      <c r="AX149" s="224"/>
      <c r="AY149" s="224"/>
      <c r="AZ149" s="224"/>
      <c r="BA149" s="469"/>
      <c r="BB149" s="224"/>
      <c r="BC149" s="224"/>
      <c r="BD149" s="548">
        <f>IF(AND(E149&gt;0,F149&gt;0),1,0)</f>
        <v>0</v>
      </c>
      <c r="BE149" s="214"/>
    </row>
    <row r="150" spans="2:57" x14ac:dyDescent="0.25">
      <c r="B150" s="225" t="str">
        <f>Cen!A376</f>
        <v>Samostatná příčka, 50/100mm, Orion šedá</v>
      </c>
      <c r="C150" s="225" t="str">
        <f>Cen!B376</f>
        <v>ZC7Q010SS</v>
      </c>
      <c r="D150" s="225" t="str">
        <f>Cen!C376</f>
        <v>OG-M</v>
      </c>
      <c r="E150" s="606" t="str">
        <f>Cen!D376</f>
        <v>!</v>
      </c>
      <c r="F150" s="198">
        <f t="shared" si="31"/>
        <v>0</v>
      </c>
      <c r="G150" s="221">
        <f>Cen!F376</f>
        <v>3.3033199999999998</v>
      </c>
      <c r="H150" s="222">
        <f t="shared" si="30"/>
        <v>0</v>
      </c>
      <c r="I150" s="233"/>
      <c r="J150" s="223">
        <f>Cen!I376</f>
        <v>1842247</v>
      </c>
      <c r="K150" s="223">
        <f>Cen!J376</f>
        <v>227648</v>
      </c>
      <c r="L150" s="219">
        <f t="shared" si="26"/>
        <v>0</v>
      </c>
      <c r="M150" s="463">
        <f t="shared" si="27"/>
        <v>0</v>
      </c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469"/>
      <c r="AT150" s="224"/>
      <c r="AU150" s="224"/>
      <c r="AV150" s="224"/>
      <c r="AW150" s="224"/>
      <c r="AX150" s="224"/>
      <c r="AY150" s="224"/>
      <c r="AZ150" s="224"/>
      <c r="BA150" s="469"/>
      <c r="BB150" s="356"/>
      <c r="BC150" s="224"/>
      <c r="BD150" s="548">
        <f t="shared" si="29"/>
        <v>0</v>
      </c>
      <c r="BE150" s="214"/>
    </row>
    <row r="151" spans="2:57" x14ac:dyDescent="0.25">
      <c r="B151" s="225"/>
      <c r="C151" s="220"/>
      <c r="D151" s="220"/>
      <c r="E151" s="606"/>
      <c r="F151" s="198">
        <f t="shared" si="31"/>
        <v>0</v>
      </c>
      <c r="G151" s="220"/>
      <c r="H151" s="222"/>
      <c r="I151" s="243"/>
      <c r="J151" s="220"/>
      <c r="K151" s="220"/>
      <c r="L151" s="219">
        <f t="shared" ref="L151:L230" si="32">IF(I151="x",0,IF(I151&gt;0,I151,F151))</f>
        <v>0</v>
      </c>
      <c r="M151" s="463">
        <f t="shared" ref="M151:M230" si="33">PRODUCT(L151,G151)</f>
        <v>0</v>
      </c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469"/>
      <c r="AT151" s="224"/>
      <c r="AU151" s="224"/>
      <c r="AV151" s="224"/>
      <c r="AW151" s="224"/>
      <c r="AX151" s="224"/>
      <c r="AY151" s="224"/>
      <c r="AZ151" s="224"/>
      <c r="BA151" s="469"/>
      <c r="BB151" s="224"/>
      <c r="BC151" s="224"/>
      <c r="BD151" s="548">
        <f t="shared" si="29"/>
        <v>0</v>
      </c>
      <c r="BE151" s="214"/>
    </row>
    <row r="152" spans="2:57" x14ac:dyDescent="0.25">
      <c r="B152" s="225" t="str">
        <f>Cen!A380</f>
        <v>Zásuvkové rámečky široké, 450mm, Orion šedé</v>
      </c>
      <c r="C152" s="225" t="str">
        <f>Cen!B380</f>
        <v>ZC7S450RS2</v>
      </c>
      <c r="D152" s="225" t="str">
        <f>Cen!C380</f>
        <v>OG-M</v>
      </c>
      <c r="E152" s="606">
        <f>Cen!D380</f>
        <v>0</v>
      </c>
      <c r="F152" s="198">
        <f t="shared" si="31"/>
        <v>0</v>
      </c>
      <c r="G152" s="221">
        <f>Cen!F380</f>
        <v>24.763960000000001</v>
      </c>
      <c r="H152" s="222">
        <f t="shared" ref="H152:H157" si="34">M152</f>
        <v>0</v>
      </c>
      <c r="I152" s="233"/>
      <c r="J152" s="223">
        <f>Cen!I380</f>
        <v>2903985</v>
      </c>
      <c r="K152" s="223">
        <f>Cen!J380</f>
        <v>227651</v>
      </c>
      <c r="L152" s="219">
        <f t="shared" si="32"/>
        <v>0</v>
      </c>
      <c r="M152" s="463">
        <f t="shared" si="33"/>
        <v>0</v>
      </c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469"/>
      <c r="AT152" s="356">
        <f>ALds!S15</f>
        <v>0</v>
      </c>
      <c r="AU152" s="224"/>
      <c r="AV152" s="224"/>
      <c r="AW152" s="224"/>
      <c r="AX152" s="224"/>
      <c r="AY152" s="224"/>
      <c r="AZ152" s="224"/>
      <c r="BA152" s="469"/>
      <c r="BB152" s="224"/>
      <c r="BC152" s="224"/>
      <c r="BD152" s="548">
        <f t="shared" si="29"/>
        <v>0</v>
      </c>
      <c r="BE152" s="214"/>
    </row>
    <row r="153" spans="2:57" x14ac:dyDescent="0.25">
      <c r="B153" s="225" t="str">
        <f>Cen!A383</f>
        <v>Zásuvkové rámečky široké, 500mm, Orion šedé</v>
      </c>
      <c r="C153" s="225" t="str">
        <f>Cen!B383</f>
        <v>ZC7S500RS2</v>
      </c>
      <c r="D153" s="225" t="str">
        <f>Cen!C383</f>
        <v>OG-M</v>
      </c>
      <c r="E153" s="606">
        <f>Cen!D383</f>
        <v>0</v>
      </c>
      <c r="F153" s="198">
        <f t="shared" si="31"/>
        <v>0</v>
      </c>
      <c r="G153" s="221">
        <f>Cen!F383</f>
        <v>25.059979999999999</v>
      </c>
      <c r="H153" s="222">
        <f t="shared" si="34"/>
        <v>0</v>
      </c>
      <c r="I153" s="233"/>
      <c r="J153" s="223">
        <f>Cen!I383</f>
        <v>4595319</v>
      </c>
      <c r="K153" s="223">
        <f>Cen!J383</f>
        <v>227654</v>
      </c>
      <c r="L153" s="219">
        <f t="shared" si="32"/>
        <v>0</v>
      </c>
      <c r="M153" s="463">
        <f t="shared" si="33"/>
        <v>0</v>
      </c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469"/>
      <c r="AT153" s="356">
        <f>ALds!S16</f>
        <v>0</v>
      </c>
      <c r="AU153" s="224"/>
      <c r="AV153" s="224"/>
      <c r="AW153" s="224"/>
      <c r="AX153" s="224"/>
      <c r="AY153" s="224"/>
      <c r="AZ153" s="224"/>
      <c r="BA153" s="469"/>
      <c r="BB153" s="224"/>
      <c r="BC153" s="224"/>
      <c r="BD153" s="548">
        <f t="shared" si="29"/>
        <v>0</v>
      </c>
      <c r="BE153" s="214"/>
    </row>
    <row r="154" spans="2:57" x14ac:dyDescent="0.25">
      <c r="B154" s="225" t="str">
        <f>Cen!A386</f>
        <v>Zásuvkové rámečky široké, 550mm, Orion šedé</v>
      </c>
      <c r="C154" s="225" t="str">
        <f>Cen!B386</f>
        <v>ZC7S550RS2</v>
      </c>
      <c r="D154" s="225" t="str">
        <f>Cen!C386</f>
        <v>OG-M</v>
      </c>
      <c r="E154" s="606">
        <f>Cen!D386</f>
        <v>0</v>
      </c>
      <c r="F154" s="198">
        <f t="shared" si="31"/>
        <v>0</v>
      </c>
      <c r="G154" s="221">
        <f>Cen!F386</f>
        <v>25.583860000000001</v>
      </c>
      <c r="H154" s="222">
        <f t="shared" si="34"/>
        <v>0</v>
      </c>
      <c r="I154" s="233"/>
      <c r="J154" s="223">
        <f>Cen!I386</f>
        <v>4777342</v>
      </c>
      <c r="K154" s="223">
        <f>Cen!J386</f>
        <v>227657</v>
      </c>
      <c r="L154" s="219">
        <f t="shared" si="32"/>
        <v>0</v>
      </c>
      <c r="M154" s="463">
        <f t="shared" si="33"/>
        <v>0</v>
      </c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469"/>
      <c r="AT154" s="356">
        <f>ALds!S17</f>
        <v>0</v>
      </c>
      <c r="AU154" s="224"/>
      <c r="AV154" s="224"/>
      <c r="AW154" s="224"/>
      <c r="AX154" s="224"/>
      <c r="AY154" s="224"/>
      <c r="AZ154" s="224"/>
      <c r="BA154" s="469"/>
      <c r="BB154" s="224"/>
      <c r="BC154" s="224"/>
      <c r="BD154" s="548">
        <f t="shared" si="29"/>
        <v>0</v>
      </c>
      <c r="BE154" s="214"/>
    </row>
    <row r="155" spans="2:57" x14ac:dyDescent="0.25">
      <c r="B155" s="225" t="str">
        <f>Cen!A389</f>
        <v>Zásuvkové rámečky široké, 600mm, Orion šedé</v>
      </c>
      <c r="C155" s="225" t="str">
        <f>Cen!B389</f>
        <v>ZC7S600RS2</v>
      </c>
      <c r="D155" s="225" t="str">
        <f>Cen!C389</f>
        <v>OG-M</v>
      </c>
      <c r="E155" s="606">
        <f>Cen!D389</f>
        <v>0</v>
      </c>
      <c r="F155" s="198">
        <f t="shared" si="31"/>
        <v>0</v>
      </c>
      <c r="G155" s="221">
        <f>Cen!F389</f>
        <v>26.10754</v>
      </c>
      <c r="H155" s="222">
        <f t="shared" si="34"/>
        <v>0</v>
      </c>
      <c r="I155" s="233"/>
      <c r="J155" s="223">
        <f>Cen!I389</f>
        <v>6140227</v>
      </c>
      <c r="K155" s="223">
        <f>Cen!J389</f>
        <v>227661</v>
      </c>
      <c r="L155" s="219">
        <f t="shared" si="32"/>
        <v>0</v>
      </c>
      <c r="M155" s="463">
        <f t="shared" si="33"/>
        <v>0</v>
      </c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469"/>
      <c r="AT155" s="356">
        <f>ALds!S18</f>
        <v>0</v>
      </c>
      <c r="AU155" s="224"/>
      <c r="AV155" s="224"/>
      <c r="AW155" s="224"/>
      <c r="AX155" s="224"/>
      <c r="AY155" s="224"/>
      <c r="AZ155" s="224"/>
      <c r="BA155" s="469"/>
      <c r="BB155" s="224"/>
      <c r="BC155" s="224"/>
      <c r="BD155" s="548">
        <f t="shared" si="29"/>
        <v>0</v>
      </c>
      <c r="BE155" s="214"/>
    </row>
    <row r="156" spans="2:57" x14ac:dyDescent="0.25">
      <c r="B156" s="225" t="str">
        <f>Cen!A392</f>
        <v>Zásuvkové rámečky široké, 650mm, Orion šedé</v>
      </c>
      <c r="C156" s="225" t="str">
        <f>Cen!B392</f>
        <v>ZC7S650RS2</v>
      </c>
      <c r="D156" s="225" t="str">
        <f>Cen!C392</f>
        <v>OG-M</v>
      </c>
      <c r="E156" s="606">
        <f>Cen!D392</f>
        <v>0</v>
      </c>
      <c r="F156" s="198">
        <f>IF(I156&gt;0,I156,SUM(N156:BC156))</f>
        <v>0</v>
      </c>
      <c r="G156" s="221">
        <f>Cen!F392</f>
        <v>26.631230000000002</v>
      </c>
      <c r="H156" s="222">
        <f t="shared" si="34"/>
        <v>0</v>
      </c>
      <c r="I156" s="233"/>
      <c r="J156" s="223">
        <f>Cen!I392</f>
        <v>4781572</v>
      </c>
      <c r="K156" s="223">
        <f>Cen!J392</f>
        <v>275843</v>
      </c>
      <c r="L156" s="219">
        <f>IF(I156="x",0,IF(I156&gt;0,I156,F156))</f>
        <v>0</v>
      </c>
      <c r="M156" s="463">
        <f>PRODUCT(L156,G156)</f>
        <v>0</v>
      </c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469"/>
      <c r="AT156" s="356">
        <f>ALds!S19</f>
        <v>0</v>
      </c>
      <c r="AU156" s="224"/>
      <c r="AV156" s="224"/>
      <c r="AW156" s="224"/>
      <c r="AX156" s="224"/>
      <c r="AY156" s="224"/>
      <c r="AZ156" s="224"/>
      <c r="BA156" s="469"/>
      <c r="BB156" s="224"/>
      <c r="BC156" s="224"/>
      <c r="BD156" s="548">
        <f>IF(AND(E156&gt;0,F156&gt;0),1,0)</f>
        <v>0</v>
      </c>
      <c r="BE156" s="214"/>
    </row>
    <row r="157" spans="2:57" x14ac:dyDescent="0.25">
      <c r="B157" s="225" t="str">
        <f>Cen!A395</f>
        <v>Samostatná příčka, 50/200mm, Orion šedá</v>
      </c>
      <c r="C157" s="225" t="str">
        <f>Cen!B395</f>
        <v>ZC7Q020SS</v>
      </c>
      <c r="D157" s="225" t="str">
        <f>Cen!C395</f>
        <v>OG-M</v>
      </c>
      <c r="E157" s="606" t="str">
        <f>Cen!D395</f>
        <v>!</v>
      </c>
      <c r="F157" s="198">
        <f t="shared" si="31"/>
        <v>0</v>
      </c>
      <c r="G157" s="221">
        <f>Cen!F395</f>
        <v>4.6702700000000004</v>
      </c>
      <c r="H157" s="222">
        <f t="shared" si="34"/>
        <v>0</v>
      </c>
      <c r="I157" s="233"/>
      <c r="J157" s="223">
        <f>Cen!I395</f>
        <v>1587698</v>
      </c>
      <c r="K157" s="223">
        <f>Cen!J395</f>
        <v>227664</v>
      </c>
      <c r="L157" s="219">
        <f t="shared" si="32"/>
        <v>0</v>
      </c>
      <c r="M157" s="463">
        <f t="shared" si="33"/>
        <v>0</v>
      </c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469"/>
      <c r="AT157" s="224"/>
      <c r="AU157" s="224"/>
      <c r="AV157" s="224"/>
      <c r="AW157" s="224"/>
      <c r="AX157" s="224"/>
      <c r="AY157" s="224"/>
      <c r="AZ157" s="224"/>
      <c r="BA157" s="469"/>
      <c r="BB157" s="356"/>
      <c r="BC157" s="224"/>
      <c r="BD157" s="548">
        <f t="shared" si="29"/>
        <v>0</v>
      </c>
      <c r="BE157" s="214"/>
    </row>
    <row r="158" spans="2:57" x14ac:dyDescent="0.25">
      <c r="B158" s="225"/>
      <c r="C158" s="225"/>
      <c r="D158" s="225"/>
      <c r="E158" s="606"/>
      <c r="F158" s="198"/>
      <c r="G158" s="221"/>
      <c r="H158" s="222"/>
      <c r="I158" s="222"/>
      <c r="J158" s="223"/>
      <c r="K158" s="223"/>
      <c r="L158" s="219">
        <f t="shared" si="32"/>
        <v>0</v>
      </c>
      <c r="M158" s="463">
        <f t="shared" si="33"/>
        <v>0</v>
      </c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469"/>
      <c r="AT158" s="224"/>
      <c r="AU158" s="224"/>
      <c r="AV158" s="224"/>
      <c r="AW158" s="224"/>
      <c r="AX158" s="224"/>
      <c r="AY158" s="224"/>
      <c r="AZ158" s="224"/>
      <c r="BA158" s="469"/>
      <c r="BB158" s="224"/>
      <c r="BC158" s="224"/>
      <c r="BD158" s="548">
        <f t="shared" si="29"/>
        <v>0</v>
      </c>
      <c r="BE158" s="214"/>
    </row>
    <row r="159" spans="2:57" x14ac:dyDescent="0.25">
      <c r="B159" s="225" t="str">
        <f>Cen!A399</f>
        <v>Zásuvkové rámečky, od 270mm, Orion šedé</v>
      </c>
      <c r="C159" s="225" t="str">
        <f>Cen!B399</f>
        <v>ZC7S300RSU</v>
      </c>
      <c r="D159" s="225" t="str">
        <f>Cen!C399</f>
        <v>OG-M</v>
      </c>
      <c r="E159" s="606">
        <f>Cen!D399</f>
        <v>0</v>
      </c>
      <c r="F159" s="198">
        <f t="shared" si="31"/>
        <v>0</v>
      </c>
      <c r="G159" s="221">
        <f>Cen!F399</f>
        <v>31.894649999999999</v>
      </c>
      <c r="H159" s="222">
        <f>M159</f>
        <v>0</v>
      </c>
      <c r="I159" s="233"/>
      <c r="J159" s="223">
        <f>Cen!I399</f>
        <v>1392076</v>
      </c>
      <c r="K159" s="223">
        <f>Cen!J399</f>
        <v>227627</v>
      </c>
      <c r="L159" s="219">
        <f t="shared" si="32"/>
        <v>0</v>
      </c>
      <c r="M159" s="463">
        <f t="shared" si="33"/>
        <v>0</v>
      </c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469"/>
      <c r="AT159" s="356">
        <f>ALds!S21</f>
        <v>0</v>
      </c>
      <c r="AU159" s="224"/>
      <c r="AV159" s="224"/>
      <c r="AW159" s="224"/>
      <c r="AX159" s="224"/>
      <c r="AY159" s="224"/>
      <c r="AZ159" s="224"/>
      <c r="BA159" s="469"/>
      <c r="BB159" s="224"/>
      <c r="BC159" s="224"/>
      <c r="BD159" s="548">
        <f t="shared" si="29"/>
        <v>0</v>
      </c>
      <c r="BE159" s="214"/>
    </row>
    <row r="160" spans="2:57" x14ac:dyDescent="0.25">
      <c r="B160" s="225" t="str">
        <f>Cen!A402</f>
        <v>Adaptér pro dřevěná záda M, Orion šedý</v>
      </c>
      <c r="C160" s="225" t="str">
        <f>Cen!B402</f>
        <v>ZC7A0U0M</v>
      </c>
      <c r="D160" s="225" t="str">
        <f>Cen!C402</f>
        <v>OG-M</v>
      </c>
      <c r="E160" s="606">
        <f>Cen!D402</f>
        <v>0</v>
      </c>
      <c r="F160" s="198">
        <f t="shared" si="31"/>
        <v>0</v>
      </c>
      <c r="G160" s="221">
        <f>Cen!F402</f>
        <v>4.1008199999999997</v>
      </c>
      <c r="H160" s="222">
        <f>M160</f>
        <v>0</v>
      </c>
      <c r="I160" s="233"/>
      <c r="J160" s="223">
        <f>Cen!I402</f>
        <v>3486858</v>
      </c>
      <c r="K160" s="223">
        <f>Cen!J402</f>
        <v>227630</v>
      </c>
      <c r="L160" s="219">
        <f t="shared" si="32"/>
        <v>0</v>
      </c>
      <c r="M160" s="463">
        <f t="shared" si="33"/>
        <v>0</v>
      </c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469"/>
      <c r="AT160" s="356">
        <f>ALds!S22</f>
        <v>0</v>
      </c>
      <c r="AU160" s="224"/>
      <c r="AV160" s="224"/>
      <c r="AW160" s="224"/>
      <c r="AX160" s="224"/>
      <c r="AY160" s="224"/>
      <c r="AZ160" s="224"/>
      <c r="BA160" s="469"/>
      <c r="BB160" s="224"/>
      <c r="BC160" s="224"/>
      <c r="BD160" s="548">
        <f t="shared" si="29"/>
        <v>0</v>
      </c>
      <c r="BE160" s="214"/>
    </row>
    <row r="161" spans="2:57" x14ac:dyDescent="0.25">
      <c r="B161" s="225" t="str">
        <f>Cen!A405</f>
        <v>Adaptér pro dřevěná záda K, Orion šedý</v>
      </c>
      <c r="C161" s="225" t="str">
        <f>Cen!B405</f>
        <v>ZC7A0U0K</v>
      </c>
      <c r="D161" s="225" t="str">
        <f>Cen!C405</f>
        <v>OG-M</v>
      </c>
      <c r="E161" s="606" t="str">
        <f>Cen!D405</f>
        <v>!</v>
      </c>
      <c r="F161" s="198">
        <f t="shared" si="31"/>
        <v>0</v>
      </c>
      <c r="G161" s="221">
        <f>Cen!F405</f>
        <v>4.55633</v>
      </c>
      <c r="H161" s="222">
        <f>M161</f>
        <v>0</v>
      </c>
      <c r="I161" s="233"/>
      <c r="J161" s="223">
        <f>Cen!I405</f>
        <v>9566186</v>
      </c>
      <c r="K161" s="223">
        <f>Cen!J405</f>
        <v>279415</v>
      </c>
      <c r="L161" s="219">
        <f t="shared" si="32"/>
        <v>0</v>
      </c>
      <c r="M161" s="463">
        <f t="shared" si="33"/>
        <v>0</v>
      </c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469"/>
      <c r="AT161" s="356">
        <f>ALds!S23</f>
        <v>0</v>
      </c>
      <c r="AU161" s="224"/>
      <c r="AV161" s="224"/>
      <c r="AW161" s="224"/>
      <c r="AX161" s="224"/>
      <c r="AY161" s="224"/>
      <c r="AZ161" s="224"/>
      <c r="BA161" s="469"/>
      <c r="BB161" s="224"/>
      <c r="BC161" s="224"/>
      <c r="BD161" s="548">
        <f t="shared" si="29"/>
        <v>0</v>
      </c>
      <c r="BE161" s="214"/>
    </row>
    <row r="162" spans="2:57" x14ac:dyDescent="0.25">
      <c r="B162" s="225" t="str">
        <f>Cen!A408</f>
        <v>Samostatná příčka, 50/242mm, Orion šedá</v>
      </c>
      <c r="C162" s="225" t="str">
        <f>Cen!B408</f>
        <v>ZC7Q0U0SS</v>
      </c>
      <c r="D162" s="225" t="str">
        <f>Cen!C408</f>
        <v>OG-M</v>
      </c>
      <c r="E162" s="606" t="str">
        <f>Cen!D408</f>
        <v>!</v>
      </c>
      <c r="F162" s="198">
        <f t="shared" si="31"/>
        <v>0</v>
      </c>
      <c r="G162" s="221">
        <f>Cen!F408</f>
        <v>5.0120300000000002</v>
      </c>
      <c r="H162" s="222">
        <f>M162</f>
        <v>0</v>
      </c>
      <c r="I162" s="233"/>
      <c r="J162" s="223">
        <f>Cen!I408</f>
        <v>8022610</v>
      </c>
      <c r="K162" s="223">
        <f>Cen!J408</f>
        <v>227633</v>
      </c>
      <c r="L162" s="219">
        <f t="shared" si="32"/>
        <v>0</v>
      </c>
      <c r="M162" s="463">
        <f t="shared" si="33"/>
        <v>0</v>
      </c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469"/>
      <c r="AT162" s="224"/>
      <c r="AU162" s="224"/>
      <c r="AV162" s="224"/>
      <c r="AW162" s="224"/>
      <c r="AX162" s="224"/>
      <c r="AY162" s="224"/>
      <c r="AZ162" s="224"/>
      <c r="BA162" s="469"/>
      <c r="BB162" s="356"/>
      <c r="BC162" s="224"/>
      <c r="BD162" s="548">
        <f t="shared" si="29"/>
        <v>0</v>
      </c>
      <c r="BE162" s="214"/>
    </row>
    <row r="163" spans="2:57" x14ac:dyDescent="0.25">
      <c r="B163" s="225"/>
      <c r="C163" s="225"/>
      <c r="D163" s="225"/>
      <c r="E163" s="606"/>
      <c r="F163" s="198"/>
      <c r="G163" s="221"/>
      <c r="H163" s="222"/>
      <c r="I163" s="222"/>
      <c r="J163" s="223"/>
      <c r="K163" s="223"/>
      <c r="L163" s="219">
        <f t="shared" si="32"/>
        <v>0</v>
      </c>
      <c r="M163" s="463">
        <f t="shared" si="33"/>
        <v>0</v>
      </c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469"/>
      <c r="AT163" s="224"/>
      <c r="AU163" s="224"/>
      <c r="AV163" s="224"/>
      <c r="AW163" s="224"/>
      <c r="AX163" s="224"/>
      <c r="AY163" s="224"/>
      <c r="AZ163" s="224"/>
      <c r="BA163" s="469"/>
      <c r="BB163" s="224"/>
      <c r="BC163" s="224"/>
      <c r="BD163" s="548">
        <f t="shared" si="29"/>
        <v>0</v>
      </c>
      <c r="BE163" s="214"/>
    </row>
    <row r="164" spans="2:57" x14ac:dyDescent="0.25">
      <c r="B164" s="225" t="str">
        <f>Cen!A414</f>
        <v>Rámečky pro čel. výsuvy, od 270mm, Orion šedé</v>
      </c>
      <c r="C164" s="225" t="str">
        <f>Cen!B414</f>
        <v>ZC7F300RSU</v>
      </c>
      <c r="D164" s="225" t="str">
        <f>Cen!C414</f>
        <v>OG-M</v>
      </c>
      <c r="E164" s="606">
        <f>Cen!D414</f>
        <v>0</v>
      </c>
      <c r="F164" s="198">
        <f t="shared" si="31"/>
        <v>0</v>
      </c>
      <c r="G164" s="221">
        <f>Cen!F414</f>
        <v>41.007300000000008</v>
      </c>
      <c r="H164" s="222">
        <f t="shared" ref="H164:H174" si="35">M164</f>
        <v>0</v>
      </c>
      <c r="I164" s="233"/>
      <c r="J164" s="223">
        <f>Cen!I414</f>
        <v>7830344</v>
      </c>
      <c r="K164" s="223">
        <f>Cen!J414</f>
        <v>227668</v>
      </c>
      <c r="L164" s="219">
        <f t="shared" si="32"/>
        <v>0</v>
      </c>
      <c r="M164" s="463">
        <f t="shared" si="33"/>
        <v>0</v>
      </c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469"/>
      <c r="AT164" s="224"/>
      <c r="AU164" s="356">
        <f>ALpos!R3</f>
        <v>0</v>
      </c>
      <c r="AV164" s="224"/>
      <c r="AW164" s="224"/>
      <c r="AX164" s="224"/>
      <c r="AY164" s="224"/>
      <c r="AZ164" s="224"/>
      <c r="BA164" s="469"/>
      <c r="BB164" s="224"/>
      <c r="BC164" s="224"/>
      <c r="BD164" s="548">
        <f t="shared" si="29"/>
        <v>0</v>
      </c>
      <c r="BE164" s="214"/>
    </row>
    <row r="165" spans="2:57" x14ac:dyDescent="0.25">
      <c r="B165" s="225" t="str">
        <f>Cen!A417</f>
        <v>Adaptér pro dřevěná záda, š.242mm, Orion šedý</v>
      </c>
      <c r="C165" s="225" t="str">
        <f>Cen!B417</f>
        <v>ZC7A0U0C</v>
      </c>
      <c r="D165" s="225" t="str">
        <f>Cen!C417</f>
        <v>OG-M</v>
      </c>
      <c r="E165" s="606">
        <f>Cen!D417</f>
        <v>0</v>
      </c>
      <c r="F165" s="198">
        <f t="shared" si="31"/>
        <v>0</v>
      </c>
      <c r="G165" s="221">
        <f>Cen!F417</f>
        <v>4.89811</v>
      </c>
      <c r="H165" s="222">
        <f t="shared" si="35"/>
        <v>0</v>
      </c>
      <c r="I165" s="233"/>
      <c r="J165" s="223">
        <f>Cen!I417</f>
        <v>4293657</v>
      </c>
      <c r="K165" s="223">
        <f>Cen!J417</f>
        <v>227671</v>
      </c>
      <c r="L165" s="219">
        <f t="shared" si="32"/>
        <v>0</v>
      </c>
      <c r="M165" s="463">
        <f t="shared" si="33"/>
        <v>0</v>
      </c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469"/>
      <c r="AT165" s="224"/>
      <c r="AU165" s="356">
        <f>ALpos!R4</f>
        <v>0</v>
      </c>
      <c r="AV165" s="224"/>
      <c r="AW165" s="224"/>
      <c r="AX165" s="224"/>
      <c r="AY165" s="224"/>
      <c r="AZ165" s="224"/>
      <c r="BA165" s="469"/>
      <c r="BB165" s="224"/>
      <c r="BC165" s="224"/>
      <c r="BD165" s="548">
        <f t="shared" si="29"/>
        <v>0</v>
      </c>
      <c r="BE165" s="214"/>
    </row>
    <row r="166" spans="2:57" x14ac:dyDescent="0.25">
      <c r="B166" s="225" t="str">
        <f>Cen!A420</f>
        <v>Samostatná příčka,110/242mm, Orion šedá</v>
      </c>
      <c r="C166" s="225" t="str">
        <f>Cen!B420</f>
        <v>ZC7Q0U0FS</v>
      </c>
      <c r="D166" s="225" t="str">
        <f>Cen!C420</f>
        <v>OG-M</v>
      </c>
      <c r="E166" s="606" t="str">
        <f>Cen!D420</f>
        <v>!</v>
      </c>
      <c r="F166" s="198">
        <f t="shared" si="31"/>
        <v>0</v>
      </c>
      <c r="G166" s="221">
        <f>Cen!F420</f>
        <v>6.0371800000000011</v>
      </c>
      <c r="H166" s="222">
        <f t="shared" si="35"/>
        <v>0</v>
      </c>
      <c r="I166" s="233"/>
      <c r="J166" s="223">
        <f>Cen!I420</f>
        <v>9384548</v>
      </c>
      <c r="K166" s="223">
        <f>Cen!J420</f>
        <v>227674</v>
      </c>
      <c r="L166" s="219">
        <f t="shared" si="32"/>
        <v>0</v>
      </c>
      <c r="M166" s="463">
        <f t="shared" si="33"/>
        <v>0</v>
      </c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469"/>
      <c r="AT166" s="224"/>
      <c r="AU166" s="224"/>
      <c r="AV166" s="224"/>
      <c r="AW166" s="224"/>
      <c r="AX166" s="224"/>
      <c r="AY166" s="224"/>
      <c r="AZ166" s="224"/>
      <c r="BA166" s="469"/>
      <c r="BB166" s="224"/>
      <c r="BC166" s="224"/>
      <c r="BD166" s="548">
        <f t="shared" si="29"/>
        <v>0</v>
      </c>
      <c r="BE166" s="214"/>
    </row>
    <row r="167" spans="2:57" x14ac:dyDescent="0.25">
      <c r="B167" s="225" t="str">
        <f>Cen!A424</f>
        <v>Rámečky pro čel. výsuvy, od 400mm, Orion šedé</v>
      </c>
      <c r="C167" s="225" t="str">
        <f>Cen!B424</f>
        <v>ZC7F400RSP</v>
      </c>
      <c r="D167" s="225" t="str">
        <f>Cen!C424</f>
        <v>OG-M</v>
      </c>
      <c r="E167" s="606">
        <f>Cen!D424</f>
        <v>0</v>
      </c>
      <c r="F167" s="198">
        <f t="shared" si="31"/>
        <v>0</v>
      </c>
      <c r="G167" s="221">
        <f>Cen!F424</f>
        <v>43.285469999999997</v>
      </c>
      <c r="H167" s="222">
        <f t="shared" si="35"/>
        <v>0</v>
      </c>
      <c r="I167" s="233"/>
      <c r="J167" s="223">
        <f>Cen!I424</f>
        <v>7649432</v>
      </c>
      <c r="K167" s="223">
        <f>Cen!J424</f>
        <v>227677</v>
      </c>
      <c r="L167" s="219">
        <f t="shared" si="32"/>
        <v>0</v>
      </c>
      <c r="M167" s="463">
        <f t="shared" si="33"/>
        <v>0</v>
      </c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469"/>
      <c r="AT167" s="224"/>
      <c r="AU167" s="356">
        <f>ALpos!R8</f>
        <v>0</v>
      </c>
      <c r="AV167" s="224"/>
      <c r="AW167" s="224"/>
      <c r="AX167" s="224"/>
      <c r="AY167" s="224"/>
      <c r="AZ167" s="224"/>
      <c r="BA167" s="469"/>
      <c r="BB167" s="224"/>
      <c r="BC167" s="224"/>
      <c r="BD167" s="548">
        <f t="shared" si="29"/>
        <v>0</v>
      </c>
      <c r="BE167" s="214"/>
    </row>
    <row r="168" spans="2:57" x14ac:dyDescent="0.25">
      <c r="B168" s="225" t="str">
        <f>Cen!A427</f>
        <v>Adaptér pro dřevěná záda C, Orion šedý</v>
      </c>
      <c r="C168" s="225" t="str">
        <f>Cen!B427</f>
        <v>ZC7A0P0C</v>
      </c>
      <c r="D168" s="225" t="str">
        <f>Cen!C427</f>
        <v>OG-M</v>
      </c>
      <c r="E168" s="606">
        <f>Cen!D427</f>
        <v>0</v>
      </c>
      <c r="F168" s="198">
        <f t="shared" si="31"/>
        <v>0</v>
      </c>
      <c r="G168" s="221">
        <f>Cen!F427</f>
        <v>4.89811</v>
      </c>
      <c r="H168" s="222">
        <f t="shared" si="35"/>
        <v>0</v>
      </c>
      <c r="I168" s="233"/>
      <c r="J168" s="223">
        <f>Cen!I427</f>
        <v>2258290</v>
      </c>
      <c r="K168" s="223">
        <f>Cen!J427</f>
        <v>227680</v>
      </c>
      <c r="L168" s="219">
        <f t="shared" si="32"/>
        <v>0</v>
      </c>
      <c r="M168" s="463">
        <f t="shared" si="33"/>
        <v>0</v>
      </c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469"/>
      <c r="AT168" s="224"/>
      <c r="AU168" s="356">
        <f>ALpos!R9</f>
        <v>0</v>
      </c>
      <c r="AV168" s="224"/>
      <c r="AW168" s="224"/>
      <c r="AX168" s="224"/>
      <c r="AY168" s="224"/>
      <c r="AZ168" s="224"/>
      <c r="BA168" s="469"/>
      <c r="BB168" s="224"/>
      <c r="BC168" s="224"/>
      <c r="BD168" s="548">
        <f t="shared" si="29"/>
        <v>0</v>
      </c>
      <c r="BE168" s="214"/>
    </row>
    <row r="169" spans="2:57" x14ac:dyDescent="0.25">
      <c r="B169" s="225" t="str">
        <f>Cen!A430</f>
        <v>Adaptér pro dřevěná záda F, Orion šedý</v>
      </c>
      <c r="C169" s="225" t="str">
        <f>Cen!B430</f>
        <v>ZC7A0P0F</v>
      </c>
      <c r="D169" s="225" t="str">
        <f>Cen!C430</f>
        <v>OG-M</v>
      </c>
      <c r="E169" s="606">
        <f>Cen!D430</f>
        <v>0</v>
      </c>
      <c r="F169" s="198">
        <f t="shared" si="31"/>
        <v>0</v>
      </c>
      <c r="G169" s="221">
        <f>Cen!F430</f>
        <v>5.4677499999999997</v>
      </c>
      <c r="H169" s="222">
        <f t="shared" si="35"/>
        <v>0</v>
      </c>
      <c r="I169" s="233"/>
      <c r="J169" s="223">
        <f>Cen!I430</f>
        <v>3677745</v>
      </c>
      <c r="K169" s="223">
        <f>Cen!J430</f>
        <v>227683</v>
      </c>
      <c r="L169" s="219">
        <f t="shared" si="32"/>
        <v>0</v>
      </c>
      <c r="M169" s="463">
        <f t="shared" si="33"/>
        <v>0</v>
      </c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469"/>
      <c r="AT169" s="224"/>
      <c r="AU169" s="356">
        <f>ALpos!R10</f>
        <v>0</v>
      </c>
      <c r="AV169" s="224"/>
      <c r="AW169" s="224"/>
      <c r="AX169" s="224"/>
      <c r="AY169" s="224"/>
      <c r="AZ169" s="224"/>
      <c r="BA169" s="469"/>
      <c r="BB169" s="224"/>
      <c r="BC169" s="224"/>
      <c r="BD169" s="548">
        <f t="shared" si="29"/>
        <v>0</v>
      </c>
      <c r="BE169" s="214"/>
    </row>
    <row r="170" spans="2:57" x14ac:dyDescent="0.25">
      <c r="B170" s="225" t="str">
        <f>Cen!A433</f>
        <v>Samostatná příčka,110/218mm, Orion šedá</v>
      </c>
      <c r="C170" s="225" t="str">
        <f>Cen!B433</f>
        <v>ZC7Q0P0FS</v>
      </c>
      <c r="D170" s="225" t="str">
        <f>Cen!C433</f>
        <v>OG-M</v>
      </c>
      <c r="E170" s="606" t="str">
        <f>Cen!D433</f>
        <v>!</v>
      </c>
      <c r="F170" s="198">
        <f t="shared" si="31"/>
        <v>0</v>
      </c>
      <c r="G170" s="221">
        <f>Cen!F433</f>
        <v>6.0371800000000011</v>
      </c>
      <c r="H170" s="222">
        <f t="shared" si="35"/>
        <v>0</v>
      </c>
      <c r="I170" s="233"/>
      <c r="J170" s="223">
        <f>Cen!I433</f>
        <v>8999239</v>
      </c>
      <c r="K170" s="223">
        <f>Cen!J433</f>
        <v>227686</v>
      </c>
      <c r="L170" s="219">
        <f t="shared" si="32"/>
        <v>0</v>
      </c>
      <c r="M170" s="463">
        <f t="shared" si="33"/>
        <v>0</v>
      </c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469"/>
      <c r="AT170" s="224"/>
      <c r="AU170" s="224"/>
      <c r="AV170" s="224"/>
      <c r="AW170" s="224"/>
      <c r="AX170" s="224"/>
      <c r="AY170" s="224"/>
      <c r="AZ170" s="224"/>
      <c r="BA170" s="469"/>
      <c r="BB170" s="356"/>
      <c r="BC170" s="224"/>
      <c r="BD170" s="548">
        <f t="shared" si="29"/>
        <v>0</v>
      </c>
      <c r="BE170" s="214"/>
    </row>
    <row r="171" spans="2:57" x14ac:dyDescent="0.25">
      <c r="B171" s="225"/>
      <c r="C171" s="225"/>
      <c r="D171" s="225"/>
      <c r="E171" s="606"/>
      <c r="F171" s="198"/>
      <c r="G171" s="221"/>
      <c r="H171" s="222"/>
      <c r="I171" s="222"/>
      <c r="J171" s="223"/>
      <c r="K171" s="223"/>
      <c r="L171" s="219">
        <f t="shared" si="32"/>
        <v>0</v>
      </c>
      <c r="M171" s="463">
        <f t="shared" si="33"/>
        <v>0</v>
      </c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469"/>
      <c r="AT171" s="224"/>
      <c r="AU171" s="224"/>
      <c r="AV171" s="224"/>
      <c r="AW171" s="224"/>
      <c r="AX171" s="224"/>
      <c r="AY171" s="224"/>
      <c r="AZ171" s="224"/>
      <c r="BA171" s="469"/>
      <c r="BB171" s="224"/>
      <c r="BC171" s="224"/>
      <c r="BD171" s="548">
        <f t="shared" si="29"/>
        <v>0</v>
      </c>
      <c r="BE171" s="214"/>
    </row>
    <row r="172" spans="2:57" x14ac:dyDescent="0.25">
      <c r="B172" s="225" t="str">
        <f>Cen!A438</f>
        <v>Držák příčného relingu pro pure, Orion šedá</v>
      </c>
      <c r="C172" s="225" t="str">
        <f>Cen!B438</f>
        <v>ZC7U10E0</v>
      </c>
      <c r="D172" s="225" t="str">
        <f>Cen!C438</f>
        <v>OG-M</v>
      </c>
      <c r="E172" s="606">
        <f>Cen!D438</f>
        <v>0</v>
      </c>
      <c r="F172" s="198">
        <f t="shared" si="31"/>
        <v>0</v>
      </c>
      <c r="G172" s="225">
        <f>Cen!F438</f>
        <v>2.0503100000000001</v>
      </c>
      <c r="H172" s="222">
        <f t="shared" si="35"/>
        <v>0</v>
      </c>
      <c r="I172" s="233"/>
      <c r="J172" s="223">
        <f>Cen!I438</f>
        <v>6678082</v>
      </c>
      <c r="K172" s="223">
        <f>Cen!J438</f>
        <v>265028</v>
      </c>
      <c r="L172" s="219">
        <f t="shared" si="32"/>
        <v>0</v>
      </c>
      <c r="M172" s="463">
        <f t="shared" si="33"/>
        <v>0</v>
      </c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469"/>
      <c r="AT172" s="224"/>
      <c r="AU172" s="224"/>
      <c r="AV172" s="224"/>
      <c r="AW172" s="224"/>
      <c r="AX172" s="224"/>
      <c r="AY172" s="356">
        <f>ALrel!H20</f>
        <v>0</v>
      </c>
      <c r="AZ172" s="224"/>
      <c r="BA172" s="469"/>
      <c r="BB172" s="224"/>
      <c r="BC172" s="224"/>
      <c r="BD172" s="548">
        <f t="shared" si="29"/>
        <v>0</v>
      </c>
      <c r="BE172" s="214"/>
    </row>
    <row r="173" spans="2:57" x14ac:dyDescent="0.25">
      <c r="B173" s="225" t="str">
        <f>Cen!A441</f>
        <v>Držák příčného relingu pro free, Orion šedá</v>
      </c>
      <c r="C173" s="225" t="str">
        <f>Cen!B441</f>
        <v>ZC7U11E0</v>
      </c>
      <c r="D173" s="225" t="str">
        <f>Cen!C441</f>
        <v>OG-M</v>
      </c>
      <c r="E173" s="606">
        <f>Cen!D441</f>
        <v>0</v>
      </c>
      <c r="F173" s="198">
        <f t="shared" si="31"/>
        <v>0</v>
      </c>
      <c r="G173" s="225">
        <f>Cen!F441</f>
        <v>3.07924</v>
      </c>
      <c r="H173" s="222">
        <f t="shared" si="35"/>
        <v>0</v>
      </c>
      <c r="I173" s="233"/>
      <c r="J173" s="223">
        <f>Cen!I441</f>
        <v>1032061</v>
      </c>
      <c r="K173" s="223">
        <f>Cen!J441</f>
        <v>279375</v>
      </c>
      <c r="L173" s="219">
        <f t="shared" ref="L173" si="36">IF(I173="x",0,IF(I173&gt;0,I173,F173))</f>
        <v>0</v>
      </c>
      <c r="M173" s="463">
        <f t="shared" ref="M173" si="37">PRODUCT(L173,G173)</f>
        <v>0</v>
      </c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469"/>
      <c r="AT173" s="224"/>
      <c r="AU173" s="224"/>
      <c r="AV173" s="224"/>
      <c r="AW173" s="224"/>
      <c r="AX173" s="224"/>
      <c r="AY173" s="356">
        <f>ALrel!H21</f>
        <v>0</v>
      </c>
      <c r="AZ173" s="224"/>
      <c r="BA173" s="469"/>
      <c r="BB173" s="224"/>
      <c r="BC173" s="224"/>
      <c r="BD173" s="548">
        <f t="shared" si="29"/>
        <v>0</v>
      </c>
      <c r="BE173" s="214"/>
    </row>
    <row r="174" spans="2:57" x14ac:dyDescent="0.25">
      <c r="B174" s="225" t="str">
        <f>Cen!A444</f>
        <v>Podélné dělení pro reling, Orion šedá</v>
      </c>
      <c r="C174" s="225" t="str">
        <f>Cen!B444</f>
        <v>ZC7U10F0</v>
      </c>
      <c r="D174" s="225" t="str">
        <f>Cen!C444</f>
        <v>OG-M</v>
      </c>
      <c r="E174" s="606">
        <f>Cen!D444</f>
        <v>0</v>
      </c>
      <c r="F174" s="198">
        <f t="shared" si="31"/>
        <v>0</v>
      </c>
      <c r="G174" s="225">
        <f>Cen!F444</f>
        <v>0.9112300000000001</v>
      </c>
      <c r="H174" s="222">
        <f t="shared" si="35"/>
        <v>0</v>
      </c>
      <c r="I174" s="233"/>
      <c r="J174" s="223">
        <f>Cen!I444</f>
        <v>6297748</v>
      </c>
      <c r="K174" s="223">
        <f>Cen!J444</f>
        <v>267756</v>
      </c>
      <c r="L174" s="219">
        <f t="shared" si="32"/>
        <v>0</v>
      </c>
      <c r="M174" s="463">
        <f t="shared" si="33"/>
        <v>0</v>
      </c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469"/>
      <c r="AT174" s="224"/>
      <c r="AU174" s="224"/>
      <c r="AV174" s="224"/>
      <c r="AW174" s="224"/>
      <c r="AX174" s="224"/>
      <c r="AY174" s="356">
        <f>ALrel!H25</f>
        <v>0</v>
      </c>
      <c r="AZ174" s="224"/>
      <c r="BA174" s="469"/>
      <c r="BB174" s="224"/>
      <c r="BC174" s="224"/>
      <c r="BD174" s="548">
        <f t="shared" si="29"/>
        <v>0</v>
      </c>
      <c r="BE174" s="214"/>
    </row>
    <row r="175" spans="2:57" x14ac:dyDescent="0.25">
      <c r="B175" s="225"/>
      <c r="C175" s="225"/>
      <c r="D175" s="225"/>
      <c r="E175" s="606"/>
      <c r="F175" s="198"/>
      <c r="G175" s="221"/>
      <c r="H175" s="222"/>
      <c r="I175" s="222"/>
      <c r="J175" s="223"/>
      <c r="K175" s="223"/>
      <c r="L175" s="219">
        <f t="shared" si="32"/>
        <v>0</v>
      </c>
      <c r="M175" s="463">
        <f t="shared" si="33"/>
        <v>0</v>
      </c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469"/>
      <c r="AT175" s="224"/>
      <c r="AU175" s="224"/>
      <c r="AV175" s="224"/>
      <c r="AW175" s="224"/>
      <c r="AX175" s="224"/>
      <c r="AY175" s="224"/>
      <c r="AZ175" s="224"/>
      <c r="BA175" s="469"/>
      <c r="BB175" s="224"/>
      <c r="BC175" s="224"/>
      <c r="BD175" s="548">
        <f t="shared" si="29"/>
        <v>0</v>
      </c>
      <c r="BE175" s="214"/>
    </row>
    <row r="176" spans="2:57" x14ac:dyDescent="0.25">
      <c r="B176" s="225"/>
      <c r="C176" s="225"/>
      <c r="D176" s="225"/>
      <c r="E176" s="606"/>
      <c r="F176" s="198"/>
      <c r="G176" s="221"/>
      <c r="H176" s="222"/>
      <c r="I176" s="222"/>
      <c r="J176" s="223"/>
      <c r="K176" s="223"/>
      <c r="L176" s="219"/>
      <c r="M176" s="463">
        <f t="shared" si="33"/>
        <v>0</v>
      </c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469"/>
      <c r="AT176" s="224"/>
      <c r="AU176" s="224"/>
      <c r="AV176" s="224"/>
      <c r="AW176" s="224"/>
      <c r="AX176" s="224"/>
      <c r="AY176" s="224"/>
      <c r="AZ176" s="224"/>
      <c r="BA176" s="469"/>
      <c r="BB176" s="224"/>
      <c r="BC176" s="224"/>
      <c r="BD176" s="548">
        <f t="shared" si="29"/>
        <v>0</v>
      </c>
      <c r="BE176" s="214"/>
    </row>
    <row r="177" spans="2:57" x14ac:dyDescent="0.25">
      <c r="B177" s="225" t="str">
        <f>Cen!A450</f>
        <v>Příborník, 450mm, Nebraska dub/OG-M</v>
      </c>
      <c r="C177" s="225" t="str">
        <f>Cen!B450</f>
        <v>ZC7S450BH3</v>
      </c>
      <c r="D177" s="225" t="str">
        <f>Cen!C450</f>
        <v>E02G</v>
      </c>
      <c r="E177" s="606">
        <f>Cen!D450</f>
        <v>0</v>
      </c>
      <c r="F177" s="198">
        <f t="shared" ref="F177:F212" si="38">IF(I177&gt;0,I177,SUM(N177:BC177))</f>
        <v>0</v>
      </c>
      <c r="G177" s="221">
        <f>Cen!F450</f>
        <v>51.395919999999997</v>
      </c>
      <c r="H177" s="222">
        <f>M177</f>
        <v>0</v>
      </c>
      <c r="I177" s="233"/>
      <c r="J177" s="223">
        <f>Cen!I450</f>
        <v>7178662</v>
      </c>
      <c r="K177" s="223">
        <f>Cen!J450</f>
        <v>227696</v>
      </c>
      <c r="L177" s="219">
        <f t="shared" si="32"/>
        <v>0</v>
      </c>
      <c r="M177" s="463">
        <f t="shared" si="33"/>
        <v>0</v>
      </c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469"/>
      <c r="AT177" s="224"/>
      <c r="AU177" s="224"/>
      <c r="AV177" s="224"/>
      <c r="AW177" s="356">
        <f>ALdw!S3</f>
        <v>0</v>
      </c>
      <c r="AX177" s="224"/>
      <c r="AY177" s="224"/>
      <c r="AZ177" s="224"/>
      <c r="BA177" s="469"/>
      <c r="BB177" s="224"/>
      <c r="BC177" s="224"/>
      <c r="BD177" s="548">
        <f t="shared" si="29"/>
        <v>0</v>
      </c>
      <c r="BE177" s="214"/>
    </row>
    <row r="178" spans="2:57" x14ac:dyDescent="0.25">
      <c r="B178" s="225" t="str">
        <f>Cen!A453</f>
        <v>Příborník, 500mm, Nebraska dub/OG-M</v>
      </c>
      <c r="C178" s="225" t="str">
        <f>Cen!B453</f>
        <v>ZC7S500BH3</v>
      </c>
      <c r="D178" s="225" t="str">
        <f>Cen!C453</f>
        <v>E02G</v>
      </c>
      <c r="E178" s="606">
        <f>Cen!D453</f>
        <v>0</v>
      </c>
      <c r="F178" s="198">
        <f t="shared" si="38"/>
        <v>0</v>
      </c>
      <c r="G178" s="221">
        <f>Cen!F453</f>
        <v>52.398319999999991</v>
      </c>
      <c r="H178" s="222">
        <f>M178</f>
        <v>0</v>
      </c>
      <c r="I178" s="233"/>
      <c r="J178" s="223">
        <f>Cen!I453</f>
        <v>1520200</v>
      </c>
      <c r="K178" s="223">
        <f>Cen!J453</f>
        <v>227699</v>
      </c>
      <c r="L178" s="219">
        <f t="shared" si="32"/>
        <v>0</v>
      </c>
      <c r="M178" s="463">
        <f t="shared" si="33"/>
        <v>0</v>
      </c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  <c r="AA178" s="224"/>
      <c r="AB178" s="224"/>
      <c r="AC178" s="224"/>
      <c r="AD178" s="224"/>
      <c r="AE178" s="224"/>
      <c r="AF178" s="224"/>
      <c r="AG178" s="224"/>
      <c r="AH178" s="224"/>
      <c r="AI178" s="224"/>
      <c r="AJ178" s="224"/>
      <c r="AK178" s="224"/>
      <c r="AL178" s="224"/>
      <c r="AM178" s="224"/>
      <c r="AN178" s="224"/>
      <c r="AO178" s="224"/>
      <c r="AP178" s="224"/>
      <c r="AQ178" s="224"/>
      <c r="AR178" s="224"/>
      <c r="AS178" s="469"/>
      <c r="AT178" s="224"/>
      <c r="AU178" s="224"/>
      <c r="AV178" s="224"/>
      <c r="AW178" s="356">
        <f>ALdw!S4</f>
        <v>0</v>
      </c>
      <c r="AX178" s="224"/>
      <c r="AY178" s="224"/>
      <c r="AZ178" s="224"/>
      <c r="BA178" s="469"/>
      <c r="BB178" s="224"/>
      <c r="BC178" s="224"/>
      <c r="BD178" s="548">
        <f t="shared" ref="BD178:BD214" si="39">IF(AND(E178&gt;0,F178&gt;0),1,0)</f>
        <v>0</v>
      </c>
      <c r="BE178" s="214"/>
    </row>
    <row r="179" spans="2:57" x14ac:dyDescent="0.25">
      <c r="B179" s="225" t="str">
        <f>Cen!A456</f>
        <v>Příborník, 550mm, Nebraska dub/OG-M</v>
      </c>
      <c r="C179" s="225" t="str">
        <f>Cen!B456</f>
        <v>ZC7S550BH3</v>
      </c>
      <c r="D179" s="225" t="str">
        <f>Cen!C456</f>
        <v>E02G</v>
      </c>
      <c r="E179" s="606">
        <f>Cen!D456</f>
        <v>0</v>
      </c>
      <c r="F179" s="198">
        <f t="shared" si="38"/>
        <v>0</v>
      </c>
      <c r="G179" s="221">
        <f>Cen!F456</f>
        <v>53.833599999999997</v>
      </c>
      <c r="H179" s="222">
        <f>M179</f>
        <v>0</v>
      </c>
      <c r="I179" s="233"/>
      <c r="J179" s="223">
        <f>Cen!I456</f>
        <v>4575860</v>
      </c>
      <c r="K179" s="223">
        <f>Cen!J456</f>
        <v>227703</v>
      </c>
      <c r="L179" s="219">
        <f t="shared" si="32"/>
        <v>0</v>
      </c>
      <c r="M179" s="463">
        <f t="shared" si="33"/>
        <v>0</v>
      </c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  <c r="AA179" s="224"/>
      <c r="AB179" s="224"/>
      <c r="AC179" s="224"/>
      <c r="AD179" s="224"/>
      <c r="AE179" s="224"/>
      <c r="AF179" s="224"/>
      <c r="AG179" s="224"/>
      <c r="AH179" s="224"/>
      <c r="AI179" s="224"/>
      <c r="AJ179" s="224"/>
      <c r="AK179" s="224"/>
      <c r="AL179" s="224"/>
      <c r="AM179" s="224"/>
      <c r="AN179" s="224"/>
      <c r="AO179" s="224"/>
      <c r="AP179" s="224"/>
      <c r="AQ179" s="224"/>
      <c r="AR179" s="224"/>
      <c r="AS179" s="469"/>
      <c r="AT179" s="224"/>
      <c r="AU179" s="224"/>
      <c r="AV179" s="224"/>
      <c r="AW179" s="356">
        <f>ALdw!S5</f>
        <v>0</v>
      </c>
      <c r="AX179" s="224"/>
      <c r="AY179" s="224"/>
      <c r="AZ179" s="224"/>
      <c r="BA179" s="469"/>
      <c r="BB179" s="224"/>
      <c r="BC179" s="224"/>
      <c r="BD179" s="548">
        <f t="shared" si="39"/>
        <v>0</v>
      </c>
      <c r="BE179" s="214"/>
    </row>
    <row r="180" spans="2:57" x14ac:dyDescent="0.25">
      <c r="B180" s="225" t="str">
        <f>Cen!A459</f>
        <v>Příborník, 600mm, Nebraska dub/OG-M</v>
      </c>
      <c r="C180" s="225" t="str">
        <f>Cen!B459</f>
        <v>ZC7S600BH3</v>
      </c>
      <c r="D180" s="225" t="str">
        <f>Cen!C459</f>
        <v>E02G</v>
      </c>
      <c r="E180" s="606">
        <f>Cen!D459</f>
        <v>0</v>
      </c>
      <c r="F180" s="198">
        <f t="shared" si="38"/>
        <v>0</v>
      </c>
      <c r="G180" s="221">
        <f>Cen!F459</f>
        <v>58.002560000000003</v>
      </c>
      <c r="H180" s="222">
        <f>M180</f>
        <v>0</v>
      </c>
      <c r="I180" s="233"/>
      <c r="J180" s="223">
        <f>Cen!I459</f>
        <v>1717256</v>
      </c>
      <c r="K180" s="223">
        <f>Cen!J459</f>
        <v>227707</v>
      </c>
      <c r="L180" s="219">
        <f t="shared" si="32"/>
        <v>0</v>
      </c>
      <c r="M180" s="463">
        <f t="shared" si="33"/>
        <v>0</v>
      </c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  <c r="AB180" s="224"/>
      <c r="AC180" s="224"/>
      <c r="AD180" s="224"/>
      <c r="AE180" s="224"/>
      <c r="AF180" s="224"/>
      <c r="AG180" s="224"/>
      <c r="AH180" s="224"/>
      <c r="AI180" s="224"/>
      <c r="AJ180" s="224"/>
      <c r="AK180" s="224"/>
      <c r="AL180" s="224"/>
      <c r="AM180" s="224"/>
      <c r="AN180" s="224"/>
      <c r="AO180" s="224"/>
      <c r="AP180" s="224"/>
      <c r="AQ180" s="224"/>
      <c r="AR180" s="224"/>
      <c r="AS180" s="469"/>
      <c r="AT180" s="224"/>
      <c r="AU180" s="224"/>
      <c r="AV180" s="224"/>
      <c r="AW180" s="356">
        <f>ALdw!S6</f>
        <v>0</v>
      </c>
      <c r="AX180" s="224"/>
      <c r="AY180" s="224"/>
      <c r="AZ180" s="224"/>
      <c r="BA180" s="469"/>
      <c r="BB180" s="224"/>
      <c r="BC180" s="224"/>
      <c r="BD180" s="548">
        <f t="shared" si="39"/>
        <v>0</v>
      </c>
      <c r="BE180" s="214"/>
    </row>
    <row r="181" spans="2:57" x14ac:dyDescent="0.25">
      <c r="B181" s="225" t="str">
        <f>Cen!A462</f>
        <v>Příborník, 650mm, Nebraska dub/OG-M</v>
      </c>
      <c r="C181" s="225" t="str">
        <f>Cen!B462</f>
        <v>ZC7S650BH3</v>
      </c>
      <c r="D181" s="225" t="str">
        <f>Cen!C462</f>
        <v>E02G</v>
      </c>
      <c r="E181" s="606">
        <f>Cen!D462</f>
        <v>0</v>
      </c>
      <c r="F181" s="198">
        <f>IF(I181&gt;0,I181,SUM(N181:BC181))</f>
        <v>0</v>
      </c>
      <c r="G181" s="221">
        <f>Cen!F462</f>
        <v>59.437860000000001</v>
      </c>
      <c r="H181" s="222">
        <f>M181</f>
        <v>0</v>
      </c>
      <c r="I181" s="233"/>
      <c r="J181" s="223">
        <f>Cen!I462</f>
        <v>6270630</v>
      </c>
      <c r="K181" s="223">
        <f>Cen!J462</f>
        <v>279417</v>
      </c>
      <c r="L181" s="219">
        <f>IF(I181="x",0,IF(I181&gt;0,I181,F181))</f>
        <v>0</v>
      </c>
      <c r="M181" s="463">
        <f>PRODUCT(L181,G181)</f>
        <v>0</v>
      </c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  <c r="AA181" s="224"/>
      <c r="AB181" s="224"/>
      <c r="AC181" s="224"/>
      <c r="AD181" s="224"/>
      <c r="AE181" s="224"/>
      <c r="AF181" s="224"/>
      <c r="AG181" s="224"/>
      <c r="AH181" s="224"/>
      <c r="AI181" s="224"/>
      <c r="AJ181" s="224"/>
      <c r="AK181" s="224"/>
      <c r="AL181" s="224"/>
      <c r="AM181" s="224"/>
      <c r="AN181" s="224"/>
      <c r="AO181" s="224"/>
      <c r="AP181" s="224"/>
      <c r="AQ181" s="224"/>
      <c r="AR181" s="224"/>
      <c r="AS181" s="469"/>
      <c r="AT181" s="224"/>
      <c r="AU181" s="224"/>
      <c r="AV181" s="224"/>
      <c r="AW181" s="356">
        <f>ALdw!S7</f>
        <v>0</v>
      </c>
      <c r="AX181" s="224"/>
      <c r="AY181" s="224"/>
      <c r="AZ181" s="224"/>
      <c r="BA181" s="469"/>
      <c r="BB181" s="224"/>
      <c r="BC181" s="224"/>
      <c r="BD181" s="548">
        <f>IF(AND(E181&gt;0,F181&gt;0),1,0)</f>
        <v>0</v>
      </c>
      <c r="BE181" s="214"/>
    </row>
    <row r="182" spans="2:57" x14ac:dyDescent="0.25">
      <c r="B182" s="225"/>
      <c r="C182" s="225"/>
      <c r="D182" s="225"/>
      <c r="E182" s="606"/>
      <c r="F182" s="198"/>
      <c r="G182" s="221"/>
      <c r="H182" s="222"/>
      <c r="I182" s="222"/>
      <c r="J182" s="223"/>
      <c r="K182" s="223"/>
      <c r="L182" s="219">
        <f t="shared" si="32"/>
        <v>0</v>
      </c>
      <c r="M182" s="463">
        <f t="shared" si="33"/>
        <v>0</v>
      </c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  <c r="AA182" s="224"/>
      <c r="AB182" s="224"/>
      <c r="AC182" s="224"/>
      <c r="AD182" s="224"/>
      <c r="AE182" s="224"/>
      <c r="AF182" s="224"/>
      <c r="AG182" s="224"/>
      <c r="AH182" s="224"/>
      <c r="AI182" s="224"/>
      <c r="AJ182" s="224"/>
      <c r="AK182" s="224"/>
      <c r="AL182" s="224"/>
      <c r="AM182" s="224"/>
      <c r="AN182" s="224"/>
      <c r="AO182" s="224"/>
      <c r="AP182" s="224"/>
      <c r="AQ182" s="224"/>
      <c r="AR182" s="224"/>
      <c r="AS182" s="469"/>
      <c r="AT182" s="224"/>
      <c r="AU182" s="224"/>
      <c r="AV182" s="224"/>
      <c r="AW182" s="224"/>
      <c r="AX182" s="224"/>
      <c r="AY182" s="224"/>
      <c r="AZ182" s="224"/>
      <c r="BA182" s="469"/>
      <c r="BB182" s="224"/>
      <c r="BC182" s="224"/>
      <c r="BD182" s="548">
        <f t="shared" si="39"/>
        <v>0</v>
      </c>
      <c r="BE182" s="214"/>
    </row>
    <row r="183" spans="2:57" x14ac:dyDescent="0.25">
      <c r="B183" s="225" t="str">
        <f>Cen!A466</f>
        <v>Zás.rámečky úzké, 450mm, Nebraska dub/OG-M</v>
      </c>
      <c r="C183" s="225" t="str">
        <f>Cen!B466</f>
        <v>ZC7S450RH1</v>
      </c>
      <c r="D183" s="225" t="str">
        <f>Cen!C466</f>
        <v>E02G</v>
      </c>
      <c r="E183" s="606">
        <f>Cen!D466</f>
        <v>0</v>
      </c>
      <c r="F183" s="198">
        <f t="shared" si="38"/>
        <v>0</v>
      </c>
      <c r="G183" s="221">
        <f>Cen!F466</f>
        <v>33.739910000000002</v>
      </c>
      <c r="H183" s="222">
        <f t="shared" ref="H183:H188" si="40">M183</f>
        <v>0</v>
      </c>
      <c r="I183" s="233"/>
      <c r="J183" s="223">
        <f>Cen!I466</f>
        <v>3870552</v>
      </c>
      <c r="K183" s="223">
        <f>Cen!J466</f>
        <v>227718</v>
      </c>
      <c r="L183" s="219">
        <f t="shared" si="32"/>
        <v>0</v>
      </c>
      <c r="M183" s="463">
        <f t="shared" si="33"/>
        <v>0</v>
      </c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  <c r="AA183" s="224"/>
      <c r="AB183" s="224"/>
      <c r="AC183" s="224"/>
      <c r="AD183" s="224"/>
      <c r="AE183" s="224"/>
      <c r="AF183" s="224"/>
      <c r="AG183" s="224"/>
      <c r="AH183" s="224"/>
      <c r="AI183" s="224"/>
      <c r="AJ183" s="224"/>
      <c r="AK183" s="224"/>
      <c r="AL183" s="224"/>
      <c r="AM183" s="224"/>
      <c r="AN183" s="224"/>
      <c r="AO183" s="224"/>
      <c r="AP183" s="224"/>
      <c r="AQ183" s="224"/>
      <c r="AR183" s="224"/>
      <c r="AS183" s="469"/>
      <c r="AT183" s="224"/>
      <c r="AU183" s="224"/>
      <c r="AV183" s="224"/>
      <c r="AW183" s="356">
        <f>ALdw!S9</f>
        <v>0</v>
      </c>
      <c r="AX183" s="224"/>
      <c r="AY183" s="224"/>
      <c r="AZ183" s="224"/>
      <c r="BA183" s="469"/>
      <c r="BB183" s="224"/>
      <c r="BC183" s="224"/>
      <c r="BD183" s="548">
        <f t="shared" si="39"/>
        <v>0</v>
      </c>
      <c r="BE183" s="214"/>
    </row>
    <row r="184" spans="2:57" x14ac:dyDescent="0.25">
      <c r="B184" s="225" t="str">
        <f>Cen!A469</f>
        <v>Zás.rámečky úzké, 500mm, Nebraska dub/OG-M</v>
      </c>
      <c r="C184" s="225" t="str">
        <f>Cen!B469</f>
        <v>ZC7S500RH1</v>
      </c>
      <c r="D184" s="225" t="str">
        <f>Cen!C469</f>
        <v>E02G</v>
      </c>
      <c r="E184" s="606">
        <f>Cen!D469</f>
        <v>0</v>
      </c>
      <c r="F184" s="198">
        <f t="shared" si="38"/>
        <v>0</v>
      </c>
      <c r="G184" s="221">
        <f>Cen!F469</f>
        <v>34.172809999999998</v>
      </c>
      <c r="H184" s="222">
        <f t="shared" si="40"/>
        <v>0</v>
      </c>
      <c r="I184" s="233"/>
      <c r="J184" s="223">
        <f>Cen!I469</f>
        <v>9278001</v>
      </c>
      <c r="K184" s="223">
        <f>Cen!J469</f>
        <v>227721</v>
      </c>
      <c r="L184" s="219">
        <f t="shared" si="32"/>
        <v>0</v>
      </c>
      <c r="M184" s="463">
        <f t="shared" si="33"/>
        <v>0</v>
      </c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  <c r="AA184" s="224"/>
      <c r="AB184" s="224"/>
      <c r="AC184" s="224"/>
      <c r="AD184" s="224"/>
      <c r="AE184" s="224"/>
      <c r="AF184" s="224"/>
      <c r="AG184" s="224"/>
      <c r="AH184" s="224"/>
      <c r="AI184" s="224"/>
      <c r="AJ184" s="224"/>
      <c r="AK184" s="224"/>
      <c r="AL184" s="224"/>
      <c r="AM184" s="224"/>
      <c r="AN184" s="224"/>
      <c r="AO184" s="224"/>
      <c r="AP184" s="224"/>
      <c r="AQ184" s="224"/>
      <c r="AR184" s="224"/>
      <c r="AS184" s="469"/>
      <c r="AT184" s="224"/>
      <c r="AU184" s="224"/>
      <c r="AV184" s="224"/>
      <c r="AW184" s="356">
        <f>ALdw!S10</f>
        <v>0</v>
      </c>
      <c r="AX184" s="224"/>
      <c r="AY184" s="224"/>
      <c r="AZ184" s="224"/>
      <c r="BA184" s="469"/>
      <c r="BB184" s="224"/>
      <c r="BC184" s="224"/>
      <c r="BD184" s="548">
        <f t="shared" si="39"/>
        <v>0</v>
      </c>
      <c r="BE184" s="214"/>
    </row>
    <row r="185" spans="2:57" x14ac:dyDescent="0.25">
      <c r="B185" s="225" t="str">
        <f>Cen!A472</f>
        <v>Zás.rámečky úzké, 550mm, Nebraska dub/OG-M</v>
      </c>
      <c r="C185" s="225" t="str">
        <f>Cen!B472</f>
        <v>ZC7S550RH1</v>
      </c>
      <c r="D185" s="225" t="str">
        <f>Cen!C472</f>
        <v>E02G</v>
      </c>
      <c r="E185" s="606">
        <f>Cen!D472</f>
        <v>0</v>
      </c>
      <c r="F185" s="198">
        <f t="shared" si="38"/>
        <v>0</v>
      </c>
      <c r="G185" s="221">
        <f>Cen!F472</f>
        <v>34.810630000000003</v>
      </c>
      <c r="H185" s="222">
        <f t="shared" si="40"/>
        <v>0</v>
      </c>
      <c r="I185" s="233"/>
      <c r="J185" s="223">
        <f>Cen!I472</f>
        <v>5369486</v>
      </c>
      <c r="K185" s="223">
        <f>Cen!J472</f>
        <v>227724</v>
      </c>
      <c r="L185" s="219">
        <f t="shared" si="32"/>
        <v>0</v>
      </c>
      <c r="M185" s="463">
        <f t="shared" si="33"/>
        <v>0</v>
      </c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  <c r="AA185" s="224"/>
      <c r="AB185" s="224"/>
      <c r="AC185" s="224"/>
      <c r="AD185" s="224"/>
      <c r="AE185" s="224"/>
      <c r="AF185" s="224"/>
      <c r="AG185" s="224"/>
      <c r="AH185" s="224"/>
      <c r="AI185" s="224"/>
      <c r="AJ185" s="224"/>
      <c r="AK185" s="224"/>
      <c r="AL185" s="224"/>
      <c r="AM185" s="224"/>
      <c r="AN185" s="224"/>
      <c r="AO185" s="224"/>
      <c r="AP185" s="224"/>
      <c r="AQ185" s="224"/>
      <c r="AR185" s="224"/>
      <c r="AS185" s="469"/>
      <c r="AT185" s="224"/>
      <c r="AU185" s="224"/>
      <c r="AV185" s="224"/>
      <c r="AW185" s="356">
        <f>ALdw!S11</f>
        <v>0</v>
      </c>
      <c r="AX185" s="224"/>
      <c r="AY185" s="224"/>
      <c r="AZ185" s="224"/>
      <c r="BA185" s="469"/>
      <c r="BB185" s="224"/>
      <c r="BC185" s="224"/>
      <c r="BD185" s="548">
        <f t="shared" si="39"/>
        <v>0</v>
      </c>
      <c r="BE185" s="214"/>
    </row>
    <row r="186" spans="2:57" x14ac:dyDescent="0.25">
      <c r="B186" s="225" t="str">
        <f>Cen!A475</f>
        <v>Zás.rámečky úzké, 600mm, Nebraska dub/OG-M</v>
      </c>
      <c r="C186" s="225" t="str">
        <f>Cen!B475</f>
        <v>ZC7S600RH1</v>
      </c>
      <c r="D186" s="225" t="str">
        <f>Cen!C475</f>
        <v>E02G</v>
      </c>
      <c r="E186" s="606">
        <f>Cen!D475</f>
        <v>0</v>
      </c>
      <c r="F186" s="198">
        <f t="shared" si="38"/>
        <v>0</v>
      </c>
      <c r="G186" s="221">
        <f>Cen!F475</f>
        <v>35.448619999999998</v>
      </c>
      <c r="H186" s="222">
        <f t="shared" si="40"/>
        <v>0</v>
      </c>
      <c r="I186" s="233"/>
      <c r="J186" s="223">
        <f>Cen!I475</f>
        <v>9907579</v>
      </c>
      <c r="K186" s="223">
        <f>Cen!J475</f>
        <v>227727</v>
      </c>
      <c r="L186" s="219">
        <f t="shared" si="32"/>
        <v>0</v>
      </c>
      <c r="M186" s="463">
        <f t="shared" si="33"/>
        <v>0</v>
      </c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  <c r="AB186" s="224"/>
      <c r="AC186" s="224"/>
      <c r="AD186" s="224"/>
      <c r="AE186" s="224"/>
      <c r="AF186" s="224"/>
      <c r="AG186" s="224"/>
      <c r="AH186" s="224"/>
      <c r="AI186" s="224"/>
      <c r="AJ186" s="224"/>
      <c r="AK186" s="224"/>
      <c r="AL186" s="224"/>
      <c r="AM186" s="224"/>
      <c r="AN186" s="224"/>
      <c r="AO186" s="224"/>
      <c r="AP186" s="224"/>
      <c r="AQ186" s="224"/>
      <c r="AR186" s="224"/>
      <c r="AS186" s="469"/>
      <c r="AT186" s="224"/>
      <c r="AU186" s="224"/>
      <c r="AV186" s="224"/>
      <c r="AW186" s="356">
        <f>ALdw!S12</f>
        <v>0</v>
      </c>
      <c r="AX186" s="224"/>
      <c r="AY186" s="224"/>
      <c r="AZ186" s="224"/>
      <c r="BA186" s="469"/>
      <c r="BB186" s="224"/>
      <c r="BC186" s="224"/>
      <c r="BD186" s="548">
        <f t="shared" si="39"/>
        <v>0</v>
      </c>
      <c r="BE186" s="214"/>
    </row>
    <row r="187" spans="2:57" x14ac:dyDescent="0.25">
      <c r="B187" s="225" t="str">
        <f>Cen!A478</f>
        <v>Zás.rámečky úzké, 650mm, Nebraska dub/OG-M</v>
      </c>
      <c r="C187" s="225" t="str">
        <f>Cen!B478</f>
        <v>ZC7S650RH1</v>
      </c>
      <c r="D187" s="225" t="str">
        <f>Cen!C478</f>
        <v>E02G</v>
      </c>
      <c r="E187" s="606">
        <f>Cen!D478</f>
        <v>0</v>
      </c>
      <c r="F187" s="198">
        <f>IF(I187&gt;0,I187,SUM(N187:BC187))</f>
        <v>0</v>
      </c>
      <c r="G187" s="221">
        <f>Cen!F478</f>
        <v>36.086399999999998</v>
      </c>
      <c r="H187" s="222">
        <f t="shared" si="40"/>
        <v>0</v>
      </c>
      <c r="I187" s="233"/>
      <c r="J187" s="223">
        <f>Cen!I478</f>
        <v>8716506</v>
      </c>
      <c r="K187" s="223">
        <f>Cen!J478</f>
        <v>279420</v>
      </c>
      <c r="L187" s="219">
        <f>IF(I187="x",0,IF(I187&gt;0,I187,F187))</f>
        <v>0</v>
      </c>
      <c r="M187" s="463">
        <f>PRODUCT(L187,G187)</f>
        <v>0</v>
      </c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  <c r="AA187" s="224"/>
      <c r="AB187" s="224"/>
      <c r="AC187" s="224"/>
      <c r="AD187" s="224"/>
      <c r="AE187" s="224"/>
      <c r="AF187" s="224"/>
      <c r="AG187" s="224"/>
      <c r="AH187" s="224"/>
      <c r="AI187" s="224"/>
      <c r="AJ187" s="224"/>
      <c r="AK187" s="224"/>
      <c r="AL187" s="224"/>
      <c r="AM187" s="224"/>
      <c r="AN187" s="224"/>
      <c r="AO187" s="224"/>
      <c r="AP187" s="224"/>
      <c r="AQ187" s="224"/>
      <c r="AR187" s="224"/>
      <c r="AS187" s="469"/>
      <c r="AT187" s="224"/>
      <c r="AU187" s="224"/>
      <c r="AV187" s="224"/>
      <c r="AW187" s="356">
        <f>ALdw!S13</f>
        <v>0</v>
      </c>
      <c r="AX187" s="224"/>
      <c r="AY187" s="224"/>
      <c r="AZ187" s="224"/>
      <c r="BA187" s="469"/>
      <c r="BB187" s="224"/>
      <c r="BC187" s="224"/>
      <c r="BD187" s="548">
        <f>IF(AND(E187&gt;0,F187&gt;0),1,0)</f>
        <v>0</v>
      </c>
      <c r="BE187" s="214"/>
    </row>
    <row r="188" spans="2:57" x14ac:dyDescent="0.25">
      <c r="B188" s="225" t="str">
        <f>Cen!A481</f>
        <v>Samostatná příčka, 50/100mm, Nebraska dub</v>
      </c>
      <c r="C188" s="225" t="str">
        <f>Cen!B481</f>
        <v>ZC7Q010SH</v>
      </c>
      <c r="D188" s="225" t="str">
        <f>Cen!C481</f>
        <v>E02G</v>
      </c>
      <c r="E188" s="606" t="str">
        <f>Cen!D481</f>
        <v>!</v>
      </c>
      <c r="F188" s="198">
        <f t="shared" si="38"/>
        <v>0</v>
      </c>
      <c r="G188" s="221">
        <f>Cen!F481</f>
        <v>5.92326</v>
      </c>
      <c r="H188" s="222">
        <f t="shared" si="40"/>
        <v>0</v>
      </c>
      <c r="I188" s="233"/>
      <c r="J188" s="223">
        <f>Cen!I481</f>
        <v>1619090</v>
      </c>
      <c r="K188" s="223">
        <f>Cen!J481</f>
        <v>227730</v>
      </c>
      <c r="L188" s="219">
        <f t="shared" si="32"/>
        <v>0</v>
      </c>
      <c r="M188" s="463">
        <f t="shared" si="33"/>
        <v>0</v>
      </c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  <c r="AA188" s="224"/>
      <c r="AB188" s="224"/>
      <c r="AC188" s="224"/>
      <c r="AD188" s="224"/>
      <c r="AE188" s="224"/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24"/>
      <c r="AP188" s="224"/>
      <c r="AQ188" s="224"/>
      <c r="AR188" s="224"/>
      <c r="AS188" s="469"/>
      <c r="AT188" s="224"/>
      <c r="AU188" s="224"/>
      <c r="AV188" s="224"/>
      <c r="AW188" s="224"/>
      <c r="AX188" s="224"/>
      <c r="AY188" s="224"/>
      <c r="AZ188" s="224"/>
      <c r="BA188" s="469"/>
      <c r="BB188" s="356"/>
      <c r="BC188" s="224"/>
      <c r="BD188" s="548">
        <f t="shared" si="39"/>
        <v>0</v>
      </c>
      <c r="BE188" s="214"/>
    </row>
    <row r="189" spans="2:57" x14ac:dyDescent="0.25">
      <c r="B189" s="225"/>
      <c r="C189" s="225"/>
      <c r="D189" s="225"/>
      <c r="E189" s="606"/>
      <c r="F189" s="198"/>
      <c r="G189" s="221"/>
      <c r="H189" s="222"/>
      <c r="I189" s="222"/>
      <c r="J189" s="223"/>
      <c r="K189" s="223"/>
      <c r="L189" s="219">
        <f t="shared" si="32"/>
        <v>0</v>
      </c>
      <c r="M189" s="463">
        <f t="shared" si="33"/>
        <v>0</v>
      </c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469"/>
      <c r="AT189" s="224"/>
      <c r="AU189" s="224"/>
      <c r="AV189" s="224"/>
      <c r="AW189" s="224"/>
      <c r="AX189" s="224"/>
      <c r="AY189" s="224"/>
      <c r="AZ189" s="224"/>
      <c r="BA189" s="469"/>
      <c r="BB189" s="224"/>
      <c r="BC189" s="224"/>
      <c r="BD189" s="548">
        <f t="shared" si="39"/>
        <v>0</v>
      </c>
      <c r="BE189" s="214"/>
    </row>
    <row r="190" spans="2:57" x14ac:dyDescent="0.25">
      <c r="B190" s="225" t="str">
        <f>Cen!A485</f>
        <v>Zás.rámečky široké, 450mm, Nebraska dub/OG-M</v>
      </c>
      <c r="C190" s="225" t="str">
        <f>Cen!B485</f>
        <v>ZC7S450RH2</v>
      </c>
      <c r="D190" s="225" t="str">
        <f>Cen!C485</f>
        <v>E02G</v>
      </c>
      <c r="E190" s="606">
        <f>Cen!D485</f>
        <v>0</v>
      </c>
      <c r="F190" s="198">
        <f t="shared" si="38"/>
        <v>0</v>
      </c>
      <c r="G190" s="221">
        <f>Cen!F485</f>
        <v>38.296219999999998</v>
      </c>
      <c r="H190" s="222">
        <f t="shared" ref="H190:H195" si="41">M190</f>
        <v>0</v>
      </c>
      <c r="I190" s="233"/>
      <c r="J190" s="223">
        <f>Cen!I485</f>
        <v>8122008</v>
      </c>
      <c r="K190" s="223">
        <f>Cen!J485</f>
        <v>227733</v>
      </c>
      <c r="L190" s="219">
        <f t="shared" si="32"/>
        <v>0</v>
      </c>
      <c r="M190" s="463">
        <f t="shared" si="33"/>
        <v>0</v>
      </c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  <c r="X190" s="224"/>
      <c r="Y190" s="224"/>
      <c r="Z190" s="224"/>
      <c r="AA190" s="224"/>
      <c r="AB190" s="224"/>
      <c r="AC190" s="224"/>
      <c r="AD190" s="224"/>
      <c r="AE190" s="224"/>
      <c r="AF190" s="224"/>
      <c r="AG190" s="224"/>
      <c r="AH190" s="224"/>
      <c r="AI190" s="224"/>
      <c r="AJ190" s="224"/>
      <c r="AK190" s="224"/>
      <c r="AL190" s="224"/>
      <c r="AM190" s="224"/>
      <c r="AN190" s="224"/>
      <c r="AO190" s="224"/>
      <c r="AP190" s="224"/>
      <c r="AQ190" s="224"/>
      <c r="AR190" s="224"/>
      <c r="AS190" s="469"/>
      <c r="AT190" s="224"/>
      <c r="AU190" s="224"/>
      <c r="AV190" s="224"/>
      <c r="AW190" s="356">
        <f>ALdw!S15</f>
        <v>0</v>
      </c>
      <c r="AX190" s="224"/>
      <c r="AY190" s="224"/>
      <c r="AZ190" s="224"/>
      <c r="BA190" s="469"/>
      <c r="BB190" s="224"/>
      <c r="BC190" s="224"/>
      <c r="BD190" s="548">
        <f t="shared" si="39"/>
        <v>0</v>
      </c>
      <c r="BE190" s="214"/>
    </row>
    <row r="191" spans="2:57" x14ac:dyDescent="0.25">
      <c r="B191" s="225" t="str">
        <f>Cen!A488</f>
        <v>Zás.rámečky široké, 500mm, Nebraska dub/OG-M</v>
      </c>
      <c r="C191" s="225" t="str">
        <f>Cen!B488</f>
        <v>ZC7S500RH2</v>
      </c>
      <c r="D191" s="225" t="str">
        <f>Cen!C488</f>
        <v>E02G</v>
      </c>
      <c r="E191" s="606">
        <f>Cen!D488</f>
        <v>0</v>
      </c>
      <c r="F191" s="198">
        <f t="shared" si="38"/>
        <v>0</v>
      </c>
      <c r="G191" s="221">
        <f>Cen!F488</f>
        <v>38.729140000000001</v>
      </c>
      <c r="H191" s="222">
        <f t="shared" si="41"/>
        <v>0</v>
      </c>
      <c r="I191" s="233"/>
      <c r="J191" s="223">
        <f>Cen!I488</f>
        <v>7540872</v>
      </c>
      <c r="K191" s="223">
        <f>Cen!J488</f>
        <v>227736</v>
      </c>
      <c r="L191" s="219">
        <f>IF(I191="x",0,IF(I191&gt;0,I191,F191))</f>
        <v>0</v>
      </c>
      <c r="M191" s="463">
        <f>PRODUCT(L191,G191)</f>
        <v>0</v>
      </c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24"/>
      <c r="Z191" s="224"/>
      <c r="AA191" s="224"/>
      <c r="AB191" s="224"/>
      <c r="AC191" s="224"/>
      <c r="AD191" s="224"/>
      <c r="AE191" s="224"/>
      <c r="AF191" s="224"/>
      <c r="AG191" s="224"/>
      <c r="AH191" s="224"/>
      <c r="AI191" s="224"/>
      <c r="AJ191" s="224"/>
      <c r="AK191" s="224"/>
      <c r="AL191" s="224"/>
      <c r="AM191" s="224"/>
      <c r="AN191" s="224"/>
      <c r="AO191" s="224"/>
      <c r="AP191" s="224"/>
      <c r="AQ191" s="224"/>
      <c r="AR191" s="224"/>
      <c r="AS191" s="469"/>
      <c r="AT191" s="224"/>
      <c r="AU191" s="224"/>
      <c r="AV191" s="224"/>
      <c r="AW191" s="356">
        <f>ALdw!S16</f>
        <v>0</v>
      </c>
      <c r="AX191" s="224"/>
      <c r="AY191" s="224"/>
      <c r="AZ191" s="224"/>
      <c r="BA191" s="469"/>
      <c r="BB191" s="224"/>
      <c r="BC191" s="224"/>
      <c r="BD191" s="548">
        <f t="shared" si="39"/>
        <v>0</v>
      </c>
      <c r="BE191" s="214"/>
    </row>
    <row r="192" spans="2:57" x14ac:dyDescent="0.25">
      <c r="B192" s="225" t="str">
        <f>Cen!A491</f>
        <v>Zás.rámečky široké, 550mm, Nebraska dub/OG-M</v>
      </c>
      <c r="C192" s="225" t="str">
        <f>Cen!B491</f>
        <v>ZC7S550RH2</v>
      </c>
      <c r="D192" s="225" t="str">
        <f>Cen!C491</f>
        <v>E02G</v>
      </c>
      <c r="E192" s="606">
        <f>Cen!D491</f>
        <v>0</v>
      </c>
      <c r="F192" s="198">
        <f t="shared" si="38"/>
        <v>0</v>
      </c>
      <c r="G192" s="221">
        <f>Cen!F491</f>
        <v>39.36694</v>
      </c>
      <c r="H192" s="222">
        <f t="shared" si="41"/>
        <v>0</v>
      </c>
      <c r="I192" s="233"/>
      <c r="J192" s="223">
        <f>Cen!I491</f>
        <v>5762924</v>
      </c>
      <c r="K192" s="223">
        <f>Cen!J491</f>
        <v>227739</v>
      </c>
      <c r="L192" s="219">
        <f t="shared" si="32"/>
        <v>0</v>
      </c>
      <c r="M192" s="463">
        <f t="shared" si="33"/>
        <v>0</v>
      </c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  <c r="AA192" s="224"/>
      <c r="AB192" s="224"/>
      <c r="AC192" s="224"/>
      <c r="AD192" s="224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469"/>
      <c r="AT192" s="224"/>
      <c r="AU192" s="224"/>
      <c r="AV192" s="224"/>
      <c r="AW192" s="356">
        <f>ALdw!S17</f>
        <v>0</v>
      </c>
      <c r="AX192" s="224"/>
      <c r="AY192" s="224"/>
      <c r="AZ192" s="224"/>
      <c r="BA192" s="469"/>
      <c r="BB192" s="224"/>
      <c r="BC192" s="224"/>
      <c r="BD192" s="548">
        <f t="shared" si="39"/>
        <v>0</v>
      </c>
      <c r="BE192" s="214"/>
    </row>
    <row r="193" spans="2:57" x14ac:dyDescent="0.25">
      <c r="B193" s="225" t="str">
        <f>Cen!A494</f>
        <v>Zás.rámečky široké, 600mm, Nebraska dub/OG-M</v>
      </c>
      <c r="C193" s="225" t="str">
        <f>Cen!B494</f>
        <v>ZC7S600RH2</v>
      </c>
      <c r="D193" s="225" t="str">
        <f>Cen!C494</f>
        <v>E02G</v>
      </c>
      <c r="E193" s="606">
        <f>Cen!D494</f>
        <v>0</v>
      </c>
      <c r="F193" s="198">
        <f t="shared" si="38"/>
        <v>0</v>
      </c>
      <c r="G193" s="221">
        <f>Cen!F494</f>
        <v>40.004950000000001</v>
      </c>
      <c r="H193" s="222">
        <f t="shared" si="41"/>
        <v>0</v>
      </c>
      <c r="I193" s="233"/>
      <c r="J193" s="223">
        <f>Cen!I494</f>
        <v>8044308</v>
      </c>
      <c r="K193" s="223">
        <f>Cen!J494</f>
        <v>227742</v>
      </c>
      <c r="L193" s="219">
        <f t="shared" si="32"/>
        <v>0</v>
      </c>
      <c r="M193" s="463">
        <f t="shared" si="33"/>
        <v>0</v>
      </c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  <c r="AA193" s="224"/>
      <c r="AB193" s="224"/>
      <c r="AC193" s="224"/>
      <c r="AD193" s="224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469"/>
      <c r="AT193" s="224"/>
      <c r="AU193" s="224"/>
      <c r="AV193" s="224"/>
      <c r="AW193" s="356">
        <f>ALdw!S18</f>
        <v>0</v>
      </c>
      <c r="AX193" s="224"/>
      <c r="AY193" s="224"/>
      <c r="AZ193" s="224"/>
      <c r="BA193" s="469"/>
      <c r="BB193" s="224"/>
      <c r="BC193" s="224"/>
      <c r="BD193" s="548">
        <f t="shared" si="39"/>
        <v>0</v>
      </c>
      <c r="BE193" s="214"/>
    </row>
    <row r="194" spans="2:57" x14ac:dyDescent="0.25">
      <c r="B194" s="225" t="str">
        <f>Cen!A497</f>
        <v>Zás.rámečky široké, 650mm, Nebraska dub/OG-M</v>
      </c>
      <c r="C194" s="225" t="str">
        <f>Cen!B497</f>
        <v>ZC7S650RH2</v>
      </c>
      <c r="D194" s="225" t="str">
        <f>Cen!C497</f>
        <v>E02G</v>
      </c>
      <c r="E194" s="606">
        <f>Cen!D497</f>
        <v>0</v>
      </c>
      <c r="F194" s="198">
        <f>IF(I194&gt;0,I194,SUM(N194:BC194))</f>
        <v>0</v>
      </c>
      <c r="G194" s="221">
        <f>Cen!F497</f>
        <v>40.64273</v>
      </c>
      <c r="H194" s="222">
        <f t="shared" si="41"/>
        <v>0</v>
      </c>
      <c r="I194" s="233"/>
      <c r="J194" s="223">
        <f>Cen!I497</f>
        <v>2686598</v>
      </c>
      <c r="K194" s="223">
        <f>Cen!J497</f>
        <v>279423</v>
      </c>
      <c r="L194" s="219">
        <f>IF(I194="x",0,IF(I194&gt;0,I194,F194))</f>
        <v>0</v>
      </c>
      <c r="M194" s="463">
        <f>PRODUCT(L194,G194)</f>
        <v>0</v>
      </c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  <c r="X194" s="224"/>
      <c r="Y194" s="224"/>
      <c r="Z194" s="224"/>
      <c r="AA194" s="224"/>
      <c r="AB194" s="224"/>
      <c r="AC194" s="224"/>
      <c r="AD194" s="224"/>
      <c r="AE194" s="224"/>
      <c r="AF194" s="224"/>
      <c r="AG194" s="224"/>
      <c r="AH194" s="224"/>
      <c r="AI194" s="224"/>
      <c r="AJ194" s="224"/>
      <c r="AK194" s="224"/>
      <c r="AL194" s="224"/>
      <c r="AM194" s="224"/>
      <c r="AN194" s="224"/>
      <c r="AO194" s="224"/>
      <c r="AP194" s="224"/>
      <c r="AQ194" s="224"/>
      <c r="AR194" s="224"/>
      <c r="AS194" s="469"/>
      <c r="AT194" s="224"/>
      <c r="AU194" s="224"/>
      <c r="AV194" s="224"/>
      <c r="AW194" s="356">
        <f>ALdw!S19</f>
        <v>0</v>
      </c>
      <c r="AX194" s="224"/>
      <c r="AY194" s="224"/>
      <c r="AZ194" s="224"/>
      <c r="BA194" s="469"/>
      <c r="BB194" s="224"/>
      <c r="BC194" s="224"/>
      <c r="BD194" s="548">
        <f>IF(AND(E194&gt;0,F194&gt;0),1,0)</f>
        <v>0</v>
      </c>
      <c r="BE194" s="214"/>
    </row>
    <row r="195" spans="2:57" x14ac:dyDescent="0.25">
      <c r="B195" s="225" t="str">
        <f>Cen!A500</f>
        <v>Samostatná příčka, 50/200mm, Nebraska dub</v>
      </c>
      <c r="C195" s="225" t="str">
        <f>Cen!B500</f>
        <v>ZC7Q020SH</v>
      </c>
      <c r="D195" s="225" t="str">
        <f>Cen!C500</f>
        <v>E02G</v>
      </c>
      <c r="E195" s="606" t="str">
        <f>Cen!D500</f>
        <v>!</v>
      </c>
      <c r="F195" s="198">
        <f t="shared" si="38"/>
        <v>0</v>
      </c>
      <c r="G195" s="221">
        <f>Cen!F500</f>
        <v>6.60684</v>
      </c>
      <c r="H195" s="222">
        <f t="shared" si="41"/>
        <v>0</v>
      </c>
      <c r="I195" s="233"/>
      <c r="J195" s="223">
        <f>Cen!I500</f>
        <v>1408697</v>
      </c>
      <c r="K195" s="223">
        <f>Cen!J500</f>
        <v>227745</v>
      </c>
      <c r="L195" s="219">
        <f t="shared" si="32"/>
        <v>0</v>
      </c>
      <c r="M195" s="463">
        <f t="shared" si="33"/>
        <v>0</v>
      </c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469"/>
      <c r="AT195" s="224"/>
      <c r="AU195" s="224"/>
      <c r="AV195" s="224"/>
      <c r="AW195" s="224"/>
      <c r="AX195" s="224"/>
      <c r="AY195" s="224"/>
      <c r="AZ195" s="224"/>
      <c r="BA195" s="469"/>
      <c r="BB195" s="356"/>
      <c r="BC195" s="224"/>
      <c r="BD195" s="548">
        <f t="shared" si="39"/>
        <v>0</v>
      </c>
      <c r="BE195" s="214"/>
    </row>
    <row r="196" spans="2:57" x14ac:dyDescent="0.25">
      <c r="B196" s="225"/>
      <c r="C196" s="225"/>
      <c r="D196" s="225"/>
      <c r="E196" s="606"/>
      <c r="F196" s="198"/>
      <c r="G196" s="221"/>
      <c r="H196" s="222"/>
      <c r="I196" s="222"/>
      <c r="J196" s="223"/>
      <c r="K196" s="223"/>
      <c r="L196" s="219">
        <f t="shared" si="32"/>
        <v>0</v>
      </c>
      <c r="M196" s="463">
        <f t="shared" si="33"/>
        <v>0</v>
      </c>
      <c r="N196" s="224"/>
      <c r="O196" s="224"/>
      <c r="P196" s="224"/>
      <c r="Q196" s="224"/>
      <c r="R196" s="224"/>
      <c r="S196" s="224"/>
      <c r="T196" s="224"/>
      <c r="U196" s="224"/>
      <c r="V196" s="224"/>
      <c r="W196" s="224"/>
      <c r="X196" s="224"/>
      <c r="Y196" s="224"/>
      <c r="Z196" s="224"/>
      <c r="AA196" s="224"/>
      <c r="AB196" s="224"/>
      <c r="AC196" s="224"/>
      <c r="AD196" s="224"/>
      <c r="AE196" s="224"/>
      <c r="AF196" s="224"/>
      <c r="AG196" s="224"/>
      <c r="AH196" s="224"/>
      <c r="AI196" s="224"/>
      <c r="AJ196" s="224"/>
      <c r="AK196" s="224"/>
      <c r="AL196" s="224"/>
      <c r="AM196" s="224"/>
      <c r="AN196" s="224"/>
      <c r="AO196" s="224"/>
      <c r="AP196" s="224"/>
      <c r="AQ196" s="224"/>
      <c r="AR196" s="224"/>
      <c r="AS196" s="469"/>
      <c r="AT196" s="224"/>
      <c r="AU196" s="224"/>
      <c r="AV196" s="224"/>
      <c r="AW196" s="224"/>
      <c r="AX196" s="224"/>
      <c r="AY196" s="224"/>
      <c r="AZ196" s="224"/>
      <c r="BA196" s="469"/>
      <c r="BB196" s="224"/>
      <c r="BC196" s="224"/>
      <c r="BD196" s="548">
        <f t="shared" si="39"/>
        <v>0</v>
      </c>
      <c r="BE196" s="214"/>
    </row>
    <row r="197" spans="2:57" x14ac:dyDescent="0.25">
      <c r="B197" s="225" t="str">
        <f>Cen!A504</f>
        <v>Zásuvkové rámečky, od 270mm, Nebraska/OG-M</v>
      </c>
      <c r="C197" s="225" t="str">
        <f>Cen!B504</f>
        <v>ZC7S300RHU</v>
      </c>
      <c r="D197" s="225" t="str">
        <f>Cen!C504</f>
        <v>E02G</v>
      </c>
      <c r="E197" s="606">
        <f>Cen!D504</f>
        <v>0</v>
      </c>
      <c r="F197" s="198">
        <f t="shared" si="38"/>
        <v>0</v>
      </c>
      <c r="G197" s="221">
        <f>Cen!F504</f>
        <v>43.285469999999997</v>
      </c>
      <c r="H197" s="222">
        <f>M197</f>
        <v>0</v>
      </c>
      <c r="I197" s="233"/>
      <c r="J197" s="223">
        <f>Cen!I504</f>
        <v>3149094</v>
      </c>
      <c r="K197" s="223">
        <f>Cen!J504</f>
        <v>227711</v>
      </c>
      <c r="L197" s="219">
        <f t="shared" si="32"/>
        <v>0</v>
      </c>
      <c r="M197" s="463">
        <f t="shared" si="33"/>
        <v>0</v>
      </c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24"/>
      <c r="Y197" s="224"/>
      <c r="Z197" s="224"/>
      <c r="AA197" s="224"/>
      <c r="AB197" s="224"/>
      <c r="AC197" s="224"/>
      <c r="AD197" s="224"/>
      <c r="AE197" s="224"/>
      <c r="AF197" s="224"/>
      <c r="AG197" s="224"/>
      <c r="AH197" s="224"/>
      <c r="AI197" s="224"/>
      <c r="AJ197" s="224"/>
      <c r="AK197" s="224"/>
      <c r="AL197" s="224"/>
      <c r="AM197" s="224"/>
      <c r="AN197" s="224"/>
      <c r="AO197" s="224"/>
      <c r="AP197" s="224"/>
      <c r="AQ197" s="224"/>
      <c r="AR197" s="224"/>
      <c r="AS197" s="469"/>
      <c r="AT197" s="224"/>
      <c r="AU197" s="224"/>
      <c r="AV197" s="224"/>
      <c r="AW197" s="356">
        <f>ALdw!S21</f>
        <v>0</v>
      </c>
      <c r="AX197" s="224"/>
      <c r="AY197" s="224"/>
      <c r="AZ197" s="224"/>
      <c r="BA197" s="469"/>
      <c r="BB197" s="224"/>
      <c r="BC197" s="224"/>
      <c r="BD197" s="548">
        <f t="shared" si="39"/>
        <v>0</v>
      </c>
      <c r="BE197" s="214"/>
    </row>
    <row r="198" spans="2:57" x14ac:dyDescent="0.25">
      <c r="B198" s="225" t="str">
        <f>Cen!A507</f>
        <v>Samostatná příčka, 50/242mm, Nebraska dub</v>
      </c>
      <c r="C198" s="225" t="str">
        <f>Cen!B507</f>
        <v>ZC7Q0U0SH</v>
      </c>
      <c r="D198" s="225" t="str">
        <f>Cen!C507</f>
        <v>E02G</v>
      </c>
      <c r="E198" s="606" t="str">
        <f>Cen!D507</f>
        <v>!</v>
      </c>
      <c r="F198" s="198">
        <f t="shared" si="38"/>
        <v>0</v>
      </c>
      <c r="G198" s="221">
        <f>Cen!F507</f>
        <v>6.9484299999999992</v>
      </c>
      <c r="H198" s="222">
        <f>M198</f>
        <v>0</v>
      </c>
      <c r="I198" s="233"/>
      <c r="J198" s="223">
        <f>Cen!I507</f>
        <v>5670971</v>
      </c>
      <c r="K198" s="223">
        <f>Cen!J507</f>
        <v>227716</v>
      </c>
      <c r="L198" s="219">
        <f t="shared" si="32"/>
        <v>0</v>
      </c>
      <c r="M198" s="463">
        <f t="shared" si="33"/>
        <v>0</v>
      </c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24"/>
      <c r="Z198" s="224"/>
      <c r="AA198" s="224"/>
      <c r="AB198" s="224"/>
      <c r="AC198" s="224"/>
      <c r="AD198" s="224"/>
      <c r="AE198" s="224"/>
      <c r="AF198" s="224"/>
      <c r="AG198" s="224"/>
      <c r="AH198" s="224"/>
      <c r="AI198" s="224"/>
      <c r="AJ198" s="224"/>
      <c r="AK198" s="224"/>
      <c r="AL198" s="224"/>
      <c r="AM198" s="224"/>
      <c r="AN198" s="224"/>
      <c r="AO198" s="224"/>
      <c r="AP198" s="224"/>
      <c r="AQ198" s="224"/>
      <c r="AR198" s="224"/>
      <c r="AS198" s="469"/>
      <c r="AT198" s="224"/>
      <c r="AU198" s="224"/>
      <c r="AV198" s="224"/>
      <c r="AW198" s="224"/>
      <c r="AX198" s="224"/>
      <c r="AY198" s="224"/>
      <c r="AZ198" s="224"/>
      <c r="BA198" s="469"/>
      <c r="BB198" s="356"/>
      <c r="BC198" s="224"/>
      <c r="BD198" s="548">
        <f t="shared" si="39"/>
        <v>0</v>
      </c>
      <c r="BE198" s="214"/>
    </row>
    <row r="199" spans="2:57" x14ac:dyDescent="0.25">
      <c r="B199" s="225"/>
      <c r="C199" s="225"/>
      <c r="D199" s="225"/>
      <c r="E199" s="606"/>
      <c r="F199" s="198"/>
      <c r="G199" s="221"/>
      <c r="H199" s="222"/>
      <c r="I199" s="222"/>
      <c r="J199" s="223"/>
      <c r="K199" s="223"/>
      <c r="L199" s="219">
        <f t="shared" si="32"/>
        <v>0</v>
      </c>
      <c r="M199" s="463">
        <f t="shared" si="33"/>
        <v>0</v>
      </c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24"/>
      <c r="Y199" s="224"/>
      <c r="Z199" s="224"/>
      <c r="AA199" s="224"/>
      <c r="AB199" s="224"/>
      <c r="AC199" s="224"/>
      <c r="AD199" s="224"/>
      <c r="AE199" s="224"/>
      <c r="AF199" s="224"/>
      <c r="AG199" s="224"/>
      <c r="AH199" s="224"/>
      <c r="AI199" s="224"/>
      <c r="AJ199" s="224"/>
      <c r="AK199" s="224"/>
      <c r="AL199" s="224"/>
      <c r="AM199" s="224"/>
      <c r="AN199" s="224"/>
      <c r="AO199" s="224"/>
      <c r="AP199" s="224"/>
      <c r="AQ199" s="224"/>
      <c r="AR199" s="224"/>
      <c r="AS199" s="469"/>
      <c r="AT199" s="224"/>
      <c r="AU199" s="224"/>
      <c r="AV199" s="224"/>
      <c r="AW199" s="224"/>
      <c r="AX199" s="224"/>
      <c r="AY199" s="224"/>
      <c r="AZ199" s="224"/>
      <c r="BA199" s="469"/>
      <c r="BB199" s="224"/>
      <c r="BC199" s="224"/>
      <c r="BD199" s="548">
        <f t="shared" si="39"/>
        <v>0</v>
      </c>
      <c r="BE199" s="214"/>
    </row>
    <row r="200" spans="2:57" x14ac:dyDescent="0.25">
      <c r="B200" s="225" t="str">
        <f>Cen!A513</f>
        <v>Rámečky pro výsuvy, od 270mm, Nebraska/OG-M</v>
      </c>
      <c r="C200" s="225" t="str">
        <f>Cen!B513</f>
        <v>ZC7F300RHU</v>
      </c>
      <c r="D200" s="225" t="str">
        <f>Cen!C513</f>
        <v>E02G</v>
      </c>
      <c r="E200" s="606" t="str">
        <f>Cen!D513</f>
        <v>!</v>
      </c>
      <c r="F200" s="198">
        <f t="shared" si="38"/>
        <v>0</v>
      </c>
      <c r="G200" s="221">
        <f>Cen!F513</f>
        <v>45.56362</v>
      </c>
      <c r="H200" s="222">
        <f>M200</f>
        <v>0</v>
      </c>
      <c r="I200" s="233"/>
      <c r="J200" s="223">
        <f>Cen!I513</f>
        <v>9613823</v>
      </c>
      <c r="K200" s="223">
        <f>Cen!J513</f>
        <v>227748</v>
      </c>
      <c r="L200" s="219">
        <f t="shared" si="32"/>
        <v>0</v>
      </c>
      <c r="M200" s="463">
        <f t="shared" si="33"/>
        <v>0</v>
      </c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  <c r="AA200" s="224"/>
      <c r="AB200" s="224"/>
      <c r="AC200" s="224"/>
      <c r="AD200" s="224"/>
      <c r="AE200" s="224"/>
      <c r="AF200" s="224"/>
      <c r="AG200" s="224"/>
      <c r="AH200" s="224"/>
      <c r="AI200" s="224"/>
      <c r="AJ200" s="224"/>
      <c r="AK200" s="224"/>
      <c r="AL200" s="224"/>
      <c r="AM200" s="224"/>
      <c r="AN200" s="224"/>
      <c r="AO200" s="224"/>
      <c r="AP200" s="224"/>
      <c r="AQ200" s="224"/>
      <c r="AR200" s="224"/>
      <c r="AS200" s="469"/>
      <c r="AT200" s="224"/>
      <c r="AU200" s="224"/>
      <c r="AV200" s="224"/>
      <c r="AW200" s="224"/>
      <c r="AX200" s="356">
        <f>ALpow!R3</f>
        <v>0</v>
      </c>
      <c r="AY200" s="356"/>
      <c r="AZ200" s="224"/>
      <c r="BA200" s="469"/>
      <c r="BB200" s="224"/>
      <c r="BC200" s="224"/>
      <c r="BD200" s="548">
        <f t="shared" si="39"/>
        <v>0</v>
      </c>
      <c r="BE200" s="214"/>
    </row>
    <row r="201" spans="2:57" x14ac:dyDescent="0.25">
      <c r="B201" s="225" t="str">
        <f>Cen!A516</f>
        <v>Samostatná příčka, 100/242mm, Nebraska dub</v>
      </c>
      <c r="C201" s="225" t="str">
        <f>Cen!B516</f>
        <v>ZC7Q0U0FH</v>
      </c>
      <c r="D201" s="225" t="str">
        <f>Cen!C516</f>
        <v>E02G</v>
      </c>
      <c r="E201" s="606" t="str">
        <f>Cen!D516</f>
        <v>!</v>
      </c>
      <c r="F201" s="198">
        <f t="shared" si="38"/>
        <v>0</v>
      </c>
      <c r="G201" s="221">
        <f>Cen!F516</f>
        <v>7.5180499999999997</v>
      </c>
      <c r="H201" s="222">
        <f>M201</f>
        <v>0</v>
      </c>
      <c r="I201" s="233"/>
      <c r="J201" s="223">
        <f>Cen!I516</f>
        <v>7307581</v>
      </c>
      <c r="K201" s="223">
        <f>Cen!J516</f>
        <v>227753</v>
      </c>
      <c r="L201" s="219">
        <f t="shared" si="32"/>
        <v>0</v>
      </c>
      <c r="M201" s="463">
        <f t="shared" si="33"/>
        <v>0</v>
      </c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  <c r="AA201" s="224"/>
      <c r="AB201" s="224"/>
      <c r="AC201" s="224"/>
      <c r="AD201" s="224"/>
      <c r="AE201" s="224"/>
      <c r="AF201" s="224"/>
      <c r="AG201" s="224"/>
      <c r="AH201" s="224"/>
      <c r="AI201" s="224"/>
      <c r="AJ201" s="224"/>
      <c r="AK201" s="224"/>
      <c r="AL201" s="224"/>
      <c r="AM201" s="224"/>
      <c r="AN201" s="224"/>
      <c r="AO201" s="224"/>
      <c r="AP201" s="224"/>
      <c r="AQ201" s="224"/>
      <c r="AR201" s="224"/>
      <c r="AS201" s="469"/>
      <c r="AT201" s="224"/>
      <c r="AU201" s="224"/>
      <c r="AV201" s="224"/>
      <c r="AW201" s="224"/>
      <c r="AX201" s="224"/>
      <c r="AY201" s="224"/>
      <c r="AZ201" s="224"/>
      <c r="BA201" s="469"/>
      <c r="BB201" s="224"/>
      <c r="BC201" s="224"/>
      <c r="BD201" s="548">
        <f t="shared" si="39"/>
        <v>0</v>
      </c>
      <c r="BE201" s="214"/>
    </row>
    <row r="202" spans="2:57" x14ac:dyDescent="0.25">
      <c r="B202" s="225" t="str">
        <f>Cen!A520</f>
        <v>Rámečky pro výsuvy, od 400mm, Nebraska/OG-M</v>
      </c>
      <c r="C202" s="225" t="str">
        <f>Cen!B520</f>
        <v>ZC7F400RHP</v>
      </c>
      <c r="D202" s="225" t="str">
        <f>Cen!C520</f>
        <v>E02G</v>
      </c>
      <c r="E202" s="606" t="str">
        <f>Cen!D520</f>
        <v>!</v>
      </c>
      <c r="F202" s="198">
        <f t="shared" si="38"/>
        <v>0</v>
      </c>
      <c r="G202" s="221">
        <f>Cen!F520</f>
        <v>45.56362</v>
      </c>
      <c r="H202" s="222">
        <f>M202</f>
        <v>0</v>
      </c>
      <c r="I202" s="233"/>
      <c r="J202" s="223">
        <f>Cen!I520</f>
        <v>7794799</v>
      </c>
      <c r="K202" s="223">
        <f>Cen!J520</f>
        <v>227756</v>
      </c>
      <c r="L202" s="219">
        <f t="shared" si="32"/>
        <v>0</v>
      </c>
      <c r="M202" s="463">
        <f t="shared" si="33"/>
        <v>0</v>
      </c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24"/>
      <c r="AG202" s="224"/>
      <c r="AH202" s="224"/>
      <c r="AI202" s="224"/>
      <c r="AJ202" s="224"/>
      <c r="AK202" s="224"/>
      <c r="AL202" s="224"/>
      <c r="AM202" s="224"/>
      <c r="AN202" s="224"/>
      <c r="AO202" s="224"/>
      <c r="AP202" s="224"/>
      <c r="AQ202" s="224"/>
      <c r="AR202" s="224"/>
      <c r="AS202" s="469"/>
      <c r="AT202" s="224"/>
      <c r="AU202" s="224"/>
      <c r="AV202" s="224"/>
      <c r="AW202" s="224"/>
      <c r="AX202" s="356">
        <f>ALpow!R8</f>
        <v>0</v>
      </c>
      <c r="AY202" s="356"/>
      <c r="AZ202" s="224"/>
      <c r="BA202" s="469"/>
      <c r="BB202" s="224"/>
      <c r="BC202" s="224"/>
      <c r="BD202" s="548">
        <f t="shared" si="39"/>
        <v>0</v>
      </c>
      <c r="BE202" s="214"/>
    </row>
    <row r="203" spans="2:57" x14ac:dyDescent="0.25">
      <c r="B203" s="225" t="str">
        <f>Cen!A523</f>
        <v>Samostatná příčka, 100/218mm, Nebraska dub</v>
      </c>
      <c r="C203" s="225" t="str">
        <f>Cen!B523</f>
        <v>ZC7Q0P0SH</v>
      </c>
      <c r="D203" s="225" t="str">
        <f>Cen!C523</f>
        <v>E02G</v>
      </c>
      <c r="E203" s="606" t="str">
        <f>Cen!D523</f>
        <v>!</v>
      </c>
      <c r="F203" s="198">
        <f t="shared" si="38"/>
        <v>0</v>
      </c>
      <c r="G203" s="221">
        <f>Cen!F523</f>
        <v>7.5180499999999997</v>
      </c>
      <c r="H203" s="222">
        <f>M203</f>
        <v>0</v>
      </c>
      <c r="I203" s="233"/>
      <c r="J203" s="223">
        <f>Cen!I523</f>
        <v>2503742</v>
      </c>
      <c r="K203" s="223">
        <f>Cen!J523</f>
        <v>227759</v>
      </c>
      <c r="L203" s="219">
        <f t="shared" si="32"/>
        <v>0</v>
      </c>
      <c r="M203" s="463">
        <f t="shared" si="33"/>
        <v>0</v>
      </c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24"/>
      <c r="AG203" s="224"/>
      <c r="AH203" s="224"/>
      <c r="AI203" s="224"/>
      <c r="AJ203" s="224"/>
      <c r="AK203" s="224"/>
      <c r="AL203" s="224"/>
      <c r="AM203" s="224"/>
      <c r="AN203" s="224"/>
      <c r="AO203" s="224"/>
      <c r="AP203" s="224"/>
      <c r="AQ203" s="224"/>
      <c r="AR203" s="224"/>
      <c r="AS203" s="469"/>
      <c r="AT203" s="224"/>
      <c r="AU203" s="224"/>
      <c r="AV203" s="224"/>
      <c r="AW203" s="224"/>
      <c r="AX203" s="224"/>
      <c r="AY203" s="224"/>
      <c r="AZ203" s="224"/>
      <c r="BA203" s="469"/>
      <c r="BB203" s="356"/>
      <c r="BC203" s="224"/>
      <c r="BD203" s="548">
        <f t="shared" si="39"/>
        <v>0</v>
      </c>
      <c r="BE203" s="214"/>
    </row>
    <row r="204" spans="2:57" x14ac:dyDescent="0.25">
      <c r="B204" s="225"/>
      <c r="C204" s="225"/>
      <c r="D204" s="225"/>
      <c r="E204" s="606"/>
      <c r="F204" s="198"/>
      <c r="G204" s="221"/>
      <c r="H204" s="222"/>
      <c r="I204" s="222"/>
      <c r="J204" s="223"/>
      <c r="K204" s="223"/>
      <c r="L204" s="219">
        <f t="shared" si="32"/>
        <v>0</v>
      </c>
      <c r="M204" s="463">
        <f t="shared" si="33"/>
        <v>0</v>
      </c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4"/>
      <c r="AR204" s="224"/>
      <c r="AS204" s="469"/>
      <c r="AT204" s="224"/>
      <c r="AU204" s="224"/>
      <c r="AV204" s="224"/>
      <c r="AW204" s="224"/>
      <c r="AX204" s="224"/>
      <c r="AY204" s="224"/>
      <c r="AZ204" s="224"/>
      <c r="BA204" s="469"/>
      <c r="BB204" s="224"/>
      <c r="BC204" s="224"/>
      <c r="BD204" s="548">
        <f t="shared" si="39"/>
        <v>0</v>
      </c>
      <c r="BE204" s="214"/>
    </row>
    <row r="205" spans="2:57" x14ac:dyDescent="0.25">
      <c r="B205" s="225" t="str">
        <f>Cen!A529</f>
        <v>Souprava na lahve, pro š.rám. 100mm, Orion šedá</v>
      </c>
      <c r="C205" s="225" t="str">
        <f>Cen!B529</f>
        <v>ZC7B0100S</v>
      </c>
      <c r="D205" s="225" t="str">
        <f>Cen!C529</f>
        <v>OG-M</v>
      </c>
      <c r="E205" s="606" t="str">
        <f>Cen!D529</f>
        <v>!</v>
      </c>
      <c r="F205" s="198">
        <f t="shared" si="38"/>
        <v>0</v>
      </c>
      <c r="G205" s="221">
        <f>Cen!F529</f>
        <v>0</v>
      </c>
      <c r="H205" s="222">
        <f t="shared" ref="H205:H206" si="42">M205</f>
        <v>0</v>
      </c>
      <c r="I205" s="233"/>
      <c r="J205" s="223">
        <f>Cen!I529</f>
        <v>5541312</v>
      </c>
      <c r="K205" s="223" t="str">
        <f>Cen!J529</f>
        <v>-</v>
      </c>
      <c r="L205" s="219">
        <f t="shared" si="32"/>
        <v>0</v>
      </c>
      <c r="M205" s="463">
        <f t="shared" si="33"/>
        <v>0</v>
      </c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469"/>
      <c r="AT205" s="224"/>
      <c r="AU205" s="224"/>
      <c r="AV205" s="731">
        <f>ALbot!R3</f>
        <v>0</v>
      </c>
      <c r="AW205" s="224"/>
      <c r="AX205" s="224"/>
      <c r="AY205" s="224"/>
      <c r="AZ205" s="224"/>
      <c r="BA205" s="469"/>
      <c r="BB205" s="224"/>
      <c r="BC205" s="224"/>
      <c r="BD205" s="548"/>
      <c r="BE205" s="214"/>
    </row>
    <row r="206" spans="2:57" x14ac:dyDescent="0.25">
      <c r="B206" s="225" t="str">
        <f>Cen!A532</f>
        <v>Souprava na lahve, pro š.rám. 200mm, Orion šedá</v>
      </c>
      <c r="C206" s="225" t="str">
        <f>Cen!B532</f>
        <v>ZC7B0200S</v>
      </c>
      <c r="D206" s="225" t="str">
        <f>Cen!C532</f>
        <v>OG-M</v>
      </c>
      <c r="E206" s="606">
        <f>Cen!D532</f>
        <v>0</v>
      </c>
      <c r="F206" s="198">
        <f t="shared" si="38"/>
        <v>0</v>
      </c>
      <c r="G206" s="221">
        <f>Cen!F532</f>
        <v>23.562169999999995</v>
      </c>
      <c r="H206" s="222">
        <f t="shared" si="42"/>
        <v>0</v>
      </c>
      <c r="I206" s="233"/>
      <c r="J206" s="223">
        <f>Cen!I532</f>
        <v>4250192</v>
      </c>
      <c r="K206" s="223">
        <f>Cen!J532</f>
        <v>279426</v>
      </c>
      <c r="L206" s="219">
        <f t="shared" si="32"/>
        <v>0</v>
      </c>
      <c r="M206" s="463">
        <f t="shared" si="33"/>
        <v>0</v>
      </c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469"/>
      <c r="AT206" s="224"/>
      <c r="AU206" s="224"/>
      <c r="AV206" s="731">
        <f>ALbot!R4</f>
        <v>0</v>
      </c>
      <c r="AW206" s="224"/>
      <c r="AX206" s="224"/>
      <c r="AY206" s="224"/>
      <c r="AZ206" s="224"/>
      <c r="BA206" s="469"/>
      <c r="BB206" s="224"/>
      <c r="BC206" s="224"/>
      <c r="BD206" s="548"/>
      <c r="BE206" s="214"/>
    </row>
    <row r="207" spans="2:57" x14ac:dyDescent="0.25">
      <c r="B207" s="225"/>
      <c r="C207" s="225"/>
      <c r="D207" s="225"/>
      <c r="E207" s="606"/>
      <c r="F207" s="198"/>
      <c r="G207" s="221"/>
      <c r="H207" s="222"/>
      <c r="I207" s="222"/>
      <c r="J207" s="223"/>
      <c r="K207" s="223"/>
      <c r="L207" s="219">
        <f t="shared" si="32"/>
        <v>0</v>
      </c>
      <c r="M207" s="463">
        <f t="shared" si="33"/>
        <v>0</v>
      </c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469"/>
      <c r="AT207" s="224"/>
      <c r="AU207" s="224"/>
      <c r="AV207" s="224"/>
      <c r="AW207" s="224"/>
      <c r="AX207" s="224"/>
      <c r="AY207" s="224"/>
      <c r="AZ207" s="224"/>
      <c r="BA207" s="469"/>
      <c r="BB207" s="224"/>
      <c r="BC207" s="224"/>
      <c r="BD207" s="548"/>
      <c r="BE207" s="214"/>
    </row>
    <row r="208" spans="2:57" x14ac:dyDescent="0.25">
      <c r="B208" s="225" t="str">
        <f>Cen!A541</f>
        <v>Držák nožů</v>
      </c>
      <c r="C208" s="225" t="str">
        <f>Cen!B541</f>
        <v>ZC7M0200</v>
      </c>
      <c r="D208" s="225" t="str">
        <f>Cen!C541</f>
        <v>OG-M</v>
      </c>
      <c r="E208" s="606">
        <f>Cen!D541</f>
        <v>0</v>
      </c>
      <c r="F208" s="198">
        <f t="shared" si="38"/>
        <v>0</v>
      </c>
      <c r="G208" s="221">
        <f>Cen!F541</f>
        <v>25.85746</v>
      </c>
      <c r="H208" s="222">
        <f t="shared" ref="H208:H264" si="43">M208</f>
        <v>0</v>
      </c>
      <c r="I208" s="233"/>
      <c r="J208" s="223">
        <f>Cen!I541</f>
        <v>9809820</v>
      </c>
      <c r="K208" s="223">
        <f>Cen!J541</f>
        <v>227688</v>
      </c>
      <c r="L208" s="219">
        <f t="shared" si="32"/>
        <v>0</v>
      </c>
      <c r="M208" s="463">
        <f t="shared" si="33"/>
        <v>0</v>
      </c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469"/>
      <c r="AT208" s="224"/>
      <c r="AU208" s="224"/>
      <c r="AV208" s="224"/>
      <c r="AW208" s="224"/>
      <c r="AX208" s="224"/>
      <c r="AY208" s="224"/>
      <c r="AZ208" s="356">
        <f>ALkh!R18</f>
        <v>0</v>
      </c>
      <c r="BA208" s="469"/>
      <c r="BB208" s="224"/>
      <c r="BC208" s="224"/>
      <c r="BD208" s="548">
        <f t="shared" si="39"/>
        <v>0</v>
      </c>
      <c r="BE208" s="214"/>
    </row>
    <row r="209" spans="2:57" x14ac:dyDescent="0.25">
      <c r="B209" s="225" t="str">
        <f>Cen!A542</f>
        <v>Řezačka na potravinové folie, s folií</v>
      </c>
      <c r="C209" s="225" t="str">
        <f>Cen!B542</f>
        <v>ZC7C000</v>
      </c>
      <c r="D209" s="225" t="str">
        <f>Cen!C542</f>
        <v>OG-M</v>
      </c>
      <c r="E209" s="606">
        <f>Cen!D542</f>
        <v>0</v>
      </c>
      <c r="F209" s="198">
        <f t="shared" si="38"/>
        <v>0</v>
      </c>
      <c r="G209" s="221">
        <f>Cen!F542</f>
        <v>63.56125999999999</v>
      </c>
      <c r="H209" s="222">
        <f t="shared" si="43"/>
        <v>0</v>
      </c>
      <c r="I209" s="233"/>
      <c r="J209" s="223">
        <f>Cen!I542</f>
        <v>5952958</v>
      </c>
      <c r="K209" s="223">
        <f>Cen!J542</f>
        <v>227689</v>
      </c>
      <c r="L209" s="219">
        <f t="shared" si="32"/>
        <v>0</v>
      </c>
      <c r="M209" s="463">
        <f t="shared" si="33"/>
        <v>0</v>
      </c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469"/>
      <c r="AT209" s="224"/>
      <c r="AU209" s="224"/>
      <c r="AV209" s="224"/>
      <c r="AW209" s="224"/>
      <c r="AX209" s="224"/>
      <c r="AY209" s="224"/>
      <c r="AZ209" s="356">
        <f>ALkh!R19</f>
        <v>0</v>
      </c>
      <c r="BA209" s="469"/>
      <c r="BB209" s="224"/>
      <c r="BC209" s="224"/>
      <c r="BD209" s="548">
        <f t="shared" si="39"/>
        <v>0</v>
      </c>
      <c r="BE209" s="214"/>
    </row>
    <row r="210" spans="2:57" ht="12.75" customHeight="1" x14ac:dyDescent="0.25">
      <c r="B210" s="225" t="str">
        <f>Cen!A543</f>
        <v>Řezačka na potravinové folie, bez folie</v>
      </c>
      <c r="C210" s="225" t="str">
        <f>Cen!B543</f>
        <v>ZC7C001</v>
      </c>
      <c r="D210" s="225" t="str">
        <f>Cen!C543</f>
        <v>OG-M</v>
      </c>
      <c r="E210" s="606" t="str">
        <f>Cen!D543</f>
        <v>!</v>
      </c>
      <c r="F210" s="198">
        <f t="shared" si="38"/>
        <v>0</v>
      </c>
      <c r="G210" s="221">
        <f>Cen!F543</f>
        <v>63.56125999999999</v>
      </c>
      <c r="H210" s="222">
        <f t="shared" si="43"/>
        <v>0</v>
      </c>
      <c r="I210" s="233"/>
      <c r="J210" s="223">
        <f>Cen!I543</f>
        <v>5241444</v>
      </c>
      <c r="K210" s="223">
        <f>Cen!J543</f>
        <v>227690</v>
      </c>
      <c r="L210" s="219">
        <f t="shared" si="32"/>
        <v>0</v>
      </c>
      <c r="M210" s="463">
        <f t="shared" si="33"/>
        <v>0</v>
      </c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  <c r="AB210" s="224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469"/>
      <c r="AT210" s="224"/>
      <c r="AU210" s="224"/>
      <c r="AV210" s="224"/>
      <c r="AW210" s="224"/>
      <c r="AX210" s="224"/>
      <c r="AY210" s="224"/>
      <c r="AZ210" s="356">
        <f>ALkh!R20</f>
        <v>0</v>
      </c>
      <c r="BA210" s="469"/>
      <c r="BB210" s="846" t="s">
        <v>926</v>
      </c>
      <c r="BC210" s="846" t="s">
        <v>927</v>
      </c>
      <c r="BD210" s="548">
        <f t="shared" si="39"/>
        <v>0</v>
      </c>
      <c r="BE210" s="214"/>
    </row>
    <row r="211" spans="2:57" x14ac:dyDescent="0.25">
      <c r="B211" s="225" t="str">
        <f>Cen!A544</f>
        <v>Stojánek na kořenky</v>
      </c>
      <c r="C211" s="225" t="str">
        <f>Cen!B544</f>
        <v>ZC7G0P0I</v>
      </c>
      <c r="D211" s="225" t="str">
        <f>Cen!C544</f>
        <v>INGL</v>
      </c>
      <c r="E211" s="606">
        <f>Cen!D544</f>
        <v>0</v>
      </c>
      <c r="F211" s="198">
        <f t="shared" si="38"/>
        <v>0</v>
      </c>
      <c r="G211" s="221">
        <f>Cen!F544</f>
        <v>39.526809999999998</v>
      </c>
      <c r="H211" s="222">
        <f t="shared" si="43"/>
        <v>0</v>
      </c>
      <c r="I211" s="233"/>
      <c r="J211" s="223">
        <f>Cen!I544</f>
        <v>8058240</v>
      </c>
      <c r="K211" s="223">
        <f>Cen!J544</f>
        <v>227691</v>
      </c>
      <c r="L211" s="219">
        <f>IF(I211="x",0,IF(I211&gt;0,I211,F211))</f>
        <v>0</v>
      </c>
      <c r="M211" s="463">
        <f>PRODUCT(L211,G211)</f>
        <v>0</v>
      </c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469"/>
      <c r="AT211" s="224"/>
      <c r="AU211" s="224"/>
      <c r="AV211" s="224"/>
      <c r="AW211" s="224"/>
      <c r="AX211" s="224"/>
      <c r="AY211" s="224"/>
      <c r="AZ211" s="356">
        <f>ALkh!R21</f>
        <v>0</v>
      </c>
      <c r="BA211" s="469"/>
      <c r="BB211" s="846"/>
      <c r="BC211" s="846"/>
      <c r="BD211" s="548">
        <f t="shared" si="39"/>
        <v>0</v>
      </c>
      <c r="BE211" s="214"/>
    </row>
    <row r="212" spans="2:57" ht="12.75" customHeight="1" x14ac:dyDescent="0.25">
      <c r="B212" s="225" t="str">
        <f>Cen!A545</f>
        <v>Držák talířů</v>
      </c>
      <c r="C212" s="225" t="str">
        <f>Cen!B545</f>
        <v>ZC7T0350</v>
      </c>
      <c r="D212" s="225" t="str">
        <f>Cen!C545</f>
        <v>OG-M</v>
      </c>
      <c r="E212" s="606">
        <f>Cen!D545</f>
        <v>0</v>
      </c>
      <c r="F212" s="198">
        <f t="shared" si="38"/>
        <v>0</v>
      </c>
      <c r="G212" s="221">
        <f>Cen!F545</f>
        <v>38.501280000000001</v>
      </c>
      <c r="H212" s="222">
        <f t="shared" si="43"/>
        <v>0</v>
      </c>
      <c r="I212" s="233"/>
      <c r="J212" s="223">
        <f>Cen!I545</f>
        <v>1366848</v>
      </c>
      <c r="K212" s="223">
        <f>Cen!J545</f>
        <v>227693</v>
      </c>
      <c r="L212" s="219">
        <f t="shared" si="32"/>
        <v>0</v>
      </c>
      <c r="M212" s="463">
        <f t="shared" si="33"/>
        <v>0</v>
      </c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469"/>
      <c r="AT212" s="224"/>
      <c r="AU212" s="224"/>
      <c r="AV212" s="224"/>
      <c r="AW212" s="224"/>
      <c r="AX212" s="224"/>
      <c r="AY212" s="224"/>
      <c r="AZ212" s="356">
        <f>ALkh!R22</f>
        <v>0</v>
      </c>
      <c r="BA212" s="469"/>
      <c r="BB212" s="846"/>
      <c r="BC212" s="846"/>
      <c r="BD212" s="548">
        <f t="shared" si="39"/>
        <v>0</v>
      </c>
      <c r="BE212" s="214"/>
    </row>
    <row r="213" spans="2:57" x14ac:dyDescent="0.25">
      <c r="B213" s="225"/>
      <c r="C213" s="225"/>
      <c r="D213" s="225"/>
      <c r="E213" s="606"/>
      <c r="F213" s="198"/>
      <c r="G213" s="221"/>
      <c r="H213" s="222"/>
      <c r="I213" s="222"/>
      <c r="J213" s="223"/>
      <c r="K213" s="223"/>
      <c r="L213" s="219">
        <f t="shared" si="32"/>
        <v>0</v>
      </c>
      <c r="M213" s="463">
        <f t="shared" si="33"/>
        <v>0</v>
      </c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  <c r="AB213" s="224"/>
      <c r="AC213" s="224"/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469"/>
      <c r="AT213" s="224"/>
      <c r="AU213" s="224"/>
      <c r="AV213" s="224"/>
      <c r="AW213" s="224"/>
      <c r="AX213" s="224"/>
      <c r="AY213" s="224"/>
      <c r="AZ213" s="224"/>
      <c r="BA213" s="469"/>
      <c r="BB213" s="224"/>
      <c r="BC213" s="224"/>
      <c r="BD213" s="548">
        <f t="shared" si="39"/>
        <v>0</v>
      </c>
      <c r="BE213" s="214"/>
    </row>
    <row r="214" spans="2:57" x14ac:dyDescent="0.25">
      <c r="B214" s="225" t="str">
        <f>Cen!A549</f>
        <v>Upevňovací šrouby s plochou hlavou 4x15mm</v>
      </c>
      <c r="C214" s="225" t="str">
        <f>Cen!B549</f>
        <v>61D.1500</v>
      </c>
      <c r="D214" s="225" t="str">
        <f>Cen!C549</f>
        <v>ZN</v>
      </c>
      <c r="E214" s="606">
        <f>Cen!D549</f>
        <v>0</v>
      </c>
      <c r="F214" s="198">
        <f>IF(I214="x",0,ROUNDUP(IF(I214&gt;0,I214,SUM(N214:BC214)),-2))</f>
        <v>0</v>
      </c>
      <c r="G214" s="221">
        <f>Cen!F549</f>
        <v>6.13E-2</v>
      </c>
      <c r="H214" s="222">
        <f t="shared" si="43"/>
        <v>0</v>
      </c>
      <c r="I214" s="233"/>
      <c r="J214" s="223">
        <f>Cen!I549</f>
        <v>9508739</v>
      </c>
      <c r="K214" s="223">
        <f>Cen!J549</f>
        <v>237597</v>
      </c>
      <c r="L214" s="721"/>
      <c r="M214" s="722"/>
      <c r="N214" s="356">
        <f>SUM(N$11:N$12)*12</f>
        <v>0</v>
      </c>
      <c r="O214" s="356">
        <f>SUM(O$13:O$21)*12</f>
        <v>0</v>
      </c>
      <c r="P214" s="356">
        <f>SUM(P$13:P$21)*12</f>
        <v>0</v>
      </c>
      <c r="Q214" s="356">
        <f>SUM(Q$22:Q$26)*14</f>
        <v>0</v>
      </c>
      <c r="R214" s="356">
        <f>SUM(R$27:R$42)*16</f>
        <v>0</v>
      </c>
      <c r="S214" s="356">
        <f t="shared" ref="S214:Y214" si="44">SUM(S$27:S$42)*16</f>
        <v>0</v>
      </c>
      <c r="T214" s="356">
        <f t="shared" si="44"/>
        <v>0</v>
      </c>
      <c r="U214" s="356">
        <f t="shared" si="44"/>
        <v>0</v>
      </c>
      <c r="V214" s="356">
        <f t="shared" si="44"/>
        <v>0</v>
      </c>
      <c r="W214" s="356">
        <f t="shared" si="44"/>
        <v>0</v>
      </c>
      <c r="X214" s="356">
        <f t="shared" si="44"/>
        <v>0</v>
      </c>
      <c r="Y214" s="356">
        <f t="shared" si="44"/>
        <v>0</v>
      </c>
      <c r="Z214" s="356">
        <f>SUM(Z$43:Z$47)*16</f>
        <v>0</v>
      </c>
      <c r="AA214" s="224"/>
      <c r="AB214" s="356">
        <f>SUM(AB$13:AB$21)*12</f>
        <v>0</v>
      </c>
      <c r="AC214" s="356">
        <f>SUM(AC$27:AC$42)*16</f>
        <v>0</v>
      </c>
      <c r="AD214" s="356">
        <f>SUM(AD$27:AD$42)*16</f>
        <v>0</v>
      </c>
      <c r="AE214" s="356">
        <f>SUM(AE$27:AE$42)*16</f>
        <v>0</v>
      </c>
      <c r="AF214" s="356">
        <f>SUM(AF$27:AF$42)*16</f>
        <v>0</v>
      </c>
      <c r="AG214" s="224"/>
      <c r="AH214" s="356">
        <f>SUM(SUM(AH$13:AH$21)*12,SUM(AH$27:AH$42)*16)</f>
        <v>0</v>
      </c>
      <c r="AI214" s="356">
        <f>SUM(SUM(AI$13:AI$21)*12,SUM(AI$27:AI$42)*16)</f>
        <v>0</v>
      </c>
      <c r="AJ214" s="224"/>
      <c r="AK214" s="356">
        <f>SUM(AK$27:AK$42)*16</f>
        <v>0</v>
      </c>
      <c r="AL214" s="356">
        <f>SUM(AL$27:AL$42)*16</f>
        <v>0</v>
      </c>
      <c r="AM214" s="356">
        <f>SUM(AM$27:AM$42)*16</f>
        <v>0</v>
      </c>
      <c r="AN214" s="356">
        <f>SUM(AN$27:AN$42)*16</f>
        <v>0</v>
      </c>
      <c r="AO214" s="356">
        <f>SUM(SUM(AO$14:AO$21)*12,SUM(AO$31:AO$42)*16)</f>
        <v>0</v>
      </c>
      <c r="AP214" s="356">
        <f>SUM(SUM(AP$14:AP$21)*12,SUM(AP$31:AP$42)*16)</f>
        <v>0</v>
      </c>
      <c r="AQ214" s="356">
        <f>SUM(SUM(AQ$14:AQ$21)*12,SUM(AQ$31:AQ$42)*16)</f>
        <v>0</v>
      </c>
      <c r="AR214" s="356">
        <f>SUM(SUM(AR$14:AR$21)*12,SUM(AR$31:AR$42)*16)</f>
        <v>0</v>
      </c>
      <c r="AS214" s="469"/>
      <c r="AT214" s="224"/>
      <c r="AU214" s="224"/>
      <c r="AV214" s="224"/>
      <c r="AW214" s="224"/>
      <c r="AX214" s="224"/>
      <c r="AY214" s="224"/>
      <c r="AZ214" s="224"/>
      <c r="BA214" s="469"/>
      <c r="BB214" s="356">
        <f>Acs!E13</f>
        <v>0</v>
      </c>
      <c r="BC214" s="224"/>
      <c r="BD214" s="548">
        <f t="shared" si="39"/>
        <v>0</v>
      </c>
      <c r="BE214" s="214"/>
    </row>
    <row r="215" spans="2:57" x14ac:dyDescent="0.25">
      <c r="B215" s="225" t="str">
        <f>Cen!A550</f>
        <v>Stabilizace čel</v>
      </c>
      <c r="C215" s="225" t="str">
        <f>Cen!B550</f>
        <v>Z96.10E1</v>
      </c>
      <c r="D215" s="225" t="str">
        <f>Cen!C550</f>
        <v>R737</v>
      </c>
      <c r="E215" s="606">
        <f>Cen!D550</f>
        <v>0</v>
      </c>
      <c r="F215" s="198">
        <f t="shared" ref="F215:F245" si="45">IF(I215&gt;0,I215,SUM(N215:BC215))</f>
        <v>0</v>
      </c>
      <c r="G215" s="221">
        <f>Cen!F550</f>
        <v>1.3134000000000001</v>
      </c>
      <c r="H215" s="222">
        <f t="shared" si="43"/>
        <v>0</v>
      </c>
      <c r="I215" s="233"/>
      <c r="J215" s="223">
        <f>Cen!I550</f>
        <v>6448980</v>
      </c>
      <c r="K215" s="223">
        <f>Cen!J550</f>
        <v>288080</v>
      </c>
      <c r="L215" s="219">
        <f t="shared" si="32"/>
        <v>0</v>
      </c>
      <c r="M215" s="463">
        <f t="shared" si="33"/>
        <v>0</v>
      </c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  <c r="X215" s="224"/>
      <c r="Y215" s="224"/>
      <c r="Z215" s="224"/>
      <c r="AA215" s="224"/>
      <c r="AB215" s="224"/>
      <c r="AC215" s="224"/>
      <c r="AD215" s="224"/>
      <c r="AE215" s="224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224"/>
      <c r="AQ215" s="224"/>
      <c r="AR215" s="224"/>
      <c r="AS215" s="469"/>
      <c r="AT215" s="224"/>
      <c r="AU215" s="224"/>
      <c r="AV215" s="224"/>
      <c r="AW215" s="224"/>
      <c r="AX215" s="224"/>
      <c r="AY215" s="224"/>
      <c r="AZ215" s="224"/>
      <c r="BA215" s="469"/>
      <c r="BB215" s="356">
        <f>Acs!E11</f>
        <v>0</v>
      </c>
      <c r="BC215" s="356">
        <f>SD!E24</f>
        <v>0</v>
      </c>
      <c r="BD215" s="548">
        <f t="shared" ref="BD215:BD245" si="46">IF(AND(E215&gt;0,F215&gt;0),1,0)</f>
        <v>0</v>
      </c>
      <c r="BE215" s="214"/>
    </row>
    <row r="216" spans="2:57" x14ac:dyDescent="0.25">
      <c r="B216" s="225" t="str">
        <f>Cen!A551</f>
        <v>Tlumící čočka k zavrtání</v>
      </c>
      <c r="C216" s="225" t="str">
        <f>Cen!B551</f>
        <v>993.706</v>
      </c>
      <c r="D216" s="225" t="str">
        <f>Cen!C551</f>
        <v>R906</v>
      </c>
      <c r="E216" s="606">
        <f>Cen!D551</f>
        <v>0</v>
      </c>
      <c r="F216" s="198">
        <f t="shared" si="45"/>
        <v>0</v>
      </c>
      <c r="G216" s="221">
        <f>Cen!F551</f>
        <v>0.13461999999999999</v>
      </c>
      <c r="H216" s="222">
        <f t="shared" si="43"/>
        <v>0</v>
      </c>
      <c r="I216" s="233"/>
      <c r="J216" s="223">
        <f>Cen!I551</f>
        <v>3283090</v>
      </c>
      <c r="K216" s="223">
        <f>Cen!J551</f>
        <v>12388</v>
      </c>
      <c r="L216" s="219">
        <f t="shared" si="32"/>
        <v>0</v>
      </c>
      <c r="M216" s="463">
        <f t="shared" si="33"/>
        <v>0</v>
      </c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  <c r="AA216" s="224"/>
      <c r="AB216" s="224"/>
      <c r="AC216" s="224"/>
      <c r="AD216" s="224"/>
      <c r="AE216" s="224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24"/>
      <c r="AP216" s="224"/>
      <c r="AQ216" s="224"/>
      <c r="AR216" s="224"/>
      <c r="AS216" s="469"/>
      <c r="AT216" s="224"/>
      <c r="AU216" s="224"/>
      <c r="AV216" s="224"/>
      <c r="AW216" s="224"/>
      <c r="AX216" s="224"/>
      <c r="AY216" s="224"/>
      <c r="AZ216" s="224"/>
      <c r="BA216" s="469"/>
      <c r="BB216" s="356">
        <f>Acs!E12</f>
        <v>0</v>
      </c>
      <c r="BC216" s="224"/>
      <c r="BD216" s="548">
        <f t="shared" si="46"/>
        <v>0</v>
      </c>
      <c r="BE216" s="214"/>
    </row>
    <row r="217" spans="2:57" x14ac:dyDescent="0.25">
      <c r="B217" s="225" t="str">
        <f>Cen!A552</f>
        <v>Torxový šroubovák, T20</v>
      </c>
      <c r="C217" s="225" t="str">
        <f>Cen!B552</f>
        <v>209.093.7</v>
      </c>
      <c r="D217" s="225" t="str">
        <f>Cen!C552</f>
        <v>OR</v>
      </c>
      <c r="E217" s="606">
        <f>Cen!D552</f>
        <v>0</v>
      </c>
      <c r="F217" s="198">
        <f t="shared" si="45"/>
        <v>0</v>
      </c>
      <c r="G217" s="221">
        <f>Cen!F552</f>
        <v>6.1465699999999996</v>
      </c>
      <c r="H217" s="222">
        <f t="shared" si="43"/>
        <v>0</v>
      </c>
      <c r="I217" s="233"/>
      <c r="J217" s="223">
        <f>Cen!I552</f>
        <v>2090937</v>
      </c>
      <c r="K217" s="223">
        <f>Cen!J552</f>
        <v>288389</v>
      </c>
      <c r="L217" s="219">
        <f t="shared" si="32"/>
        <v>0</v>
      </c>
      <c r="M217" s="463">
        <f t="shared" si="33"/>
        <v>0</v>
      </c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  <c r="AA217" s="224"/>
      <c r="AB217" s="224"/>
      <c r="AC217" s="224"/>
      <c r="AD217" s="224"/>
      <c r="AE217" s="224"/>
      <c r="AF217" s="224"/>
      <c r="AG217" s="224"/>
      <c r="AH217" s="224"/>
      <c r="AI217" s="224"/>
      <c r="AJ217" s="224"/>
      <c r="AK217" s="224"/>
      <c r="AL217" s="224"/>
      <c r="AM217" s="224"/>
      <c r="AN217" s="224"/>
      <c r="AO217" s="224"/>
      <c r="AP217" s="224"/>
      <c r="AQ217" s="224"/>
      <c r="AR217" s="224"/>
      <c r="AS217" s="469"/>
      <c r="AT217" s="224"/>
      <c r="AU217" s="224"/>
      <c r="AV217" s="224"/>
      <c r="AW217" s="224"/>
      <c r="AX217" s="224"/>
      <c r="AY217" s="224"/>
      <c r="AZ217" s="224"/>
      <c r="BA217" s="469"/>
      <c r="BB217" s="356">
        <f>Acs!E14</f>
        <v>0</v>
      </c>
      <c r="BC217" s="224"/>
      <c r="BD217" s="548">
        <f t="shared" si="46"/>
        <v>0</v>
      </c>
      <c r="BE217" s="214"/>
    </row>
    <row r="218" spans="2:57" x14ac:dyDescent="0.25">
      <c r="B218" s="225" t="str">
        <f>Cen!A553</f>
        <v>Transportní pojistka</v>
      </c>
      <c r="C218" s="225" t="str">
        <f>Cen!B553</f>
        <v>780C0009</v>
      </c>
      <c r="D218" s="225" t="str">
        <f>Cen!C553</f>
        <v>GELB</v>
      </c>
      <c r="E218" s="606">
        <f>Cen!D553</f>
        <v>0</v>
      </c>
      <c r="F218" s="198">
        <f t="shared" si="45"/>
        <v>0</v>
      </c>
      <c r="G218" s="221">
        <f>Cen!F553</f>
        <v>1.1208199999999999</v>
      </c>
      <c r="H218" s="222">
        <f>M218</f>
        <v>0</v>
      </c>
      <c r="I218" s="233"/>
      <c r="J218" s="223">
        <f>Cen!I553</f>
        <v>1290697</v>
      </c>
      <c r="K218" s="223">
        <f>Cen!J553</f>
        <v>267764</v>
      </c>
      <c r="L218" s="219">
        <f>IF(I218="x",0,IF(I218&gt;0,I218,F218))</f>
        <v>0</v>
      </c>
      <c r="M218" s="463">
        <f>PRODUCT(L218,G218)</f>
        <v>0</v>
      </c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  <c r="X218" s="224"/>
      <c r="Y218" s="224"/>
      <c r="Z218" s="224"/>
      <c r="AA218" s="224"/>
      <c r="AB218" s="224"/>
      <c r="AC218" s="224"/>
      <c r="AD218" s="224"/>
      <c r="AE218" s="224"/>
      <c r="AF218" s="224"/>
      <c r="AG218" s="224"/>
      <c r="AH218" s="224"/>
      <c r="AI218" s="224"/>
      <c r="AJ218" s="224"/>
      <c r="AK218" s="224"/>
      <c r="AL218" s="224"/>
      <c r="AM218" s="224"/>
      <c r="AN218" s="224"/>
      <c r="AO218" s="224"/>
      <c r="AP218" s="224"/>
      <c r="AQ218" s="224"/>
      <c r="AR218" s="224"/>
      <c r="AS218" s="469"/>
      <c r="AT218" s="224"/>
      <c r="AU218" s="224"/>
      <c r="AV218" s="224"/>
      <c r="AW218" s="224"/>
      <c r="AX218" s="224"/>
      <c r="AY218" s="224"/>
      <c r="AZ218" s="224"/>
      <c r="BA218" s="469"/>
      <c r="BB218" s="356">
        <f>Acs!E15</f>
        <v>0</v>
      </c>
      <c r="BC218" s="224"/>
      <c r="BD218" s="548">
        <f>IF(AND(E218&gt;0,F218&gt;0),1,0)</f>
        <v>0</v>
      </c>
      <c r="BE218" s="214"/>
    </row>
    <row r="219" spans="2:57" x14ac:dyDescent="0.25">
      <c r="B219" s="225" t="str">
        <f>Cen!A554</f>
        <v>Šablona pro nastavení mezery čela</v>
      </c>
      <c r="C219" s="225" t="str">
        <f>Cen!B554</f>
        <v>65.5631</v>
      </c>
      <c r="D219" s="225" t="str">
        <f>Cen!C554</f>
        <v>OR</v>
      </c>
      <c r="E219" s="606">
        <f>Cen!D554</f>
        <v>0</v>
      </c>
      <c r="F219" s="198">
        <f t="shared" si="45"/>
        <v>0</v>
      </c>
      <c r="G219" s="221">
        <f>Cen!F554</f>
        <v>5.57395</v>
      </c>
      <c r="H219" s="222">
        <f>M219</f>
        <v>0</v>
      </c>
      <c r="I219" s="233"/>
      <c r="J219" s="223">
        <f>Cen!I554</f>
        <v>8946234</v>
      </c>
      <c r="K219" s="223">
        <f>Cen!J554</f>
        <v>275419</v>
      </c>
      <c r="L219" s="219">
        <f>IF(I219="x",0,IF(I219&gt;0,I219,F219))</f>
        <v>0</v>
      </c>
      <c r="M219" s="463">
        <f>PRODUCT(L219,G219)</f>
        <v>0</v>
      </c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  <c r="AA219" s="224"/>
      <c r="AB219" s="224"/>
      <c r="AC219" s="224"/>
      <c r="AD219" s="224"/>
      <c r="AE219" s="224"/>
      <c r="AF219" s="224"/>
      <c r="AG219" s="224"/>
      <c r="AH219" s="224"/>
      <c r="AI219" s="224"/>
      <c r="AJ219" s="224"/>
      <c r="AK219" s="224"/>
      <c r="AL219" s="224"/>
      <c r="AM219" s="224"/>
      <c r="AN219" s="224"/>
      <c r="AO219" s="224"/>
      <c r="AP219" s="224"/>
      <c r="AQ219" s="224"/>
      <c r="AR219" s="224"/>
      <c r="AS219" s="469"/>
      <c r="AT219" s="224"/>
      <c r="AU219" s="224"/>
      <c r="AV219" s="224"/>
      <c r="AW219" s="224"/>
      <c r="AX219" s="224"/>
      <c r="AY219" s="224"/>
      <c r="AZ219" s="224"/>
      <c r="BA219" s="469"/>
      <c r="BB219" s="356">
        <f>Acs!E16</f>
        <v>0</v>
      </c>
      <c r="BC219" s="224"/>
      <c r="BD219" s="548">
        <f>IF(AND(E219&gt;0,F219&gt;0),1,0)</f>
        <v>0</v>
      </c>
      <c r="BE219" s="214"/>
    </row>
    <row r="220" spans="2:57" x14ac:dyDescent="0.25">
      <c r="B220" s="225"/>
      <c r="C220" s="225"/>
      <c r="D220" s="225"/>
      <c r="E220" s="606"/>
      <c r="F220" s="198"/>
      <c r="G220" s="221"/>
      <c r="H220" s="222"/>
      <c r="I220" s="222"/>
      <c r="J220" s="223"/>
      <c r="K220" s="223"/>
      <c r="L220" s="219">
        <f t="shared" si="32"/>
        <v>0</v>
      </c>
      <c r="M220" s="463"/>
      <c r="N220" s="224"/>
      <c r="O220" s="224"/>
      <c r="P220" s="224"/>
      <c r="Q220" s="224"/>
      <c r="R220" s="224"/>
      <c r="S220" s="224"/>
      <c r="T220" s="224"/>
      <c r="U220" s="224"/>
      <c r="V220" s="224"/>
      <c r="W220" s="224"/>
      <c r="X220" s="224"/>
      <c r="Y220" s="224"/>
      <c r="Z220" s="224"/>
      <c r="AA220" s="224"/>
      <c r="AB220" s="224"/>
      <c r="AC220" s="224"/>
      <c r="AD220" s="224"/>
      <c r="AE220" s="224"/>
      <c r="AF220" s="224"/>
      <c r="AG220" s="224"/>
      <c r="AH220" s="224"/>
      <c r="AI220" s="224"/>
      <c r="AJ220" s="224"/>
      <c r="AK220" s="224"/>
      <c r="AL220" s="224"/>
      <c r="AM220" s="224"/>
      <c r="AN220" s="224"/>
      <c r="AO220" s="224"/>
      <c r="AP220" s="224"/>
      <c r="AQ220" s="224"/>
      <c r="AR220" s="224"/>
      <c r="AS220" s="469"/>
      <c r="AT220" s="224"/>
      <c r="AU220" s="224"/>
      <c r="AV220" s="224"/>
      <c r="AW220" s="224"/>
      <c r="AX220" s="224"/>
      <c r="AY220" s="224"/>
      <c r="AZ220" s="224"/>
      <c r="BA220" s="469"/>
      <c r="BB220" s="224"/>
      <c r="BC220" s="224"/>
      <c r="BD220" s="548">
        <f t="shared" si="46"/>
        <v>0</v>
      </c>
      <c r="BE220" s="214"/>
    </row>
    <row r="221" spans="2:57" x14ac:dyDescent="0.25">
      <c r="B221" s="225" t="str">
        <f>Cen!A567</f>
        <v>Distanční doraz Blum, 5mm</v>
      </c>
      <c r="C221" s="225" t="str">
        <f>Cen!B567</f>
        <v>993.0530</v>
      </c>
      <c r="D221" s="225" t="str">
        <f>Cen!C567</f>
        <v>R737</v>
      </c>
      <c r="E221" s="606">
        <f>Cen!D567</f>
        <v>0</v>
      </c>
      <c r="F221" s="198">
        <f t="shared" si="45"/>
        <v>0</v>
      </c>
      <c r="G221" s="221">
        <f>Cen!F567</f>
        <v>0.69091000000000014</v>
      </c>
      <c r="H221" s="222">
        <f t="shared" si="43"/>
        <v>0</v>
      </c>
      <c r="I221" s="233"/>
      <c r="J221" s="223">
        <f>Cen!I567</f>
        <v>7834990</v>
      </c>
      <c r="K221" s="223">
        <f>Cen!J567</f>
        <v>99131</v>
      </c>
      <c r="L221" s="219">
        <f t="shared" si="32"/>
        <v>0</v>
      </c>
      <c r="M221" s="463">
        <f t="shared" si="33"/>
        <v>0</v>
      </c>
      <c r="N221" s="224"/>
      <c r="O221" s="224"/>
      <c r="P221" s="224"/>
      <c r="Q221" s="224"/>
      <c r="R221" s="224"/>
      <c r="S221" s="224"/>
      <c r="T221" s="224"/>
      <c r="U221" s="224"/>
      <c r="V221" s="224"/>
      <c r="W221" s="224"/>
      <c r="X221" s="224"/>
      <c r="Y221" s="224"/>
      <c r="Z221" s="224"/>
      <c r="AA221" s="224"/>
      <c r="AB221" s="224"/>
      <c r="AC221" s="224"/>
      <c r="AD221" s="224"/>
      <c r="AE221" s="224"/>
      <c r="AF221" s="224"/>
      <c r="AG221" s="224"/>
      <c r="AH221" s="224"/>
      <c r="AI221" s="224"/>
      <c r="AJ221" s="224"/>
      <c r="AK221" s="224"/>
      <c r="AL221" s="224"/>
      <c r="AM221" s="224"/>
      <c r="AN221" s="224"/>
      <c r="AO221" s="224"/>
      <c r="AP221" s="224"/>
      <c r="AQ221" s="224"/>
      <c r="AR221" s="224"/>
      <c r="AS221" s="469"/>
      <c r="AT221" s="224"/>
      <c r="AU221" s="224"/>
      <c r="AV221" s="224"/>
      <c r="AW221" s="224"/>
      <c r="AX221" s="224"/>
      <c r="AY221" s="224"/>
      <c r="AZ221" s="224"/>
      <c r="BA221" s="469"/>
      <c r="BB221" s="224"/>
      <c r="BC221" s="356">
        <f>SD!E3</f>
        <v>0</v>
      </c>
      <c r="BD221" s="548">
        <f t="shared" si="46"/>
        <v>0</v>
      </c>
      <c r="BE221" s="214"/>
    </row>
    <row r="222" spans="2:57" x14ac:dyDescent="0.25">
      <c r="B222" s="225" t="str">
        <f>Cen!A568</f>
        <v>Distanční doraz Blum, 8mm</v>
      </c>
      <c r="C222" s="225" t="str">
        <f>Cen!B568</f>
        <v>993.0830.01</v>
      </c>
      <c r="D222" s="225" t="str">
        <f>Cen!C568</f>
        <v>R737</v>
      </c>
      <c r="E222" s="606">
        <f>Cen!D568</f>
        <v>0</v>
      </c>
      <c r="F222" s="198">
        <f t="shared" si="45"/>
        <v>0</v>
      </c>
      <c r="G222" s="221">
        <f>Cen!F568</f>
        <v>0.62067000000000005</v>
      </c>
      <c r="H222" s="222">
        <f t="shared" si="43"/>
        <v>0</v>
      </c>
      <c r="I222" s="233"/>
      <c r="J222" s="223">
        <f>Cen!I568</f>
        <v>7402930</v>
      </c>
      <c r="K222" s="223">
        <f>Cen!J568</f>
        <v>99120</v>
      </c>
      <c r="L222" s="219">
        <f t="shared" si="32"/>
        <v>0</v>
      </c>
      <c r="M222" s="463">
        <f t="shared" si="33"/>
        <v>0</v>
      </c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24"/>
      <c r="Y222" s="224"/>
      <c r="Z222" s="224"/>
      <c r="AA222" s="224"/>
      <c r="AB222" s="224"/>
      <c r="AC222" s="224"/>
      <c r="AD222" s="224"/>
      <c r="AE222" s="224"/>
      <c r="AF222" s="224"/>
      <c r="AG222" s="224"/>
      <c r="AH222" s="224"/>
      <c r="AI222" s="224"/>
      <c r="AJ222" s="224"/>
      <c r="AK222" s="224"/>
      <c r="AL222" s="224"/>
      <c r="AM222" s="224"/>
      <c r="AN222" s="224"/>
      <c r="AO222" s="224"/>
      <c r="AP222" s="224"/>
      <c r="AQ222" s="224"/>
      <c r="AR222" s="224"/>
      <c r="AS222" s="469"/>
      <c r="AT222" s="224"/>
      <c r="AU222" s="224"/>
      <c r="AV222" s="224"/>
      <c r="AW222" s="224"/>
      <c r="AX222" s="224"/>
      <c r="AY222" s="224"/>
      <c r="AZ222" s="224"/>
      <c r="BA222" s="469"/>
      <c r="BB222" s="224"/>
      <c r="BC222" s="356">
        <f>SD!E4</f>
        <v>0</v>
      </c>
      <c r="BD222" s="548">
        <f t="shared" si="46"/>
        <v>0</v>
      </c>
      <c r="BE222" s="214"/>
    </row>
    <row r="223" spans="2:57" x14ac:dyDescent="0.25">
      <c r="B223" s="225" t="str">
        <f>Cen!A569</f>
        <v>Pohonná servo jednotka</v>
      </c>
      <c r="C223" s="225" t="str">
        <f>Cen!B569</f>
        <v>Z10A3000.02</v>
      </c>
      <c r="D223" s="225" t="str">
        <f>Cen!C569</f>
        <v>R737</v>
      </c>
      <c r="E223" s="606">
        <f>Cen!D569</f>
        <v>0</v>
      </c>
      <c r="F223" s="198">
        <f t="shared" si="45"/>
        <v>0</v>
      </c>
      <c r="G223" s="221">
        <f>Cen!F569</f>
        <v>67.216899999999995</v>
      </c>
      <c r="H223" s="222">
        <f t="shared" si="43"/>
        <v>0</v>
      </c>
      <c r="I223" s="233"/>
      <c r="J223" s="223">
        <f>Cen!I569</f>
        <v>1195106</v>
      </c>
      <c r="K223" s="223">
        <f>Cen!J569</f>
        <v>99100</v>
      </c>
      <c r="L223" s="219">
        <f t="shared" si="32"/>
        <v>0</v>
      </c>
      <c r="M223" s="463">
        <f t="shared" si="33"/>
        <v>0</v>
      </c>
      <c r="N223" s="224"/>
      <c r="O223" s="224"/>
      <c r="P223" s="224"/>
      <c r="Q223" s="224"/>
      <c r="R223" s="224"/>
      <c r="S223" s="224"/>
      <c r="T223" s="224"/>
      <c r="U223" s="224"/>
      <c r="V223" s="224"/>
      <c r="W223" s="224"/>
      <c r="X223" s="224"/>
      <c r="Y223" s="224"/>
      <c r="Z223" s="224"/>
      <c r="AA223" s="224"/>
      <c r="AB223" s="224"/>
      <c r="AC223" s="224"/>
      <c r="AD223" s="224"/>
      <c r="AE223" s="224"/>
      <c r="AF223" s="224"/>
      <c r="AG223" s="224"/>
      <c r="AH223" s="224"/>
      <c r="AI223" s="224"/>
      <c r="AJ223" s="224"/>
      <c r="AK223" s="224"/>
      <c r="AL223" s="224"/>
      <c r="AM223" s="224"/>
      <c r="AN223" s="224"/>
      <c r="AO223" s="224"/>
      <c r="AP223" s="224"/>
      <c r="AQ223" s="224"/>
      <c r="AR223" s="224"/>
      <c r="AS223" s="469"/>
      <c r="AT223" s="224"/>
      <c r="AU223" s="224"/>
      <c r="AV223" s="224"/>
      <c r="AW223" s="224"/>
      <c r="AX223" s="224"/>
      <c r="AY223" s="224"/>
      <c r="AZ223" s="224"/>
      <c r="BA223" s="469"/>
      <c r="BB223" s="224"/>
      <c r="BC223" s="356">
        <f>SD!E10</f>
        <v>0</v>
      </c>
      <c r="BD223" s="548">
        <f t="shared" si="46"/>
        <v>0</v>
      </c>
      <c r="BE223" s="214"/>
    </row>
    <row r="224" spans="2:57" x14ac:dyDescent="0.25">
      <c r="B224" s="225" t="str">
        <f>Cen!A570</f>
        <v>Držák nosníku, vlys naležato</v>
      </c>
      <c r="C224" s="225" t="str">
        <f>Cen!B570</f>
        <v>Z10D01E0.01</v>
      </c>
      <c r="D224" s="225" t="str">
        <f>Cen!C570</f>
        <v>R737</v>
      </c>
      <c r="E224" s="606">
        <f>Cen!D570</f>
        <v>0</v>
      </c>
      <c r="F224" s="198">
        <f t="shared" si="45"/>
        <v>0</v>
      </c>
      <c r="G224" s="221">
        <f>Cen!F570</f>
        <v>3.29522</v>
      </c>
      <c r="H224" s="222">
        <f t="shared" si="43"/>
        <v>0</v>
      </c>
      <c r="I224" s="233"/>
      <c r="J224" s="223">
        <f>Cen!I570</f>
        <v>3061821</v>
      </c>
      <c r="K224" s="223">
        <f>Cen!J570</f>
        <v>99101</v>
      </c>
      <c r="L224" s="219">
        <f t="shared" si="32"/>
        <v>0</v>
      </c>
      <c r="M224" s="463">
        <f t="shared" si="33"/>
        <v>0</v>
      </c>
      <c r="N224" s="224"/>
      <c r="O224" s="224"/>
      <c r="P224" s="224"/>
      <c r="Q224" s="224"/>
      <c r="R224" s="224"/>
      <c r="S224" s="224"/>
      <c r="T224" s="224"/>
      <c r="U224" s="224"/>
      <c r="V224" s="224"/>
      <c r="W224" s="224"/>
      <c r="X224" s="224"/>
      <c r="Y224" s="224"/>
      <c r="Z224" s="224"/>
      <c r="AA224" s="224"/>
      <c r="AB224" s="224"/>
      <c r="AC224" s="224"/>
      <c r="AD224" s="224"/>
      <c r="AE224" s="224"/>
      <c r="AF224" s="224"/>
      <c r="AG224" s="224"/>
      <c r="AH224" s="224"/>
      <c r="AI224" s="224"/>
      <c r="AJ224" s="224"/>
      <c r="AK224" s="224"/>
      <c r="AL224" s="224"/>
      <c r="AM224" s="224"/>
      <c r="AN224" s="224"/>
      <c r="AO224" s="224"/>
      <c r="AP224" s="224"/>
      <c r="AQ224" s="224"/>
      <c r="AR224" s="224"/>
      <c r="AS224" s="469"/>
      <c r="AT224" s="224"/>
      <c r="AU224" s="224"/>
      <c r="AV224" s="224"/>
      <c r="AW224" s="224"/>
      <c r="AX224" s="224"/>
      <c r="AY224" s="224"/>
      <c r="AZ224" s="224"/>
      <c r="BA224" s="469"/>
      <c r="BB224" s="224"/>
      <c r="BC224" s="356">
        <f>SD!E8</f>
        <v>0</v>
      </c>
      <c r="BD224" s="548">
        <f t="shared" si="46"/>
        <v>0</v>
      </c>
      <c r="BE224" s="214"/>
    </row>
    <row r="225" spans="2:57" x14ac:dyDescent="0.25">
      <c r="B225" s="225" t="str">
        <f>Cen!A571</f>
        <v>Držák nosníku, vlys nastojato</v>
      </c>
      <c r="C225" s="225" t="str">
        <f>Cen!B571</f>
        <v>Z10D01EA.01</v>
      </c>
      <c r="D225" s="225" t="str">
        <f>Cen!C571</f>
        <v>R737</v>
      </c>
      <c r="E225" s="606">
        <f>Cen!D571</f>
        <v>0</v>
      </c>
      <c r="F225" s="198">
        <f t="shared" si="45"/>
        <v>0</v>
      </c>
      <c r="G225" s="221">
        <f>Cen!F571</f>
        <v>4.1090900000000001</v>
      </c>
      <c r="H225" s="222">
        <f t="shared" si="43"/>
        <v>0</v>
      </c>
      <c r="I225" s="233"/>
      <c r="J225" s="223">
        <f>Cen!I571</f>
        <v>9879558</v>
      </c>
      <c r="K225" s="223">
        <f>Cen!J571</f>
        <v>99102</v>
      </c>
      <c r="L225" s="219">
        <f t="shared" si="32"/>
        <v>0</v>
      </c>
      <c r="M225" s="463">
        <f t="shared" si="33"/>
        <v>0</v>
      </c>
      <c r="N225" s="224"/>
      <c r="O225" s="224"/>
      <c r="P225" s="224"/>
      <c r="Q225" s="224"/>
      <c r="R225" s="224"/>
      <c r="S225" s="224"/>
      <c r="T225" s="224"/>
      <c r="U225" s="224"/>
      <c r="V225" s="224"/>
      <c r="W225" s="224"/>
      <c r="X225" s="224"/>
      <c r="Y225" s="224"/>
      <c r="Z225" s="224"/>
      <c r="AA225" s="224"/>
      <c r="AB225" s="224"/>
      <c r="AC225" s="224"/>
      <c r="AD225" s="224"/>
      <c r="AE225" s="224"/>
      <c r="AF225" s="224"/>
      <c r="AG225" s="224"/>
      <c r="AH225" s="224"/>
      <c r="AI225" s="224"/>
      <c r="AJ225" s="224"/>
      <c r="AK225" s="224"/>
      <c r="AL225" s="224"/>
      <c r="AM225" s="224"/>
      <c r="AN225" s="224"/>
      <c r="AO225" s="224"/>
      <c r="AP225" s="224"/>
      <c r="AQ225" s="224"/>
      <c r="AR225" s="224"/>
      <c r="AS225" s="469"/>
      <c r="AT225" s="224"/>
      <c r="AU225" s="224"/>
      <c r="AV225" s="224"/>
      <c r="AW225" s="224"/>
      <c r="AX225" s="224"/>
      <c r="AY225" s="224"/>
      <c r="AZ225" s="224"/>
      <c r="BA225" s="469"/>
      <c r="BB225" s="224"/>
      <c r="BC225" s="356">
        <f>SD!E9</f>
        <v>0</v>
      </c>
      <c r="BD225" s="548">
        <f t="shared" si="46"/>
        <v>0</v>
      </c>
      <c r="BE225" s="214"/>
    </row>
    <row r="226" spans="2:57" x14ac:dyDescent="0.25">
      <c r="B226" s="225" t="str">
        <f>Cen!A572</f>
        <v>Držák servo jednotky jednoduchý</v>
      </c>
      <c r="C226" s="225" t="str">
        <f>Cen!B572</f>
        <v>Z10D0311</v>
      </c>
      <c r="D226" s="225" t="str">
        <f>Cen!C572</f>
        <v>R737</v>
      </c>
      <c r="E226" s="606">
        <f>Cen!D572</f>
        <v>0</v>
      </c>
      <c r="F226" s="198">
        <f t="shared" si="45"/>
        <v>0</v>
      </c>
      <c r="G226" s="221">
        <f>Cen!F572</f>
        <v>6.7205600000000008</v>
      </c>
      <c r="H226" s="222">
        <f t="shared" si="43"/>
        <v>0</v>
      </c>
      <c r="I226" s="233"/>
      <c r="J226" s="223">
        <f>Cen!I572</f>
        <v>4805174</v>
      </c>
      <c r="K226" s="223">
        <f>Cen!J572</f>
        <v>99103</v>
      </c>
      <c r="L226" s="219">
        <f t="shared" si="32"/>
        <v>0</v>
      </c>
      <c r="M226" s="463">
        <f t="shared" si="33"/>
        <v>0</v>
      </c>
      <c r="N226" s="224"/>
      <c r="O226" s="224"/>
      <c r="P226" s="224"/>
      <c r="Q226" s="224"/>
      <c r="R226" s="224"/>
      <c r="S226" s="224"/>
      <c r="T226" s="224"/>
      <c r="U226" s="224"/>
      <c r="V226" s="224"/>
      <c r="W226" s="224"/>
      <c r="X226" s="224"/>
      <c r="Y226" s="224"/>
      <c r="Z226" s="224"/>
      <c r="AA226" s="224"/>
      <c r="AB226" s="224"/>
      <c r="AC226" s="224"/>
      <c r="AD226" s="224"/>
      <c r="AE226" s="224"/>
      <c r="AF226" s="224"/>
      <c r="AG226" s="224"/>
      <c r="AH226" s="224"/>
      <c r="AI226" s="224"/>
      <c r="AJ226" s="224"/>
      <c r="AK226" s="224"/>
      <c r="AL226" s="224"/>
      <c r="AM226" s="224"/>
      <c r="AN226" s="224"/>
      <c r="AO226" s="224"/>
      <c r="AP226" s="224"/>
      <c r="AQ226" s="224"/>
      <c r="AR226" s="224"/>
      <c r="AS226" s="469"/>
      <c r="AT226" s="224"/>
      <c r="AU226" s="224"/>
      <c r="AV226" s="224"/>
      <c r="AW226" s="224"/>
      <c r="AX226" s="224"/>
      <c r="AY226" s="224"/>
      <c r="AZ226" s="224"/>
      <c r="BA226" s="469"/>
      <c r="BB226" s="224"/>
      <c r="BC226" s="356">
        <f>SD!E22</f>
        <v>0</v>
      </c>
      <c r="BD226" s="548">
        <f t="shared" si="46"/>
        <v>0</v>
      </c>
      <c r="BE226" s="214"/>
    </row>
    <row r="227" spans="2:57" x14ac:dyDescent="0.25">
      <c r="B227" s="225" t="str">
        <f>Cen!A573</f>
        <v>Držák servo jednotky zdvojený</v>
      </c>
      <c r="C227" s="225" t="str">
        <f>Cen!B573</f>
        <v>Z10D7201.01</v>
      </c>
      <c r="D227" s="225" t="str">
        <f>Cen!C573</f>
        <v>R737</v>
      </c>
      <c r="E227" s="606">
        <f>Cen!D573</f>
        <v>0</v>
      </c>
      <c r="F227" s="198">
        <f t="shared" si="45"/>
        <v>0</v>
      </c>
      <c r="G227" s="221">
        <f>Cen!F573</f>
        <v>13.40591</v>
      </c>
      <c r="H227" s="222">
        <f t="shared" si="43"/>
        <v>0</v>
      </c>
      <c r="I227" s="233"/>
      <c r="J227" s="223">
        <f>Cen!I573</f>
        <v>1640683</v>
      </c>
      <c r="K227" s="223">
        <f>Cen!J573</f>
        <v>99104</v>
      </c>
      <c r="L227" s="219">
        <f t="shared" si="32"/>
        <v>0</v>
      </c>
      <c r="M227" s="463">
        <f t="shared" si="33"/>
        <v>0</v>
      </c>
      <c r="N227" s="224"/>
      <c r="O227" s="224"/>
      <c r="P227" s="224"/>
      <c r="Q227" s="224"/>
      <c r="R227" s="224"/>
      <c r="S227" s="224"/>
      <c r="T227" s="224"/>
      <c r="U227" s="224"/>
      <c r="V227" s="224"/>
      <c r="W227" s="224"/>
      <c r="X227" s="224"/>
      <c r="Y227" s="224"/>
      <c r="Z227" s="224"/>
      <c r="AA227" s="224"/>
      <c r="AB227" s="224"/>
      <c r="AC227" s="224"/>
      <c r="AD227" s="224"/>
      <c r="AE227" s="224"/>
      <c r="AF227" s="224"/>
      <c r="AG227" s="224"/>
      <c r="AH227" s="224"/>
      <c r="AI227" s="224"/>
      <c r="AJ227" s="224"/>
      <c r="AK227" s="224"/>
      <c r="AL227" s="224"/>
      <c r="AM227" s="224"/>
      <c r="AN227" s="224"/>
      <c r="AO227" s="224"/>
      <c r="AP227" s="224"/>
      <c r="AQ227" s="224"/>
      <c r="AR227" s="224"/>
      <c r="AS227" s="469"/>
      <c r="AT227" s="224"/>
      <c r="AU227" s="224"/>
      <c r="AV227" s="224"/>
      <c r="AW227" s="224"/>
      <c r="AX227" s="224"/>
      <c r="AY227" s="224"/>
      <c r="AZ227" s="224"/>
      <c r="BA227" s="469"/>
      <c r="BB227" s="224"/>
      <c r="BC227" s="356">
        <f>SD!E21</f>
        <v>0</v>
      </c>
      <c r="BD227" s="548">
        <f t="shared" si="46"/>
        <v>0</v>
      </c>
      <c r="BE227" s="214"/>
    </row>
    <row r="228" spans="2:57" x14ac:dyDescent="0.25">
      <c r="B228" s="225" t="str">
        <f>Cen!A574</f>
        <v>Držák servo jednotky horní</v>
      </c>
      <c r="C228" s="225" t="str">
        <f>Cen!B574</f>
        <v>Z10D6252</v>
      </c>
      <c r="D228" s="225" t="str">
        <f>Cen!C574</f>
        <v>R737</v>
      </c>
      <c r="E228" s="606">
        <f>Cen!D574</f>
        <v>0</v>
      </c>
      <c r="F228" s="198">
        <f t="shared" si="45"/>
        <v>0</v>
      </c>
      <c r="G228" s="221">
        <f>Cen!F574</f>
        <v>18.91206</v>
      </c>
      <c r="H228" s="222">
        <f t="shared" si="43"/>
        <v>0</v>
      </c>
      <c r="I228" s="233"/>
      <c r="J228" s="223">
        <f>Cen!I574</f>
        <v>8010962</v>
      </c>
      <c r="K228" s="223">
        <f>Cen!J574</f>
        <v>99127</v>
      </c>
      <c r="L228" s="219">
        <f t="shared" si="32"/>
        <v>0</v>
      </c>
      <c r="M228" s="463">
        <f t="shared" si="33"/>
        <v>0</v>
      </c>
      <c r="N228" s="224"/>
      <c r="O228" s="224"/>
      <c r="P228" s="224"/>
      <c r="Q228" s="224"/>
      <c r="R228" s="224"/>
      <c r="S228" s="224"/>
      <c r="T228" s="224"/>
      <c r="U228" s="224"/>
      <c r="V228" s="224"/>
      <c r="W228" s="224"/>
      <c r="X228" s="224"/>
      <c r="Y228" s="224"/>
      <c r="Z228" s="224"/>
      <c r="AA228" s="224"/>
      <c r="AB228" s="224"/>
      <c r="AC228" s="224"/>
      <c r="AD228" s="224"/>
      <c r="AE228" s="224"/>
      <c r="AF228" s="224"/>
      <c r="AG228" s="224"/>
      <c r="AH228" s="224"/>
      <c r="AI228" s="224"/>
      <c r="AJ228" s="224"/>
      <c r="AK228" s="224"/>
      <c r="AL228" s="224"/>
      <c r="AM228" s="224"/>
      <c r="AN228" s="224"/>
      <c r="AO228" s="224"/>
      <c r="AP228" s="224"/>
      <c r="AQ228" s="224"/>
      <c r="AR228" s="224"/>
      <c r="AS228" s="469"/>
      <c r="AT228" s="224"/>
      <c r="AU228" s="224"/>
      <c r="AV228" s="224"/>
      <c r="AW228" s="224"/>
      <c r="AX228" s="224"/>
      <c r="AY228" s="224"/>
      <c r="AZ228" s="224"/>
      <c r="BA228" s="469"/>
      <c r="BB228" s="224"/>
      <c r="BC228" s="356">
        <f>SD!E27</f>
        <v>0</v>
      </c>
      <c r="BD228" s="548">
        <f t="shared" si="46"/>
        <v>0</v>
      </c>
      <c r="BE228" s="214"/>
    </row>
    <row r="229" spans="2:57" x14ac:dyDescent="0.25">
      <c r="B229" s="225" t="str">
        <f>Cen!A575</f>
        <v>Držák kabelu s Klebesockel</v>
      </c>
      <c r="C229" s="225" t="str">
        <f>Cen!B575</f>
        <v>Z10K0009</v>
      </c>
      <c r="D229" s="225" t="str">
        <f>Cen!C575</f>
        <v>NA</v>
      </c>
      <c r="E229" s="606">
        <f>Cen!D575</f>
        <v>0</v>
      </c>
      <c r="F229" s="198">
        <f t="shared" si="45"/>
        <v>0</v>
      </c>
      <c r="G229" s="221">
        <f>Cen!F575</f>
        <v>0.75662999999999991</v>
      </c>
      <c r="H229" s="222">
        <f t="shared" si="43"/>
        <v>0</v>
      </c>
      <c r="I229" s="233"/>
      <c r="J229" s="223">
        <f>Cen!I575</f>
        <v>7283231</v>
      </c>
      <c r="K229" s="223">
        <f>Cen!J575</f>
        <v>99105</v>
      </c>
      <c r="L229" s="219">
        <f t="shared" si="32"/>
        <v>0</v>
      </c>
      <c r="M229" s="463">
        <f t="shared" si="33"/>
        <v>0</v>
      </c>
      <c r="N229" s="224"/>
      <c r="O229" s="224"/>
      <c r="P229" s="224"/>
      <c r="Q229" s="224"/>
      <c r="R229" s="224"/>
      <c r="S229" s="224"/>
      <c r="T229" s="224"/>
      <c r="U229" s="224"/>
      <c r="V229" s="224"/>
      <c r="W229" s="224"/>
      <c r="X229" s="224"/>
      <c r="Y229" s="224"/>
      <c r="Z229" s="224"/>
      <c r="AA229" s="224"/>
      <c r="AB229" s="224"/>
      <c r="AC229" s="224"/>
      <c r="AD229" s="224"/>
      <c r="AE229" s="224"/>
      <c r="AF229" s="224"/>
      <c r="AG229" s="224"/>
      <c r="AH229" s="224"/>
      <c r="AI229" s="224"/>
      <c r="AJ229" s="224"/>
      <c r="AK229" s="224"/>
      <c r="AL229" s="224"/>
      <c r="AM229" s="224"/>
      <c r="AN229" s="224"/>
      <c r="AO229" s="224"/>
      <c r="AP229" s="224"/>
      <c r="AQ229" s="224"/>
      <c r="AR229" s="224"/>
      <c r="AS229" s="469"/>
      <c r="AT229" s="224"/>
      <c r="AU229" s="224"/>
      <c r="AV229" s="224"/>
      <c r="AW229" s="224"/>
      <c r="AX229" s="224"/>
      <c r="AY229" s="224"/>
      <c r="AZ229" s="224"/>
      <c r="BA229" s="469"/>
      <c r="BB229" s="224"/>
      <c r="BC229" s="356">
        <f>SD!E23</f>
        <v>0</v>
      </c>
      <c r="BD229" s="548">
        <f t="shared" si="46"/>
        <v>0</v>
      </c>
      <c r="BE229" s="214"/>
    </row>
    <row r="230" spans="2:57" x14ac:dyDescent="0.25">
      <c r="B230" s="225" t="str">
        <f>Cen!A576</f>
        <v>Synchronizační kabel 8cm</v>
      </c>
      <c r="C230" s="225" t="str">
        <f>Cen!B576</f>
        <v xml:space="preserve">Z10K008S </v>
      </c>
      <c r="D230" s="225" t="str">
        <f>Cen!C576</f>
        <v>W</v>
      </c>
      <c r="E230" s="606">
        <f>Cen!D576</f>
        <v>0</v>
      </c>
      <c r="F230" s="198">
        <f t="shared" si="45"/>
        <v>0</v>
      </c>
      <c r="G230" s="221">
        <f>Cen!F576</f>
        <v>4.2158600000000002</v>
      </c>
      <c r="H230" s="222">
        <f t="shared" si="43"/>
        <v>0</v>
      </c>
      <c r="I230" s="233"/>
      <c r="J230" s="223">
        <f>Cen!I576</f>
        <v>7288466</v>
      </c>
      <c r="K230" s="223">
        <f>Cen!J576</f>
        <v>99106</v>
      </c>
      <c r="L230" s="219">
        <f t="shared" si="32"/>
        <v>0</v>
      </c>
      <c r="M230" s="463">
        <f t="shared" si="33"/>
        <v>0</v>
      </c>
      <c r="N230" s="224"/>
      <c r="O230" s="224"/>
      <c r="P230" s="224"/>
      <c r="Q230" s="224"/>
      <c r="R230" s="224"/>
      <c r="S230" s="224"/>
      <c r="T230" s="224"/>
      <c r="U230" s="224"/>
      <c r="V230" s="224"/>
      <c r="W230" s="224"/>
      <c r="X230" s="224"/>
      <c r="Y230" s="224"/>
      <c r="Z230" s="224"/>
      <c r="AA230" s="224"/>
      <c r="AB230" s="224"/>
      <c r="AC230" s="224"/>
      <c r="AD230" s="224"/>
      <c r="AE230" s="224"/>
      <c r="AF230" s="224"/>
      <c r="AG230" s="224"/>
      <c r="AH230" s="224"/>
      <c r="AI230" s="224"/>
      <c r="AJ230" s="224"/>
      <c r="AK230" s="224"/>
      <c r="AL230" s="224"/>
      <c r="AM230" s="224"/>
      <c r="AN230" s="224"/>
      <c r="AO230" s="224"/>
      <c r="AP230" s="224"/>
      <c r="AQ230" s="224"/>
      <c r="AR230" s="224"/>
      <c r="AS230" s="469"/>
      <c r="AT230" s="224"/>
      <c r="AU230" s="224"/>
      <c r="AV230" s="224"/>
      <c r="AW230" s="224"/>
      <c r="AX230" s="224"/>
      <c r="AY230" s="224"/>
      <c r="AZ230" s="224"/>
      <c r="BA230" s="469"/>
      <c r="BB230" s="224"/>
      <c r="BC230" s="356">
        <f>SD!E17</f>
        <v>0</v>
      </c>
      <c r="BD230" s="548">
        <f t="shared" si="46"/>
        <v>0</v>
      </c>
      <c r="BE230" s="214"/>
    </row>
    <row r="231" spans="2:57" x14ac:dyDescent="0.25">
      <c r="B231" s="225" t="str">
        <f>Cen!A577</f>
        <v>Synchronizační kabel 50cm</v>
      </c>
      <c r="C231" s="225" t="str">
        <f>Cen!B577</f>
        <v>Z10K050S</v>
      </c>
      <c r="D231" s="225" t="str">
        <f>Cen!C577</f>
        <v>W</v>
      </c>
      <c r="E231" s="606">
        <f>Cen!D577</f>
        <v>0</v>
      </c>
      <c r="F231" s="198">
        <f t="shared" si="45"/>
        <v>0</v>
      </c>
      <c r="G231" s="221">
        <f>Cen!F577</f>
        <v>5.8548999999999998</v>
      </c>
      <c r="H231" s="222">
        <f t="shared" si="43"/>
        <v>0</v>
      </c>
      <c r="I231" s="233"/>
      <c r="J231" s="223">
        <f>Cen!I577</f>
        <v>8013626</v>
      </c>
      <c r="K231" s="223">
        <f>Cen!J577</f>
        <v>246077</v>
      </c>
      <c r="L231" s="219">
        <f t="shared" ref="L231:L241" si="47">IF(I231="x",0,IF(I231&gt;0,I231,F231))</f>
        <v>0</v>
      </c>
      <c r="M231" s="463">
        <f t="shared" ref="M231:M241" si="48">PRODUCT(L231,G231)</f>
        <v>0</v>
      </c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24"/>
      <c r="Z231" s="224"/>
      <c r="AA231" s="224"/>
      <c r="AB231" s="224"/>
      <c r="AC231" s="224"/>
      <c r="AD231" s="224"/>
      <c r="AE231" s="224"/>
      <c r="AF231" s="224"/>
      <c r="AG231" s="224"/>
      <c r="AH231" s="224"/>
      <c r="AI231" s="224"/>
      <c r="AJ231" s="224"/>
      <c r="AK231" s="224"/>
      <c r="AL231" s="224"/>
      <c r="AM231" s="224"/>
      <c r="AN231" s="224"/>
      <c r="AO231" s="224"/>
      <c r="AP231" s="224"/>
      <c r="AQ231" s="224"/>
      <c r="AR231" s="224"/>
      <c r="AS231" s="469"/>
      <c r="AT231" s="224"/>
      <c r="AU231" s="224"/>
      <c r="AV231" s="224"/>
      <c r="AW231" s="224"/>
      <c r="AX231" s="224"/>
      <c r="AY231" s="224"/>
      <c r="AZ231" s="224"/>
      <c r="BA231" s="469"/>
      <c r="BB231" s="224"/>
      <c r="BC231" s="356">
        <f>SD!E18</f>
        <v>0</v>
      </c>
      <c r="BD231" s="548">
        <f t="shared" si="46"/>
        <v>0</v>
      </c>
      <c r="BE231" s="214"/>
    </row>
    <row r="232" spans="2:57" x14ac:dyDescent="0.25">
      <c r="B232" s="225" t="str">
        <f>Cen!A578</f>
        <v>Synchronizační kabel 120cm</v>
      </c>
      <c r="C232" s="225" t="str">
        <f>Cen!B578</f>
        <v>Z10K120S</v>
      </c>
      <c r="D232" s="225" t="str">
        <f>Cen!C578</f>
        <v>W</v>
      </c>
      <c r="E232" s="606">
        <f>Cen!D578</f>
        <v>0</v>
      </c>
      <c r="F232" s="198">
        <f t="shared" si="45"/>
        <v>0</v>
      </c>
      <c r="G232" s="221">
        <f>Cen!F578</f>
        <v>9.0636899999999994</v>
      </c>
      <c r="H232" s="222">
        <f t="shared" si="43"/>
        <v>0</v>
      </c>
      <c r="I232" s="233"/>
      <c r="J232" s="223">
        <f>Cen!I578</f>
        <v>7288546</v>
      </c>
      <c r="K232" s="223">
        <f>Cen!J578</f>
        <v>99128</v>
      </c>
      <c r="L232" s="219">
        <f t="shared" si="47"/>
        <v>0</v>
      </c>
      <c r="M232" s="463">
        <f t="shared" si="48"/>
        <v>0</v>
      </c>
      <c r="N232" s="224"/>
      <c r="O232" s="224"/>
      <c r="P232" s="224"/>
      <c r="Q232" s="224"/>
      <c r="R232" s="224"/>
      <c r="S232" s="224"/>
      <c r="T232" s="224"/>
      <c r="U232" s="224"/>
      <c r="V232" s="224"/>
      <c r="W232" s="224"/>
      <c r="X232" s="224"/>
      <c r="Y232" s="224"/>
      <c r="Z232" s="224"/>
      <c r="AA232" s="224"/>
      <c r="AB232" s="224"/>
      <c r="AC232" s="224"/>
      <c r="AD232" s="224"/>
      <c r="AE232" s="224"/>
      <c r="AF232" s="224"/>
      <c r="AG232" s="224"/>
      <c r="AH232" s="224"/>
      <c r="AI232" s="224"/>
      <c r="AJ232" s="224"/>
      <c r="AK232" s="224"/>
      <c r="AL232" s="224"/>
      <c r="AM232" s="224"/>
      <c r="AN232" s="224"/>
      <c r="AO232" s="224"/>
      <c r="AP232" s="224"/>
      <c r="AQ232" s="224"/>
      <c r="AR232" s="224"/>
      <c r="AS232" s="469"/>
      <c r="AT232" s="224"/>
      <c r="AU232" s="224"/>
      <c r="AV232" s="224"/>
      <c r="AW232" s="224"/>
      <c r="AX232" s="224"/>
      <c r="AY232" s="224"/>
      <c r="AZ232" s="224"/>
      <c r="BA232" s="469"/>
      <c r="BB232" s="224"/>
      <c r="BC232" s="356">
        <f>SD!E19</f>
        <v>0</v>
      </c>
      <c r="BD232" s="548">
        <f t="shared" si="46"/>
        <v>0</v>
      </c>
      <c r="BE232" s="214"/>
    </row>
    <row r="233" spans="2:57" x14ac:dyDescent="0.25">
      <c r="B233" s="225" t="str">
        <f>Cen!A579</f>
        <v>Synchronizační kabel 160cm</v>
      </c>
      <c r="C233" s="225" t="str">
        <f>Cen!B579</f>
        <v>Z10K160S</v>
      </c>
      <c r="D233" s="225" t="str">
        <f>Cen!C579</f>
        <v>W</v>
      </c>
      <c r="E233" s="606">
        <f>Cen!D579</f>
        <v>0</v>
      </c>
      <c r="F233" s="198">
        <f t="shared" si="45"/>
        <v>0</v>
      </c>
      <c r="G233" s="221">
        <f>Cen!F579</f>
        <v>10.234780000000001</v>
      </c>
      <c r="H233" s="222">
        <f t="shared" si="43"/>
        <v>0</v>
      </c>
      <c r="I233" s="233"/>
      <c r="J233" s="223">
        <f>Cen!I579</f>
        <v>7361306</v>
      </c>
      <c r="K233" s="223">
        <f>Cen!J579</f>
        <v>99118</v>
      </c>
      <c r="L233" s="219">
        <f t="shared" si="47"/>
        <v>0</v>
      </c>
      <c r="M233" s="463">
        <f t="shared" si="48"/>
        <v>0</v>
      </c>
      <c r="N233" s="224"/>
      <c r="O233" s="224"/>
      <c r="P233" s="224"/>
      <c r="Q233" s="224"/>
      <c r="R233" s="224"/>
      <c r="S233" s="224"/>
      <c r="T233" s="224"/>
      <c r="U233" s="224"/>
      <c r="V233" s="224"/>
      <c r="W233" s="224"/>
      <c r="X233" s="224"/>
      <c r="Y233" s="224"/>
      <c r="Z233" s="224"/>
      <c r="AA233" s="224"/>
      <c r="AB233" s="224"/>
      <c r="AC233" s="224"/>
      <c r="AD233" s="224"/>
      <c r="AE233" s="224"/>
      <c r="AF233" s="224"/>
      <c r="AG233" s="224"/>
      <c r="AH233" s="224"/>
      <c r="AI233" s="224"/>
      <c r="AJ233" s="224"/>
      <c r="AK233" s="224"/>
      <c r="AL233" s="224"/>
      <c r="AM233" s="224"/>
      <c r="AN233" s="224"/>
      <c r="AO233" s="224"/>
      <c r="AP233" s="224"/>
      <c r="AQ233" s="224"/>
      <c r="AR233" s="224"/>
      <c r="AS233" s="469"/>
      <c r="AT233" s="224"/>
      <c r="AU233" s="224"/>
      <c r="AV233" s="224"/>
      <c r="AW233" s="224"/>
      <c r="AX233" s="224"/>
      <c r="AY233" s="224"/>
      <c r="AZ233" s="224"/>
      <c r="BA233" s="469"/>
      <c r="BB233" s="224"/>
      <c r="BC233" s="356">
        <f>SD!E20</f>
        <v>0</v>
      </c>
      <c r="BD233" s="548">
        <f t="shared" si="46"/>
        <v>0</v>
      </c>
      <c r="BE233" s="214"/>
    </row>
    <row r="234" spans="2:57" x14ac:dyDescent="0.25">
      <c r="B234" s="225" t="str">
        <f>Cen!A580</f>
        <v>Elektrokabel, délka 8m + 5 krytek</v>
      </c>
      <c r="C234" s="225" t="str">
        <f>Cen!B580</f>
        <v>Z10K800AE</v>
      </c>
      <c r="D234" s="225" t="str">
        <f>Cen!C580</f>
        <v>S</v>
      </c>
      <c r="E234" s="606">
        <f>Cen!D580</f>
        <v>0</v>
      </c>
      <c r="F234" s="198">
        <f t="shared" si="45"/>
        <v>0</v>
      </c>
      <c r="G234" s="221">
        <f>Cen!F580</f>
        <v>26.267219999999998</v>
      </c>
      <c r="H234" s="222">
        <f>M234</f>
        <v>0</v>
      </c>
      <c r="I234" s="233"/>
      <c r="J234" s="223">
        <f>Cen!I580</f>
        <v>7550294</v>
      </c>
      <c r="K234" s="223">
        <f>Cen!J580</f>
        <v>99107</v>
      </c>
      <c r="L234" s="219">
        <f t="shared" si="47"/>
        <v>0</v>
      </c>
      <c r="M234" s="463">
        <f t="shared" si="48"/>
        <v>0</v>
      </c>
      <c r="N234" s="224"/>
      <c r="O234" s="224"/>
      <c r="P234" s="224"/>
      <c r="Q234" s="224"/>
      <c r="R234" s="224"/>
      <c r="S234" s="224"/>
      <c r="T234" s="224"/>
      <c r="U234" s="224"/>
      <c r="V234" s="224"/>
      <c r="W234" s="224"/>
      <c r="X234" s="224"/>
      <c r="Y234" s="224"/>
      <c r="Z234" s="224"/>
      <c r="AA234" s="224"/>
      <c r="AB234" s="224"/>
      <c r="AC234" s="224"/>
      <c r="AD234" s="224"/>
      <c r="AE234" s="224"/>
      <c r="AF234" s="224"/>
      <c r="AG234" s="224"/>
      <c r="AH234" s="224"/>
      <c r="AI234" s="224"/>
      <c r="AJ234" s="224"/>
      <c r="AK234" s="224"/>
      <c r="AL234" s="224"/>
      <c r="AM234" s="224"/>
      <c r="AN234" s="224"/>
      <c r="AO234" s="224"/>
      <c r="AP234" s="224"/>
      <c r="AQ234" s="224"/>
      <c r="AR234" s="224"/>
      <c r="AS234" s="469"/>
      <c r="AT234" s="224"/>
      <c r="AU234" s="224"/>
      <c r="AV234" s="224"/>
      <c r="AW234" s="224"/>
      <c r="AX234" s="224"/>
      <c r="AY234" s="224"/>
      <c r="AZ234" s="224"/>
      <c r="BA234" s="469"/>
      <c r="BB234" s="224"/>
      <c r="BC234" s="356">
        <f>SD!E12</f>
        <v>0</v>
      </c>
      <c r="BD234" s="548">
        <f t="shared" si="46"/>
        <v>0</v>
      </c>
      <c r="BE234" s="214"/>
    </row>
    <row r="235" spans="2:57" x14ac:dyDescent="0.25">
      <c r="B235" s="225" t="str">
        <f>Cen!A581</f>
        <v>Napájecí kabel se zástrčkou, 2m</v>
      </c>
      <c r="C235" s="225" t="str">
        <f>Cen!B581</f>
        <v xml:space="preserve">Z10M200E </v>
      </c>
      <c r="D235" s="225" t="str">
        <f>Cen!C581</f>
        <v>S</v>
      </c>
      <c r="E235" s="606">
        <f>Cen!D581</f>
        <v>0</v>
      </c>
      <c r="F235" s="198">
        <f t="shared" si="45"/>
        <v>0</v>
      </c>
      <c r="G235" s="221">
        <f>Cen!F581</f>
        <v>6.3704900000000002</v>
      </c>
      <c r="H235" s="222">
        <f>M235</f>
        <v>0</v>
      </c>
      <c r="I235" s="233"/>
      <c r="J235" s="223">
        <f>Cen!I581</f>
        <v>7205784</v>
      </c>
      <c r="K235" s="223">
        <f>Cen!J581</f>
        <v>99108</v>
      </c>
      <c r="L235" s="219">
        <f t="shared" si="47"/>
        <v>0</v>
      </c>
      <c r="M235" s="463">
        <f t="shared" si="48"/>
        <v>0</v>
      </c>
      <c r="N235" s="224"/>
      <c r="O235" s="224"/>
      <c r="P235" s="224"/>
      <c r="Q235" s="224"/>
      <c r="R235" s="224"/>
      <c r="S235" s="224"/>
      <c r="T235" s="224"/>
      <c r="U235" s="224"/>
      <c r="V235" s="224"/>
      <c r="W235" s="224"/>
      <c r="X235" s="224"/>
      <c r="Y235" s="224"/>
      <c r="Z235" s="224"/>
      <c r="AA235" s="224"/>
      <c r="AB235" s="224"/>
      <c r="AC235" s="224"/>
      <c r="AD235" s="224"/>
      <c r="AE235" s="224"/>
      <c r="AF235" s="224"/>
      <c r="AG235" s="224"/>
      <c r="AH235" s="224"/>
      <c r="AI235" s="224"/>
      <c r="AJ235" s="224"/>
      <c r="AK235" s="224"/>
      <c r="AL235" s="224"/>
      <c r="AM235" s="224"/>
      <c r="AN235" s="224"/>
      <c r="AO235" s="224"/>
      <c r="AP235" s="224"/>
      <c r="AQ235" s="224"/>
      <c r="AR235" s="224"/>
      <c r="AS235" s="469"/>
      <c r="AT235" s="224"/>
      <c r="AU235" s="224"/>
      <c r="AV235" s="224"/>
      <c r="AW235" s="224"/>
      <c r="AX235" s="224"/>
      <c r="AY235" s="224"/>
      <c r="AZ235" s="224"/>
      <c r="BA235" s="469"/>
      <c r="BB235" s="224"/>
      <c r="BC235" s="356">
        <f>SD!E14</f>
        <v>0</v>
      </c>
      <c r="BD235" s="548">
        <f t="shared" si="46"/>
        <v>0</v>
      </c>
      <c r="BE235" s="214"/>
    </row>
    <row r="236" spans="2:57" x14ac:dyDescent="0.25">
      <c r="B236" s="225" t="str">
        <f>Cen!A582</f>
        <v>Napájecí zdroj 72W</v>
      </c>
      <c r="C236" s="225" t="str">
        <f>Cen!B582</f>
        <v>Z10NE020E</v>
      </c>
      <c r="D236" s="225" t="str">
        <f>Cen!C582</f>
        <v>S</v>
      </c>
      <c r="E236" s="606">
        <f>Cen!D582</f>
        <v>0</v>
      </c>
      <c r="F236" s="198">
        <f t="shared" si="45"/>
        <v>0</v>
      </c>
      <c r="G236" s="221">
        <f>Cen!F582</f>
        <v>96.961060000000003</v>
      </c>
      <c r="H236" s="222">
        <f>M236</f>
        <v>0</v>
      </c>
      <c r="I236" s="233"/>
      <c r="J236" s="223">
        <f>Cen!I582</f>
        <v>6960549</v>
      </c>
      <c r="K236" s="223">
        <f>Cen!J582</f>
        <v>129576</v>
      </c>
      <c r="L236" s="219">
        <f t="shared" si="47"/>
        <v>0</v>
      </c>
      <c r="M236" s="463">
        <f t="shared" si="48"/>
        <v>0</v>
      </c>
      <c r="N236" s="224"/>
      <c r="O236" s="224"/>
      <c r="P236" s="224"/>
      <c r="Q236" s="224"/>
      <c r="R236" s="224"/>
      <c r="S236" s="224"/>
      <c r="T236" s="224"/>
      <c r="U236" s="224"/>
      <c r="V236" s="224"/>
      <c r="W236" s="224"/>
      <c r="X236" s="224"/>
      <c r="Y236" s="224"/>
      <c r="Z236" s="224"/>
      <c r="AA236" s="224"/>
      <c r="AB236" s="224"/>
      <c r="AC236" s="224"/>
      <c r="AD236" s="224"/>
      <c r="AE236" s="224"/>
      <c r="AF236" s="224"/>
      <c r="AG236" s="224"/>
      <c r="AH236" s="224"/>
      <c r="AI236" s="224"/>
      <c r="AJ236" s="224"/>
      <c r="AK236" s="224"/>
      <c r="AL236" s="224"/>
      <c r="AM236" s="224"/>
      <c r="AN236" s="224"/>
      <c r="AO236" s="224"/>
      <c r="AP236" s="224"/>
      <c r="AQ236" s="224"/>
      <c r="AR236" s="224"/>
      <c r="AS236" s="469"/>
      <c r="AT236" s="224"/>
      <c r="AU236" s="224"/>
      <c r="AV236" s="224"/>
      <c r="AW236" s="224"/>
      <c r="AX236" s="224"/>
      <c r="AY236" s="224"/>
      <c r="AZ236" s="224"/>
      <c r="BA236" s="469"/>
      <c r="BB236" s="224"/>
      <c r="BC236" s="356">
        <f>SD!E13</f>
        <v>0</v>
      </c>
      <c r="BD236" s="548">
        <f t="shared" si="46"/>
        <v>0</v>
      </c>
      <c r="BE236" s="214"/>
    </row>
    <row r="237" spans="2:57" x14ac:dyDescent="0.25">
      <c r="B237" s="225" t="str">
        <f>Cen!A583</f>
        <v>Držák napájecího zdroje - montáž do dna</v>
      </c>
      <c r="C237" s="225" t="str">
        <f>Cen!B583</f>
        <v>Z10NG000</v>
      </c>
      <c r="D237" s="225" t="str">
        <f>Cen!C583</f>
        <v>R737</v>
      </c>
      <c r="E237" s="606">
        <f>Cen!D583</f>
        <v>0</v>
      </c>
      <c r="F237" s="198">
        <f t="shared" si="45"/>
        <v>0</v>
      </c>
      <c r="G237" s="221">
        <f>Cen!F583</f>
        <v>6.557669999999999</v>
      </c>
      <c r="H237" s="222">
        <f t="shared" si="43"/>
        <v>0</v>
      </c>
      <c r="I237" s="233"/>
      <c r="J237" s="223">
        <f>Cen!I583</f>
        <v>7282180</v>
      </c>
      <c r="K237" s="223">
        <f>Cen!J583</f>
        <v>991110</v>
      </c>
      <c r="L237" s="219">
        <f t="shared" si="47"/>
        <v>0</v>
      </c>
      <c r="M237" s="463">
        <f t="shared" si="48"/>
        <v>0</v>
      </c>
      <c r="N237" s="224"/>
      <c r="O237" s="224"/>
      <c r="P237" s="224"/>
      <c r="Q237" s="224"/>
      <c r="R237" s="224"/>
      <c r="S237" s="224"/>
      <c r="T237" s="224"/>
      <c r="U237" s="224"/>
      <c r="V237" s="224"/>
      <c r="W237" s="224"/>
      <c r="X237" s="224"/>
      <c r="Y237" s="224"/>
      <c r="Z237" s="224"/>
      <c r="AA237" s="224"/>
      <c r="AB237" s="224"/>
      <c r="AC237" s="224"/>
      <c r="AD237" s="224"/>
      <c r="AE237" s="224"/>
      <c r="AF237" s="224"/>
      <c r="AG237" s="224"/>
      <c r="AH237" s="224"/>
      <c r="AI237" s="224"/>
      <c r="AJ237" s="224"/>
      <c r="AK237" s="224"/>
      <c r="AL237" s="224"/>
      <c r="AM237" s="224"/>
      <c r="AN237" s="224"/>
      <c r="AO237" s="224"/>
      <c r="AP237" s="224"/>
      <c r="AQ237" s="224"/>
      <c r="AR237" s="224"/>
      <c r="AS237" s="469"/>
      <c r="AT237" s="224"/>
      <c r="AU237" s="224"/>
      <c r="AV237" s="224"/>
      <c r="AW237" s="224"/>
      <c r="AX237" s="224"/>
      <c r="AY237" s="224"/>
      <c r="AZ237" s="224"/>
      <c r="BA237" s="469"/>
      <c r="BB237" s="224"/>
      <c r="BC237" s="356">
        <f>SD!E15</f>
        <v>0</v>
      </c>
      <c r="BD237" s="548">
        <f t="shared" si="46"/>
        <v>0</v>
      </c>
      <c r="BE237" s="214"/>
    </row>
    <row r="238" spans="2:57" x14ac:dyDescent="0.25">
      <c r="B238" s="225" t="str">
        <f>Cen!A584</f>
        <v>Držák napájecího zdroje - montáž na stěnu</v>
      </c>
      <c r="C238" s="225" t="str">
        <f>Cen!B584</f>
        <v>Z10NG120</v>
      </c>
      <c r="D238" s="225" t="str">
        <f>Cen!C584</f>
        <v>WGR</v>
      </c>
      <c r="E238" s="606">
        <f>Cen!D584</f>
        <v>0</v>
      </c>
      <c r="F238" s="198">
        <f t="shared" si="45"/>
        <v>0</v>
      </c>
      <c r="G238" s="221">
        <f>Cen!F584</f>
        <v>3.5366300000000002</v>
      </c>
      <c r="H238" s="222">
        <f>M238</f>
        <v>0</v>
      </c>
      <c r="I238" s="233"/>
      <c r="J238" s="223">
        <f>Cen!I584</f>
        <v>9327076</v>
      </c>
      <c r="K238" s="223">
        <f>Cen!J584</f>
        <v>131344</v>
      </c>
      <c r="L238" s="219">
        <f t="shared" si="47"/>
        <v>0</v>
      </c>
      <c r="M238" s="463">
        <f t="shared" si="48"/>
        <v>0</v>
      </c>
      <c r="N238" s="224"/>
      <c r="O238" s="224"/>
      <c r="P238" s="224"/>
      <c r="Q238" s="224"/>
      <c r="R238" s="224"/>
      <c r="S238" s="224"/>
      <c r="T238" s="224"/>
      <c r="U238" s="224"/>
      <c r="V238" s="224"/>
      <c r="W238" s="224"/>
      <c r="X238" s="224"/>
      <c r="Y238" s="224"/>
      <c r="Z238" s="224"/>
      <c r="AA238" s="224"/>
      <c r="AB238" s="224"/>
      <c r="AC238" s="224"/>
      <c r="AD238" s="224"/>
      <c r="AE238" s="224"/>
      <c r="AF238" s="224"/>
      <c r="AG238" s="224"/>
      <c r="AH238" s="224"/>
      <c r="AI238" s="224"/>
      <c r="AJ238" s="224"/>
      <c r="AK238" s="224"/>
      <c r="AL238" s="224"/>
      <c r="AM238" s="224"/>
      <c r="AN238" s="224"/>
      <c r="AO238" s="224"/>
      <c r="AP238" s="224"/>
      <c r="AQ238" s="224"/>
      <c r="AR238" s="224"/>
      <c r="AS238" s="469"/>
      <c r="AT238" s="224"/>
      <c r="AU238" s="224"/>
      <c r="AV238" s="224"/>
      <c r="AW238" s="224"/>
      <c r="AX238" s="224"/>
      <c r="AY238" s="224"/>
      <c r="AZ238" s="224"/>
      <c r="BA238" s="469"/>
      <c r="BB238" s="224"/>
      <c r="BC238" s="356">
        <f>SD!E16</f>
        <v>0</v>
      </c>
      <c r="BD238" s="548">
        <f t="shared" si="46"/>
        <v>0</v>
      </c>
      <c r="BE238" s="214"/>
    </row>
    <row r="239" spans="2:57" x14ac:dyDescent="0.25">
      <c r="B239" s="225" t="str">
        <f>Cen!A585</f>
        <v>Propojovací svorka s hroty + krytka</v>
      </c>
      <c r="C239" s="225" t="str">
        <f>Cen!B585</f>
        <v>Z10V100E.01</v>
      </c>
      <c r="D239" s="225" t="str">
        <f>Cen!C585</f>
        <v>S</v>
      </c>
      <c r="E239" s="606">
        <f>Cen!D585</f>
        <v>0</v>
      </c>
      <c r="F239" s="198">
        <f t="shared" si="45"/>
        <v>0</v>
      </c>
      <c r="G239" s="221">
        <f>Cen!F585</f>
        <v>6.2567500000000003</v>
      </c>
      <c r="H239" s="222">
        <f t="shared" si="43"/>
        <v>0</v>
      </c>
      <c r="I239" s="233"/>
      <c r="J239" s="223">
        <f>Cen!I585</f>
        <v>8820285</v>
      </c>
      <c r="K239" s="223">
        <f>Cen!J585</f>
        <v>132954</v>
      </c>
      <c r="L239" s="219">
        <f t="shared" si="47"/>
        <v>0</v>
      </c>
      <c r="M239" s="463">
        <f t="shared" si="48"/>
        <v>0</v>
      </c>
      <c r="N239" s="224"/>
      <c r="O239" s="224"/>
      <c r="P239" s="224"/>
      <c r="Q239" s="224"/>
      <c r="R239" s="224"/>
      <c r="S239" s="224"/>
      <c r="T239" s="224"/>
      <c r="U239" s="224"/>
      <c r="V239" s="224"/>
      <c r="W239" s="224"/>
      <c r="X239" s="224"/>
      <c r="Y239" s="224"/>
      <c r="Z239" s="224"/>
      <c r="AA239" s="224"/>
      <c r="AB239" s="224"/>
      <c r="AC239" s="224"/>
      <c r="AD239" s="224"/>
      <c r="AE239" s="224"/>
      <c r="AF239" s="224"/>
      <c r="AG239" s="224"/>
      <c r="AH239" s="224"/>
      <c r="AI239" s="224"/>
      <c r="AJ239" s="224"/>
      <c r="AK239" s="224"/>
      <c r="AL239" s="224"/>
      <c r="AM239" s="224"/>
      <c r="AN239" s="224"/>
      <c r="AO239" s="224"/>
      <c r="AP239" s="224"/>
      <c r="AQ239" s="224"/>
      <c r="AR239" s="224"/>
      <c r="AS239" s="469"/>
      <c r="AT239" s="224"/>
      <c r="AU239" s="224"/>
      <c r="AV239" s="224"/>
      <c r="AW239" s="224"/>
      <c r="AX239" s="224"/>
      <c r="AY239" s="224"/>
      <c r="AZ239" s="224"/>
      <c r="BA239" s="469"/>
      <c r="BB239" s="224"/>
      <c r="BC239" s="356">
        <f>SD!E11</f>
        <v>0</v>
      </c>
      <c r="BD239" s="548">
        <f t="shared" si="46"/>
        <v>0</v>
      </c>
      <c r="BE239" s="214"/>
    </row>
    <row r="240" spans="2:57" x14ac:dyDescent="0.25">
      <c r="B240" s="225" t="str">
        <f>Cen!A586</f>
        <v xml:space="preserve">Nosník, 670mm, s předmont. kabelem </v>
      </c>
      <c r="C240" s="225" t="str">
        <f>Cen!B586</f>
        <v xml:space="preserve">Z10T670AA </v>
      </c>
      <c r="D240" s="225" t="str">
        <f>Cen!C586</f>
        <v>Alu</v>
      </c>
      <c r="E240" s="606">
        <f>Cen!D586</f>
        <v>0</v>
      </c>
      <c r="F240" s="198">
        <f t="shared" si="45"/>
        <v>0</v>
      </c>
      <c r="G240" s="221">
        <f>Cen!F586</f>
        <v>34.334380000000003</v>
      </c>
      <c r="H240" s="222">
        <f t="shared" si="43"/>
        <v>0</v>
      </c>
      <c r="I240" s="233"/>
      <c r="J240" s="223">
        <f>Cen!I586</f>
        <v>7716441</v>
      </c>
      <c r="K240" s="223">
        <f>Cen!J586</f>
        <v>99125</v>
      </c>
      <c r="L240" s="219">
        <f t="shared" si="47"/>
        <v>0</v>
      </c>
      <c r="M240" s="463">
        <f t="shared" si="48"/>
        <v>0</v>
      </c>
      <c r="N240" s="224"/>
      <c r="O240" s="224"/>
      <c r="P240" s="224"/>
      <c r="Q240" s="224"/>
      <c r="R240" s="224"/>
      <c r="S240" s="224"/>
      <c r="T240" s="224"/>
      <c r="U240" s="224"/>
      <c r="V240" s="224"/>
      <c r="W240" s="224"/>
      <c r="X240" s="224"/>
      <c r="Y240" s="224"/>
      <c r="Z240" s="224"/>
      <c r="AA240" s="224"/>
      <c r="AB240" s="224"/>
      <c r="AC240" s="224"/>
      <c r="AD240" s="224"/>
      <c r="AE240" s="224"/>
      <c r="AF240" s="224"/>
      <c r="AG240" s="224"/>
      <c r="AH240" s="224"/>
      <c r="AI240" s="224"/>
      <c r="AJ240" s="224"/>
      <c r="AK240" s="224"/>
      <c r="AL240" s="224"/>
      <c r="AM240" s="224"/>
      <c r="AN240" s="224"/>
      <c r="AO240" s="224"/>
      <c r="AP240" s="224"/>
      <c r="AQ240" s="224"/>
      <c r="AR240" s="224"/>
      <c r="AS240" s="469"/>
      <c r="AT240" s="224"/>
      <c r="AU240" s="224"/>
      <c r="AV240" s="224"/>
      <c r="AW240" s="224"/>
      <c r="AX240" s="224"/>
      <c r="AY240" s="224"/>
      <c r="AZ240" s="224"/>
      <c r="BA240" s="469"/>
      <c r="BB240" s="224"/>
      <c r="BC240" s="356">
        <f>SD!E5</f>
        <v>0</v>
      </c>
      <c r="BD240" s="548">
        <f t="shared" si="46"/>
        <v>0</v>
      </c>
      <c r="BE240" s="214"/>
    </row>
    <row r="241" spans="2:57" x14ac:dyDescent="0.25">
      <c r="B241" s="225" t="str">
        <f>Cen!A587</f>
        <v xml:space="preserve">Nosník, 750mm, s předmont. kabelem </v>
      </c>
      <c r="C241" s="225" t="str">
        <f>Cen!B587</f>
        <v xml:space="preserve">Z10T750AA </v>
      </c>
      <c r="D241" s="225" t="str">
        <f>Cen!C587</f>
        <v>Alu</v>
      </c>
      <c r="E241" s="606">
        <f>Cen!D587</f>
        <v>0</v>
      </c>
      <c r="F241" s="198">
        <f t="shared" si="45"/>
        <v>0</v>
      </c>
      <c r="G241" s="221">
        <f>Cen!F587</f>
        <v>37.613590000000002</v>
      </c>
      <c r="H241" s="222">
        <f t="shared" si="43"/>
        <v>0</v>
      </c>
      <c r="I241" s="233"/>
      <c r="J241" s="223">
        <f>Cen!I587</f>
        <v>7466401</v>
      </c>
      <c r="K241" s="223">
        <f>Cen!J587</f>
        <v>99115</v>
      </c>
      <c r="L241" s="219">
        <f t="shared" si="47"/>
        <v>0</v>
      </c>
      <c r="M241" s="463">
        <f t="shared" si="48"/>
        <v>0</v>
      </c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24"/>
      <c r="Y241" s="224"/>
      <c r="Z241" s="224"/>
      <c r="AA241" s="224"/>
      <c r="AB241" s="224"/>
      <c r="AC241" s="224"/>
      <c r="AD241" s="224"/>
      <c r="AE241" s="224"/>
      <c r="AF241" s="224"/>
      <c r="AG241" s="224"/>
      <c r="AH241" s="224"/>
      <c r="AI241" s="224"/>
      <c r="AJ241" s="224"/>
      <c r="AK241" s="224"/>
      <c r="AL241" s="224"/>
      <c r="AM241" s="224"/>
      <c r="AN241" s="224"/>
      <c r="AO241" s="224"/>
      <c r="AP241" s="224"/>
      <c r="AQ241" s="224"/>
      <c r="AR241" s="224"/>
      <c r="AS241" s="469"/>
      <c r="AT241" s="224"/>
      <c r="AU241" s="224"/>
      <c r="AV241" s="224"/>
      <c r="AW241" s="224"/>
      <c r="AX241" s="224"/>
      <c r="AY241" s="224"/>
      <c r="AZ241" s="224"/>
      <c r="BA241" s="469"/>
      <c r="BB241" s="224"/>
      <c r="BC241" s="356">
        <f>SD!E6</f>
        <v>0</v>
      </c>
      <c r="BD241" s="548">
        <f t="shared" si="46"/>
        <v>0</v>
      </c>
      <c r="BE241" s="214"/>
    </row>
    <row r="242" spans="2:57" x14ac:dyDescent="0.25">
      <c r="B242" s="225" t="str">
        <f>Cen!A588</f>
        <v>Nosník 1170mm, bez kabelu</v>
      </c>
      <c r="C242" s="225" t="str">
        <f>Cen!B588</f>
        <v>Z10T1170A</v>
      </c>
      <c r="D242" s="225" t="str">
        <f>Cen!C588</f>
        <v>Alu</v>
      </c>
      <c r="E242" s="606">
        <f>Cen!D588</f>
        <v>0</v>
      </c>
      <c r="F242" s="198">
        <f t="shared" si="45"/>
        <v>0</v>
      </c>
      <c r="G242" s="221">
        <f>Cen!F588</f>
        <v>40.049750000000003</v>
      </c>
      <c r="H242" s="222">
        <f t="shared" ref="H242:H247" si="49">M242</f>
        <v>0</v>
      </c>
      <c r="I242" s="233"/>
      <c r="J242" s="223">
        <f>Cen!I588</f>
        <v>7287731</v>
      </c>
      <c r="K242" s="223">
        <f>Cen!J588</f>
        <v>99116</v>
      </c>
      <c r="L242" s="219">
        <f t="shared" ref="L242:L247" si="50">IF(I242="x",0,IF(I242&gt;0,I242,F242))</f>
        <v>0</v>
      </c>
      <c r="M242" s="463">
        <f t="shared" ref="M242:M247" si="51">PRODUCT(L242,G242)</f>
        <v>0</v>
      </c>
      <c r="N242" s="224"/>
      <c r="O242" s="224"/>
      <c r="P242" s="224"/>
      <c r="Q242" s="224"/>
      <c r="R242" s="224"/>
      <c r="S242" s="224"/>
      <c r="T242" s="224"/>
      <c r="U242" s="224"/>
      <c r="V242" s="224"/>
      <c r="W242" s="224"/>
      <c r="X242" s="224"/>
      <c r="Y242" s="224"/>
      <c r="Z242" s="224"/>
      <c r="AA242" s="224"/>
      <c r="AB242" s="224"/>
      <c r="AC242" s="224"/>
      <c r="AD242" s="224"/>
      <c r="AE242" s="224"/>
      <c r="AF242" s="224"/>
      <c r="AG242" s="224"/>
      <c r="AH242" s="224"/>
      <c r="AI242" s="224"/>
      <c r="AJ242" s="224"/>
      <c r="AK242" s="224"/>
      <c r="AL242" s="224"/>
      <c r="AM242" s="224"/>
      <c r="AN242" s="224"/>
      <c r="AO242" s="224"/>
      <c r="AP242" s="224"/>
      <c r="AQ242" s="224"/>
      <c r="AR242" s="224"/>
      <c r="AS242" s="469"/>
      <c r="AT242" s="224"/>
      <c r="AU242" s="224"/>
      <c r="AV242" s="224"/>
      <c r="AW242" s="224"/>
      <c r="AX242" s="224"/>
      <c r="AY242" s="224"/>
      <c r="AZ242" s="224"/>
      <c r="BA242" s="469"/>
      <c r="BB242" s="224"/>
      <c r="BC242" s="356">
        <f>SD!E7</f>
        <v>0</v>
      </c>
      <c r="BD242" s="548">
        <f t="shared" si="46"/>
        <v>0</v>
      </c>
      <c r="BE242" s="214"/>
    </row>
    <row r="243" spans="2:57" x14ac:dyDescent="0.25">
      <c r="B243" s="225" t="str">
        <f>Cen!A589</f>
        <v xml:space="preserve">Mechanizmus vyhazovače </v>
      </c>
      <c r="C243" s="225" t="str">
        <f>Cen!B589</f>
        <v>Z10A3H00</v>
      </c>
      <c r="D243" s="225" t="str">
        <f>Cen!C589</f>
        <v>R737</v>
      </c>
      <c r="E243" s="606">
        <f>Cen!D589</f>
        <v>0</v>
      </c>
      <c r="F243" s="198">
        <f>IF(I243&gt;0,I243,SUM(N243:BC243))</f>
        <v>0</v>
      </c>
      <c r="G243" s="221">
        <f>Cen!F589</f>
        <v>2.8103199999999999</v>
      </c>
      <c r="H243" s="222">
        <f>M243</f>
        <v>0</v>
      </c>
      <c r="I243" s="233"/>
      <c r="J243" s="223">
        <f>Cen!I589</f>
        <v>7472980</v>
      </c>
      <c r="K243" s="223">
        <f>Cen!J589</f>
        <v>99126</v>
      </c>
      <c r="L243" s="219">
        <f>IF(I243="x",0,IF(I243&gt;0,I243,F243))</f>
        <v>0</v>
      </c>
      <c r="M243" s="463">
        <f>PRODUCT(L243,G243)</f>
        <v>0</v>
      </c>
      <c r="N243" s="224"/>
      <c r="O243" s="224"/>
      <c r="P243" s="224"/>
      <c r="Q243" s="224"/>
      <c r="R243" s="224"/>
      <c r="S243" s="224"/>
      <c r="T243" s="224"/>
      <c r="U243" s="224"/>
      <c r="V243" s="224"/>
      <c r="W243" s="224"/>
      <c r="X243" s="224"/>
      <c r="Y243" s="224"/>
      <c r="Z243" s="224"/>
      <c r="AA243" s="224"/>
      <c r="AB243" s="224"/>
      <c r="AC243" s="224"/>
      <c r="AD243" s="224"/>
      <c r="AE243" s="224"/>
      <c r="AF243" s="224"/>
      <c r="AG243" s="224"/>
      <c r="AH243" s="224"/>
      <c r="AI243" s="224"/>
      <c r="AJ243" s="224"/>
      <c r="AK243" s="224"/>
      <c r="AL243" s="224"/>
      <c r="AM243" s="224"/>
      <c r="AN243" s="224"/>
      <c r="AO243" s="224"/>
      <c r="AP243" s="224"/>
      <c r="AQ243" s="224"/>
      <c r="AR243" s="224"/>
      <c r="AS243" s="469"/>
      <c r="AT243" s="224"/>
      <c r="AU243" s="224"/>
      <c r="AV243" s="224"/>
      <c r="AW243" s="224"/>
      <c r="AX243" s="224"/>
      <c r="AY243" s="224"/>
      <c r="AZ243" s="224"/>
      <c r="BA243" s="469"/>
      <c r="BB243" s="224"/>
      <c r="BC243" s="356">
        <f>SD!E28</f>
        <v>0</v>
      </c>
      <c r="BD243" s="548">
        <f t="shared" si="46"/>
        <v>0</v>
      </c>
      <c r="BE243" s="214"/>
    </row>
    <row r="244" spans="2:57" x14ac:dyDescent="0.25">
      <c r="B244" s="225" t="str">
        <f>Cen!A590</f>
        <v>Horizontální nosník</v>
      </c>
      <c r="C244" s="225" t="str">
        <f>Cen!B590</f>
        <v>Z10T1143B</v>
      </c>
      <c r="D244" s="225" t="str">
        <f>Cen!C590</f>
        <v>Alu</v>
      </c>
      <c r="E244" s="606">
        <f>Cen!D590</f>
        <v>0</v>
      </c>
      <c r="F244" s="198">
        <f t="shared" si="45"/>
        <v>0</v>
      </c>
      <c r="G244" s="221">
        <f>Cen!F590</f>
        <v>16.558009999999999</v>
      </c>
      <c r="H244" s="222">
        <f t="shared" si="49"/>
        <v>0</v>
      </c>
      <c r="I244" s="233"/>
      <c r="J244" s="223">
        <f>Cen!I590</f>
        <v>7922191</v>
      </c>
      <c r="K244" s="223">
        <f>Cen!J590</f>
        <v>99124</v>
      </c>
      <c r="L244" s="219">
        <f t="shared" si="50"/>
        <v>0</v>
      </c>
      <c r="M244" s="463">
        <f t="shared" si="51"/>
        <v>0</v>
      </c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24"/>
      <c r="Y244" s="224"/>
      <c r="Z244" s="224"/>
      <c r="AA244" s="224"/>
      <c r="AB244" s="224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469"/>
      <c r="AT244" s="224"/>
      <c r="AU244" s="224"/>
      <c r="AV244" s="224"/>
      <c r="AW244" s="224"/>
      <c r="AX244" s="224"/>
      <c r="AY244" s="224"/>
      <c r="AZ244" s="224"/>
      <c r="BA244" s="469"/>
      <c r="BB244" s="224"/>
      <c r="BC244" s="356">
        <f>SD!E26</f>
        <v>0</v>
      </c>
      <c r="BD244" s="548">
        <f t="shared" si="46"/>
        <v>0</v>
      </c>
      <c r="BE244" s="214"/>
    </row>
    <row r="245" spans="2:57" x14ac:dyDescent="0.25">
      <c r="B245" s="225" t="str">
        <f>Cen!A591</f>
        <v>Adaptér + držák horizont. nosníku</v>
      </c>
      <c r="C245" s="225" t="str">
        <f>Cen!B591</f>
        <v>Z10D5210</v>
      </c>
      <c r="D245" s="225" t="str">
        <f>Cen!C591</f>
        <v>R737</v>
      </c>
      <c r="E245" s="606">
        <f>Cen!D591</f>
        <v>0</v>
      </c>
      <c r="F245" s="198">
        <f t="shared" si="45"/>
        <v>0</v>
      </c>
      <c r="G245" s="221">
        <f>Cen!F591</f>
        <v>5.199209999999999</v>
      </c>
      <c r="H245" s="222">
        <f t="shared" si="49"/>
        <v>0</v>
      </c>
      <c r="I245" s="233"/>
      <c r="J245" s="223">
        <f>Cen!I591</f>
        <v>7867370</v>
      </c>
      <c r="K245" s="223">
        <f>Cen!J591</f>
        <v>99123</v>
      </c>
      <c r="L245" s="219">
        <f t="shared" si="50"/>
        <v>0</v>
      </c>
      <c r="M245" s="463">
        <f t="shared" si="51"/>
        <v>0</v>
      </c>
      <c r="N245" s="224"/>
      <c r="O245" s="224"/>
      <c r="P245" s="224"/>
      <c r="Q245" s="224"/>
      <c r="R245" s="224"/>
      <c r="S245" s="224"/>
      <c r="T245" s="224"/>
      <c r="U245" s="224"/>
      <c r="V245" s="224"/>
      <c r="W245" s="224"/>
      <c r="X245" s="224"/>
      <c r="Y245" s="224"/>
      <c r="Z245" s="224"/>
      <c r="AA245" s="224"/>
      <c r="AB245" s="224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469"/>
      <c r="AT245" s="224"/>
      <c r="AU245" s="224"/>
      <c r="AV245" s="224"/>
      <c r="AW245" s="224"/>
      <c r="AX245" s="224"/>
      <c r="AY245" s="224"/>
      <c r="AZ245" s="224"/>
      <c r="BA245" s="469"/>
      <c r="BB245" s="224"/>
      <c r="BC245" s="356">
        <f>SD!E25</f>
        <v>0</v>
      </c>
      <c r="BD245" s="548">
        <f t="shared" si="46"/>
        <v>0</v>
      </c>
      <c r="BE245" s="214"/>
    </row>
    <row r="246" spans="2:57" x14ac:dyDescent="0.25">
      <c r="B246" s="225" t="str">
        <f>Cen!A592</f>
        <v>COMBOX</v>
      </c>
      <c r="C246" s="225" t="str">
        <f>Cen!B592</f>
        <v>Z10ZC00A</v>
      </c>
      <c r="D246" s="225" t="str">
        <f>Cen!C592</f>
        <v>S</v>
      </c>
      <c r="E246" s="606">
        <f>Cen!D592</f>
        <v>0</v>
      </c>
      <c r="F246" s="198">
        <f t="shared" ref="F246:F270" si="52">IF(I246&gt;0,I246,SUM(N246:BC246))</f>
        <v>0</v>
      </c>
      <c r="G246" s="221">
        <f>Cen!F592</f>
        <v>110.51904999999999</v>
      </c>
      <c r="H246" s="222">
        <f t="shared" si="49"/>
        <v>0</v>
      </c>
      <c r="I246" s="233"/>
      <c r="J246" s="223">
        <f>Cen!I592</f>
        <v>5202593</v>
      </c>
      <c r="K246" s="223">
        <f>Cen!J592</f>
        <v>159530</v>
      </c>
      <c r="L246" s="219">
        <f t="shared" si="50"/>
        <v>0</v>
      </c>
      <c r="M246" s="463">
        <f t="shared" si="51"/>
        <v>0</v>
      </c>
      <c r="N246" s="224"/>
      <c r="O246" s="224"/>
      <c r="P246" s="224"/>
      <c r="Q246" s="224"/>
      <c r="R246" s="224"/>
      <c r="S246" s="224"/>
      <c r="T246" s="224"/>
      <c r="U246" s="224"/>
      <c r="V246" s="224"/>
      <c r="W246" s="224"/>
      <c r="X246" s="224"/>
      <c r="Y246" s="224"/>
      <c r="Z246" s="224"/>
      <c r="AA246" s="224"/>
      <c r="AB246" s="224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469"/>
      <c r="AT246" s="224"/>
      <c r="AU246" s="224"/>
      <c r="AV246" s="224"/>
      <c r="AW246" s="224"/>
      <c r="AX246" s="224"/>
      <c r="AY246" s="224"/>
      <c r="AZ246" s="224"/>
      <c r="BA246" s="469"/>
      <c r="BB246" s="224"/>
      <c r="BC246" s="356">
        <f>SD!E29</f>
        <v>0</v>
      </c>
      <c r="BD246" s="548">
        <f t="shared" ref="BD246:BD261" si="53">IF(AND(E246&gt;0,F246&gt;0),1,0)</f>
        <v>0</v>
      </c>
      <c r="BE246" s="214"/>
    </row>
    <row r="247" spans="2:57" x14ac:dyDescent="0.25">
      <c r="B247" s="225" t="str">
        <f>Cen!A593</f>
        <v>SD uno - sada pro výsuv na odpad</v>
      </c>
      <c r="C247" s="225" t="str">
        <f>Cen!B593</f>
        <v>Z10NA20EE01</v>
      </c>
      <c r="D247" s="225" t="str">
        <f>Cen!C593</f>
        <v>R737</v>
      </c>
      <c r="E247" s="606">
        <f>Cen!D593</f>
        <v>0</v>
      </c>
      <c r="F247" s="198">
        <f t="shared" si="52"/>
        <v>0</v>
      </c>
      <c r="G247" s="221">
        <f>Cen!F593</f>
        <v>132.19479999999999</v>
      </c>
      <c r="H247" s="222">
        <f t="shared" si="49"/>
        <v>0</v>
      </c>
      <c r="I247" s="233"/>
      <c r="J247" s="223">
        <f>Cen!I593</f>
        <v>9820785</v>
      </c>
      <c r="K247" s="223">
        <f>Cen!J593</f>
        <v>130787</v>
      </c>
      <c r="L247" s="219">
        <f t="shared" si="50"/>
        <v>0</v>
      </c>
      <c r="M247" s="463">
        <f t="shared" si="51"/>
        <v>0</v>
      </c>
      <c r="N247" s="224"/>
      <c r="O247" s="224"/>
      <c r="P247" s="224"/>
      <c r="Q247" s="224"/>
      <c r="R247" s="224"/>
      <c r="S247" s="224"/>
      <c r="T247" s="224"/>
      <c r="U247" s="224"/>
      <c r="V247" s="224"/>
      <c r="W247" s="224"/>
      <c r="X247" s="224"/>
      <c r="Y247" s="224"/>
      <c r="Z247" s="224"/>
      <c r="AA247" s="224"/>
      <c r="AB247" s="224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469"/>
      <c r="AT247" s="224"/>
      <c r="AU247" s="224"/>
      <c r="AV247" s="224"/>
      <c r="AW247" s="224"/>
      <c r="AX247" s="224"/>
      <c r="AY247" s="224"/>
      <c r="AZ247" s="224"/>
      <c r="BA247" s="469"/>
      <c r="BB247" s="224"/>
      <c r="BC247" s="356">
        <f>SD!E30</f>
        <v>0</v>
      </c>
      <c r="BD247" s="548">
        <f t="shared" si="53"/>
        <v>0</v>
      </c>
      <c r="BE247" s="214"/>
    </row>
    <row r="248" spans="2:57" x14ac:dyDescent="0.25">
      <c r="B248" s="225" t="str">
        <f>Cen!A594</f>
        <v>SERVO-DRIVE flex - jednotka (sada)</v>
      </c>
      <c r="C248" s="225" t="str">
        <f>Cen!B594</f>
        <v>Z10C500A</v>
      </c>
      <c r="D248" s="225" t="str">
        <f>Cen!C594</f>
        <v>R736</v>
      </c>
      <c r="E248" s="606">
        <f>Cen!D594</f>
        <v>0</v>
      </c>
      <c r="F248" s="198">
        <f>IF(I248&gt;0,I248,SUM(N248:BC248))</f>
        <v>0</v>
      </c>
      <c r="G248" s="221">
        <f>Cen!F594</f>
        <v>156.82427999999999</v>
      </c>
      <c r="H248" s="222">
        <f>M248</f>
        <v>0</v>
      </c>
      <c r="I248" s="233"/>
      <c r="J248" s="223">
        <f>Cen!I594</f>
        <v>4784397</v>
      </c>
      <c r="K248" s="223">
        <f>Cen!J594</f>
        <v>265145</v>
      </c>
      <c r="L248" s="219">
        <f t="shared" ref="L248:L251" si="54">IF(I248="x",0,IF(I248&gt;0,I248,F248))</f>
        <v>0</v>
      </c>
      <c r="M248" s="463">
        <f t="shared" ref="M248:M251" si="55">PRODUCT(L248,G248)</f>
        <v>0</v>
      </c>
      <c r="N248" s="224"/>
      <c r="O248" s="224"/>
      <c r="P248" s="224"/>
      <c r="Q248" s="224"/>
      <c r="R248" s="224"/>
      <c r="S248" s="224"/>
      <c r="T248" s="224"/>
      <c r="U248" s="224"/>
      <c r="V248" s="224"/>
      <c r="W248" s="224"/>
      <c r="X248" s="224"/>
      <c r="Y248" s="224"/>
      <c r="Z248" s="224"/>
      <c r="AA248" s="224"/>
      <c r="AB248" s="224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469"/>
      <c r="AT248" s="224"/>
      <c r="AU248" s="224"/>
      <c r="AV248" s="224"/>
      <c r="AW248" s="224"/>
      <c r="AX248" s="224"/>
      <c r="AY248" s="224"/>
      <c r="AZ248" s="224"/>
      <c r="BA248" s="469"/>
      <c r="BB248" s="224"/>
      <c r="BC248" s="356">
        <f>SD!E31</f>
        <v>0</v>
      </c>
      <c r="BD248" s="548">
        <f t="shared" si="53"/>
        <v>0</v>
      </c>
      <c r="BE248" s="214"/>
    </row>
    <row r="249" spans="2:57" x14ac:dyDescent="0.25">
      <c r="B249" s="225" t="str">
        <f>Cen!A595</f>
        <v>SERVO-DRIVE flex - bezdrátový přijímač</v>
      </c>
      <c r="C249" s="225" t="str">
        <f>Cen!B595</f>
        <v>Z10C5007</v>
      </c>
      <c r="D249" s="225" t="str">
        <f>Cen!C595</f>
        <v>R736</v>
      </c>
      <c r="E249" s="606">
        <f>Cen!D595</f>
        <v>0</v>
      </c>
      <c r="F249" s="198">
        <f>IF(I249&gt;0,I249,SUM(N249:BC249))</f>
        <v>0</v>
      </c>
      <c r="G249" s="221">
        <f>Cen!F595</f>
        <v>61.456240000000001</v>
      </c>
      <c r="H249" s="222">
        <f>M249</f>
        <v>0</v>
      </c>
      <c r="I249" s="233"/>
      <c r="J249" s="223">
        <f>Cen!I595</f>
        <v>1120793</v>
      </c>
      <c r="K249" s="223">
        <f>Cen!J595</f>
        <v>265355</v>
      </c>
      <c r="L249" s="219">
        <f t="shared" si="54"/>
        <v>0</v>
      </c>
      <c r="M249" s="463">
        <f t="shared" si="55"/>
        <v>0</v>
      </c>
      <c r="N249" s="224"/>
      <c r="O249" s="224"/>
      <c r="P249" s="224"/>
      <c r="Q249" s="224"/>
      <c r="R249" s="224"/>
      <c r="S249" s="224"/>
      <c r="T249" s="224"/>
      <c r="U249" s="224"/>
      <c r="V249" s="224"/>
      <c r="W249" s="224"/>
      <c r="X249" s="224"/>
      <c r="Y249" s="224"/>
      <c r="Z249" s="224"/>
      <c r="AA249" s="224"/>
      <c r="AB249" s="224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469"/>
      <c r="AT249" s="224"/>
      <c r="AU249" s="224"/>
      <c r="AV249" s="224"/>
      <c r="AW249" s="224"/>
      <c r="AX249" s="224"/>
      <c r="AY249" s="224"/>
      <c r="AZ249" s="224"/>
      <c r="BA249" s="469"/>
      <c r="BB249" s="224"/>
      <c r="BC249" s="356">
        <f>SD!E32</f>
        <v>0</v>
      </c>
      <c r="BD249" s="548">
        <f t="shared" si="53"/>
        <v>0</v>
      </c>
      <c r="BE249" s="214"/>
    </row>
    <row r="250" spans="2:57" x14ac:dyDescent="0.25">
      <c r="B250" s="225" t="str">
        <f>Cen!A596</f>
        <v>Spínač SERVO-DRIVE, světle šedý</v>
      </c>
      <c r="C250" s="225" t="str">
        <f>Cen!B596</f>
        <v>21P5020</v>
      </c>
      <c r="D250" s="225" t="str">
        <f>Cen!C596</f>
        <v>HGR</v>
      </c>
      <c r="E250" s="606">
        <f>Cen!D596</f>
        <v>0</v>
      </c>
      <c r="F250" s="198">
        <f>IF(I250&gt;0,I250,SUM(N250:BC250))</f>
        <v>0</v>
      </c>
      <c r="G250" s="221">
        <f>Cen!F596</f>
        <v>29.275839999999999</v>
      </c>
      <c r="H250" s="222">
        <f>M250</f>
        <v>0</v>
      </c>
      <c r="I250" s="233"/>
      <c r="J250" s="223">
        <f>Cen!I596</f>
        <v>8978398</v>
      </c>
      <c r="K250" s="223">
        <f>Cen!J596</f>
        <v>123015</v>
      </c>
      <c r="L250" s="219">
        <f t="shared" si="54"/>
        <v>0</v>
      </c>
      <c r="M250" s="463">
        <f t="shared" si="55"/>
        <v>0</v>
      </c>
      <c r="N250" s="224"/>
      <c r="O250" s="224"/>
      <c r="P250" s="224"/>
      <c r="Q250" s="224"/>
      <c r="R250" s="224"/>
      <c r="S250" s="224"/>
      <c r="T250" s="224"/>
      <c r="U250" s="224"/>
      <c r="V250" s="224"/>
      <c r="W250" s="224"/>
      <c r="X250" s="224"/>
      <c r="Y250" s="224"/>
      <c r="Z250" s="224"/>
      <c r="AA250" s="224"/>
      <c r="AB250" s="224"/>
      <c r="AC250" s="224"/>
      <c r="AD250" s="224"/>
      <c r="AE250" s="224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469"/>
      <c r="AT250" s="224"/>
      <c r="AU250" s="224"/>
      <c r="AV250" s="224"/>
      <c r="AW250" s="224"/>
      <c r="AX250" s="224"/>
      <c r="AY250" s="224"/>
      <c r="AZ250" s="224"/>
      <c r="BA250" s="469"/>
      <c r="BB250" s="224"/>
      <c r="BC250" s="356">
        <f>SD!E33</f>
        <v>0</v>
      </c>
      <c r="BD250" s="548">
        <f t="shared" si="53"/>
        <v>0</v>
      </c>
      <c r="BE250" s="214"/>
    </row>
    <row r="251" spans="2:57" x14ac:dyDescent="0.25">
      <c r="B251" s="225" t="str">
        <f>Cen!A597</f>
        <v>Spínač SERVO-DRIVE, hedvábně bílý</v>
      </c>
      <c r="C251" s="225" t="str">
        <f>Cen!B597</f>
        <v>21P5020</v>
      </c>
      <c r="D251" s="225" t="str">
        <f>Cen!C597</f>
        <v>SW</v>
      </c>
      <c r="E251" s="606">
        <f>Cen!D597</f>
        <v>0</v>
      </c>
      <c r="F251" s="198">
        <f>IF(I251&gt;0,I251,SUM(N251:BC251))</f>
        <v>0</v>
      </c>
      <c r="G251" s="221">
        <f>Cen!F597</f>
        <v>30.447119999999998</v>
      </c>
      <c r="H251" s="222">
        <f>M251</f>
        <v>0</v>
      </c>
      <c r="I251" s="233"/>
      <c r="J251" s="223">
        <f>Cen!I597</f>
        <v>8978392</v>
      </c>
      <c r="K251" s="223">
        <f>Cen!J597</f>
        <v>123016</v>
      </c>
      <c r="L251" s="219">
        <f t="shared" si="54"/>
        <v>0</v>
      </c>
      <c r="M251" s="463">
        <f t="shared" si="55"/>
        <v>0</v>
      </c>
      <c r="N251" s="224"/>
      <c r="O251" s="224"/>
      <c r="P251" s="224"/>
      <c r="Q251" s="224"/>
      <c r="R251" s="224"/>
      <c r="S251" s="224"/>
      <c r="T251" s="224"/>
      <c r="U251" s="224"/>
      <c r="V251" s="224"/>
      <c r="W251" s="224"/>
      <c r="X251" s="224"/>
      <c r="Y251" s="224"/>
      <c r="Z251" s="224"/>
      <c r="AA251" s="224"/>
      <c r="AB251" s="224"/>
      <c r="AC251" s="224"/>
      <c r="AD251" s="224"/>
      <c r="AE251" s="224"/>
      <c r="AF251" s="224"/>
      <c r="AG251" s="224"/>
      <c r="AH251" s="224"/>
      <c r="AI251" s="224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469"/>
      <c r="AT251" s="224"/>
      <c r="AU251" s="224"/>
      <c r="AV251" s="224"/>
      <c r="AW251" s="224"/>
      <c r="AX251" s="224"/>
      <c r="AY251" s="224"/>
      <c r="AZ251" s="224"/>
      <c r="BA251" s="469"/>
      <c r="BB251" s="224"/>
      <c r="BC251" s="356">
        <f>SD!E34</f>
        <v>0</v>
      </c>
      <c r="BD251" s="548">
        <f t="shared" si="53"/>
        <v>0</v>
      </c>
      <c r="BE251" s="214"/>
    </row>
    <row r="252" spans="2:57" x14ac:dyDescent="0.25">
      <c r="B252" s="225"/>
      <c r="C252" s="220"/>
      <c r="D252" s="220"/>
      <c r="E252" s="606"/>
      <c r="F252" s="198"/>
      <c r="G252" s="220"/>
      <c r="H252" s="222"/>
      <c r="I252" s="243"/>
      <c r="J252" s="220"/>
      <c r="K252" s="220"/>
      <c r="L252" s="219"/>
      <c r="M252" s="463"/>
      <c r="N252" s="224"/>
      <c r="O252" s="224"/>
      <c r="P252" s="224"/>
      <c r="Q252" s="224"/>
      <c r="R252" s="224"/>
      <c r="S252" s="224"/>
      <c r="T252" s="224"/>
      <c r="U252" s="224"/>
      <c r="V252" s="224"/>
      <c r="W252" s="224"/>
      <c r="X252" s="224"/>
      <c r="Y252" s="224"/>
      <c r="Z252" s="224"/>
      <c r="AA252" s="224"/>
      <c r="AB252" s="224"/>
      <c r="AC252" s="224"/>
      <c r="AD252" s="224"/>
      <c r="AE252" s="224"/>
      <c r="AF252" s="224"/>
      <c r="AG252" s="224"/>
      <c r="AH252" s="224"/>
      <c r="AI252" s="224"/>
      <c r="AJ252" s="224"/>
      <c r="AK252" s="224"/>
      <c r="AL252" s="224"/>
      <c r="AM252" s="224"/>
      <c r="AN252" s="224"/>
      <c r="AO252" s="224"/>
      <c r="AP252" s="224"/>
      <c r="AQ252" s="224"/>
      <c r="AR252" s="224"/>
      <c r="AS252" s="469"/>
      <c r="AT252" s="224"/>
      <c r="AU252" s="224"/>
      <c r="AV252" s="224"/>
      <c r="AW252" s="224"/>
      <c r="AX252" s="224"/>
      <c r="AY252" s="224"/>
      <c r="AZ252" s="224"/>
      <c r="BA252" s="469"/>
      <c r="BB252" s="224"/>
      <c r="BC252" s="224"/>
      <c r="BD252" s="548">
        <f t="shared" si="53"/>
        <v>0</v>
      </c>
      <c r="BE252" s="214"/>
    </row>
    <row r="253" spans="2:57" x14ac:dyDescent="0.25">
      <c r="B253" s="225" t="str">
        <f>Cen!A620</f>
        <v>CLIP top 155° s nulovým přesahem</v>
      </c>
      <c r="C253" s="225" t="str">
        <f>Cen!B620</f>
        <v>71T7500N</v>
      </c>
      <c r="D253" s="225" t="str">
        <f>Cen!C620</f>
        <v>NI</v>
      </c>
      <c r="E253" s="606">
        <f>Cen!D620</f>
        <v>0</v>
      </c>
      <c r="F253" s="198">
        <f t="shared" si="52"/>
        <v>0</v>
      </c>
      <c r="G253" s="221">
        <f>Cen!F620</f>
        <v>4.4192400000000003</v>
      </c>
      <c r="H253" s="222">
        <f t="shared" si="43"/>
        <v>0</v>
      </c>
      <c r="I253" s="233"/>
      <c r="J253" s="223">
        <f>Cen!I620</f>
        <v>9064013</v>
      </c>
      <c r="K253" s="223">
        <f>Cen!J620</f>
        <v>12236</v>
      </c>
      <c r="L253" s="219">
        <f>IF(I253="x",0,IF(I253&gt;0,I253,F253))</f>
        <v>0</v>
      </c>
      <c r="M253" s="463">
        <f>PRODUCT(L253,G253)</f>
        <v>0</v>
      </c>
      <c r="N253" s="224"/>
      <c r="O253" s="224"/>
      <c r="P253" s="224"/>
      <c r="Q253" s="224"/>
      <c r="R253" s="224"/>
      <c r="S253" s="224"/>
      <c r="T253" s="224"/>
      <c r="U253" s="224"/>
      <c r="V253" s="224"/>
      <c r="W253" s="224"/>
      <c r="X253" s="224"/>
      <c r="Y253" s="224"/>
      <c r="Z253" s="224"/>
      <c r="AA253" s="224"/>
      <c r="AB253" s="224"/>
      <c r="AC253" s="224"/>
      <c r="AD253" s="224"/>
      <c r="AE253" s="224"/>
      <c r="AF253" s="224"/>
      <c r="AG253" s="224"/>
      <c r="AH253" s="224"/>
      <c r="AI253" s="224"/>
      <c r="AJ253" s="224"/>
      <c r="AK253" s="224"/>
      <c r="AL253" s="224"/>
      <c r="AM253" s="224"/>
      <c r="AN253" s="224"/>
      <c r="AO253" s="224"/>
      <c r="AP253" s="224"/>
      <c r="AQ253" s="224"/>
      <c r="AR253" s="224"/>
      <c r="AS253" s="469"/>
      <c r="AT253" s="224"/>
      <c r="AU253" s="224"/>
      <c r="AV253" s="224"/>
      <c r="AW253" s="224"/>
      <c r="AX253" s="224"/>
      <c r="AY253" s="224"/>
      <c r="AZ253" s="224"/>
      <c r="BA253" s="469"/>
      <c r="BB253" s="356">
        <f>Acs!E20</f>
        <v>0</v>
      </c>
      <c r="BC253" s="224"/>
      <c r="BD253" s="548">
        <f t="shared" si="53"/>
        <v>0</v>
      </c>
      <c r="BE253" s="214"/>
    </row>
    <row r="254" spans="2:57" x14ac:dyDescent="0.25">
      <c r="B254" s="225" t="str">
        <f>Cen!A621</f>
        <v>CLIP top 155° s nulovým přesahem, EXPANDO</v>
      </c>
      <c r="C254" s="225" t="str">
        <f>Cen!B621</f>
        <v>71T753EN</v>
      </c>
      <c r="D254" s="225" t="str">
        <f>Cen!C621</f>
        <v>NI</v>
      </c>
      <c r="E254" s="606">
        <f>Cen!D621</f>
        <v>0</v>
      </c>
      <c r="F254" s="198">
        <f t="shared" si="52"/>
        <v>0</v>
      </c>
      <c r="G254" s="221">
        <f>Cen!F621</f>
        <v>4.42394</v>
      </c>
      <c r="H254" s="222">
        <f t="shared" si="43"/>
        <v>0</v>
      </c>
      <c r="I254" s="233"/>
      <c r="J254" s="223">
        <f>Cen!I621</f>
        <v>9064323</v>
      </c>
      <c r="K254" s="223">
        <f>Cen!J621</f>
        <v>179415</v>
      </c>
      <c r="L254" s="219">
        <f>IF(I254="x",0,IF(I254&gt;0,I254,F254))</f>
        <v>0</v>
      </c>
      <c r="M254" s="463">
        <f>PRODUCT(L254,G254)</f>
        <v>0</v>
      </c>
      <c r="N254" s="224"/>
      <c r="O254" s="224"/>
      <c r="P254" s="224"/>
      <c r="Q254" s="224"/>
      <c r="R254" s="224"/>
      <c r="S254" s="224"/>
      <c r="T254" s="224"/>
      <c r="U254" s="224"/>
      <c r="V254" s="224"/>
      <c r="W254" s="224"/>
      <c r="X254" s="224"/>
      <c r="Y254" s="224"/>
      <c r="Z254" s="224"/>
      <c r="AA254" s="224"/>
      <c r="AB254" s="224"/>
      <c r="AC254" s="224"/>
      <c r="AD254" s="224"/>
      <c r="AE254" s="224"/>
      <c r="AF254" s="224"/>
      <c r="AG254" s="224"/>
      <c r="AH254" s="224"/>
      <c r="AI254" s="224"/>
      <c r="AJ254" s="224"/>
      <c r="AK254" s="734">
        <f>'7STCGP'!S75</f>
        <v>0</v>
      </c>
      <c r="AL254" s="734">
        <f>'7STCGF'!S87</f>
        <v>0</v>
      </c>
      <c r="AM254" s="734">
        <f>'7STCRP'!S67</f>
        <v>0</v>
      </c>
      <c r="AN254" s="734">
        <f>'7STCRF'!S77</f>
        <v>0</v>
      </c>
      <c r="AO254" s="734">
        <f>'7STMGP'!S77</f>
        <v>0</v>
      </c>
      <c r="AP254" s="734">
        <f>'7STMGF'!S87</f>
        <v>0</v>
      </c>
      <c r="AQ254" s="734">
        <f>'7STMRP'!S67</f>
        <v>0</v>
      </c>
      <c r="AR254" s="734">
        <f>'7STMRF'!S76</f>
        <v>0</v>
      </c>
      <c r="AS254" s="469"/>
      <c r="AT254" s="224"/>
      <c r="AU254" s="224"/>
      <c r="AV254" s="224"/>
      <c r="AW254" s="224"/>
      <c r="AX254" s="224"/>
      <c r="AY254" s="224"/>
      <c r="AZ254" s="224"/>
      <c r="BA254" s="469"/>
      <c r="BB254" s="356">
        <f>Acs!E21</f>
        <v>0</v>
      </c>
      <c r="BC254" s="224"/>
      <c r="BD254" s="548">
        <f t="shared" si="53"/>
        <v>0</v>
      </c>
      <c r="BE254" s="214"/>
    </row>
    <row r="255" spans="2:57" x14ac:dyDescent="0.25">
      <c r="B255" s="225" t="str">
        <f>Cen!A622</f>
        <v>CLIP top 155° s nulovým přesahem, bez pružiny</v>
      </c>
      <c r="C255" s="225" t="str">
        <f>Cen!B622</f>
        <v>70T7500NTL</v>
      </c>
      <c r="D255" s="225" t="str">
        <f>Cen!C622</f>
        <v>NI</v>
      </c>
      <c r="E255" s="606">
        <f>Cen!D622</f>
        <v>0</v>
      </c>
      <c r="F255" s="198">
        <f t="shared" si="52"/>
        <v>0</v>
      </c>
      <c r="G255" s="221">
        <f>Cen!F622</f>
        <v>4.4192400000000003</v>
      </c>
      <c r="H255" s="222">
        <f t="shared" si="43"/>
        <v>0</v>
      </c>
      <c r="I255" s="233"/>
      <c r="J255" s="223">
        <f>Cen!I622</f>
        <v>9141613</v>
      </c>
      <c r="K255" s="223">
        <f>Cen!J622</f>
        <v>12237</v>
      </c>
      <c r="L255" s="219">
        <f>IF(I255="x",0,IF(I255&gt;0,I255,F255))</f>
        <v>0</v>
      </c>
      <c r="M255" s="463">
        <f>PRODUCT(L255,G255)</f>
        <v>0</v>
      </c>
      <c r="N255" s="224"/>
      <c r="O255" s="224"/>
      <c r="P255" s="224"/>
      <c r="Q255" s="224"/>
      <c r="R255" s="224"/>
      <c r="S255" s="224"/>
      <c r="T255" s="224"/>
      <c r="U255" s="224"/>
      <c r="V255" s="224"/>
      <c r="W255" s="224"/>
      <c r="X255" s="224"/>
      <c r="Y255" s="224"/>
      <c r="Z255" s="224"/>
      <c r="AA255" s="224"/>
      <c r="AB255" s="224"/>
      <c r="AC255" s="224"/>
      <c r="AD255" s="224"/>
      <c r="AE255" s="224"/>
      <c r="AF255" s="224"/>
      <c r="AG255" s="224"/>
      <c r="AH255" s="224"/>
      <c r="AI255" s="224"/>
      <c r="AJ255" s="224"/>
      <c r="AK255" s="224"/>
      <c r="AL255" s="224"/>
      <c r="AM255" s="224"/>
      <c r="AN255" s="224"/>
      <c r="AO255" s="224"/>
      <c r="AP255" s="224"/>
      <c r="AQ255" s="224"/>
      <c r="AR255" s="224"/>
      <c r="AS255" s="469"/>
      <c r="AT255" s="224"/>
      <c r="AU255" s="224"/>
      <c r="AV255" s="224"/>
      <c r="AW255" s="224"/>
      <c r="AX255" s="224"/>
      <c r="AY255" s="224"/>
      <c r="AZ255" s="224"/>
      <c r="BA255" s="469"/>
      <c r="BB255" s="356">
        <f>Acs!E22</f>
        <v>0</v>
      </c>
      <c r="BC255" s="224"/>
      <c r="BD255" s="548">
        <f t="shared" si="53"/>
        <v>0</v>
      </c>
      <c r="BE255" s="214"/>
    </row>
    <row r="256" spans="2:57" x14ac:dyDescent="0.25">
      <c r="B256" s="225" t="str">
        <f>Cen!A623</f>
        <v>CLIP top 125° s nulovým přesahem</v>
      </c>
      <c r="C256" s="225" t="str">
        <f>Cen!B623</f>
        <v>71T7500D</v>
      </c>
      <c r="D256" s="225" t="str">
        <f>Cen!C623</f>
        <v>NI</v>
      </c>
      <c r="E256" s="606">
        <f>Cen!D623</f>
        <v>0</v>
      </c>
      <c r="F256" s="198">
        <f t="shared" si="52"/>
        <v>0</v>
      </c>
      <c r="G256" s="221">
        <f>Cen!F623</f>
        <v>6.0096900000000009</v>
      </c>
      <c r="H256" s="222">
        <f>M256</f>
        <v>0</v>
      </c>
      <c r="I256" s="233"/>
      <c r="J256" s="223">
        <f>Cen!I623</f>
        <v>8298184</v>
      </c>
      <c r="K256" s="223">
        <f>Cen!J623</f>
        <v>246059</v>
      </c>
      <c r="L256" s="219">
        <f>IF(I256="x",0,IF(I256&gt;0,I256,F256))</f>
        <v>0</v>
      </c>
      <c r="M256" s="463">
        <f>PRODUCT(L256,G256)</f>
        <v>0</v>
      </c>
      <c r="N256" s="224"/>
      <c r="O256" s="224"/>
      <c r="P256" s="224"/>
      <c r="Q256" s="224"/>
      <c r="R256" s="224"/>
      <c r="S256" s="224"/>
      <c r="T256" s="224"/>
      <c r="U256" s="224"/>
      <c r="V256" s="224"/>
      <c r="W256" s="224"/>
      <c r="X256" s="224"/>
      <c r="Y256" s="224"/>
      <c r="Z256" s="224"/>
      <c r="AA256" s="224"/>
      <c r="AB256" s="224"/>
      <c r="AC256" s="224"/>
      <c r="AD256" s="224"/>
      <c r="AE256" s="224"/>
      <c r="AF256" s="224"/>
      <c r="AG256" s="224"/>
      <c r="AH256" s="224"/>
      <c r="AI256" s="224"/>
      <c r="AJ256" s="224"/>
      <c r="AK256" s="224"/>
      <c r="AL256" s="224"/>
      <c r="AM256" s="224"/>
      <c r="AN256" s="224"/>
      <c r="AO256" s="224"/>
      <c r="AP256" s="224"/>
      <c r="AQ256" s="224"/>
      <c r="AR256" s="224"/>
      <c r="AS256" s="469"/>
      <c r="AT256" s="224"/>
      <c r="AU256" s="224"/>
      <c r="AV256" s="224"/>
      <c r="AW256" s="224"/>
      <c r="AX256" s="224"/>
      <c r="AY256" s="224"/>
      <c r="AZ256" s="224"/>
      <c r="BA256" s="469"/>
      <c r="BB256" s="356">
        <f>Acs!E23</f>
        <v>0</v>
      </c>
      <c r="BC256" s="224"/>
      <c r="BD256" s="548">
        <f t="shared" si="53"/>
        <v>0</v>
      </c>
      <c r="BE256" s="214"/>
    </row>
    <row r="257" spans="2:57" x14ac:dyDescent="0.25">
      <c r="B257" s="225"/>
      <c r="C257" s="225"/>
      <c r="D257" s="225"/>
      <c r="E257" s="606"/>
      <c r="F257" s="198"/>
      <c r="G257" s="221"/>
      <c r="H257" s="222"/>
      <c r="I257" s="222"/>
      <c r="J257" s="223"/>
      <c r="K257" s="223"/>
      <c r="L257" s="219"/>
      <c r="M257" s="463"/>
      <c r="N257" s="224"/>
      <c r="O257" s="224"/>
      <c r="P257" s="224"/>
      <c r="Q257" s="224"/>
      <c r="R257" s="224"/>
      <c r="S257" s="224"/>
      <c r="T257" s="224"/>
      <c r="U257" s="224"/>
      <c r="V257" s="224"/>
      <c r="W257" s="224"/>
      <c r="X257" s="224"/>
      <c r="Y257" s="224"/>
      <c r="Z257" s="224"/>
      <c r="AA257" s="224"/>
      <c r="AB257" s="224"/>
      <c r="AC257" s="224"/>
      <c r="AD257" s="224"/>
      <c r="AE257" s="224"/>
      <c r="AF257" s="224"/>
      <c r="AG257" s="224"/>
      <c r="AH257" s="224"/>
      <c r="AI257" s="224"/>
      <c r="AJ257" s="224"/>
      <c r="AK257" s="224"/>
      <c r="AL257" s="224"/>
      <c r="AM257" s="224"/>
      <c r="AN257" s="224"/>
      <c r="AO257" s="224"/>
      <c r="AP257" s="224"/>
      <c r="AQ257" s="224"/>
      <c r="AR257" s="224"/>
      <c r="AS257" s="469"/>
      <c r="AT257" s="224"/>
      <c r="AU257" s="224"/>
      <c r="AV257" s="224"/>
      <c r="AW257" s="224"/>
      <c r="AX257" s="224"/>
      <c r="AY257" s="224"/>
      <c r="AZ257" s="224"/>
      <c r="BA257" s="469"/>
      <c r="BB257" s="356"/>
      <c r="BC257" s="224"/>
      <c r="BD257" s="548">
        <f t="shared" si="53"/>
        <v>0</v>
      </c>
      <c r="BE257" s="214"/>
    </row>
    <row r="258" spans="2:57" x14ac:dyDescent="0.25">
      <c r="B258" s="225" t="str">
        <f>Cen!A625</f>
        <v>Podložka CLIP na vruty</v>
      </c>
      <c r="C258" s="225" t="str">
        <f>Cen!B625</f>
        <v>173L6100</v>
      </c>
      <c r="D258" s="225" t="str">
        <f>Cen!C625</f>
        <v>NI</v>
      </c>
      <c r="E258" s="606">
        <f>Cen!D625</f>
        <v>0</v>
      </c>
      <c r="F258" s="198">
        <f t="shared" si="52"/>
        <v>0</v>
      </c>
      <c r="G258" s="221">
        <f>Cen!F625</f>
        <v>0.18021000000000001</v>
      </c>
      <c r="H258" s="222">
        <f t="shared" si="43"/>
        <v>0</v>
      </c>
      <c r="I258" s="233"/>
      <c r="J258" s="223">
        <f>Cen!I625</f>
        <v>1925383</v>
      </c>
      <c r="K258" s="223">
        <f>Cen!J625</f>
        <v>12306</v>
      </c>
      <c r="L258" s="219">
        <f t="shared" ref="L258:L264" si="56">IF(I258="x",0,IF(I258&gt;0,I258,F258))</f>
        <v>0</v>
      </c>
      <c r="M258" s="463">
        <f t="shared" ref="M258:M264" si="57">PRODUCT(L258,G258)</f>
        <v>0</v>
      </c>
      <c r="N258" s="224"/>
      <c r="O258" s="224"/>
      <c r="P258" s="224"/>
      <c r="Q258" s="224"/>
      <c r="R258" s="224"/>
      <c r="S258" s="224"/>
      <c r="T258" s="224"/>
      <c r="U258" s="224"/>
      <c r="V258" s="224"/>
      <c r="W258" s="224"/>
      <c r="X258" s="224"/>
      <c r="Y258" s="224"/>
      <c r="Z258" s="224"/>
      <c r="AA258" s="224"/>
      <c r="AB258" s="224"/>
      <c r="AC258" s="224"/>
      <c r="AD258" s="224"/>
      <c r="AE258" s="224"/>
      <c r="AF258" s="224"/>
      <c r="AG258" s="224"/>
      <c r="AH258" s="224"/>
      <c r="AI258" s="224"/>
      <c r="AJ258" s="224"/>
      <c r="AK258" s="224"/>
      <c r="AL258" s="224"/>
      <c r="AM258" s="224"/>
      <c r="AN258" s="224"/>
      <c r="AO258" s="224"/>
      <c r="AP258" s="224"/>
      <c r="AQ258" s="224"/>
      <c r="AR258" s="224"/>
      <c r="AS258" s="469"/>
      <c r="AT258" s="224"/>
      <c r="AU258" s="224"/>
      <c r="AV258" s="224"/>
      <c r="AW258" s="224"/>
      <c r="AX258" s="224"/>
      <c r="AY258" s="224"/>
      <c r="AZ258" s="224"/>
      <c r="BA258" s="469"/>
      <c r="BB258" s="356">
        <f>Acs!E24</f>
        <v>0</v>
      </c>
      <c r="BC258" s="224"/>
      <c r="BD258" s="548">
        <f t="shared" si="53"/>
        <v>0</v>
      </c>
      <c r="BE258" s="214"/>
    </row>
    <row r="259" spans="2:57" x14ac:dyDescent="0.25">
      <c r="B259" s="225" t="str">
        <f>Cen!A626</f>
        <v>Podložka CLIP EXPANDO</v>
      </c>
      <c r="C259" s="225" t="str">
        <f>Cen!B626</f>
        <v>174E6100.01</v>
      </c>
      <c r="D259" s="225" t="str">
        <f>Cen!C626</f>
        <v>NI</v>
      </c>
      <c r="E259" s="606">
        <f>Cen!D626</f>
        <v>0</v>
      </c>
      <c r="F259" s="198">
        <f t="shared" si="52"/>
        <v>0</v>
      </c>
      <c r="G259" s="221">
        <f>Cen!F626</f>
        <v>0.2883</v>
      </c>
      <c r="H259" s="222">
        <f t="shared" si="43"/>
        <v>0</v>
      </c>
      <c r="I259" s="233"/>
      <c r="J259" s="223">
        <f>Cen!I626</f>
        <v>1863003</v>
      </c>
      <c r="K259" s="223">
        <f>Cen!J626</f>
        <v>12302</v>
      </c>
      <c r="L259" s="219">
        <f t="shared" si="56"/>
        <v>0</v>
      </c>
      <c r="M259" s="463">
        <f t="shared" si="57"/>
        <v>0</v>
      </c>
      <c r="N259" s="224"/>
      <c r="O259" s="224"/>
      <c r="P259" s="224"/>
      <c r="Q259" s="224"/>
      <c r="R259" s="224"/>
      <c r="S259" s="224"/>
      <c r="T259" s="224"/>
      <c r="U259" s="224"/>
      <c r="V259" s="224"/>
      <c r="W259" s="224"/>
      <c r="X259" s="224"/>
      <c r="Y259" s="224"/>
      <c r="Z259" s="224"/>
      <c r="AA259" s="224"/>
      <c r="AB259" s="224"/>
      <c r="AC259" s="224"/>
      <c r="AD259" s="224"/>
      <c r="AE259" s="224"/>
      <c r="AF259" s="224"/>
      <c r="AG259" s="224"/>
      <c r="AH259" s="224"/>
      <c r="AI259" s="224"/>
      <c r="AJ259" s="224"/>
      <c r="AK259" s="224"/>
      <c r="AL259" s="224"/>
      <c r="AM259" s="224"/>
      <c r="AN259" s="224"/>
      <c r="AO259" s="224"/>
      <c r="AP259" s="224"/>
      <c r="AQ259" s="224"/>
      <c r="AR259" s="224"/>
      <c r="AS259" s="469"/>
      <c r="AT259" s="224"/>
      <c r="AU259" s="224"/>
      <c r="AV259" s="224"/>
      <c r="AW259" s="224"/>
      <c r="AX259" s="224"/>
      <c r="AY259" s="224"/>
      <c r="AZ259" s="224"/>
      <c r="BA259" s="469"/>
      <c r="BB259" s="356">
        <f>Acs!E25</f>
        <v>0</v>
      </c>
      <c r="BC259" s="224"/>
      <c r="BD259" s="548">
        <f t="shared" si="53"/>
        <v>0</v>
      </c>
      <c r="BE259" s="214"/>
    </row>
    <row r="260" spans="2:57" x14ac:dyDescent="0.25">
      <c r="B260" s="225" t="str">
        <f>Cen!A627</f>
        <v>Podložka CLIP s excentrem</v>
      </c>
      <c r="C260" s="225" t="str">
        <f>Cen!B627</f>
        <v>173H7100</v>
      </c>
      <c r="D260" s="225" t="str">
        <f>Cen!C627</f>
        <v>NI</v>
      </c>
      <c r="E260" s="606">
        <f>Cen!D627</f>
        <v>0</v>
      </c>
      <c r="F260" s="198">
        <f t="shared" si="52"/>
        <v>0</v>
      </c>
      <c r="G260" s="221">
        <f>Cen!F627</f>
        <v>0.4849</v>
      </c>
      <c r="H260" s="222">
        <f t="shared" si="43"/>
        <v>0</v>
      </c>
      <c r="I260" s="233"/>
      <c r="J260" s="223">
        <f>Cen!I627</f>
        <v>2364043</v>
      </c>
      <c r="K260" s="223">
        <f>Cen!J627</f>
        <v>12340</v>
      </c>
      <c r="L260" s="219">
        <f t="shared" si="56"/>
        <v>0</v>
      </c>
      <c r="M260" s="463">
        <f t="shared" si="57"/>
        <v>0</v>
      </c>
      <c r="N260" s="224"/>
      <c r="O260" s="224"/>
      <c r="P260" s="224"/>
      <c r="Q260" s="224"/>
      <c r="R260" s="224"/>
      <c r="S260" s="224"/>
      <c r="T260" s="224"/>
      <c r="U260" s="224"/>
      <c r="V260" s="224"/>
      <c r="W260" s="224"/>
      <c r="X260" s="224"/>
      <c r="Y260" s="224"/>
      <c r="Z260" s="224"/>
      <c r="AA260" s="224"/>
      <c r="AB260" s="224"/>
      <c r="AC260" s="224"/>
      <c r="AD260" s="224"/>
      <c r="AE260" s="224"/>
      <c r="AF260" s="224"/>
      <c r="AG260" s="224"/>
      <c r="AH260" s="224"/>
      <c r="AI260" s="224"/>
      <c r="AJ260" s="224"/>
      <c r="AK260" s="224"/>
      <c r="AL260" s="224"/>
      <c r="AM260" s="224"/>
      <c r="AN260" s="224"/>
      <c r="AO260" s="224"/>
      <c r="AP260" s="224"/>
      <c r="AQ260" s="224"/>
      <c r="AR260" s="224"/>
      <c r="AS260" s="469"/>
      <c r="AT260" s="224"/>
      <c r="AU260" s="224"/>
      <c r="AV260" s="224"/>
      <c r="AW260" s="224"/>
      <c r="AX260" s="224"/>
      <c r="AY260" s="224"/>
      <c r="AZ260" s="224"/>
      <c r="BA260" s="469"/>
      <c r="BB260" s="356">
        <f>Acs!E26</f>
        <v>0</v>
      </c>
      <c r="BC260" s="224"/>
      <c r="BD260" s="548">
        <f t="shared" si="53"/>
        <v>0</v>
      </c>
      <c r="BE260" s="214"/>
    </row>
    <row r="261" spans="2:57" x14ac:dyDescent="0.25">
      <c r="B261" s="225" t="str">
        <f>Cen!A628</f>
        <v>Podložka CLIP s excentrem, EXPANDO</v>
      </c>
      <c r="C261" s="225" t="str">
        <f>Cen!B628</f>
        <v>174H7100E</v>
      </c>
      <c r="D261" s="225" t="str">
        <f>Cen!C628</f>
        <v>NI</v>
      </c>
      <c r="E261" s="606">
        <f>Cen!D628</f>
        <v>0</v>
      </c>
      <c r="F261" s="198">
        <f t="shared" si="52"/>
        <v>0</v>
      </c>
      <c r="G261" s="221">
        <f>Cen!F628</f>
        <v>0.59260999999999997</v>
      </c>
      <c r="H261" s="222">
        <f t="shared" si="43"/>
        <v>0</v>
      </c>
      <c r="I261" s="233"/>
      <c r="J261" s="223">
        <f>Cen!I628</f>
        <v>2364983</v>
      </c>
      <c r="K261" s="223">
        <f>Cen!J628</f>
        <v>266981</v>
      </c>
      <c r="L261" s="219">
        <f t="shared" si="56"/>
        <v>0</v>
      </c>
      <c r="M261" s="463">
        <f t="shared" si="57"/>
        <v>0</v>
      </c>
      <c r="N261" s="224"/>
      <c r="O261" s="224"/>
      <c r="P261" s="224"/>
      <c r="Q261" s="224"/>
      <c r="R261" s="224"/>
      <c r="S261" s="224"/>
      <c r="T261" s="224"/>
      <c r="U261" s="224"/>
      <c r="V261" s="224"/>
      <c r="W261" s="224"/>
      <c r="X261" s="224"/>
      <c r="Y261" s="224"/>
      <c r="Z261" s="224"/>
      <c r="AA261" s="224"/>
      <c r="AB261" s="224"/>
      <c r="AC261" s="224"/>
      <c r="AD261" s="224"/>
      <c r="AE261" s="224"/>
      <c r="AF261" s="224"/>
      <c r="AG261" s="224"/>
      <c r="AH261" s="224"/>
      <c r="AI261" s="224"/>
      <c r="AJ261" s="224"/>
      <c r="AK261" s="224"/>
      <c r="AL261" s="224"/>
      <c r="AM261" s="224"/>
      <c r="AN261" s="224"/>
      <c r="AO261" s="224"/>
      <c r="AP261" s="224"/>
      <c r="AQ261" s="224"/>
      <c r="AR261" s="224"/>
      <c r="AS261" s="469"/>
      <c r="AT261" s="224"/>
      <c r="AU261" s="224"/>
      <c r="AV261" s="224"/>
      <c r="AW261" s="224"/>
      <c r="AX261" s="224"/>
      <c r="AY261" s="224"/>
      <c r="AZ261" s="224"/>
      <c r="BA261" s="469"/>
      <c r="BB261" s="356">
        <f>Acs!E27</f>
        <v>0</v>
      </c>
      <c r="BC261" s="224"/>
      <c r="BD261" s="548">
        <f t="shared" si="53"/>
        <v>0</v>
      </c>
      <c r="BE261" s="214"/>
    </row>
    <row r="262" spans="2:57" x14ac:dyDescent="0.25">
      <c r="B262" s="225" t="str">
        <f>Cen!A629</f>
        <v>Podložka CLIP top přímá</v>
      </c>
      <c r="C262" s="225" t="str">
        <f>Cen!B629</f>
        <v>175H5400</v>
      </c>
      <c r="D262" s="225" t="str">
        <f>Cen!C629</f>
        <v>NI</v>
      </c>
      <c r="E262" s="606">
        <f>Cen!D629</f>
        <v>0</v>
      </c>
      <c r="F262" s="198">
        <f t="shared" si="52"/>
        <v>0</v>
      </c>
      <c r="G262" s="221">
        <f>Cen!F629</f>
        <v>0.70503000000000005</v>
      </c>
      <c r="H262" s="222">
        <f t="shared" si="43"/>
        <v>0</v>
      </c>
      <c r="I262" s="233"/>
      <c r="J262" s="223">
        <f>Cen!I629</f>
        <v>8002803</v>
      </c>
      <c r="K262" s="223">
        <f>Cen!J629</f>
        <v>12323</v>
      </c>
      <c r="L262" s="219">
        <f t="shared" si="56"/>
        <v>0</v>
      </c>
      <c r="M262" s="463">
        <f t="shared" si="57"/>
        <v>0</v>
      </c>
      <c r="N262" s="224"/>
      <c r="O262" s="224"/>
      <c r="P262" s="224"/>
      <c r="Q262" s="224"/>
      <c r="R262" s="224"/>
      <c r="S262" s="224"/>
      <c r="T262" s="224"/>
      <c r="U262" s="224"/>
      <c r="V262" s="224"/>
      <c r="W262" s="224"/>
      <c r="X262" s="224"/>
      <c r="Y262" s="224"/>
      <c r="Z262" s="224"/>
      <c r="AA262" s="224"/>
      <c r="AB262" s="224"/>
      <c r="AC262" s="224"/>
      <c r="AD262" s="224"/>
      <c r="AE262" s="224"/>
      <c r="AF262" s="224"/>
      <c r="AG262" s="224"/>
      <c r="AH262" s="224"/>
      <c r="AI262" s="224"/>
      <c r="AJ262" s="224"/>
      <c r="AK262" s="224"/>
      <c r="AL262" s="224"/>
      <c r="AM262" s="224"/>
      <c r="AN262" s="224"/>
      <c r="AO262" s="224"/>
      <c r="AP262" s="224"/>
      <c r="AQ262" s="224"/>
      <c r="AR262" s="224"/>
      <c r="AS262" s="469"/>
      <c r="AT262" s="224"/>
      <c r="AU262" s="224"/>
      <c r="AV262" s="224"/>
      <c r="AW262" s="224"/>
      <c r="AX262" s="224"/>
      <c r="AY262" s="224"/>
      <c r="AZ262" s="224"/>
      <c r="BA262" s="469"/>
      <c r="BB262" s="356">
        <f>Acs!E28</f>
        <v>0</v>
      </c>
      <c r="BC262" s="224"/>
      <c r="BD262" s="548">
        <f t="shared" ref="BD262:BD271" si="58">IF(AND(E262&gt;0,F262&gt;0),1,0)</f>
        <v>0</v>
      </c>
      <c r="BE262" s="214"/>
    </row>
    <row r="263" spans="2:57" x14ac:dyDescent="0.25">
      <c r="B263" s="225" t="str">
        <f>Cen!A630</f>
        <v>Podložka CLIP top přímá, EXPANDO</v>
      </c>
      <c r="C263" s="225" t="str">
        <f>Cen!B630</f>
        <v>177H5400E</v>
      </c>
      <c r="D263" s="225" t="str">
        <f>Cen!C630</f>
        <v>NI</v>
      </c>
      <c r="E263" s="606">
        <f>Cen!D630</f>
        <v>0</v>
      </c>
      <c r="F263" s="198">
        <f t="shared" si="52"/>
        <v>0</v>
      </c>
      <c r="G263" s="221">
        <f>Cen!F630</f>
        <v>0.81311999999999995</v>
      </c>
      <c r="H263" s="222">
        <f t="shared" si="43"/>
        <v>0</v>
      </c>
      <c r="I263" s="233"/>
      <c r="J263" s="223">
        <f>Cen!I630</f>
        <v>8003033</v>
      </c>
      <c r="K263" s="223">
        <f>Cen!J630</f>
        <v>12326</v>
      </c>
      <c r="L263" s="219">
        <f t="shared" si="56"/>
        <v>0</v>
      </c>
      <c r="M263" s="463">
        <f t="shared" si="57"/>
        <v>0</v>
      </c>
      <c r="N263" s="224"/>
      <c r="O263" s="224"/>
      <c r="P263" s="224"/>
      <c r="Q263" s="224"/>
      <c r="R263" s="224"/>
      <c r="S263" s="224"/>
      <c r="T263" s="224"/>
      <c r="U263" s="224"/>
      <c r="V263" s="224"/>
      <c r="W263" s="224"/>
      <c r="X263" s="224"/>
      <c r="Y263" s="224"/>
      <c r="Z263" s="224"/>
      <c r="AA263" s="224"/>
      <c r="AB263" s="224"/>
      <c r="AC263" s="224"/>
      <c r="AD263" s="224"/>
      <c r="AE263" s="224"/>
      <c r="AF263" s="224"/>
      <c r="AG263" s="224"/>
      <c r="AH263" s="224"/>
      <c r="AI263" s="224"/>
      <c r="AJ263" s="224"/>
      <c r="AK263" s="734">
        <f>'7STCGP'!S76</f>
        <v>0</v>
      </c>
      <c r="AL263" s="734">
        <f>'7STCGF'!S88</f>
        <v>0</v>
      </c>
      <c r="AM263" s="734">
        <f>'7STCRP'!S68</f>
        <v>0</v>
      </c>
      <c r="AN263" s="734">
        <f>'7STCRF'!S78</f>
        <v>0</v>
      </c>
      <c r="AO263" s="734">
        <f>'7STMGP'!S78</f>
        <v>0</v>
      </c>
      <c r="AP263" s="734">
        <f>'7STMGF'!S88</f>
        <v>0</v>
      </c>
      <c r="AQ263" s="734">
        <f>'7STMRP'!S68</f>
        <v>0</v>
      </c>
      <c r="AR263" s="734">
        <f>'7STMRF'!S77</f>
        <v>0</v>
      </c>
      <c r="AS263" s="469"/>
      <c r="AT263" s="224"/>
      <c r="AU263" s="224"/>
      <c r="AV263" s="224"/>
      <c r="AW263" s="224"/>
      <c r="AX263" s="224"/>
      <c r="AY263" s="224"/>
      <c r="AZ263" s="224"/>
      <c r="BA263" s="469"/>
      <c r="BB263" s="356">
        <f>Acs!E29</f>
        <v>0</v>
      </c>
      <c r="BC263" s="224"/>
      <c r="BD263" s="548">
        <f t="shared" si="58"/>
        <v>0</v>
      </c>
      <c r="BE263" s="214"/>
    </row>
    <row r="264" spans="2:57" x14ac:dyDescent="0.25">
      <c r="B264" s="225" t="str">
        <f>Cen!A631</f>
        <v>Podložka CLIP top přímá, ocel.</v>
      </c>
      <c r="C264" s="225" t="str">
        <f>Cen!B631</f>
        <v>175H3100</v>
      </c>
      <c r="D264" s="225" t="str">
        <f>Cen!C631</f>
        <v>NI</v>
      </c>
      <c r="E264" s="606">
        <f>Cen!D631</f>
        <v>0</v>
      </c>
      <c r="F264" s="198">
        <f t="shared" si="52"/>
        <v>0</v>
      </c>
      <c r="G264" s="221">
        <f>Cen!F631</f>
        <v>0.46155000000000002</v>
      </c>
      <c r="H264" s="222">
        <f t="shared" si="43"/>
        <v>0</v>
      </c>
      <c r="I264" s="233"/>
      <c r="J264" s="223">
        <f>Cen!I631</f>
        <v>1037431</v>
      </c>
      <c r="K264" s="223">
        <f>Cen!J631</f>
        <v>279798</v>
      </c>
      <c r="L264" s="219">
        <f t="shared" si="56"/>
        <v>0</v>
      </c>
      <c r="M264" s="463">
        <f t="shared" si="57"/>
        <v>0</v>
      </c>
      <c r="N264" s="224"/>
      <c r="O264" s="224"/>
      <c r="P264" s="224"/>
      <c r="Q264" s="224"/>
      <c r="R264" s="224"/>
      <c r="S264" s="224"/>
      <c r="T264" s="224"/>
      <c r="U264" s="224"/>
      <c r="V264" s="224"/>
      <c r="W264" s="224"/>
      <c r="X264" s="224"/>
      <c r="Y264" s="224"/>
      <c r="Z264" s="224"/>
      <c r="AA264" s="224"/>
      <c r="AB264" s="224"/>
      <c r="AC264" s="224"/>
      <c r="AD264" s="224"/>
      <c r="AE264" s="224"/>
      <c r="AF264" s="224"/>
      <c r="AG264" s="224"/>
      <c r="AH264" s="224"/>
      <c r="AI264" s="224"/>
      <c r="AJ264" s="224"/>
      <c r="AK264" s="224"/>
      <c r="AL264" s="224"/>
      <c r="AM264" s="224"/>
      <c r="AN264" s="224"/>
      <c r="AO264" s="224"/>
      <c r="AP264" s="224"/>
      <c r="AQ264" s="224"/>
      <c r="AR264" s="224"/>
      <c r="AS264" s="469"/>
      <c r="AT264" s="224"/>
      <c r="AU264" s="224"/>
      <c r="AV264" s="224"/>
      <c r="AW264" s="224"/>
      <c r="AX264" s="224"/>
      <c r="AY264" s="224"/>
      <c r="AZ264" s="224"/>
      <c r="BA264" s="469"/>
      <c r="BB264" s="356">
        <f>Acs!E30</f>
        <v>0</v>
      </c>
      <c r="BC264" s="224"/>
      <c r="BD264" s="548">
        <f t="shared" si="58"/>
        <v>0</v>
      </c>
      <c r="BE264" s="214"/>
    </row>
    <row r="265" spans="2:57" x14ac:dyDescent="0.25">
      <c r="B265" s="225" t="str">
        <f>Cen!A632</f>
        <v>Podložka CLIP top přímá, ocel., EXPANDO</v>
      </c>
      <c r="C265" s="225" t="str">
        <f>Cen!B632</f>
        <v>177H3100E</v>
      </c>
      <c r="D265" s="225" t="str">
        <f>Cen!C632</f>
        <v>NI</v>
      </c>
      <c r="E265" s="606">
        <f>Cen!D632</f>
        <v>0</v>
      </c>
      <c r="F265" s="198">
        <f t="shared" si="52"/>
        <v>0</v>
      </c>
      <c r="G265" s="221">
        <f>Cen!F632</f>
        <v>0.46936999999999995</v>
      </c>
      <c r="H265" s="222">
        <f t="shared" ref="H265:H275" si="59">M265</f>
        <v>0</v>
      </c>
      <c r="I265" s="233"/>
      <c r="J265" s="223">
        <f>Cen!I632</f>
        <v>3120329</v>
      </c>
      <c r="K265" s="223">
        <f>Cen!J632</f>
        <v>303889</v>
      </c>
      <c r="L265" s="219">
        <f t="shared" ref="L265:L270" si="60">IF(I265="x",0,IF(I265&gt;0,I265,F265))</f>
        <v>0</v>
      </c>
      <c r="M265" s="463">
        <f t="shared" ref="M265:M270" si="61">PRODUCT(L265,G265)</f>
        <v>0</v>
      </c>
      <c r="N265" s="224"/>
      <c r="O265" s="224"/>
      <c r="P265" s="224"/>
      <c r="Q265" s="224"/>
      <c r="R265" s="224"/>
      <c r="S265" s="224"/>
      <c r="T265" s="224"/>
      <c r="U265" s="224"/>
      <c r="V265" s="224"/>
      <c r="W265" s="224"/>
      <c r="X265" s="224"/>
      <c r="Y265" s="224"/>
      <c r="Z265" s="224"/>
      <c r="AA265" s="224"/>
      <c r="AB265" s="224"/>
      <c r="AC265" s="224"/>
      <c r="AD265" s="224"/>
      <c r="AE265" s="224"/>
      <c r="AF265" s="224"/>
      <c r="AG265" s="224"/>
      <c r="AH265" s="224"/>
      <c r="AI265" s="224"/>
      <c r="AJ265" s="224"/>
      <c r="AK265" s="224"/>
      <c r="AL265" s="224"/>
      <c r="AM265" s="224"/>
      <c r="AN265" s="224"/>
      <c r="AO265" s="224"/>
      <c r="AP265" s="224"/>
      <c r="AQ265" s="224"/>
      <c r="AR265" s="224"/>
      <c r="AS265" s="469"/>
      <c r="AT265" s="224"/>
      <c r="AU265" s="224"/>
      <c r="AV265" s="224"/>
      <c r="AW265" s="224"/>
      <c r="AX265" s="224"/>
      <c r="AY265" s="224"/>
      <c r="AZ265" s="224"/>
      <c r="BA265" s="469"/>
      <c r="BB265" s="356">
        <f>Acs!E31</f>
        <v>0</v>
      </c>
      <c r="BC265" s="224"/>
      <c r="BD265" s="548">
        <f t="shared" si="58"/>
        <v>0</v>
      </c>
      <c r="BE265" s="214"/>
    </row>
    <row r="266" spans="2:57" x14ac:dyDescent="0.25">
      <c r="B266" s="225" t="str">
        <f>Cen!A633</f>
        <v>BLUMOTION pro nasazení na závěs 155° a 125°</v>
      </c>
      <c r="C266" s="225" t="str">
        <f>Cen!B633</f>
        <v>973A7000</v>
      </c>
      <c r="D266" s="225" t="str">
        <f>Cen!C633</f>
        <v>NI</v>
      </c>
      <c r="E266" s="606">
        <f>Cen!D633</f>
        <v>0</v>
      </c>
      <c r="F266" s="198">
        <f t="shared" si="52"/>
        <v>0</v>
      </c>
      <c r="G266" s="221">
        <f>Cen!F633</f>
        <v>1.5222899999999999</v>
      </c>
      <c r="H266" s="222">
        <f t="shared" si="59"/>
        <v>0</v>
      </c>
      <c r="I266" s="233"/>
      <c r="J266" s="223">
        <f>Cen!I633</f>
        <v>8975943</v>
      </c>
      <c r="K266" s="223">
        <f>Cen!J633</f>
        <v>12223</v>
      </c>
      <c r="L266" s="219">
        <f t="shared" si="60"/>
        <v>0</v>
      </c>
      <c r="M266" s="463">
        <f t="shared" si="61"/>
        <v>0</v>
      </c>
      <c r="N266" s="224"/>
      <c r="O266" s="224"/>
      <c r="P266" s="224"/>
      <c r="Q266" s="224"/>
      <c r="R266" s="224"/>
      <c r="S266" s="224"/>
      <c r="T266" s="224"/>
      <c r="U266" s="224"/>
      <c r="V266" s="224"/>
      <c r="W266" s="224"/>
      <c r="X266" s="224"/>
      <c r="Y266" s="224"/>
      <c r="Z266" s="224"/>
      <c r="AA266" s="224"/>
      <c r="AB266" s="224"/>
      <c r="AC266" s="224"/>
      <c r="AD266" s="224"/>
      <c r="AE266" s="224"/>
      <c r="AF266" s="224"/>
      <c r="AG266" s="224"/>
      <c r="AH266" s="224"/>
      <c r="AI266" s="224"/>
      <c r="AJ266" s="224"/>
      <c r="AK266" s="734">
        <f>'7STCGP'!S77</f>
        <v>0</v>
      </c>
      <c r="AL266" s="734">
        <f>'7STCGF'!S89</f>
        <v>0</v>
      </c>
      <c r="AM266" s="734">
        <f>'7STCRP'!S69</f>
        <v>0</v>
      </c>
      <c r="AN266" s="734">
        <f>'7STCRF'!S79</f>
        <v>0</v>
      </c>
      <c r="AO266" s="734">
        <f>'7STMGP'!S79</f>
        <v>0</v>
      </c>
      <c r="AP266" s="734">
        <f>'7STMGF'!S89</f>
        <v>0</v>
      </c>
      <c r="AQ266" s="734">
        <f>'7STMRP'!S69</f>
        <v>0</v>
      </c>
      <c r="AR266" s="734">
        <f>'7STMRF'!S78</f>
        <v>0</v>
      </c>
      <c r="AS266" s="469"/>
      <c r="AT266" s="224"/>
      <c r="AU266" s="224"/>
      <c r="AV266" s="224"/>
      <c r="AW266" s="224"/>
      <c r="AX266" s="224"/>
      <c r="AY266" s="224"/>
      <c r="AZ266" s="224"/>
      <c r="BA266" s="469"/>
      <c r="BB266" s="356">
        <f>Acs!E32</f>
        <v>0</v>
      </c>
      <c r="BC266" s="224"/>
      <c r="BD266" s="548">
        <f t="shared" si="58"/>
        <v>0</v>
      </c>
      <c r="BE266" s="214"/>
    </row>
    <row r="267" spans="2:57" x14ac:dyDescent="0.25">
      <c r="B267" s="225" t="str">
        <f>Cen!A634</f>
        <v>BLUMOTION v křížovém adaptéru</v>
      </c>
      <c r="C267" s="225" t="str">
        <f>Cen!B634</f>
        <v>971A0500</v>
      </c>
      <c r="D267" s="225" t="str">
        <f>Cen!C634</f>
        <v>NI</v>
      </c>
      <c r="E267" s="606">
        <f>Cen!D634</f>
        <v>0</v>
      </c>
      <c r="F267" s="198">
        <f t="shared" si="52"/>
        <v>0</v>
      </c>
      <c r="G267" s="221">
        <f>Cen!F634</f>
        <v>2.7470500000000002</v>
      </c>
      <c r="H267" s="222">
        <f t="shared" si="59"/>
        <v>0</v>
      </c>
      <c r="I267" s="233"/>
      <c r="J267" s="223">
        <f>Cen!I634</f>
        <v>6823663</v>
      </c>
      <c r="K267" s="223">
        <f>Cen!J634</f>
        <v>12392</v>
      </c>
      <c r="L267" s="219">
        <f t="shared" si="60"/>
        <v>0</v>
      </c>
      <c r="M267" s="463">
        <f t="shared" si="61"/>
        <v>0</v>
      </c>
      <c r="N267" s="224"/>
      <c r="O267" s="224"/>
      <c r="P267" s="224"/>
      <c r="Q267" s="224"/>
      <c r="R267" s="224"/>
      <c r="S267" s="224"/>
      <c r="T267" s="224"/>
      <c r="U267" s="224"/>
      <c r="V267" s="224"/>
      <c r="W267" s="224"/>
      <c r="X267" s="224"/>
      <c r="Y267" s="224"/>
      <c r="Z267" s="224"/>
      <c r="AA267" s="224"/>
      <c r="AB267" s="224"/>
      <c r="AC267" s="224"/>
      <c r="AD267" s="224"/>
      <c r="AE267" s="224"/>
      <c r="AF267" s="224"/>
      <c r="AG267" s="224"/>
      <c r="AH267" s="224"/>
      <c r="AI267" s="224"/>
      <c r="AJ267" s="224"/>
      <c r="AK267" s="224"/>
      <c r="AL267" s="224"/>
      <c r="AM267" s="224"/>
      <c r="AN267" s="224"/>
      <c r="AO267" s="224"/>
      <c r="AP267" s="224"/>
      <c r="AQ267" s="224"/>
      <c r="AR267" s="224"/>
      <c r="AS267" s="469"/>
      <c r="AT267" s="224"/>
      <c r="AU267" s="224"/>
      <c r="AV267" s="224"/>
      <c r="AW267" s="224"/>
      <c r="AX267" s="224"/>
      <c r="AY267" s="224"/>
      <c r="AZ267" s="224"/>
      <c r="BA267" s="469"/>
      <c r="BB267" s="356">
        <f>Acs!E33</f>
        <v>0</v>
      </c>
      <c r="BC267" s="224"/>
      <c r="BD267" s="548">
        <f t="shared" si="58"/>
        <v>0</v>
      </c>
      <c r="BE267" s="214"/>
    </row>
    <row r="268" spans="2:57" x14ac:dyDescent="0.25">
      <c r="B268" s="225" t="str">
        <f>Cen!A635</f>
        <v>TIP-ON, prodloužená délka, šedý</v>
      </c>
      <c r="C268" s="225" t="str">
        <f>Cen!B635</f>
        <v>956A1004</v>
      </c>
      <c r="D268" s="225" t="str">
        <f>Cen!C635</f>
        <v>PG</v>
      </c>
      <c r="E268" s="606">
        <f>Cen!D635</f>
        <v>0</v>
      </c>
      <c r="F268" s="198">
        <f t="shared" si="52"/>
        <v>0</v>
      </c>
      <c r="G268" s="221">
        <f>Cen!F635</f>
        <v>4.4877799999999999</v>
      </c>
      <c r="H268" s="222">
        <f t="shared" si="59"/>
        <v>0</v>
      </c>
      <c r="I268" s="233"/>
      <c r="J268" s="223">
        <f>Cen!I635</f>
        <v>6484096</v>
      </c>
      <c r="K268" s="223">
        <f>Cen!J635</f>
        <v>250833</v>
      </c>
      <c r="L268" s="219">
        <f t="shared" si="60"/>
        <v>0</v>
      </c>
      <c r="M268" s="463">
        <f t="shared" si="61"/>
        <v>0</v>
      </c>
      <c r="N268" s="224"/>
      <c r="O268" s="224"/>
      <c r="P268" s="224"/>
      <c r="Q268" s="224"/>
      <c r="R268" s="224"/>
      <c r="S268" s="224"/>
      <c r="T268" s="224"/>
      <c r="U268" s="224"/>
      <c r="V268" s="224"/>
      <c r="W268" s="224"/>
      <c r="X268" s="224"/>
      <c r="Y268" s="224"/>
      <c r="Z268" s="224"/>
      <c r="AA268" s="224"/>
      <c r="AB268" s="224"/>
      <c r="AC268" s="224"/>
      <c r="AD268" s="224"/>
      <c r="AE268" s="224"/>
      <c r="AF268" s="224"/>
      <c r="AG268" s="224"/>
      <c r="AH268" s="224"/>
      <c r="AI268" s="224"/>
      <c r="AJ268" s="224"/>
      <c r="AK268" s="224"/>
      <c r="AL268" s="224"/>
      <c r="AM268" s="224"/>
      <c r="AN268" s="224"/>
      <c r="AO268" s="224"/>
      <c r="AP268" s="224"/>
      <c r="AQ268" s="224"/>
      <c r="AR268" s="224"/>
      <c r="AS268" s="469"/>
      <c r="AT268" s="224"/>
      <c r="AU268" s="224"/>
      <c r="AV268" s="224"/>
      <c r="AW268" s="224"/>
      <c r="AX268" s="224"/>
      <c r="AY268" s="224"/>
      <c r="AZ268" s="224"/>
      <c r="BA268" s="469"/>
      <c r="BB268" s="356">
        <f>Acs!E34</f>
        <v>0</v>
      </c>
      <c r="BC268" s="224"/>
      <c r="BD268" s="548">
        <f t="shared" si="58"/>
        <v>0</v>
      </c>
      <c r="BE268" s="214"/>
    </row>
    <row r="269" spans="2:57" x14ac:dyDescent="0.25">
      <c r="B269" s="225" t="str">
        <f>Cen!A638</f>
        <v>TIP-ON přímý adaptér, prodl.délka, šedý</v>
      </c>
      <c r="C269" s="225" t="str">
        <f>Cen!B638</f>
        <v>956A1201</v>
      </c>
      <c r="D269" s="225" t="str">
        <f>Cen!C638</f>
        <v>PG</v>
      </c>
      <c r="E269" s="606">
        <f>Cen!D638</f>
        <v>0</v>
      </c>
      <c r="F269" s="198">
        <f t="shared" si="52"/>
        <v>0</v>
      </c>
      <c r="G269" s="221">
        <f>Cen!F638</f>
        <v>0.88392000000000015</v>
      </c>
      <c r="H269" s="222">
        <f t="shared" si="59"/>
        <v>0</v>
      </c>
      <c r="I269" s="233"/>
      <c r="J269" s="223">
        <f>Cen!I638</f>
        <v>8849808</v>
      </c>
      <c r="K269" s="223">
        <f>Cen!J638</f>
        <v>250842</v>
      </c>
      <c r="L269" s="219">
        <f t="shared" si="60"/>
        <v>0</v>
      </c>
      <c r="M269" s="463">
        <f t="shared" si="61"/>
        <v>0</v>
      </c>
      <c r="N269" s="224"/>
      <c r="O269" s="224"/>
      <c r="P269" s="224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  <c r="AA269" s="224"/>
      <c r="AB269" s="224"/>
      <c r="AC269" s="224"/>
      <c r="AD269" s="224"/>
      <c r="AE269" s="224"/>
      <c r="AF269" s="224"/>
      <c r="AG269" s="224"/>
      <c r="AH269" s="224"/>
      <c r="AI269" s="224"/>
      <c r="AJ269" s="224"/>
      <c r="AK269" s="224"/>
      <c r="AL269" s="224"/>
      <c r="AM269" s="224"/>
      <c r="AN269" s="224"/>
      <c r="AO269" s="224"/>
      <c r="AP269" s="224"/>
      <c r="AQ269" s="224"/>
      <c r="AR269" s="224"/>
      <c r="AS269" s="469"/>
      <c r="AT269" s="224"/>
      <c r="AU269" s="224"/>
      <c r="AV269" s="224"/>
      <c r="AW269" s="224"/>
      <c r="AX269" s="224"/>
      <c r="AY269" s="224"/>
      <c r="AZ269" s="224"/>
      <c r="BA269" s="469"/>
      <c r="BB269" s="356">
        <f>Acs!E35</f>
        <v>0</v>
      </c>
      <c r="BC269" s="224"/>
      <c r="BD269" s="548">
        <f t="shared" si="58"/>
        <v>0</v>
      </c>
      <c r="BE269" s="214"/>
    </row>
    <row r="270" spans="2:57" x14ac:dyDescent="0.25">
      <c r="B270" s="225" t="str">
        <f>Cen!A641</f>
        <v>TIP-ON křížový adaptér, šedý</v>
      </c>
      <c r="C270" s="225" t="str">
        <f>Cen!B641</f>
        <v>956A1501</v>
      </c>
      <c r="D270" s="225" t="str">
        <f>Cen!C641</f>
        <v>PG</v>
      </c>
      <c r="E270" s="606">
        <f>Cen!D641</f>
        <v>0</v>
      </c>
      <c r="F270" s="198">
        <f t="shared" si="52"/>
        <v>0</v>
      </c>
      <c r="G270" s="221">
        <f>Cen!F641</f>
        <v>0.65625999999999995</v>
      </c>
      <c r="H270" s="222">
        <f t="shared" si="59"/>
        <v>0</v>
      </c>
      <c r="I270" s="233"/>
      <c r="J270" s="223">
        <f>Cen!I641</f>
        <v>2583646</v>
      </c>
      <c r="K270" s="223">
        <f>Cen!J641</f>
        <v>250844</v>
      </c>
      <c r="L270" s="219">
        <f t="shared" si="60"/>
        <v>0</v>
      </c>
      <c r="M270" s="463">
        <f t="shared" si="61"/>
        <v>0</v>
      </c>
      <c r="N270" s="224"/>
      <c r="O270" s="224"/>
      <c r="P270" s="224"/>
      <c r="Q270" s="224"/>
      <c r="R270" s="224"/>
      <c r="S270" s="224"/>
      <c r="T270" s="224"/>
      <c r="U270" s="224"/>
      <c r="V270" s="224"/>
      <c r="W270" s="224"/>
      <c r="X270" s="224"/>
      <c r="Y270" s="224"/>
      <c r="Z270" s="224"/>
      <c r="AA270" s="224"/>
      <c r="AB270" s="224"/>
      <c r="AC270" s="224"/>
      <c r="AD270" s="224"/>
      <c r="AE270" s="224"/>
      <c r="AF270" s="224"/>
      <c r="AG270" s="224"/>
      <c r="AH270" s="224"/>
      <c r="AI270" s="224"/>
      <c r="AJ270" s="224"/>
      <c r="AK270" s="224"/>
      <c r="AL270" s="224"/>
      <c r="AM270" s="224"/>
      <c r="AN270" s="224"/>
      <c r="AO270" s="224"/>
      <c r="AP270" s="224"/>
      <c r="AQ270" s="224"/>
      <c r="AR270" s="224"/>
      <c r="AS270" s="469"/>
      <c r="AT270" s="224"/>
      <c r="AU270" s="224"/>
      <c r="AV270" s="224"/>
      <c r="AW270" s="224"/>
      <c r="AX270" s="224"/>
      <c r="AY270" s="224"/>
      <c r="AZ270" s="224"/>
      <c r="BA270" s="469"/>
      <c r="BB270" s="356">
        <f>Acs!E36</f>
        <v>0</v>
      </c>
      <c r="BC270" s="224"/>
      <c r="BD270" s="548">
        <f t="shared" si="58"/>
        <v>0</v>
      </c>
      <c r="BE270" s="214"/>
    </row>
    <row r="271" spans="2:57" x14ac:dyDescent="0.25">
      <c r="B271" s="225"/>
      <c r="C271" s="225"/>
      <c r="D271" s="225"/>
      <c r="E271" s="674"/>
      <c r="F271" s="244"/>
      <c r="G271" s="221"/>
      <c r="H271" s="222"/>
      <c r="I271" s="222"/>
      <c r="J271" s="223"/>
      <c r="K271" s="223"/>
      <c r="L271" s="219"/>
      <c r="M271" s="463"/>
      <c r="N271" s="224"/>
      <c r="O271" s="224"/>
      <c r="P271" s="224"/>
      <c r="Q271" s="224"/>
      <c r="R271" s="224"/>
      <c r="S271" s="224"/>
      <c r="T271" s="224"/>
      <c r="U271" s="224"/>
      <c r="V271" s="224"/>
      <c r="W271" s="224"/>
      <c r="X271" s="224"/>
      <c r="Y271" s="224"/>
      <c r="Z271" s="224"/>
      <c r="AA271" s="224"/>
      <c r="AB271" s="224"/>
      <c r="AC271" s="224"/>
      <c r="AD271" s="224"/>
      <c r="AE271" s="224"/>
      <c r="AF271" s="224"/>
      <c r="AG271" s="224"/>
      <c r="AH271" s="224"/>
      <c r="AI271" s="224"/>
      <c r="AJ271" s="224"/>
      <c r="AK271" s="224"/>
      <c r="AL271" s="224"/>
      <c r="AM271" s="224"/>
      <c r="AN271" s="224"/>
      <c r="AO271" s="224"/>
      <c r="AP271" s="224"/>
      <c r="AQ271" s="224"/>
      <c r="AR271" s="224"/>
      <c r="AS271" s="469"/>
      <c r="AT271" s="224"/>
      <c r="AU271" s="224"/>
      <c r="AV271" s="224"/>
      <c r="AW271" s="224"/>
      <c r="AX271" s="224"/>
      <c r="AY271" s="224"/>
      <c r="AZ271" s="224"/>
      <c r="BA271" s="469"/>
      <c r="BB271" s="224"/>
      <c r="BC271" s="224"/>
      <c r="BD271" s="548">
        <f t="shared" si="58"/>
        <v>0</v>
      </c>
      <c r="BE271" s="214"/>
    </row>
    <row r="272" spans="2:57" x14ac:dyDescent="0.25">
      <c r="B272" s="225">
        <f>Cen!A657</f>
        <v>0</v>
      </c>
      <c r="C272" s="225">
        <f>Cen!B657</f>
        <v>0</v>
      </c>
      <c r="D272" s="225">
        <f>Cen!C657</f>
        <v>0</v>
      </c>
      <c r="E272" s="674">
        <f>Cen!D657</f>
        <v>0</v>
      </c>
      <c r="F272" s="233"/>
      <c r="G272" s="221">
        <f>Cen!F657</f>
        <v>0</v>
      </c>
      <c r="H272" s="222">
        <f t="shared" si="59"/>
        <v>0</v>
      </c>
      <c r="I272" s="546"/>
      <c r="J272" s="223">
        <f>Cen!I657</f>
        <v>0</v>
      </c>
      <c r="K272" s="223">
        <f>Cen!J657</f>
        <v>0</v>
      </c>
      <c r="L272" s="219"/>
      <c r="M272" s="463"/>
      <c r="N272" s="224"/>
      <c r="O272" s="224"/>
      <c r="P272" s="224"/>
      <c r="Q272" s="224"/>
      <c r="R272" s="224"/>
      <c r="S272" s="224"/>
      <c r="T272" s="224"/>
      <c r="U272" s="224"/>
      <c r="V272" s="224"/>
      <c r="W272" s="224"/>
      <c r="X272" s="224"/>
      <c r="Y272" s="224"/>
      <c r="Z272" s="224"/>
      <c r="AA272" s="224"/>
      <c r="AB272" s="224"/>
      <c r="AC272" s="224"/>
      <c r="AD272" s="224"/>
      <c r="AE272" s="224"/>
      <c r="AF272" s="224"/>
      <c r="AG272" s="224"/>
      <c r="AH272" s="224"/>
      <c r="AI272" s="224"/>
      <c r="AJ272" s="224"/>
      <c r="AK272" s="224"/>
      <c r="AL272" s="224"/>
      <c r="AM272" s="224"/>
      <c r="AN272" s="224"/>
      <c r="AO272" s="224"/>
      <c r="AP272" s="224"/>
      <c r="AQ272" s="224"/>
      <c r="AR272" s="224"/>
      <c r="AS272" s="469"/>
      <c r="AT272" s="224"/>
      <c r="AU272" s="224"/>
      <c r="AV272" s="224"/>
      <c r="AW272" s="224"/>
      <c r="AX272" s="224"/>
      <c r="AY272" s="224"/>
      <c r="AZ272" s="224"/>
      <c r="BA272" s="469"/>
      <c r="BB272" s="224"/>
      <c r="BC272" s="224"/>
      <c r="BD272" s="224"/>
      <c r="BE272" s="214"/>
    </row>
    <row r="273" spans="2:57" x14ac:dyDescent="0.25">
      <c r="B273" s="225">
        <f>Cen!A658</f>
        <v>0</v>
      </c>
      <c r="C273" s="225">
        <f>Cen!B658</f>
        <v>0</v>
      </c>
      <c r="D273" s="225">
        <f>Cen!C658</f>
        <v>0</v>
      </c>
      <c r="E273" s="674">
        <f>Cen!D658</f>
        <v>0</v>
      </c>
      <c r="F273" s="233"/>
      <c r="G273" s="221">
        <f>Cen!F658</f>
        <v>0</v>
      </c>
      <c r="H273" s="222">
        <f t="shared" si="59"/>
        <v>0</v>
      </c>
      <c r="I273" s="546"/>
      <c r="J273" s="223">
        <f>Cen!I658</f>
        <v>0</v>
      </c>
      <c r="K273" s="223">
        <f>Cen!J658</f>
        <v>0</v>
      </c>
      <c r="L273" s="219"/>
      <c r="M273" s="463"/>
      <c r="N273" s="224"/>
      <c r="O273" s="224"/>
      <c r="P273" s="224"/>
      <c r="Q273" s="224"/>
      <c r="R273" s="224"/>
      <c r="S273" s="224"/>
      <c r="T273" s="224"/>
      <c r="U273" s="224"/>
      <c r="V273" s="224"/>
      <c r="W273" s="224"/>
      <c r="X273" s="224"/>
      <c r="Y273" s="224"/>
      <c r="Z273" s="224"/>
      <c r="AA273" s="224"/>
      <c r="AB273" s="224"/>
      <c r="AC273" s="224"/>
      <c r="AD273" s="224"/>
      <c r="AE273" s="224"/>
      <c r="AF273" s="224"/>
      <c r="AG273" s="224"/>
      <c r="AH273" s="224"/>
      <c r="AI273" s="224"/>
      <c r="AJ273" s="224"/>
      <c r="AK273" s="224"/>
      <c r="AL273" s="224"/>
      <c r="AM273" s="224"/>
      <c r="AN273" s="224"/>
      <c r="AO273" s="224"/>
      <c r="AP273" s="224"/>
      <c r="AQ273" s="224"/>
      <c r="AR273" s="224"/>
      <c r="AS273" s="469"/>
      <c r="AT273" s="224"/>
      <c r="AU273" s="224"/>
      <c r="AV273" s="224"/>
      <c r="AW273" s="224"/>
      <c r="AX273" s="224"/>
      <c r="AY273" s="224"/>
      <c r="AZ273" s="224"/>
      <c r="BA273" s="469"/>
      <c r="BB273" s="224"/>
      <c r="BC273" s="224"/>
      <c r="BD273" s="224"/>
      <c r="BE273" s="214"/>
    </row>
    <row r="274" spans="2:57" x14ac:dyDescent="0.25">
      <c r="B274" s="225">
        <f>Cen!A659</f>
        <v>0</v>
      </c>
      <c r="C274" s="225">
        <f>Cen!B659</f>
        <v>0</v>
      </c>
      <c r="D274" s="225">
        <f>Cen!C659</f>
        <v>0</v>
      </c>
      <c r="E274" s="674">
        <f>Cen!D659</f>
        <v>0</v>
      </c>
      <c r="F274" s="233"/>
      <c r="G274" s="221">
        <f>Cen!F659</f>
        <v>0</v>
      </c>
      <c r="H274" s="222">
        <f t="shared" si="59"/>
        <v>0</v>
      </c>
      <c r="I274" s="546"/>
      <c r="J274" s="223">
        <f>Cen!I659</f>
        <v>0</v>
      </c>
      <c r="K274" s="223">
        <f>Cen!J659</f>
        <v>0</v>
      </c>
      <c r="L274" s="219"/>
      <c r="M274" s="463"/>
      <c r="N274" s="224"/>
      <c r="O274" s="224"/>
      <c r="P274" s="224"/>
      <c r="Q274" s="224"/>
      <c r="R274" s="224"/>
      <c r="S274" s="224"/>
      <c r="T274" s="224"/>
      <c r="U274" s="224"/>
      <c r="V274" s="224"/>
      <c r="W274" s="224"/>
      <c r="X274" s="224"/>
      <c r="Y274" s="224"/>
      <c r="Z274" s="224"/>
      <c r="AA274" s="224"/>
      <c r="AB274" s="224"/>
      <c r="AC274" s="224"/>
      <c r="AD274" s="224"/>
      <c r="AE274" s="224"/>
      <c r="AF274" s="224"/>
      <c r="AG274" s="224"/>
      <c r="AH274" s="224"/>
      <c r="AI274" s="224"/>
      <c r="AJ274" s="224"/>
      <c r="AK274" s="224"/>
      <c r="AL274" s="224"/>
      <c r="AM274" s="224"/>
      <c r="AN274" s="224"/>
      <c r="AO274" s="224"/>
      <c r="AP274" s="224"/>
      <c r="AQ274" s="224"/>
      <c r="AR274" s="224"/>
      <c r="AS274" s="469"/>
      <c r="AT274" s="224"/>
      <c r="AU274" s="224"/>
      <c r="AV274" s="224"/>
      <c r="AW274" s="224"/>
      <c r="AX274" s="224"/>
      <c r="AY274" s="224"/>
      <c r="AZ274" s="224"/>
      <c r="BA274" s="469"/>
      <c r="BB274" s="224"/>
      <c r="BC274" s="224"/>
      <c r="BD274" s="224"/>
      <c r="BE274" s="214"/>
    </row>
    <row r="275" spans="2:57" x14ac:dyDescent="0.25">
      <c r="B275" s="225">
        <f>Cen!A660</f>
        <v>0</v>
      </c>
      <c r="C275" s="225">
        <f>Cen!B660</f>
        <v>0</v>
      </c>
      <c r="D275" s="225">
        <f>Cen!C660</f>
        <v>0</v>
      </c>
      <c r="E275" s="674">
        <f>Cen!D660</f>
        <v>0</v>
      </c>
      <c r="F275" s="233"/>
      <c r="G275" s="221">
        <f>Cen!F660</f>
        <v>0</v>
      </c>
      <c r="H275" s="222">
        <f t="shared" si="59"/>
        <v>0</v>
      </c>
      <c r="I275" s="546"/>
      <c r="J275" s="223">
        <f>Cen!I660</f>
        <v>0</v>
      </c>
      <c r="K275" s="223">
        <f>Cen!J660</f>
        <v>0</v>
      </c>
      <c r="L275" s="219"/>
      <c r="M275" s="463"/>
      <c r="N275" s="224"/>
      <c r="O275" s="224"/>
      <c r="P275" s="224"/>
      <c r="Q275" s="224"/>
      <c r="R275" s="224"/>
      <c r="S275" s="224"/>
      <c r="T275" s="224"/>
      <c r="U275" s="224"/>
      <c r="V275" s="224"/>
      <c r="W275" s="224"/>
      <c r="X275" s="224"/>
      <c r="Y275" s="224"/>
      <c r="Z275" s="224"/>
      <c r="AA275" s="224"/>
      <c r="AB275" s="224"/>
      <c r="AC275" s="224"/>
      <c r="AD275" s="224"/>
      <c r="AE275" s="224"/>
      <c r="AF275" s="224"/>
      <c r="AG275" s="224"/>
      <c r="AH275" s="224"/>
      <c r="AI275" s="224"/>
      <c r="AJ275" s="224"/>
      <c r="AK275" s="224"/>
      <c r="AL275" s="224"/>
      <c r="AM275" s="224"/>
      <c r="AN275" s="224"/>
      <c r="AO275" s="224"/>
      <c r="AP275" s="224"/>
      <c r="AQ275" s="224"/>
      <c r="AR275" s="224"/>
      <c r="AS275" s="469"/>
      <c r="AT275" s="224"/>
      <c r="AU275" s="224"/>
      <c r="AV275" s="224"/>
      <c r="AW275" s="224"/>
      <c r="AX275" s="224"/>
      <c r="AY275" s="224"/>
      <c r="AZ275" s="224"/>
      <c r="BA275" s="469"/>
      <c r="BB275" s="224"/>
      <c r="BC275" s="224"/>
      <c r="BD275" s="224"/>
      <c r="BE275" s="214"/>
    </row>
    <row r="276" spans="2:57" x14ac:dyDescent="0.25">
      <c r="B276" s="225">
        <f>Cen!A661</f>
        <v>0</v>
      </c>
      <c r="C276" s="225">
        <f>Cen!B661</f>
        <v>0</v>
      </c>
      <c r="D276" s="225">
        <f>Cen!C661</f>
        <v>0</v>
      </c>
      <c r="E276" s="674">
        <f>Cen!D661</f>
        <v>0</v>
      </c>
      <c r="F276" s="233"/>
      <c r="G276" s="221">
        <f>Cen!F661</f>
        <v>0</v>
      </c>
      <c r="H276" s="222">
        <f t="shared" ref="H276:H281" si="62">M276</f>
        <v>0</v>
      </c>
      <c r="I276" s="546"/>
      <c r="J276" s="223">
        <f>Cen!I661</f>
        <v>0</v>
      </c>
      <c r="K276" s="223">
        <f>Cen!J661</f>
        <v>0</v>
      </c>
      <c r="L276" s="219"/>
      <c r="M276" s="463"/>
      <c r="N276" s="224"/>
      <c r="O276" s="224"/>
      <c r="P276" s="224"/>
      <c r="Q276" s="224"/>
      <c r="R276" s="224"/>
      <c r="S276" s="224"/>
      <c r="T276" s="224"/>
      <c r="U276" s="224"/>
      <c r="V276" s="224"/>
      <c r="W276" s="224"/>
      <c r="X276" s="224"/>
      <c r="Y276" s="224"/>
      <c r="Z276" s="224"/>
      <c r="AA276" s="224"/>
      <c r="AB276" s="224"/>
      <c r="AC276" s="224"/>
      <c r="AD276" s="224"/>
      <c r="AE276" s="224"/>
      <c r="AF276" s="224"/>
      <c r="AG276" s="224"/>
      <c r="AH276" s="224"/>
      <c r="AI276" s="224"/>
      <c r="AJ276" s="224"/>
      <c r="AK276" s="224"/>
      <c r="AL276" s="224"/>
      <c r="AM276" s="224"/>
      <c r="AN276" s="224"/>
      <c r="AO276" s="224"/>
      <c r="AP276" s="224"/>
      <c r="AQ276" s="224"/>
      <c r="AR276" s="224"/>
      <c r="AS276" s="469"/>
      <c r="AT276" s="224"/>
      <c r="AU276" s="224"/>
      <c r="AV276" s="224"/>
      <c r="AW276" s="224"/>
      <c r="AX276" s="224"/>
      <c r="AY276" s="224"/>
      <c r="AZ276" s="224"/>
      <c r="BA276" s="469"/>
      <c r="BB276" s="224"/>
      <c r="BC276" s="224"/>
      <c r="BD276" s="224"/>
      <c r="BE276" s="214"/>
    </row>
    <row r="277" spans="2:57" x14ac:dyDescent="0.25">
      <c r="B277" s="225">
        <f>Cen!A662</f>
        <v>0</v>
      </c>
      <c r="C277" s="225">
        <f>Cen!B662</f>
        <v>0</v>
      </c>
      <c r="D277" s="225">
        <f>Cen!C662</f>
        <v>0</v>
      </c>
      <c r="E277" s="674">
        <f>Cen!D662</f>
        <v>0</v>
      </c>
      <c r="F277" s="233"/>
      <c r="G277" s="221">
        <f>Cen!F662</f>
        <v>0</v>
      </c>
      <c r="H277" s="222">
        <f t="shared" si="62"/>
        <v>0</v>
      </c>
      <c r="I277" s="546"/>
      <c r="J277" s="223">
        <f>Cen!I662</f>
        <v>0</v>
      </c>
      <c r="K277" s="223">
        <f>Cen!J662</f>
        <v>0</v>
      </c>
      <c r="L277" s="219"/>
      <c r="M277" s="463"/>
      <c r="N277" s="224"/>
      <c r="O277" s="224"/>
      <c r="P277" s="224"/>
      <c r="Q277" s="224"/>
      <c r="R277" s="224"/>
      <c r="S277" s="224"/>
      <c r="T277" s="224"/>
      <c r="U277" s="224"/>
      <c r="V277" s="224"/>
      <c r="W277" s="224"/>
      <c r="X277" s="224"/>
      <c r="Y277" s="224"/>
      <c r="Z277" s="224"/>
      <c r="AA277" s="224"/>
      <c r="AB277" s="224"/>
      <c r="AC277" s="224"/>
      <c r="AD277" s="224"/>
      <c r="AE277" s="224"/>
      <c r="AF277" s="224"/>
      <c r="AG277" s="224"/>
      <c r="AH277" s="224"/>
      <c r="AI277" s="224"/>
      <c r="AJ277" s="224"/>
      <c r="AK277" s="224"/>
      <c r="AL277" s="224"/>
      <c r="AM277" s="224"/>
      <c r="AN277" s="224"/>
      <c r="AO277" s="224"/>
      <c r="AP277" s="224"/>
      <c r="AQ277" s="224"/>
      <c r="AR277" s="224"/>
      <c r="AS277" s="469"/>
      <c r="AT277" s="224"/>
      <c r="AU277" s="224"/>
      <c r="AV277" s="224"/>
      <c r="AW277" s="224"/>
      <c r="AX277" s="224"/>
      <c r="AY277" s="224"/>
      <c r="AZ277" s="224"/>
      <c r="BA277" s="469"/>
      <c r="BB277" s="224"/>
      <c r="BC277" s="224"/>
      <c r="BD277" s="224"/>
      <c r="BE277" s="214"/>
    </row>
    <row r="278" spans="2:57" x14ac:dyDescent="0.25">
      <c r="B278" s="225">
        <f>Cen!A663</f>
        <v>0</v>
      </c>
      <c r="C278" s="225">
        <f>Cen!B663</f>
        <v>0</v>
      </c>
      <c r="D278" s="225">
        <f>Cen!C663</f>
        <v>0</v>
      </c>
      <c r="E278" s="674">
        <f>Cen!D663</f>
        <v>0</v>
      </c>
      <c r="F278" s="233"/>
      <c r="G278" s="221">
        <f>Cen!F663</f>
        <v>0</v>
      </c>
      <c r="H278" s="222">
        <f t="shared" si="62"/>
        <v>0</v>
      </c>
      <c r="I278" s="546"/>
      <c r="J278" s="223">
        <f>Cen!I663</f>
        <v>0</v>
      </c>
      <c r="K278" s="223">
        <f>Cen!J663</f>
        <v>0</v>
      </c>
      <c r="L278" s="219"/>
      <c r="M278" s="463"/>
      <c r="N278" s="224"/>
      <c r="O278" s="224"/>
      <c r="P278" s="224"/>
      <c r="Q278" s="224"/>
      <c r="R278" s="224"/>
      <c r="S278" s="224"/>
      <c r="T278" s="224"/>
      <c r="U278" s="224"/>
      <c r="V278" s="224"/>
      <c r="W278" s="224"/>
      <c r="X278" s="224"/>
      <c r="Y278" s="224"/>
      <c r="Z278" s="224"/>
      <c r="AA278" s="224"/>
      <c r="AB278" s="224"/>
      <c r="AC278" s="224"/>
      <c r="AD278" s="224"/>
      <c r="AE278" s="224"/>
      <c r="AF278" s="224"/>
      <c r="AG278" s="224"/>
      <c r="AH278" s="224"/>
      <c r="AI278" s="224"/>
      <c r="AJ278" s="224"/>
      <c r="AK278" s="224"/>
      <c r="AL278" s="224"/>
      <c r="AM278" s="224"/>
      <c r="AN278" s="224"/>
      <c r="AO278" s="224"/>
      <c r="AP278" s="224"/>
      <c r="AQ278" s="224"/>
      <c r="AR278" s="224"/>
      <c r="AS278" s="469"/>
      <c r="AT278" s="224"/>
      <c r="AU278" s="224"/>
      <c r="AV278" s="224"/>
      <c r="AW278" s="224"/>
      <c r="AX278" s="224"/>
      <c r="AY278" s="224"/>
      <c r="AZ278" s="224"/>
      <c r="BA278" s="469"/>
      <c r="BB278" s="224"/>
      <c r="BC278" s="224"/>
      <c r="BD278" s="224"/>
      <c r="BE278" s="214"/>
    </row>
    <row r="279" spans="2:57" x14ac:dyDescent="0.25">
      <c r="B279" s="225">
        <f>Cen!A664</f>
        <v>0</v>
      </c>
      <c r="C279" s="225">
        <f>Cen!B664</f>
        <v>0</v>
      </c>
      <c r="D279" s="225">
        <f>Cen!C664</f>
        <v>0</v>
      </c>
      <c r="E279" s="674">
        <f>Cen!D664</f>
        <v>0</v>
      </c>
      <c r="F279" s="233"/>
      <c r="G279" s="221">
        <f>Cen!F664</f>
        <v>0</v>
      </c>
      <c r="H279" s="222">
        <f t="shared" si="62"/>
        <v>0</v>
      </c>
      <c r="I279" s="546"/>
      <c r="J279" s="223">
        <f>Cen!I664</f>
        <v>0</v>
      </c>
      <c r="K279" s="223">
        <f>Cen!J664</f>
        <v>0</v>
      </c>
      <c r="L279" s="219"/>
      <c r="M279" s="463"/>
      <c r="N279" s="224"/>
      <c r="O279" s="224"/>
      <c r="P279" s="224"/>
      <c r="Q279" s="224"/>
      <c r="R279" s="224"/>
      <c r="S279" s="224"/>
      <c r="T279" s="224"/>
      <c r="U279" s="224"/>
      <c r="V279" s="224"/>
      <c r="W279" s="224"/>
      <c r="X279" s="224"/>
      <c r="Y279" s="224"/>
      <c r="Z279" s="224"/>
      <c r="AA279" s="224"/>
      <c r="AB279" s="224"/>
      <c r="AC279" s="224"/>
      <c r="AD279" s="224"/>
      <c r="AE279" s="224"/>
      <c r="AF279" s="224"/>
      <c r="AG279" s="224"/>
      <c r="AH279" s="224"/>
      <c r="AI279" s="224"/>
      <c r="AJ279" s="224"/>
      <c r="AK279" s="224"/>
      <c r="AL279" s="224"/>
      <c r="AM279" s="224"/>
      <c r="AN279" s="224"/>
      <c r="AO279" s="224"/>
      <c r="AP279" s="224"/>
      <c r="AQ279" s="224"/>
      <c r="AR279" s="224"/>
      <c r="AS279" s="469"/>
      <c r="AT279" s="224"/>
      <c r="AU279" s="224"/>
      <c r="AV279" s="224"/>
      <c r="AW279" s="224"/>
      <c r="AX279" s="224"/>
      <c r="AY279" s="224"/>
      <c r="AZ279" s="224"/>
      <c r="BA279" s="469"/>
      <c r="BB279" s="224"/>
      <c r="BC279" s="224"/>
      <c r="BD279" s="224"/>
      <c r="BE279" s="214"/>
    </row>
    <row r="280" spans="2:57" x14ac:dyDescent="0.25">
      <c r="B280" s="225">
        <f>Cen!A665</f>
        <v>0</v>
      </c>
      <c r="C280" s="225">
        <f>Cen!B665</f>
        <v>0</v>
      </c>
      <c r="D280" s="225">
        <f>Cen!C665</f>
        <v>0</v>
      </c>
      <c r="E280" s="674">
        <f>Cen!D665</f>
        <v>0</v>
      </c>
      <c r="F280" s="233"/>
      <c r="G280" s="221">
        <f>Cen!F665</f>
        <v>0</v>
      </c>
      <c r="H280" s="222">
        <f t="shared" si="62"/>
        <v>0</v>
      </c>
      <c r="I280" s="546"/>
      <c r="J280" s="223">
        <f>Cen!I665</f>
        <v>0</v>
      </c>
      <c r="K280" s="223">
        <f>Cen!J665</f>
        <v>0</v>
      </c>
      <c r="L280" s="219"/>
      <c r="M280" s="463"/>
      <c r="N280" s="224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  <c r="AA280" s="224"/>
      <c r="AB280" s="224"/>
      <c r="AC280" s="224"/>
      <c r="AD280" s="224"/>
      <c r="AE280" s="224"/>
      <c r="AF280" s="224"/>
      <c r="AG280" s="224"/>
      <c r="AH280" s="224"/>
      <c r="AI280" s="224"/>
      <c r="AJ280" s="224"/>
      <c r="AK280" s="224"/>
      <c r="AL280" s="224"/>
      <c r="AM280" s="224"/>
      <c r="AN280" s="224"/>
      <c r="AO280" s="224"/>
      <c r="AP280" s="224"/>
      <c r="AQ280" s="224"/>
      <c r="AR280" s="224"/>
      <c r="AS280" s="469"/>
      <c r="AT280" s="224"/>
      <c r="AU280" s="224"/>
      <c r="AV280" s="224"/>
      <c r="AW280" s="224"/>
      <c r="AX280" s="224"/>
      <c r="AY280" s="224"/>
      <c r="AZ280" s="224"/>
      <c r="BA280" s="469"/>
      <c r="BB280" s="224"/>
      <c r="BC280" s="224"/>
      <c r="BD280" s="224"/>
      <c r="BE280" s="214"/>
    </row>
    <row r="281" spans="2:57" x14ac:dyDescent="0.25">
      <c r="B281" s="225">
        <f>Cen!A666</f>
        <v>0</v>
      </c>
      <c r="C281" s="225">
        <f>Cen!B666</f>
        <v>0</v>
      </c>
      <c r="D281" s="225">
        <f>Cen!C666</f>
        <v>0</v>
      </c>
      <c r="E281" s="674">
        <f>Cen!D666</f>
        <v>0</v>
      </c>
      <c r="F281" s="233"/>
      <c r="G281" s="221">
        <f>Cen!F666</f>
        <v>0</v>
      </c>
      <c r="H281" s="222">
        <f t="shared" si="62"/>
        <v>0</v>
      </c>
      <c r="I281" s="546"/>
      <c r="J281" s="223">
        <f>Cen!I666</f>
        <v>0</v>
      </c>
      <c r="K281" s="223">
        <f>Cen!J666</f>
        <v>0</v>
      </c>
      <c r="L281" s="219"/>
      <c r="M281" s="463"/>
      <c r="N281" s="224"/>
      <c r="O281" s="224"/>
      <c r="P281" s="224"/>
      <c r="Q281" s="224"/>
      <c r="R281" s="224"/>
      <c r="S281" s="224"/>
      <c r="T281" s="224"/>
      <c r="U281" s="224"/>
      <c r="V281" s="224"/>
      <c r="W281" s="224"/>
      <c r="X281" s="224"/>
      <c r="Y281" s="224"/>
      <c r="Z281" s="224"/>
      <c r="AA281" s="224"/>
      <c r="AB281" s="224"/>
      <c r="AC281" s="224"/>
      <c r="AD281" s="224"/>
      <c r="AE281" s="224"/>
      <c r="AF281" s="224"/>
      <c r="AG281" s="224"/>
      <c r="AH281" s="224"/>
      <c r="AI281" s="224"/>
      <c r="AJ281" s="224"/>
      <c r="AK281" s="224"/>
      <c r="AL281" s="224"/>
      <c r="AM281" s="224"/>
      <c r="AN281" s="224"/>
      <c r="AO281" s="224"/>
      <c r="AP281" s="224"/>
      <c r="AQ281" s="224"/>
      <c r="AR281" s="224"/>
      <c r="AS281" s="469"/>
      <c r="AT281" s="224"/>
      <c r="AU281" s="224"/>
      <c r="AV281" s="224"/>
      <c r="AW281" s="224"/>
      <c r="AX281" s="224"/>
      <c r="AY281" s="224"/>
      <c r="AZ281" s="224"/>
      <c r="BA281" s="469"/>
      <c r="BB281" s="224"/>
      <c r="BC281" s="224"/>
      <c r="BD281" s="224"/>
      <c r="BE281" s="214"/>
    </row>
    <row r="282" spans="2:57" x14ac:dyDescent="0.25">
      <c r="B282" s="253"/>
      <c r="C282" s="254"/>
      <c r="D282" s="254"/>
      <c r="E282" s="675"/>
      <c r="F282" s="254"/>
      <c r="G282" s="223"/>
      <c r="H282" s="223"/>
      <c r="I282" s="223"/>
      <c r="J282" s="223"/>
      <c r="K282" s="254"/>
      <c r="L282" s="219"/>
      <c r="M282" s="463"/>
      <c r="N282" s="224"/>
      <c r="O282" s="224"/>
      <c r="P282" s="224"/>
      <c r="Q282" s="224"/>
      <c r="R282" s="224"/>
      <c r="S282" s="224"/>
      <c r="T282" s="224"/>
      <c r="U282" s="224"/>
      <c r="V282" s="224"/>
      <c r="W282" s="224"/>
      <c r="X282" s="224"/>
      <c r="Y282" s="224"/>
      <c r="Z282" s="224"/>
      <c r="AA282" s="224"/>
      <c r="AB282" s="224"/>
      <c r="AC282" s="224"/>
      <c r="AD282" s="224"/>
      <c r="AE282" s="224"/>
      <c r="AF282" s="224"/>
      <c r="AG282" s="224"/>
      <c r="AH282" s="224"/>
      <c r="AI282" s="224"/>
      <c r="AJ282" s="224"/>
      <c r="AK282" s="224"/>
      <c r="AL282" s="224"/>
      <c r="AM282" s="224"/>
      <c r="AN282" s="224"/>
      <c r="AO282" s="224"/>
      <c r="AP282" s="224"/>
      <c r="AQ282" s="224"/>
      <c r="AR282" s="224"/>
      <c r="AS282" s="469"/>
      <c r="AT282" s="224"/>
      <c r="AU282" s="224"/>
      <c r="AV282" s="224"/>
      <c r="AW282" s="224"/>
      <c r="AX282" s="224"/>
      <c r="AY282" s="224"/>
      <c r="AZ282" s="224"/>
      <c r="BA282" s="469"/>
      <c r="BB282" s="224"/>
      <c r="BC282" s="224"/>
      <c r="BD282" s="224"/>
      <c r="BE282" s="214"/>
    </row>
    <row r="283" spans="2:57" x14ac:dyDescent="0.25">
      <c r="B283" s="253"/>
      <c r="C283" s="254"/>
      <c r="D283" s="254"/>
      <c r="E283" s="675"/>
      <c r="F283" s="254"/>
      <c r="G283" s="223"/>
      <c r="H283" s="223"/>
      <c r="I283" s="223"/>
      <c r="J283" s="223"/>
      <c r="K283" s="254"/>
      <c r="L283" s="219"/>
      <c r="M283" s="463"/>
      <c r="N283" s="224"/>
      <c r="O283" s="224"/>
      <c r="P283" s="224"/>
      <c r="Q283" s="224"/>
      <c r="R283" s="224"/>
      <c r="S283" s="224"/>
      <c r="T283" s="224"/>
      <c r="U283" s="224"/>
      <c r="V283" s="224"/>
      <c r="W283" s="224"/>
      <c r="X283" s="224"/>
      <c r="Y283" s="224"/>
      <c r="Z283" s="224"/>
      <c r="AA283" s="224"/>
      <c r="AB283" s="224"/>
      <c r="AC283" s="224"/>
      <c r="AD283" s="224"/>
      <c r="AE283" s="224"/>
      <c r="AF283" s="224"/>
      <c r="AG283" s="224"/>
      <c r="AH283" s="224"/>
      <c r="AI283" s="224"/>
      <c r="AJ283" s="224"/>
      <c r="AK283" s="224"/>
      <c r="AL283" s="224"/>
      <c r="AM283" s="224"/>
      <c r="AN283" s="224"/>
      <c r="AO283" s="224"/>
      <c r="AP283" s="224"/>
      <c r="AQ283" s="224"/>
      <c r="AR283" s="224"/>
      <c r="AS283" s="469"/>
      <c r="AT283" s="224"/>
      <c r="AU283" s="224"/>
      <c r="AV283" s="224"/>
      <c r="AW283" s="224"/>
      <c r="AX283" s="224"/>
      <c r="AY283" s="224"/>
      <c r="AZ283" s="224"/>
      <c r="BA283" s="469"/>
      <c r="BB283" s="224"/>
      <c r="BC283" s="224"/>
      <c r="BD283" s="224"/>
      <c r="BE283" s="214"/>
    </row>
    <row r="284" spans="2:57" x14ac:dyDescent="0.25">
      <c r="B284" s="253"/>
      <c r="C284" s="254"/>
      <c r="D284" s="254"/>
      <c r="E284" s="675"/>
      <c r="F284" s="254"/>
      <c r="G284" s="223"/>
      <c r="H284" s="223"/>
      <c r="I284" s="223"/>
      <c r="J284" s="223"/>
      <c r="K284" s="254"/>
      <c r="L284" s="219"/>
      <c r="M284" s="463"/>
      <c r="N284" s="224"/>
      <c r="O284" s="224"/>
      <c r="P284" s="224"/>
      <c r="Q284" s="224"/>
      <c r="R284" s="224"/>
      <c r="S284" s="224"/>
      <c r="T284" s="224"/>
      <c r="U284" s="224"/>
      <c r="V284" s="224"/>
      <c r="W284" s="224"/>
      <c r="X284" s="224"/>
      <c r="Y284" s="224"/>
      <c r="Z284" s="224"/>
      <c r="AA284" s="224"/>
      <c r="AB284" s="224"/>
      <c r="AC284" s="224"/>
      <c r="AD284" s="224"/>
      <c r="AE284" s="224"/>
      <c r="AF284" s="224"/>
      <c r="AG284" s="224"/>
      <c r="AH284" s="224"/>
      <c r="AI284" s="224"/>
      <c r="AJ284" s="224"/>
      <c r="AK284" s="224"/>
      <c r="AL284" s="224"/>
      <c r="AM284" s="224"/>
      <c r="AN284" s="224"/>
      <c r="AO284" s="224"/>
      <c r="AP284" s="224"/>
      <c r="AQ284" s="224"/>
      <c r="AR284" s="224"/>
      <c r="AS284" s="469"/>
      <c r="AT284" s="224"/>
      <c r="AU284" s="224"/>
      <c r="AV284" s="224"/>
      <c r="AW284" s="224"/>
      <c r="AX284" s="224"/>
      <c r="AY284" s="224"/>
      <c r="AZ284" s="224"/>
      <c r="BA284" s="469"/>
      <c r="BB284" s="224"/>
      <c r="BC284" s="224"/>
      <c r="BD284" s="224"/>
      <c r="BE284" s="214"/>
    </row>
    <row r="285" spans="2:57" x14ac:dyDescent="0.25">
      <c r="B285" s="253"/>
      <c r="C285" s="254"/>
      <c r="D285" s="254"/>
      <c r="E285" s="675"/>
      <c r="F285" s="254"/>
      <c r="G285" s="223"/>
      <c r="H285" s="223"/>
      <c r="I285" s="223"/>
      <c r="J285" s="223"/>
      <c r="K285" s="254"/>
      <c r="L285" s="219"/>
      <c r="M285" s="463"/>
      <c r="N285" s="224"/>
      <c r="O285" s="224"/>
      <c r="P285" s="224"/>
      <c r="Q285" s="224"/>
      <c r="R285" s="224"/>
      <c r="S285" s="224"/>
      <c r="T285" s="224"/>
      <c r="U285" s="224"/>
      <c r="V285" s="224"/>
      <c r="W285" s="224"/>
      <c r="X285" s="224"/>
      <c r="Y285" s="224"/>
      <c r="Z285" s="224"/>
      <c r="AA285" s="224"/>
      <c r="AB285" s="224"/>
      <c r="AC285" s="224"/>
      <c r="AD285" s="224"/>
      <c r="AE285" s="224"/>
      <c r="AF285" s="224"/>
      <c r="AG285" s="224"/>
      <c r="AH285" s="224"/>
      <c r="AI285" s="224"/>
      <c r="AJ285" s="224"/>
      <c r="AK285" s="224"/>
      <c r="AL285" s="224"/>
      <c r="AM285" s="224"/>
      <c r="AN285" s="224"/>
      <c r="AO285" s="224"/>
      <c r="AP285" s="224"/>
      <c r="AQ285" s="224"/>
      <c r="AR285" s="224"/>
      <c r="AS285" s="469"/>
      <c r="AT285" s="224"/>
      <c r="AU285" s="224"/>
      <c r="AV285" s="224"/>
      <c r="AW285" s="224"/>
      <c r="AX285" s="224"/>
      <c r="AY285" s="224"/>
      <c r="AZ285" s="224"/>
      <c r="BA285" s="469"/>
      <c r="BB285" s="224"/>
      <c r="BC285" s="224"/>
      <c r="BD285" s="224"/>
      <c r="BE285" s="214"/>
    </row>
    <row r="286" spans="2:57" x14ac:dyDescent="0.25">
      <c r="B286" s="253"/>
      <c r="C286" s="254"/>
      <c r="D286" s="254"/>
      <c r="E286" s="675"/>
      <c r="F286" s="254"/>
      <c r="G286" s="223"/>
      <c r="H286" s="223"/>
      <c r="I286" s="223"/>
      <c r="J286" s="223"/>
      <c r="K286" s="254"/>
      <c r="L286" s="219"/>
      <c r="M286" s="463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24"/>
      <c r="AF286" s="224"/>
      <c r="AG286" s="224"/>
      <c r="AH286" s="224"/>
      <c r="AI286" s="224"/>
      <c r="AJ286" s="224"/>
      <c r="AK286" s="224"/>
      <c r="AL286" s="224"/>
      <c r="AM286" s="224"/>
      <c r="AN286" s="224"/>
      <c r="AO286" s="224"/>
      <c r="AP286" s="224"/>
      <c r="AQ286" s="224"/>
      <c r="AR286" s="224"/>
      <c r="AS286" s="469"/>
      <c r="AT286" s="224"/>
      <c r="AU286" s="224"/>
      <c r="AV286" s="224"/>
      <c r="AW286" s="224"/>
      <c r="AX286" s="224"/>
      <c r="AY286" s="224"/>
      <c r="AZ286" s="224"/>
      <c r="BA286" s="469"/>
      <c r="BB286" s="224"/>
      <c r="BC286" s="224"/>
      <c r="BD286" s="224"/>
      <c r="BE286" s="214"/>
    </row>
    <row r="287" spans="2:57" x14ac:dyDescent="0.25">
      <c r="B287" s="253"/>
      <c r="C287" s="254"/>
      <c r="D287" s="254"/>
      <c r="E287" s="675"/>
      <c r="F287" s="254"/>
      <c r="G287" s="223"/>
      <c r="H287" s="223"/>
      <c r="I287" s="223"/>
      <c r="J287" s="223"/>
      <c r="K287" s="254"/>
      <c r="L287" s="219"/>
      <c r="M287" s="463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24"/>
      <c r="AF287" s="224"/>
      <c r="AG287" s="224"/>
      <c r="AH287" s="224"/>
      <c r="AI287" s="224"/>
      <c r="AJ287" s="224"/>
      <c r="AK287" s="224"/>
      <c r="AL287" s="224"/>
      <c r="AM287" s="224"/>
      <c r="AN287" s="224"/>
      <c r="AO287" s="224"/>
      <c r="AP287" s="224"/>
      <c r="AQ287" s="224"/>
      <c r="AR287" s="224"/>
      <c r="AS287" s="469"/>
      <c r="AT287" s="224"/>
      <c r="AU287" s="224"/>
      <c r="AV287" s="224"/>
      <c r="AW287" s="224"/>
      <c r="AX287" s="224"/>
      <c r="AY287" s="224"/>
      <c r="AZ287" s="224"/>
      <c r="BA287" s="469"/>
      <c r="BB287" s="224"/>
      <c r="BC287" s="224"/>
      <c r="BD287" s="224"/>
      <c r="BE287" s="214"/>
    </row>
    <row r="288" spans="2:57" x14ac:dyDescent="0.25">
      <c r="B288" s="253"/>
      <c r="C288" s="254"/>
      <c r="D288" s="254"/>
      <c r="E288" s="675"/>
      <c r="F288" s="254"/>
      <c r="G288" s="223"/>
      <c r="H288" s="223"/>
      <c r="I288" s="223"/>
      <c r="J288" s="223"/>
      <c r="K288" s="254"/>
      <c r="L288" s="219"/>
      <c r="M288" s="463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24"/>
      <c r="AG288" s="224"/>
      <c r="AH288" s="224"/>
      <c r="AI288" s="224"/>
      <c r="AJ288" s="224"/>
      <c r="AK288" s="224"/>
      <c r="AL288" s="224"/>
      <c r="AM288" s="224"/>
      <c r="AN288" s="224"/>
      <c r="AO288" s="224"/>
      <c r="AP288" s="224"/>
      <c r="AQ288" s="224"/>
      <c r="AR288" s="224"/>
      <c r="AS288" s="469"/>
      <c r="AT288" s="224"/>
      <c r="AU288" s="224"/>
      <c r="AV288" s="224"/>
      <c r="AW288" s="224"/>
      <c r="AX288" s="224"/>
      <c r="AY288" s="224"/>
      <c r="AZ288" s="224"/>
      <c r="BA288" s="469"/>
      <c r="BB288" s="224"/>
      <c r="BC288" s="224"/>
      <c r="BD288" s="224"/>
      <c r="BE288" s="214"/>
    </row>
    <row r="289" spans="1:57" x14ac:dyDescent="0.25">
      <c r="B289" s="253"/>
      <c r="C289" s="254"/>
      <c r="D289" s="254"/>
      <c r="E289" s="675"/>
      <c r="F289" s="254"/>
      <c r="G289" s="223"/>
      <c r="H289" s="223"/>
      <c r="I289" s="223"/>
      <c r="J289" s="223"/>
      <c r="K289" s="254"/>
      <c r="L289" s="219"/>
      <c r="M289" s="463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24"/>
      <c r="AG289" s="224"/>
      <c r="AH289" s="224"/>
      <c r="AI289" s="224"/>
      <c r="AJ289" s="224"/>
      <c r="AK289" s="224"/>
      <c r="AL289" s="224"/>
      <c r="AM289" s="224"/>
      <c r="AN289" s="224"/>
      <c r="AO289" s="224"/>
      <c r="AP289" s="224"/>
      <c r="AQ289" s="224"/>
      <c r="AR289" s="224"/>
      <c r="AS289" s="469"/>
      <c r="AT289" s="224"/>
      <c r="AU289" s="224"/>
      <c r="AV289" s="224"/>
      <c r="AW289" s="224"/>
      <c r="AX289" s="224"/>
      <c r="AY289" s="224"/>
      <c r="AZ289" s="224"/>
      <c r="BA289" s="469"/>
      <c r="BB289" s="224"/>
      <c r="BC289" s="224"/>
      <c r="BD289" s="224"/>
      <c r="BE289" s="214"/>
    </row>
    <row r="290" spans="1:57" x14ac:dyDescent="0.25">
      <c r="B290" s="253"/>
      <c r="C290" s="254"/>
      <c r="D290" s="254"/>
      <c r="E290" s="675"/>
      <c r="F290" s="254"/>
      <c r="G290" s="223"/>
      <c r="H290" s="223"/>
      <c r="I290" s="223"/>
      <c r="J290" s="223"/>
      <c r="K290" s="254"/>
      <c r="L290" s="219"/>
      <c r="M290" s="463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469"/>
      <c r="AT290" s="224"/>
      <c r="AU290" s="224"/>
      <c r="AV290" s="224"/>
      <c r="AW290" s="224"/>
      <c r="AX290" s="224"/>
      <c r="AY290" s="224"/>
      <c r="AZ290" s="224"/>
      <c r="BA290" s="469"/>
      <c r="BB290" s="224"/>
      <c r="BC290" s="224"/>
      <c r="BD290" s="224"/>
      <c r="BE290" s="214"/>
    </row>
    <row r="291" spans="1:57" x14ac:dyDescent="0.25">
      <c r="B291" s="253"/>
      <c r="C291" s="254"/>
      <c r="D291" s="254"/>
      <c r="E291" s="675"/>
      <c r="F291" s="254"/>
      <c r="G291" s="223"/>
      <c r="H291" s="223"/>
      <c r="I291" s="223"/>
      <c r="J291" s="223"/>
      <c r="K291" s="254"/>
      <c r="L291" s="219"/>
      <c r="M291" s="463"/>
      <c r="N291" s="224"/>
      <c r="O291" s="224"/>
      <c r="P291" s="224"/>
      <c r="Q291" s="224"/>
      <c r="R291" s="224"/>
      <c r="S291" s="224"/>
      <c r="T291" s="224"/>
      <c r="U291" s="224"/>
      <c r="V291" s="224"/>
      <c r="W291" s="224"/>
      <c r="X291" s="224"/>
      <c r="Y291" s="224"/>
      <c r="Z291" s="224"/>
      <c r="AA291" s="224"/>
      <c r="AB291" s="224"/>
      <c r="AC291" s="224"/>
      <c r="AD291" s="224"/>
      <c r="AE291" s="224"/>
      <c r="AF291" s="224"/>
      <c r="AG291" s="224"/>
      <c r="AH291" s="224"/>
      <c r="AI291" s="224"/>
      <c r="AJ291" s="224"/>
      <c r="AK291" s="224"/>
      <c r="AL291" s="224"/>
      <c r="AM291" s="224"/>
      <c r="AN291" s="224"/>
      <c r="AO291" s="224"/>
      <c r="AP291" s="224"/>
      <c r="AQ291" s="224"/>
      <c r="AR291" s="224"/>
      <c r="AS291" s="469"/>
      <c r="AT291" s="224"/>
      <c r="AU291" s="224"/>
      <c r="AV291" s="224"/>
      <c r="AW291" s="224"/>
      <c r="AX291" s="224"/>
      <c r="AY291" s="224"/>
      <c r="AZ291" s="224"/>
      <c r="BA291" s="469"/>
      <c r="BB291" s="224"/>
      <c r="BC291" s="224"/>
      <c r="BD291" s="224"/>
      <c r="BE291" s="214"/>
    </row>
    <row r="292" spans="1:57" x14ac:dyDescent="0.25">
      <c r="B292" s="226"/>
      <c r="C292" s="203"/>
      <c r="D292" s="203"/>
      <c r="E292" s="676"/>
      <c r="F292" s="203"/>
      <c r="G292" s="203"/>
      <c r="H292" s="203"/>
      <c r="I292" s="214"/>
      <c r="J292" s="203"/>
      <c r="K292" s="203"/>
      <c r="M292" s="460">
        <f>SUM(M11:M291)</f>
        <v>0</v>
      </c>
      <c r="N292" s="224"/>
      <c r="O292" s="224"/>
      <c r="P292" s="224"/>
      <c r="Q292" s="224"/>
      <c r="R292" s="224"/>
      <c r="S292" s="224"/>
      <c r="T292" s="224"/>
      <c r="U292" s="224"/>
      <c r="V292" s="224"/>
      <c r="W292" s="224"/>
      <c r="X292" s="224"/>
      <c r="Y292" s="224"/>
      <c r="Z292" s="224"/>
      <c r="AA292" s="224"/>
      <c r="AB292" s="224"/>
      <c r="AC292" s="224"/>
      <c r="AD292" s="224"/>
      <c r="AE292" s="224"/>
      <c r="AF292" s="224"/>
      <c r="AG292" s="224"/>
      <c r="AH292" s="224"/>
      <c r="AI292" s="224"/>
      <c r="AJ292" s="224"/>
      <c r="AK292" s="224"/>
      <c r="AL292" s="224"/>
      <c r="AM292" s="224"/>
      <c r="AN292" s="224"/>
      <c r="AO292" s="224"/>
      <c r="AP292" s="224"/>
      <c r="AQ292" s="224"/>
      <c r="AR292" s="224"/>
      <c r="AS292" s="469"/>
      <c r="AT292" s="224"/>
      <c r="AU292" s="224"/>
      <c r="AV292" s="224"/>
      <c r="AW292" s="224"/>
      <c r="AX292" s="224"/>
      <c r="AY292" s="224"/>
      <c r="AZ292" s="224"/>
      <c r="BA292" s="469"/>
      <c r="BB292" s="224"/>
      <c r="BC292" s="224"/>
      <c r="BD292" s="224"/>
      <c r="BE292" s="214"/>
    </row>
    <row r="293" spans="1:57" ht="14.5" x14ac:dyDescent="0.35">
      <c r="B293" s="226"/>
      <c r="C293" s="227"/>
      <c r="D293" s="228"/>
      <c r="E293" s="677"/>
      <c r="F293" s="229" t="str">
        <f>List!$B$106&amp;" "</f>
        <v xml:space="preserve">Cena celkem bez DPH </v>
      </c>
      <c r="G293" s="851" t="str">
        <f>List!B107&amp;"   "&amp;TEXT(M292,"# ##0,00")&amp;" "</f>
        <v xml:space="preserve">Kč   0,00 </v>
      </c>
      <c r="H293" s="851"/>
      <c r="I293" s="214"/>
      <c r="J293" s="203"/>
      <c r="K293" s="203"/>
      <c r="N293" s="224"/>
      <c r="O293" s="224"/>
      <c r="P293" s="224"/>
      <c r="Q293" s="224"/>
      <c r="R293" s="224"/>
      <c r="S293" s="224"/>
      <c r="T293" s="224"/>
      <c r="U293" s="224"/>
      <c r="V293" s="224"/>
      <c r="W293" s="224"/>
      <c r="X293" s="224"/>
      <c r="Y293" s="224"/>
      <c r="Z293" s="224"/>
      <c r="AA293" s="224"/>
      <c r="AB293" s="224"/>
      <c r="AC293" s="224"/>
      <c r="AD293" s="224"/>
      <c r="AE293" s="224"/>
      <c r="AF293" s="224"/>
      <c r="AG293" s="224"/>
      <c r="AH293" s="224"/>
      <c r="AI293" s="224"/>
      <c r="AJ293" s="224"/>
      <c r="AK293" s="224"/>
      <c r="AL293" s="224"/>
      <c r="AM293" s="224"/>
      <c r="AN293" s="224"/>
      <c r="AO293" s="224"/>
      <c r="AP293" s="224"/>
      <c r="AQ293" s="224"/>
      <c r="AR293" s="224"/>
      <c r="AS293" s="469"/>
      <c r="AT293" s="224"/>
      <c r="AU293" s="224"/>
      <c r="AV293" s="224"/>
      <c r="AW293" s="224"/>
      <c r="AX293" s="224"/>
      <c r="AY293" s="224"/>
      <c r="AZ293" s="224"/>
      <c r="BA293" s="469"/>
      <c r="BB293" s="224"/>
      <c r="BC293" s="224"/>
      <c r="BD293" s="224"/>
      <c r="BE293" s="214"/>
    </row>
    <row r="294" spans="1:57" x14ac:dyDescent="0.25">
      <c r="B294" s="226"/>
      <c r="C294" s="203"/>
      <c r="D294" s="203"/>
      <c r="E294" s="676"/>
      <c r="F294" s="203"/>
      <c r="G294" s="203"/>
      <c r="H294" s="203"/>
      <c r="I294" s="214"/>
      <c r="J294" s="203"/>
      <c r="K294" s="203"/>
      <c r="N294" s="224"/>
      <c r="O294" s="224"/>
      <c r="P294" s="224"/>
      <c r="Q294" s="224"/>
      <c r="R294" s="224"/>
      <c r="S294" s="224"/>
      <c r="T294" s="224"/>
      <c r="U294" s="224"/>
      <c r="V294" s="224"/>
      <c r="W294" s="224"/>
      <c r="X294" s="224"/>
      <c r="Y294" s="224"/>
      <c r="Z294" s="224"/>
      <c r="AA294" s="224"/>
      <c r="AB294" s="224"/>
      <c r="AC294" s="224"/>
      <c r="AD294" s="224"/>
      <c r="AE294" s="224"/>
      <c r="AF294" s="224"/>
      <c r="AG294" s="224"/>
      <c r="AH294" s="224"/>
      <c r="AI294" s="224"/>
      <c r="AJ294" s="224"/>
      <c r="AK294" s="224"/>
      <c r="AL294" s="224"/>
      <c r="AM294" s="224"/>
      <c r="AN294" s="224"/>
      <c r="AO294" s="224"/>
      <c r="AP294" s="224"/>
      <c r="AQ294" s="224"/>
      <c r="AR294" s="224"/>
      <c r="AS294" s="469"/>
      <c r="AT294" s="224"/>
      <c r="AU294" s="224"/>
      <c r="AV294" s="224"/>
      <c r="AW294" s="224"/>
      <c r="AX294" s="224"/>
      <c r="AY294" s="224"/>
      <c r="AZ294" s="224"/>
      <c r="BA294" s="469"/>
      <c r="BB294" s="224"/>
      <c r="BC294" s="224"/>
      <c r="BD294" s="224"/>
      <c r="BE294" s="214"/>
    </row>
    <row r="295" spans="1:57" x14ac:dyDescent="0.25">
      <c r="B295" s="547" t="str">
        <f>IF(SUM(BD11:BD271)&gt;0,List!$B$186&amp;". "&amp;List!$B$185&amp;"!"," ")</f>
        <v xml:space="preserve"> </v>
      </c>
      <c r="C295" s="203"/>
      <c r="D295" s="203"/>
      <c r="E295" s="676"/>
      <c r="F295" s="203"/>
      <c r="G295" s="203"/>
      <c r="H295" s="203"/>
      <c r="I295" s="214"/>
      <c r="J295" s="203"/>
      <c r="K295" s="203"/>
      <c r="N295" s="224"/>
      <c r="O295" s="224"/>
      <c r="P295" s="224"/>
      <c r="Q295" s="224"/>
      <c r="R295" s="224"/>
      <c r="S295" s="224"/>
      <c r="T295" s="224"/>
      <c r="U295" s="224"/>
      <c r="V295" s="224"/>
      <c r="W295" s="224"/>
      <c r="X295" s="224"/>
      <c r="Y295" s="224"/>
      <c r="Z295" s="224"/>
      <c r="AA295" s="224"/>
      <c r="AB295" s="224"/>
      <c r="AC295" s="224"/>
      <c r="AD295" s="224"/>
      <c r="AE295" s="224"/>
      <c r="AF295" s="224"/>
      <c r="AG295" s="224"/>
      <c r="AH295" s="224"/>
      <c r="AI295" s="224"/>
      <c r="AJ295" s="224"/>
      <c r="AK295" s="224"/>
      <c r="AL295" s="224"/>
      <c r="AM295" s="224"/>
      <c r="AN295" s="224"/>
      <c r="AO295" s="224"/>
      <c r="AP295" s="224"/>
      <c r="AQ295" s="224"/>
      <c r="AR295" s="224"/>
      <c r="AS295" s="469"/>
      <c r="AT295" s="224"/>
      <c r="AU295" s="224"/>
      <c r="AV295" s="224"/>
      <c r="AW295" s="224"/>
      <c r="AX295" s="224"/>
      <c r="AY295" s="224"/>
      <c r="AZ295" s="224"/>
      <c r="BA295" s="469"/>
      <c r="BB295" s="224"/>
      <c r="BC295" s="224"/>
      <c r="BD295" s="224"/>
      <c r="BE295" s="214"/>
    </row>
    <row r="296" spans="1:57" ht="7.5" customHeight="1" x14ac:dyDescent="0.25">
      <c r="B296" s="547"/>
      <c r="C296" s="203"/>
      <c r="D296" s="203"/>
      <c r="E296" s="676"/>
      <c r="F296" s="203"/>
      <c r="G296" s="203"/>
      <c r="H296" s="203"/>
      <c r="I296" s="214"/>
      <c r="J296" s="203"/>
      <c r="K296" s="203"/>
      <c r="N296" s="224"/>
      <c r="O296" s="224"/>
      <c r="P296" s="224"/>
      <c r="Q296" s="224"/>
      <c r="R296" s="224"/>
      <c r="S296" s="224"/>
      <c r="T296" s="224"/>
      <c r="U296" s="224"/>
      <c r="V296" s="224"/>
      <c r="W296" s="224"/>
      <c r="X296" s="224"/>
      <c r="Y296" s="224"/>
      <c r="Z296" s="224"/>
      <c r="AA296" s="224"/>
      <c r="AB296" s="224"/>
      <c r="AC296" s="224"/>
      <c r="AD296" s="224"/>
      <c r="AE296" s="224"/>
      <c r="AF296" s="224"/>
      <c r="AG296" s="224"/>
      <c r="AH296" s="224"/>
      <c r="AI296" s="224"/>
      <c r="AJ296" s="224"/>
      <c r="AK296" s="224"/>
      <c r="AL296" s="224"/>
      <c r="AM296" s="224"/>
      <c r="AN296" s="224"/>
      <c r="AO296" s="224"/>
      <c r="AP296" s="224"/>
      <c r="AQ296" s="224"/>
      <c r="AR296" s="224"/>
      <c r="AS296" s="469"/>
      <c r="AT296" s="224"/>
      <c r="AU296" s="224"/>
      <c r="AV296" s="224"/>
      <c r="AW296" s="224"/>
      <c r="AX296" s="224"/>
      <c r="AY296" s="224"/>
      <c r="AZ296" s="224"/>
      <c r="BA296" s="469"/>
      <c r="BB296" s="224"/>
      <c r="BC296" s="224"/>
      <c r="BD296" s="224"/>
      <c r="BE296" s="214"/>
    </row>
    <row r="297" spans="1:57" ht="15" customHeight="1" x14ac:dyDescent="0.25">
      <c r="B297" s="14" t="str">
        <f>List!$B$256&amp;":"</f>
        <v>Poznámka:</v>
      </c>
      <c r="C297" s="203"/>
      <c r="D297" s="203"/>
      <c r="E297" s="676"/>
      <c r="F297" s="203"/>
      <c r="G297" s="203"/>
      <c r="H297" s="203"/>
      <c r="I297" s="214"/>
      <c r="J297" s="203"/>
      <c r="K297" s="203"/>
      <c r="N297" s="214"/>
      <c r="O297" s="214"/>
      <c r="P297" s="214"/>
      <c r="Q297" s="214"/>
      <c r="R297" s="214"/>
      <c r="S297" s="214"/>
      <c r="T297" s="214"/>
      <c r="U297" s="214"/>
      <c r="V297" s="214"/>
      <c r="W297" s="214"/>
      <c r="X297" s="214"/>
      <c r="Y297" s="214"/>
      <c r="Z297" s="214"/>
      <c r="AA297" s="214"/>
      <c r="AB297" s="214"/>
      <c r="AC297" s="214"/>
      <c r="AD297" s="214"/>
      <c r="AE297" s="214"/>
      <c r="AF297" s="214"/>
      <c r="AG297" s="214"/>
      <c r="AH297" s="214"/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469"/>
      <c r="AT297" s="214"/>
      <c r="AU297" s="214"/>
      <c r="AV297" s="214"/>
      <c r="AW297" s="214"/>
      <c r="AX297" s="214"/>
      <c r="AY297" s="214"/>
      <c r="AZ297" s="214"/>
      <c r="BA297" s="469"/>
      <c r="BB297" s="214"/>
      <c r="BC297" s="214"/>
      <c r="BD297" s="214"/>
      <c r="BE297" s="214"/>
    </row>
    <row r="298" spans="1:57" s="203" customFormat="1" ht="11.5" x14ac:dyDescent="0.25">
      <c r="A298" s="648"/>
      <c r="B298" s="850"/>
      <c r="C298" s="850"/>
      <c r="D298" s="850"/>
      <c r="E298" s="850"/>
      <c r="F298" s="850"/>
      <c r="G298" s="850"/>
      <c r="H298" s="850"/>
      <c r="I298" s="850"/>
      <c r="J298" s="850"/>
      <c r="K298" s="850"/>
      <c r="M298" s="460"/>
      <c r="N298" s="214"/>
      <c r="O298" s="214"/>
      <c r="P298" s="214"/>
      <c r="Q298" s="214"/>
      <c r="R298" s="214"/>
      <c r="S298" s="214"/>
      <c r="T298" s="214"/>
      <c r="U298" s="214"/>
      <c r="V298" s="214"/>
      <c r="W298" s="214"/>
      <c r="X298" s="214"/>
      <c r="Y298" s="214"/>
      <c r="Z298" s="214"/>
      <c r="AA298" s="214"/>
      <c r="AB298" s="214"/>
      <c r="AC298" s="214"/>
      <c r="AD298" s="214"/>
      <c r="AE298" s="214"/>
      <c r="AF298" s="214"/>
      <c r="AG298" s="214"/>
      <c r="AH298" s="214"/>
      <c r="AI298" s="214"/>
      <c r="AJ298" s="214"/>
      <c r="AK298" s="214"/>
      <c r="AL298" s="214"/>
      <c r="AM298" s="214"/>
      <c r="AN298" s="214"/>
      <c r="AO298" s="214"/>
      <c r="AP298" s="214"/>
      <c r="AQ298" s="214"/>
      <c r="AR298" s="214"/>
      <c r="AS298" s="469"/>
      <c r="AT298" s="214"/>
      <c r="AU298" s="214"/>
      <c r="AV298" s="214"/>
      <c r="AW298" s="214"/>
      <c r="AX298" s="214"/>
      <c r="AY298" s="214"/>
      <c r="AZ298" s="214"/>
      <c r="BA298" s="469"/>
      <c r="BB298" s="214"/>
      <c r="BC298" s="214"/>
      <c r="BD298" s="214"/>
      <c r="BE298" s="214"/>
    </row>
    <row r="299" spans="1:57" s="203" customFormat="1" ht="11.5" x14ac:dyDescent="0.25">
      <c r="A299" s="648"/>
      <c r="B299" s="850"/>
      <c r="C299" s="850"/>
      <c r="D299" s="850"/>
      <c r="E299" s="850"/>
      <c r="F299" s="850"/>
      <c r="G299" s="850"/>
      <c r="H299" s="850"/>
      <c r="I299" s="850"/>
      <c r="J299" s="850"/>
      <c r="K299" s="850"/>
      <c r="M299" s="460"/>
      <c r="N299" s="214"/>
      <c r="O299" s="214"/>
      <c r="P299" s="214"/>
      <c r="Q299" s="214"/>
      <c r="R299" s="214"/>
      <c r="S299" s="214"/>
      <c r="T299" s="214"/>
      <c r="U299" s="214"/>
      <c r="V299" s="214"/>
      <c r="W299" s="214"/>
      <c r="X299" s="214"/>
      <c r="Y299" s="214"/>
      <c r="Z299" s="214"/>
      <c r="AA299" s="214"/>
      <c r="AB299" s="214"/>
      <c r="AC299" s="214"/>
      <c r="AD299" s="214"/>
      <c r="AE299" s="214"/>
      <c r="AF299" s="214"/>
      <c r="AG299" s="214"/>
      <c r="AH299" s="214"/>
      <c r="AI299" s="214"/>
      <c r="AJ299" s="214"/>
      <c r="AK299" s="214"/>
      <c r="AL299" s="214"/>
      <c r="AM299" s="214"/>
      <c r="AN299" s="214"/>
      <c r="AO299" s="214"/>
      <c r="AP299" s="214"/>
      <c r="AQ299" s="214"/>
      <c r="AR299" s="214"/>
      <c r="AS299" s="469"/>
      <c r="AT299" s="214"/>
      <c r="AU299" s="214"/>
      <c r="AV299" s="214"/>
      <c r="AW299" s="214"/>
      <c r="AX299" s="214"/>
      <c r="AY299" s="214"/>
      <c r="AZ299" s="214"/>
      <c r="BA299" s="469"/>
      <c r="BB299" s="214"/>
      <c r="BC299" s="214"/>
      <c r="BD299" s="214"/>
      <c r="BE299" s="214"/>
    </row>
    <row r="300" spans="1:57" s="203" customFormat="1" ht="11.5" x14ac:dyDescent="0.25">
      <c r="A300" s="648"/>
      <c r="B300" s="850"/>
      <c r="C300" s="850"/>
      <c r="D300" s="850"/>
      <c r="E300" s="850"/>
      <c r="F300" s="850"/>
      <c r="G300" s="850"/>
      <c r="H300" s="850"/>
      <c r="I300" s="850"/>
      <c r="J300" s="850"/>
      <c r="K300" s="850"/>
      <c r="M300" s="460"/>
      <c r="N300" s="214"/>
      <c r="O300" s="214"/>
      <c r="P300" s="214"/>
      <c r="Q300" s="214"/>
      <c r="R300" s="214"/>
      <c r="S300" s="214"/>
      <c r="T300" s="214"/>
      <c r="U300" s="214"/>
      <c r="V300" s="214"/>
      <c r="W300" s="214"/>
      <c r="X300" s="214"/>
      <c r="Y300" s="214"/>
      <c r="Z300" s="214"/>
      <c r="AA300" s="214"/>
      <c r="AB300" s="214"/>
      <c r="AC300" s="214"/>
      <c r="AD300" s="214"/>
      <c r="AE300" s="214"/>
      <c r="AF300" s="214"/>
      <c r="AG300" s="214"/>
      <c r="AH300" s="214"/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469"/>
      <c r="AT300" s="214"/>
      <c r="AU300" s="214"/>
      <c r="AV300" s="214"/>
      <c r="AW300" s="214"/>
      <c r="AX300" s="214"/>
      <c r="AY300" s="214"/>
      <c r="AZ300" s="214"/>
      <c r="BA300" s="469"/>
      <c r="BB300" s="214"/>
      <c r="BC300" s="214"/>
      <c r="BD300" s="214"/>
      <c r="BE300" s="214"/>
    </row>
    <row r="301" spans="1:57" s="203" customFormat="1" ht="11.5" x14ac:dyDescent="0.25">
      <c r="A301" s="648"/>
      <c r="E301" s="676"/>
      <c r="I301" s="214"/>
      <c r="M301" s="460"/>
      <c r="N301" s="214"/>
      <c r="O301" s="214"/>
      <c r="P301" s="214"/>
      <c r="Q301" s="214"/>
      <c r="R301" s="214"/>
      <c r="S301" s="214"/>
      <c r="T301" s="214"/>
      <c r="U301" s="214"/>
      <c r="V301" s="214"/>
      <c r="W301" s="214"/>
      <c r="X301" s="214"/>
      <c r="Y301" s="214"/>
      <c r="Z301" s="214"/>
      <c r="AA301" s="214"/>
      <c r="AB301" s="214"/>
      <c r="AC301" s="214"/>
      <c r="AD301" s="214"/>
      <c r="AE301" s="214"/>
      <c r="AF301" s="214"/>
      <c r="AG301" s="214"/>
      <c r="AH301" s="214"/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469"/>
      <c r="AT301" s="214"/>
      <c r="AU301" s="214"/>
      <c r="AV301" s="214"/>
      <c r="AW301" s="214"/>
      <c r="AX301" s="214"/>
      <c r="AY301" s="214"/>
      <c r="AZ301" s="214"/>
      <c r="BA301" s="469"/>
      <c r="BB301" s="214"/>
      <c r="BC301" s="214"/>
      <c r="BD301" s="214"/>
      <c r="BE301" s="214"/>
    </row>
    <row r="302" spans="1:57" s="203" customFormat="1" ht="11.5" x14ac:dyDescent="0.25">
      <c r="A302" s="648"/>
      <c r="B302" s="230"/>
      <c r="E302" s="676"/>
      <c r="I302" s="214"/>
      <c r="M302" s="460"/>
      <c r="N302" s="214"/>
      <c r="O302" s="214"/>
      <c r="P302" s="214"/>
      <c r="Q302" s="214"/>
      <c r="R302" s="214"/>
      <c r="S302" s="214"/>
      <c r="T302" s="214"/>
      <c r="U302" s="214"/>
      <c r="V302" s="214"/>
      <c r="W302" s="214"/>
      <c r="X302" s="214"/>
      <c r="Y302" s="214"/>
      <c r="Z302" s="214"/>
      <c r="AA302" s="214"/>
      <c r="AB302" s="214"/>
      <c r="AC302" s="214"/>
      <c r="AD302" s="214"/>
      <c r="AE302" s="214"/>
      <c r="AF302" s="214"/>
      <c r="AG302" s="214"/>
      <c r="AH302" s="214"/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469"/>
      <c r="AT302" s="214"/>
      <c r="AU302" s="214"/>
      <c r="AV302" s="214"/>
      <c r="AW302" s="214"/>
      <c r="AX302" s="214"/>
      <c r="AY302" s="214"/>
      <c r="AZ302" s="214"/>
      <c r="BA302" s="469"/>
      <c r="BB302" s="214"/>
      <c r="BC302" s="214"/>
      <c r="BD302" s="214"/>
      <c r="BE302" s="214"/>
    </row>
    <row r="303" spans="1:57" s="203" customFormat="1" ht="11.5" x14ac:dyDescent="0.25">
      <c r="A303" s="648"/>
      <c r="E303" s="676"/>
      <c r="I303" s="214"/>
      <c r="M303" s="460"/>
      <c r="N303" s="214"/>
      <c r="O303" s="214"/>
      <c r="P303" s="214"/>
      <c r="Q303" s="214"/>
      <c r="R303" s="214"/>
      <c r="S303" s="214"/>
      <c r="T303" s="214"/>
      <c r="U303" s="214"/>
      <c r="V303" s="214"/>
      <c r="W303" s="214"/>
      <c r="X303" s="214"/>
      <c r="Y303" s="214"/>
      <c r="Z303" s="214"/>
      <c r="AA303" s="214"/>
      <c r="AB303" s="214"/>
      <c r="AC303" s="214"/>
      <c r="AD303" s="214"/>
      <c r="AE303" s="214"/>
      <c r="AF303" s="214"/>
      <c r="AG303" s="214"/>
      <c r="AH303" s="214"/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469"/>
      <c r="AT303" s="214"/>
      <c r="AU303" s="214"/>
      <c r="AV303" s="214"/>
      <c r="AW303" s="214"/>
      <c r="AX303" s="214"/>
      <c r="AY303" s="214"/>
      <c r="AZ303" s="214"/>
      <c r="BA303" s="469"/>
      <c r="BB303" s="214"/>
      <c r="BC303" s="214"/>
      <c r="BD303" s="214"/>
      <c r="BE303" s="214"/>
    </row>
    <row r="304" spans="1:57" s="203" customFormat="1" ht="11.5" x14ac:dyDescent="0.25">
      <c r="A304" s="648"/>
      <c r="B304" s="203" t="str">
        <f>"       "&amp;List!$B$287</f>
        <v xml:space="preserve">       Po úpravě objenávky odfiltrujte pomocí filtru ve sloupci "Ks" prázné řádky.</v>
      </c>
      <c r="E304" s="676"/>
      <c r="I304" s="214"/>
      <c r="M304" s="460"/>
      <c r="N304" s="214"/>
      <c r="O304" s="214"/>
      <c r="P304" s="214"/>
      <c r="Q304" s="214"/>
      <c r="R304" s="214"/>
      <c r="S304" s="214"/>
      <c r="T304" s="214"/>
      <c r="U304" s="214"/>
      <c r="V304" s="214"/>
      <c r="W304" s="214"/>
      <c r="X304" s="214"/>
      <c r="Y304" s="214"/>
      <c r="Z304" s="214"/>
      <c r="AA304" s="214"/>
      <c r="AB304" s="214"/>
      <c r="AC304" s="214"/>
      <c r="AD304" s="214"/>
      <c r="AE304" s="214"/>
      <c r="AF304" s="214"/>
      <c r="AG304" s="214"/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469"/>
      <c r="AT304" s="214"/>
      <c r="AU304" s="214"/>
      <c r="AV304" s="214"/>
      <c r="AW304" s="214"/>
      <c r="AX304" s="214"/>
      <c r="AY304" s="214"/>
      <c r="AZ304" s="214"/>
      <c r="BA304" s="469"/>
      <c r="BB304" s="214"/>
      <c r="BC304" s="214"/>
      <c r="BD304" s="214"/>
      <c r="BE304" s="214"/>
    </row>
    <row r="305" spans="1:57" s="203" customFormat="1" ht="11.5" x14ac:dyDescent="0.25">
      <c r="A305" s="648"/>
      <c r="E305" s="676"/>
      <c r="I305" s="214"/>
      <c r="M305" s="460"/>
      <c r="N305" s="214"/>
      <c r="O305" s="214"/>
      <c r="P305" s="214"/>
      <c r="Q305" s="214"/>
      <c r="R305" s="214"/>
      <c r="S305" s="214"/>
      <c r="T305" s="214"/>
      <c r="U305" s="214"/>
      <c r="V305" s="214"/>
      <c r="W305" s="214"/>
      <c r="X305" s="214"/>
      <c r="Y305" s="214"/>
      <c r="Z305" s="214"/>
      <c r="AA305" s="214"/>
      <c r="AB305" s="214"/>
      <c r="AC305" s="214"/>
      <c r="AD305" s="214"/>
      <c r="AE305" s="214"/>
      <c r="AF305" s="214"/>
      <c r="AG305" s="214"/>
      <c r="AH305" s="214"/>
      <c r="AI305" s="214"/>
      <c r="AJ305" s="214"/>
      <c r="AK305" s="214"/>
      <c r="AL305" s="214"/>
      <c r="AM305" s="214"/>
      <c r="AN305" s="214"/>
      <c r="AO305" s="214"/>
      <c r="AP305" s="214"/>
      <c r="AQ305" s="214"/>
      <c r="AR305" s="214"/>
      <c r="AS305" s="469"/>
      <c r="AT305" s="214"/>
      <c r="AU305" s="214"/>
      <c r="AV305" s="214"/>
      <c r="AW305" s="214"/>
      <c r="AX305" s="214"/>
      <c r="AY305" s="214"/>
      <c r="AZ305" s="214"/>
      <c r="BA305" s="469"/>
      <c r="BB305" s="214"/>
      <c r="BC305" s="214"/>
      <c r="BD305" s="214"/>
      <c r="BE305" s="214"/>
    </row>
    <row r="306" spans="1:57" s="203" customFormat="1" ht="11.5" x14ac:dyDescent="0.25">
      <c r="A306" s="648"/>
      <c r="B306" s="203" t="str">
        <f>"       "&amp;List!$B$289&amp;" '"&amp;List!$B$291&amp;"'"</f>
        <v xml:space="preserve">       Chcete-li objednávku uložit nebo odeslat jako přílohu, vytvořte nový soubor kliknutím na odkaz 'Vytvořit objednávku'</v>
      </c>
      <c r="E306" s="676"/>
      <c r="I306" s="214"/>
      <c r="M306" s="460"/>
      <c r="N306" s="214"/>
      <c r="O306" s="214"/>
      <c r="P306" s="214"/>
      <c r="Q306" s="214"/>
      <c r="R306" s="214"/>
      <c r="S306" s="214"/>
      <c r="T306" s="214"/>
      <c r="U306" s="214"/>
      <c r="V306" s="214"/>
      <c r="W306" s="214"/>
      <c r="X306" s="214"/>
      <c r="Y306" s="214"/>
      <c r="Z306" s="214"/>
      <c r="AA306" s="214"/>
      <c r="AB306" s="214"/>
      <c r="AC306" s="214"/>
      <c r="AD306" s="214"/>
      <c r="AE306" s="214"/>
      <c r="AF306" s="214"/>
      <c r="AG306" s="214"/>
      <c r="AH306" s="214"/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469"/>
      <c r="AT306" s="214"/>
      <c r="AU306" s="214"/>
      <c r="AV306" s="214"/>
      <c r="AW306" s="214"/>
      <c r="AX306" s="214"/>
      <c r="AY306" s="214"/>
      <c r="AZ306" s="214"/>
      <c r="BA306" s="469"/>
      <c r="BB306" s="214"/>
      <c r="BC306" s="214"/>
      <c r="BD306" s="214"/>
      <c r="BE306" s="214"/>
    </row>
    <row r="307" spans="1:57" s="203" customFormat="1" ht="11.5" x14ac:dyDescent="0.25">
      <c r="A307" s="648"/>
      <c r="E307" s="676"/>
      <c r="I307" s="214"/>
      <c r="M307" s="460"/>
      <c r="N307" s="214"/>
      <c r="O307" s="214"/>
      <c r="P307" s="214"/>
      <c r="Q307" s="214"/>
      <c r="R307" s="214"/>
      <c r="S307" s="214"/>
      <c r="T307" s="214"/>
      <c r="U307" s="214"/>
      <c r="V307" s="214"/>
      <c r="W307" s="214"/>
      <c r="X307" s="214"/>
      <c r="Y307" s="214"/>
      <c r="Z307" s="214"/>
      <c r="AA307" s="214"/>
      <c r="AB307" s="214"/>
      <c r="AC307" s="214"/>
      <c r="AD307" s="214"/>
      <c r="AE307" s="214"/>
      <c r="AF307" s="214"/>
      <c r="AG307" s="214"/>
      <c r="AH307" s="214"/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469"/>
      <c r="AT307" s="214"/>
      <c r="AU307" s="214"/>
      <c r="AV307" s="214"/>
      <c r="AW307" s="214"/>
      <c r="AX307" s="214"/>
      <c r="AY307" s="214"/>
      <c r="AZ307" s="214"/>
      <c r="BA307" s="469"/>
      <c r="BB307" s="214"/>
      <c r="BC307" s="214"/>
      <c r="BD307" s="214"/>
      <c r="BE307" s="214"/>
    </row>
    <row r="308" spans="1:57" s="203" customFormat="1" ht="11.5" x14ac:dyDescent="0.25">
      <c r="A308" s="648"/>
      <c r="E308" s="676"/>
      <c r="I308" s="849" t="str">
        <f>List!B291</f>
        <v>Vytvořit objednávku</v>
      </c>
      <c r="J308" s="849"/>
      <c r="K308" s="849"/>
      <c r="M308" s="460"/>
      <c r="N308" s="214"/>
      <c r="O308" s="214"/>
      <c r="P308" s="214"/>
      <c r="Q308" s="214"/>
      <c r="R308" s="214"/>
      <c r="S308" s="214"/>
      <c r="T308" s="214"/>
      <c r="U308" s="214"/>
      <c r="V308" s="214"/>
      <c r="W308" s="214"/>
      <c r="X308" s="214"/>
      <c r="Y308" s="214"/>
      <c r="Z308" s="214"/>
      <c r="AA308" s="214"/>
      <c r="AB308" s="214"/>
      <c r="AC308" s="214"/>
      <c r="AD308" s="214"/>
      <c r="AE308" s="214"/>
      <c r="AF308" s="214"/>
      <c r="AG308" s="214"/>
      <c r="AH308" s="214"/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469"/>
      <c r="AT308" s="214"/>
      <c r="AU308" s="214"/>
      <c r="AV308" s="214"/>
      <c r="AW308" s="214"/>
      <c r="AX308" s="214"/>
      <c r="AY308" s="214"/>
      <c r="AZ308" s="214"/>
      <c r="BA308" s="469"/>
      <c r="BB308" s="214"/>
      <c r="BC308" s="214"/>
      <c r="BD308" s="214"/>
      <c r="BE308" s="214"/>
    </row>
    <row r="309" spans="1:57" s="203" customFormat="1" ht="11.5" x14ac:dyDescent="0.25">
      <c r="A309" s="648"/>
      <c r="E309" s="676"/>
      <c r="I309" s="214"/>
      <c r="M309" s="460"/>
      <c r="N309" s="214"/>
      <c r="O309" s="214"/>
      <c r="P309" s="214"/>
      <c r="Q309" s="214"/>
      <c r="R309" s="214"/>
      <c r="S309" s="214"/>
      <c r="T309" s="214"/>
      <c r="U309" s="214"/>
      <c r="V309" s="214"/>
      <c r="W309" s="214"/>
      <c r="X309" s="214"/>
      <c r="Y309" s="214"/>
      <c r="Z309" s="214"/>
      <c r="AA309" s="214"/>
      <c r="AB309" s="214"/>
      <c r="AC309" s="214"/>
      <c r="AD309" s="214"/>
      <c r="AE309" s="214"/>
      <c r="AF309" s="214"/>
      <c r="AG309" s="214"/>
      <c r="AH309" s="214"/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469"/>
      <c r="AT309" s="214"/>
      <c r="AU309" s="214"/>
      <c r="AV309" s="214"/>
      <c r="AW309" s="214"/>
      <c r="AX309" s="214"/>
      <c r="AY309" s="214"/>
      <c r="AZ309" s="214"/>
      <c r="BA309" s="469"/>
      <c r="BB309" s="214"/>
      <c r="BC309" s="214"/>
      <c r="BD309" s="214"/>
      <c r="BE309" s="214"/>
    </row>
    <row r="310" spans="1:57" s="203" customFormat="1" ht="11.5" x14ac:dyDescent="0.25">
      <c r="A310" s="648"/>
      <c r="E310" s="676"/>
      <c r="I310" s="214"/>
      <c r="M310" s="460"/>
      <c r="N310" s="214"/>
      <c r="O310" s="214"/>
      <c r="P310" s="214"/>
      <c r="Q310" s="214"/>
      <c r="R310" s="214"/>
      <c r="S310" s="214"/>
      <c r="T310" s="214"/>
      <c r="U310" s="214"/>
      <c r="V310" s="214"/>
      <c r="W310" s="214"/>
      <c r="X310" s="214"/>
      <c r="Y310" s="214"/>
      <c r="Z310" s="214"/>
      <c r="AA310" s="214"/>
      <c r="AB310" s="214"/>
      <c r="AC310" s="214"/>
      <c r="AD310" s="214"/>
      <c r="AE310" s="214"/>
      <c r="AF310" s="214"/>
      <c r="AG310" s="214"/>
      <c r="AH310" s="214"/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469"/>
      <c r="AT310" s="214"/>
      <c r="AU310" s="214"/>
      <c r="AV310" s="214"/>
      <c r="AW310" s="214"/>
      <c r="AX310" s="214"/>
      <c r="AY310" s="214"/>
      <c r="AZ310" s="214"/>
      <c r="BA310" s="469"/>
      <c r="BB310" s="214"/>
      <c r="BC310" s="214"/>
      <c r="BD310" s="214"/>
      <c r="BE310" s="214"/>
    </row>
    <row r="311" spans="1:57" s="203" customFormat="1" ht="11.5" x14ac:dyDescent="0.25">
      <c r="A311" s="648"/>
      <c r="E311" s="676"/>
      <c r="I311" s="214"/>
      <c r="M311" s="460"/>
      <c r="N311" s="214"/>
      <c r="O311" s="214"/>
      <c r="P311" s="214"/>
      <c r="Q311" s="214"/>
      <c r="R311" s="214"/>
      <c r="S311" s="214"/>
      <c r="T311" s="214"/>
      <c r="U311" s="214"/>
      <c r="V311" s="214"/>
      <c r="W311" s="214"/>
      <c r="X311" s="214"/>
      <c r="Y311" s="214"/>
      <c r="Z311" s="214"/>
      <c r="AA311" s="214"/>
      <c r="AB311" s="214"/>
      <c r="AC311" s="214"/>
      <c r="AD311" s="214"/>
      <c r="AE311" s="214"/>
      <c r="AF311" s="214"/>
      <c r="AG311" s="214"/>
      <c r="AH311" s="214"/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469"/>
      <c r="AT311" s="214"/>
      <c r="AU311" s="214"/>
      <c r="AV311" s="214"/>
      <c r="AW311" s="214"/>
      <c r="AX311" s="214"/>
      <c r="AY311" s="214"/>
      <c r="AZ311" s="214"/>
      <c r="BA311" s="469"/>
      <c r="BB311" s="214"/>
      <c r="BC311" s="214"/>
      <c r="BD311" s="214"/>
      <c r="BE311" s="214"/>
    </row>
    <row r="312" spans="1:57" s="203" customFormat="1" ht="11.5" x14ac:dyDescent="0.25">
      <c r="A312" s="648"/>
      <c r="E312" s="676"/>
      <c r="I312" s="214"/>
      <c r="M312" s="460"/>
      <c r="N312" s="214"/>
      <c r="O312" s="214"/>
      <c r="P312" s="214"/>
      <c r="Q312" s="214"/>
      <c r="R312" s="214"/>
      <c r="S312" s="214"/>
      <c r="T312" s="214"/>
      <c r="U312" s="214"/>
      <c r="V312" s="214"/>
      <c r="W312" s="214"/>
      <c r="X312" s="214"/>
      <c r="Y312" s="214"/>
      <c r="Z312" s="214"/>
      <c r="AA312" s="214"/>
      <c r="AB312" s="214"/>
      <c r="AC312" s="214"/>
      <c r="AD312" s="214"/>
      <c r="AE312" s="214"/>
      <c r="AF312" s="214"/>
      <c r="AG312" s="214"/>
      <c r="AH312" s="214"/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469"/>
      <c r="AT312" s="214"/>
      <c r="AU312" s="214"/>
      <c r="AV312" s="214"/>
      <c r="AW312" s="214"/>
      <c r="AX312" s="214"/>
      <c r="AY312" s="214"/>
      <c r="AZ312" s="214"/>
      <c r="BA312" s="469"/>
      <c r="BB312" s="214"/>
      <c r="BC312" s="214"/>
      <c r="BD312" s="214"/>
      <c r="BE312" s="214"/>
    </row>
    <row r="313" spans="1:57" s="203" customFormat="1" ht="11.5" x14ac:dyDescent="0.25">
      <c r="A313" s="648"/>
      <c r="E313" s="676"/>
      <c r="I313" s="214"/>
      <c r="M313" s="460"/>
      <c r="N313" s="214"/>
      <c r="O313" s="214"/>
      <c r="P313" s="214"/>
      <c r="Q313" s="214"/>
      <c r="R313" s="214"/>
      <c r="S313" s="214"/>
      <c r="T313" s="214"/>
      <c r="U313" s="214"/>
      <c r="V313" s="214"/>
      <c r="W313" s="214"/>
      <c r="X313" s="214"/>
      <c r="Y313" s="214"/>
      <c r="Z313" s="214"/>
      <c r="AA313" s="214"/>
      <c r="AB313" s="214"/>
      <c r="AC313" s="214"/>
      <c r="AD313" s="214"/>
      <c r="AE313" s="214"/>
      <c r="AF313" s="214"/>
      <c r="AG313" s="214"/>
      <c r="AH313" s="214"/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469"/>
      <c r="AT313" s="214"/>
      <c r="AU313" s="214"/>
      <c r="AV313" s="214"/>
      <c r="AW313" s="214"/>
      <c r="AX313" s="214"/>
      <c r="AY313" s="214"/>
      <c r="AZ313" s="214"/>
      <c r="BA313" s="469"/>
      <c r="BB313" s="214"/>
      <c r="BC313" s="214"/>
      <c r="BD313" s="214"/>
      <c r="BE313" s="214"/>
    </row>
    <row r="314" spans="1:57" s="203" customFormat="1" ht="11.5" x14ac:dyDescent="0.25">
      <c r="A314" s="648"/>
      <c r="E314" s="676"/>
      <c r="I314" s="214"/>
      <c r="M314" s="460"/>
      <c r="N314" s="214"/>
      <c r="O314" s="214"/>
      <c r="P314" s="214"/>
      <c r="Q314" s="214"/>
      <c r="R314" s="214"/>
      <c r="S314" s="214"/>
      <c r="T314" s="214"/>
      <c r="U314" s="214"/>
      <c r="V314" s="214"/>
      <c r="W314" s="214"/>
      <c r="X314" s="214"/>
      <c r="Y314" s="214"/>
      <c r="Z314" s="214"/>
      <c r="AA314" s="214"/>
      <c r="AB314" s="214"/>
      <c r="AC314" s="214"/>
      <c r="AD314" s="214"/>
      <c r="AE314" s="214"/>
      <c r="AF314" s="214"/>
      <c r="AG314" s="214"/>
      <c r="AH314" s="214"/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469"/>
      <c r="AT314" s="214"/>
      <c r="AU314" s="214"/>
      <c r="AV314" s="214"/>
      <c r="AW314" s="214"/>
      <c r="AX314" s="214"/>
      <c r="AY314" s="214"/>
      <c r="AZ314" s="214"/>
      <c r="BA314" s="469"/>
      <c r="BB314" s="214"/>
      <c r="BC314" s="214"/>
      <c r="BD314" s="214"/>
      <c r="BE314" s="214"/>
    </row>
    <row r="315" spans="1:57" s="203" customFormat="1" ht="11.5" x14ac:dyDescent="0.25">
      <c r="A315" s="648"/>
      <c r="E315" s="676"/>
      <c r="I315" s="214"/>
      <c r="M315" s="460"/>
      <c r="N315" s="214"/>
      <c r="O315" s="214"/>
      <c r="P315" s="214"/>
      <c r="Q315" s="214"/>
      <c r="R315" s="214"/>
      <c r="S315" s="214"/>
      <c r="T315" s="214"/>
      <c r="U315" s="214"/>
      <c r="V315" s="214"/>
      <c r="W315" s="214"/>
      <c r="X315" s="214"/>
      <c r="Y315" s="214"/>
      <c r="Z315" s="214"/>
      <c r="AA315" s="214"/>
      <c r="AB315" s="214"/>
      <c r="AC315" s="214"/>
      <c r="AD315" s="214"/>
      <c r="AE315" s="214"/>
      <c r="AF315" s="214"/>
      <c r="AG315" s="214"/>
      <c r="AH315" s="214"/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469"/>
      <c r="AT315" s="214"/>
      <c r="AU315" s="214"/>
      <c r="AV315" s="214"/>
      <c r="AW315" s="214"/>
      <c r="AX315" s="214"/>
      <c r="AY315" s="214"/>
      <c r="AZ315" s="214"/>
      <c r="BA315" s="469"/>
      <c r="BB315" s="214"/>
      <c r="BC315" s="214"/>
      <c r="BD315" s="214"/>
      <c r="BE315" s="214"/>
    </row>
    <row r="316" spans="1:57" s="203" customFormat="1" ht="11.5" x14ac:dyDescent="0.25">
      <c r="A316" s="648"/>
      <c r="E316" s="676"/>
      <c r="I316" s="214"/>
      <c r="M316" s="460"/>
      <c r="N316" s="214"/>
      <c r="O316" s="214"/>
      <c r="P316" s="214"/>
      <c r="Q316" s="214"/>
      <c r="R316" s="214"/>
      <c r="S316" s="214"/>
      <c r="T316" s="214"/>
      <c r="U316" s="214"/>
      <c r="V316" s="214"/>
      <c r="W316" s="214"/>
      <c r="X316" s="214"/>
      <c r="Y316" s="214"/>
      <c r="Z316" s="214"/>
      <c r="AA316" s="214"/>
      <c r="AB316" s="214"/>
      <c r="AC316" s="214"/>
      <c r="AD316" s="214"/>
      <c r="AE316" s="214"/>
      <c r="AF316" s="214"/>
      <c r="AG316" s="214"/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469"/>
      <c r="AT316" s="214"/>
      <c r="AU316" s="214"/>
      <c r="AV316" s="214"/>
      <c r="AW316" s="214"/>
      <c r="AX316" s="214"/>
      <c r="AY316" s="214"/>
      <c r="AZ316" s="214"/>
      <c r="BA316" s="469"/>
      <c r="BB316" s="214"/>
      <c r="BC316" s="214"/>
      <c r="BD316" s="214"/>
      <c r="BE316" s="214"/>
    </row>
    <row r="317" spans="1:57" s="203" customFormat="1" ht="11.5" x14ac:dyDescent="0.25">
      <c r="A317" s="648"/>
      <c r="E317" s="676"/>
      <c r="I317" s="214"/>
      <c r="M317" s="460"/>
      <c r="N317" s="214"/>
      <c r="O317" s="214"/>
      <c r="P317" s="214"/>
      <c r="Q317" s="214"/>
      <c r="R317" s="214"/>
      <c r="S317" s="214"/>
      <c r="T317" s="214"/>
      <c r="U317" s="214"/>
      <c r="V317" s="214"/>
      <c r="W317" s="214"/>
      <c r="X317" s="214"/>
      <c r="Y317" s="214"/>
      <c r="Z317" s="214"/>
      <c r="AA317" s="214"/>
      <c r="AB317" s="214"/>
      <c r="AC317" s="214"/>
      <c r="AD317" s="214"/>
      <c r="AE317" s="214"/>
      <c r="AF317" s="214"/>
      <c r="AG317" s="214"/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469"/>
      <c r="AT317" s="214"/>
      <c r="AU317" s="214"/>
      <c r="AV317" s="214"/>
      <c r="AW317" s="214"/>
      <c r="AX317" s="214"/>
      <c r="AY317" s="214"/>
      <c r="AZ317" s="214"/>
      <c r="BA317" s="469"/>
      <c r="BB317" s="214"/>
      <c r="BC317" s="214"/>
      <c r="BD317" s="214"/>
      <c r="BE317" s="214"/>
    </row>
    <row r="318" spans="1:57" s="203" customFormat="1" ht="11.5" x14ac:dyDescent="0.25">
      <c r="A318" s="648"/>
      <c r="E318" s="676"/>
      <c r="I318" s="214"/>
      <c r="M318" s="460"/>
      <c r="N318" s="214"/>
      <c r="O318" s="214"/>
      <c r="P318" s="214"/>
      <c r="Q318" s="214"/>
      <c r="R318" s="214"/>
      <c r="S318" s="214"/>
      <c r="T318" s="214"/>
      <c r="U318" s="214"/>
      <c r="V318" s="214"/>
      <c r="W318" s="214"/>
      <c r="X318" s="214"/>
      <c r="Y318" s="214"/>
      <c r="Z318" s="214"/>
      <c r="AA318" s="214"/>
      <c r="AB318" s="214"/>
      <c r="AC318" s="214"/>
      <c r="AD318" s="214"/>
      <c r="AE318" s="214"/>
      <c r="AF318" s="214"/>
      <c r="AG318" s="214"/>
      <c r="AH318" s="214"/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469"/>
      <c r="AT318" s="214"/>
      <c r="AU318" s="214"/>
      <c r="AV318" s="214"/>
      <c r="AW318" s="214"/>
      <c r="AX318" s="214"/>
      <c r="AY318" s="214"/>
      <c r="AZ318" s="214"/>
      <c r="BA318" s="469"/>
      <c r="BB318" s="214"/>
      <c r="BC318" s="214"/>
      <c r="BD318" s="214"/>
      <c r="BE318" s="214"/>
    </row>
    <row r="319" spans="1:57" s="203" customFormat="1" ht="11.5" x14ac:dyDescent="0.25">
      <c r="A319" s="648"/>
      <c r="E319" s="676"/>
      <c r="I319" s="214"/>
      <c r="M319" s="460"/>
      <c r="N319" s="214"/>
      <c r="O319" s="214"/>
      <c r="P319" s="214"/>
      <c r="Q319" s="214"/>
      <c r="R319" s="214"/>
      <c r="S319" s="214"/>
      <c r="T319" s="214"/>
      <c r="U319" s="214"/>
      <c r="V319" s="214"/>
      <c r="W319" s="214"/>
      <c r="X319" s="214"/>
      <c r="Y319" s="214"/>
      <c r="Z319" s="214"/>
      <c r="AA319" s="214"/>
      <c r="AB319" s="214"/>
      <c r="AC319" s="214"/>
      <c r="AD319" s="214"/>
      <c r="AE319" s="214"/>
      <c r="AF319" s="214"/>
      <c r="AG319" s="214"/>
      <c r="AH319" s="214"/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469"/>
      <c r="AT319" s="214"/>
      <c r="AU319" s="214"/>
      <c r="AV319" s="214"/>
      <c r="AW319" s="214"/>
      <c r="AX319" s="214"/>
      <c r="AY319" s="214"/>
      <c r="AZ319" s="214"/>
      <c r="BA319" s="469"/>
      <c r="BB319" s="214"/>
      <c r="BC319" s="214"/>
      <c r="BD319" s="214"/>
      <c r="BE319" s="214"/>
    </row>
    <row r="320" spans="1:57" s="203" customFormat="1" ht="11.5" x14ac:dyDescent="0.25">
      <c r="A320" s="648"/>
      <c r="E320" s="676"/>
      <c r="I320" s="214"/>
      <c r="M320" s="460"/>
      <c r="N320" s="214"/>
      <c r="O320" s="214"/>
      <c r="P320" s="214"/>
      <c r="Q320" s="214"/>
      <c r="R320" s="214"/>
      <c r="S320" s="214"/>
      <c r="T320" s="214"/>
      <c r="U320" s="214"/>
      <c r="V320" s="214"/>
      <c r="W320" s="214"/>
      <c r="X320" s="214"/>
      <c r="Y320" s="214"/>
      <c r="Z320" s="214"/>
      <c r="AA320" s="214"/>
      <c r="AB320" s="214"/>
      <c r="AC320" s="214"/>
      <c r="AD320" s="214"/>
      <c r="AE320" s="214"/>
      <c r="AF320" s="214"/>
      <c r="AG320" s="214"/>
      <c r="AH320" s="214"/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469"/>
      <c r="AT320" s="214"/>
      <c r="AU320" s="214"/>
      <c r="AV320" s="214"/>
      <c r="AW320" s="214"/>
      <c r="AX320" s="214"/>
      <c r="AY320" s="214"/>
      <c r="AZ320" s="214"/>
      <c r="BA320" s="469"/>
      <c r="BB320" s="214"/>
      <c r="BC320" s="214"/>
      <c r="BD320" s="214"/>
      <c r="BE320" s="214"/>
    </row>
    <row r="321" spans="1:57" s="203" customFormat="1" ht="11.5" x14ac:dyDescent="0.25">
      <c r="A321" s="648"/>
      <c r="E321" s="676"/>
      <c r="I321" s="214"/>
      <c r="M321" s="460"/>
      <c r="N321" s="214"/>
      <c r="O321" s="214"/>
      <c r="P321" s="214"/>
      <c r="Q321" s="214"/>
      <c r="R321" s="214"/>
      <c r="S321" s="214"/>
      <c r="T321" s="214"/>
      <c r="U321" s="214"/>
      <c r="V321" s="214"/>
      <c r="W321" s="214"/>
      <c r="X321" s="214"/>
      <c r="Y321" s="214"/>
      <c r="Z321" s="214"/>
      <c r="AA321" s="214"/>
      <c r="AB321" s="214"/>
      <c r="AC321" s="214"/>
      <c r="AD321" s="214"/>
      <c r="AE321" s="214"/>
      <c r="AF321" s="214"/>
      <c r="AG321" s="214"/>
      <c r="AH321" s="214"/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469"/>
      <c r="AT321" s="214"/>
      <c r="AU321" s="214"/>
      <c r="AV321" s="214"/>
      <c r="AW321" s="214"/>
      <c r="AX321" s="214"/>
      <c r="AY321" s="214"/>
      <c r="AZ321" s="214"/>
      <c r="BA321" s="469"/>
      <c r="BB321" s="214"/>
      <c r="BC321" s="214"/>
      <c r="BD321" s="214"/>
      <c r="BE321" s="214"/>
    </row>
    <row r="322" spans="1:57" s="203" customFormat="1" ht="11.5" x14ac:dyDescent="0.25">
      <c r="A322" s="648"/>
      <c r="E322" s="676"/>
      <c r="I322" s="214"/>
      <c r="M322" s="460"/>
      <c r="N322" s="214"/>
      <c r="O322" s="214"/>
      <c r="P322" s="214"/>
      <c r="Q322" s="214"/>
      <c r="R322" s="214"/>
      <c r="S322" s="214"/>
      <c r="T322" s="214"/>
      <c r="U322" s="214"/>
      <c r="V322" s="214"/>
      <c r="W322" s="214"/>
      <c r="X322" s="214"/>
      <c r="Y322" s="214"/>
      <c r="Z322" s="214"/>
      <c r="AA322" s="214"/>
      <c r="AB322" s="214"/>
      <c r="AC322" s="214"/>
      <c r="AD322" s="214"/>
      <c r="AE322" s="214"/>
      <c r="AF322" s="214"/>
      <c r="AG322" s="214"/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469"/>
      <c r="AT322" s="214"/>
      <c r="AU322" s="214"/>
      <c r="AV322" s="214"/>
      <c r="AW322" s="214"/>
      <c r="AX322" s="214"/>
      <c r="AY322" s="214"/>
      <c r="AZ322" s="214"/>
      <c r="BA322" s="469"/>
      <c r="BB322" s="214"/>
      <c r="BC322" s="214"/>
      <c r="BD322" s="214"/>
      <c r="BE322" s="214"/>
    </row>
    <row r="323" spans="1:57" s="203" customFormat="1" ht="11.5" x14ac:dyDescent="0.25">
      <c r="A323" s="648"/>
      <c r="E323" s="676"/>
      <c r="I323" s="214"/>
      <c r="M323" s="460"/>
      <c r="N323" s="214"/>
      <c r="O323" s="214"/>
      <c r="P323" s="214"/>
      <c r="Q323" s="214"/>
      <c r="R323" s="214"/>
      <c r="S323" s="214"/>
      <c r="T323" s="214"/>
      <c r="U323" s="214"/>
      <c r="V323" s="214"/>
      <c r="W323" s="214"/>
      <c r="X323" s="214"/>
      <c r="Y323" s="214"/>
      <c r="Z323" s="214"/>
      <c r="AA323" s="214"/>
      <c r="AB323" s="214"/>
      <c r="AC323" s="214"/>
      <c r="AD323" s="214"/>
      <c r="AE323" s="214"/>
      <c r="AF323" s="214"/>
      <c r="AG323" s="214"/>
      <c r="AH323" s="214"/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469"/>
      <c r="AT323" s="214"/>
      <c r="AU323" s="214"/>
      <c r="AV323" s="214"/>
      <c r="AW323" s="214"/>
      <c r="AX323" s="214"/>
      <c r="AY323" s="214"/>
      <c r="AZ323" s="214"/>
      <c r="BA323" s="469"/>
      <c r="BB323" s="214"/>
      <c r="BC323" s="214"/>
      <c r="BD323" s="214"/>
      <c r="BE323" s="214"/>
    </row>
    <row r="324" spans="1:57" s="203" customFormat="1" ht="11.5" x14ac:dyDescent="0.25">
      <c r="A324" s="648"/>
      <c r="E324" s="676"/>
      <c r="I324" s="214"/>
      <c r="M324" s="460"/>
      <c r="N324" s="214"/>
      <c r="O324" s="214"/>
      <c r="P324" s="214"/>
      <c r="Q324" s="214"/>
      <c r="R324" s="214"/>
      <c r="S324" s="214"/>
      <c r="T324" s="214"/>
      <c r="U324" s="214"/>
      <c r="V324" s="214"/>
      <c r="W324" s="214"/>
      <c r="X324" s="214"/>
      <c r="Y324" s="214"/>
      <c r="Z324" s="214"/>
      <c r="AA324" s="214"/>
      <c r="AB324" s="214"/>
      <c r="AC324" s="214"/>
      <c r="AD324" s="214"/>
      <c r="AE324" s="214"/>
      <c r="AF324" s="214"/>
      <c r="AG324" s="214"/>
      <c r="AH324" s="214"/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469"/>
      <c r="AT324" s="214"/>
      <c r="AU324" s="214"/>
      <c r="AV324" s="214"/>
      <c r="AW324" s="214"/>
      <c r="AX324" s="214"/>
      <c r="AY324" s="214"/>
      <c r="AZ324" s="214"/>
      <c r="BA324" s="469"/>
      <c r="BB324" s="214"/>
      <c r="BC324" s="214"/>
      <c r="BD324" s="214"/>
      <c r="BE324" s="214"/>
    </row>
    <row r="325" spans="1:57" x14ac:dyDescent="0.25">
      <c r="B325" s="203"/>
      <c r="C325" s="203"/>
      <c r="D325" s="203"/>
      <c r="E325" s="676"/>
      <c r="F325" s="203"/>
      <c r="G325" s="203"/>
      <c r="H325" s="203"/>
      <c r="I325" s="214"/>
      <c r="J325" s="203"/>
      <c r="K325" s="203"/>
      <c r="N325" s="214"/>
      <c r="O325" s="214"/>
      <c r="P325" s="214"/>
      <c r="Q325" s="214"/>
      <c r="R325" s="214"/>
      <c r="S325" s="214"/>
      <c r="T325" s="214"/>
      <c r="U325" s="214"/>
      <c r="V325" s="214"/>
      <c r="W325" s="214"/>
      <c r="X325" s="214"/>
      <c r="Y325" s="214"/>
      <c r="Z325" s="214"/>
      <c r="AA325" s="214"/>
      <c r="AB325" s="214"/>
      <c r="AC325" s="214"/>
      <c r="AD325" s="214"/>
      <c r="AE325" s="214"/>
      <c r="AF325" s="214"/>
      <c r="AG325" s="214"/>
      <c r="AH325" s="214"/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469"/>
      <c r="AT325" s="214"/>
      <c r="AU325" s="214"/>
      <c r="AV325" s="214"/>
      <c r="AW325" s="214"/>
      <c r="AX325" s="214"/>
      <c r="AY325" s="214"/>
      <c r="AZ325" s="214"/>
      <c r="BA325" s="469"/>
      <c r="BB325" s="214"/>
      <c r="BC325" s="214"/>
      <c r="BD325" s="214"/>
      <c r="BE325" s="214"/>
    </row>
    <row r="326" spans="1:57" x14ac:dyDescent="0.25">
      <c r="N326" s="214"/>
      <c r="O326" s="214"/>
      <c r="P326" s="214"/>
      <c r="Q326" s="214"/>
      <c r="R326" s="214"/>
      <c r="S326" s="214"/>
      <c r="T326" s="214"/>
      <c r="U326" s="214"/>
      <c r="V326" s="214"/>
      <c r="W326" s="214"/>
      <c r="X326" s="214"/>
      <c r="Y326" s="214"/>
      <c r="Z326" s="214"/>
      <c r="AA326" s="214"/>
      <c r="AB326" s="214"/>
      <c r="AC326" s="214"/>
      <c r="AD326" s="214"/>
      <c r="AE326" s="214"/>
      <c r="AF326" s="214"/>
      <c r="AG326" s="214"/>
      <c r="AH326" s="214"/>
      <c r="AI326" s="214"/>
      <c r="AJ326" s="214"/>
      <c r="AK326" s="214"/>
      <c r="AL326" s="214"/>
      <c r="AM326" s="214"/>
      <c r="AN326" s="214"/>
      <c r="AO326" s="214"/>
      <c r="AP326" s="214"/>
      <c r="AQ326" s="214"/>
      <c r="AR326" s="214"/>
      <c r="AS326" s="469"/>
      <c r="AT326" s="214"/>
      <c r="AU326" s="214"/>
      <c r="AV326" s="214"/>
      <c r="AW326" s="214"/>
      <c r="AX326" s="214"/>
      <c r="AY326" s="214"/>
      <c r="AZ326" s="214"/>
      <c r="BA326" s="469"/>
      <c r="BB326" s="214"/>
      <c r="BC326" s="214"/>
      <c r="BD326" s="214"/>
      <c r="BE326" s="214"/>
    </row>
    <row r="327" spans="1:57" x14ac:dyDescent="0.25">
      <c r="N327" s="214"/>
      <c r="O327" s="214"/>
      <c r="P327" s="214"/>
      <c r="Q327" s="214"/>
      <c r="R327" s="214"/>
      <c r="S327" s="214"/>
      <c r="T327" s="214"/>
      <c r="U327" s="214"/>
      <c r="V327" s="214"/>
      <c r="W327" s="214"/>
      <c r="X327" s="214"/>
      <c r="Y327" s="214"/>
      <c r="Z327" s="214"/>
      <c r="AA327" s="214"/>
      <c r="AB327" s="214"/>
      <c r="AC327" s="214"/>
      <c r="AD327" s="214"/>
      <c r="AE327" s="214"/>
      <c r="AF327" s="214"/>
      <c r="AG327" s="214"/>
      <c r="AH327" s="214"/>
      <c r="AI327" s="214"/>
      <c r="AJ327" s="214"/>
      <c r="AK327" s="214"/>
      <c r="AL327" s="214"/>
      <c r="AM327" s="214"/>
      <c r="AN327" s="214"/>
      <c r="AO327" s="214"/>
      <c r="AP327" s="214"/>
      <c r="AQ327" s="214"/>
      <c r="AR327" s="214"/>
      <c r="AS327" s="469"/>
      <c r="AT327" s="214"/>
      <c r="AU327" s="214"/>
      <c r="AV327" s="214"/>
      <c r="AW327" s="214"/>
      <c r="AX327" s="214"/>
      <c r="AY327" s="214"/>
      <c r="AZ327" s="214"/>
      <c r="BA327" s="469"/>
      <c r="BB327" s="214"/>
      <c r="BC327" s="214"/>
      <c r="BD327" s="214"/>
      <c r="BE327" s="214"/>
    </row>
    <row r="328" spans="1:57" x14ac:dyDescent="0.25">
      <c r="N328" s="214"/>
      <c r="O328" s="214"/>
      <c r="P328" s="214"/>
      <c r="Q328" s="214"/>
      <c r="R328" s="214"/>
      <c r="S328" s="214"/>
      <c r="T328" s="214"/>
      <c r="U328" s="214"/>
      <c r="V328" s="214"/>
      <c r="W328" s="214"/>
      <c r="X328" s="214"/>
      <c r="Y328" s="214"/>
      <c r="Z328" s="214"/>
      <c r="AA328" s="214"/>
      <c r="AB328" s="214"/>
      <c r="AC328" s="214"/>
      <c r="AD328" s="214"/>
      <c r="AE328" s="214"/>
      <c r="AF328" s="214"/>
      <c r="AG328" s="214"/>
      <c r="AH328" s="214"/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469"/>
      <c r="AT328" s="214"/>
      <c r="AU328" s="214"/>
      <c r="AV328" s="214"/>
      <c r="AW328" s="214"/>
      <c r="AX328" s="214"/>
      <c r="AY328" s="214"/>
      <c r="AZ328" s="214"/>
      <c r="BA328" s="469"/>
      <c r="BB328" s="214"/>
      <c r="BC328" s="214"/>
      <c r="BD328" s="214"/>
      <c r="BE328" s="214"/>
    </row>
    <row r="329" spans="1:57" x14ac:dyDescent="0.25">
      <c r="N329" s="214"/>
      <c r="O329" s="214"/>
      <c r="P329" s="214"/>
      <c r="Q329" s="214"/>
      <c r="R329" s="214"/>
      <c r="S329" s="214"/>
      <c r="T329" s="214"/>
      <c r="U329" s="214"/>
      <c r="V329" s="214"/>
      <c r="W329" s="214"/>
      <c r="X329" s="214"/>
      <c r="Y329" s="214"/>
      <c r="Z329" s="214"/>
      <c r="AA329" s="214"/>
      <c r="AB329" s="214"/>
      <c r="AC329" s="214"/>
      <c r="AD329" s="214"/>
      <c r="AE329" s="214"/>
      <c r="AF329" s="214"/>
      <c r="AG329" s="214"/>
      <c r="AH329" s="214"/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469"/>
      <c r="AT329" s="214"/>
      <c r="AU329" s="214"/>
      <c r="AV329" s="214"/>
      <c r="AW329" s="214"/>
      <c r="AX329" s="214"/>
      <c r="AY329" s="214"/>
      <c r="AZ329" s="214"/>
      <c r="BA329" s="469"/>
      <c r="BB329" s="214"/>
      <c r="BC329" s="214"/>
      <c r="BD329" s="214"/>
      <c r="BE329" s="214"/>
    </row>
    <row r="330" spans="1:57" x14ac:dyDescent="0.25">
      <c r="N330" s="214"/>
      <c r="O330" s="214"/>
      <c r="P330" s="214"/>
      <c r="Q330" s="214"/>
      <c r="R330" s="214"/>
      <c r="S330" s="214"/>
      <c r="T330" s="214"/>
      <c r="U330" s="214"/>
      <c r="V330" s="214"/>
      <c r="W330" s="214"/>
      <c r="X330" s="214"/>
      <c r="Y330" s="214"/>
      <c r="Z330" s="214"/>
      <c r="AA330" s="214"/>
      <c r="AB330" s="214"/>
      <c r="AC330" s="214"/>
      <c r="AD330" s="214"/>
      <c r="AE330" s="214"/>
      <c r="AF330" s="214"/>
      <c r="AG330" s="214"/>
      <c r="AH330" s="214"/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469"/>
      <c r="AT330" s="214"/>
      <c r="AU330" s="214"/>
      <c r="AV330" s="214"/>
      <c r="AW330" s="214"/>
      <c r="AX330" s="214"/>
      <c r="AY330" s="214"/>
      <c r="AZ330" s="214"/>
      <c r="BA330" s="469"/>
      <c r="BB330" s="214"/>
      <c r="BC330" s="214"/>
      <c r="BD330" s="214"/>
      <c r="BE330" s="214"/>
    </row>
    <row r="331" spans="1:57" x14ac:dyDescent="0.25">
      <c r="N331" s="214"/>
      <c r="O331" s="214"/>
      <c r="P331" s="214"/>
      <c r="Q331" s="214"/>
      <c r="R331" s="214"/>
      <c r="S331" s="214"/>
      <c r="T331" s="214"/>
      <c r="U331" s="214"/>
      <c r="V331" s="214"/>
      <c r="W331" s="214"/>
      <c r="X331" s="214"/>
      <c r="Y331" s="214"/>
      <c r="Z331" s="214"/>
      <c r="AA331" s="214"/>
      <c r="AB331" s="214"/>
      <c r="AC331" s="214"/>
      <c r="AD331" s="214"/>
      <c r="AE331" s="214"/>
      <c r="AF331" s="214"/>
      <c r="AG331" s="214"/>
      <c r="AH331" s="214"/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469"/>
      <c r="AT331" s="214"/>
      <c r="AU331" s="214"/>
      <c r="AV331" s="214"/>
      <c r="AW331" s="214"/>
      <c r="AX331" s="214"/>
      <c r="AY331" s="214"/>
      <c r="AZ331" s="214"/>
      <c r="BA331" s="469"/>
      <c r="BB331" s="214"/>
      <c r="BC331" s="214"/>
      <c r="BD331" s="214"/>
      <c r="BE331" s="214"/>
    </row>
    <row r="332" spans="1:57" x14ac:dyDescent="0.25"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  <c r="Y332" s="214"/>
      <c r="Z332" s="214"/>
      <c r="AA332" s="214"/>
      <c r="AB332" s="214"/>
      <c r="AC332" s="214"/>
      <c r="AD332" s="214"/>
      <c r="AE332" s="214"/>
      <c r="AF332" s="214"/>
      <c r="AG332" s="214"/>
      <c r="AH332" s="214"/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469"/>
      <c r="AT332" s="214"/>
      <c r="AU332" s="214"/>
      <c r="AV332" s="214"/>
      <c r="AW332" s="214"/>
      <c r="AX332" s="214"/>
      <c r="AY332" s="214"/>
      <c r="AZ332" s="214"/>
      <c r="BA332" s="469"/>
      <c r="BB332" s="214"/>
      <c r="BC332" s="214"/>
      <c r="BD332" s="214"/>
      <c r="BE332" s="214"/>
    </row>
    <row r="333" spans="1:57" x14ac:dyDescent="0.25">
      <c r="N333" s="214"/>
      <c r="O333" s="214"/>
      <c r="P333" s="214"/>
      <c r="Q333" s="214"/>
      <c r="R333" s="214"/>
      <c r="S333" s="214"/>
      <c r="T333" s="214"/>
      <c r="U333" s="214"/>
      <c r="V333" s="214"/>
      <c r="W333" s="214"/>
      <c r="X333" s="214"/>
      <c r="Y333" s="214"/>
      <c r="Z333" s="214"/>
      <c r="AA333" s="214"/>
      <c r="AB333" s="214"/>
      <c r="AC333" s="214"/>
      <c r="AD333" s="214"/>
      <c r="AE333" s="214"/>
      <c r="AF333" s="214"/>
      <c r="AG333" s="214"/>
      <c r="AH333" s="214"/>
      <c r="AI333" s="214"/>
      <c r="AJ333" s="214"/>
      <c r="AK333" s="214"/>
      <c r="AL333" s="214"/>
      <c r="AM333" s="214"/>
      <c r="AN333" s="214"/>
      <c r="AO333" s="214"/>
      <c r="AP333" s="214"/>
      <c r="AQ333" s="214"/>
      <c r="AR333" s="214"/>
      <c r="AS333" s="469"/>
      <c r="AT333" s="214"/>
      <c r="AU333" s="214"/>
      <c r="AV333" s="214"/>
      <c r="AW333" s="214"/>
      <c r="AX333" s="214"/>
      <c r="AY333" s="214"/>
      <c r="AZ333" s="214"/>
      <c r="BA333" s="469"/>
      <c r="BB333" s="214"/>
      <c r="BC333" s="214"/>
      <c r="BD333" s="214"/>
      <c r="BE333" s="214"/>
    </row>
    <row r="334" spans="1:57" x14ac:dyDescent="0.25">
      <c r="N334" s="214"/>
      <c r="O334" s="214"/>
      <c r="P334" s="214"/>
      <c r="Q334" s="214"/>
      <c r="R334" s="214"/>
      <c r="S334" s="214"/>
      <c r="T334" s="214"/>
      <c r="U334" s="214"/>
      <c r="V334" s="214"/>
      <c r="W334" s="214"/>
      <c r="X334" s="214"/>
      <c r="Y334" s="214"/>
      <c r="Z334" s="214"/>
      <c r="AA334" s="214"/>
      <c r="AB334" s="214"/>
      <c r="AC334" s="214"/>
      <c r="AD334" s="214"/>
      <c r="AE334" s="214"/>
      <c r="AF334" s="214"/>
      <c r="AG334" s="214"/>
      <c r="AH334" s="214"/>
      <c r="AI334" s="214"/>
      <c r="AJ334" s="214"/>
      <c r="AK334" s="214"/>
      <c r="AL334" s="214"/>
      <c r="AM334" s="214"/>
      <c r="AN334" s="214"/>
      <c r="AO334" s="214"/>
      <c r="AP334" s="214"/>
      <c r="AQ334" s="214"/>
      <c r="AR334" s="214"/>
      <c r="AS334" s="469"/>
      <c r="AT334" s="214"/>
      <c r="AU334" s="214"/>
      <c r="AV334" s="214"/>
      <c r="AW334" s="214"/>
      <c r="AX334" s="214"/>
      <c r="AY334" s="214"/>
      <c r="AZ334" s="214"/>
      <c r="BA334" s="469"/>
      <c r="BB334" s="214"/>
      <c r="BC334" s="214"/>
      <c r="BD334" s="214"/>
      <c r="BE334" s="214"/>
    </row>
    <row r="335" spans="1:57" x14ac:dyDescent="0.25">
      <c r="N335" s="214"/>
      <c r="O335" s="214"/>
      <c r="P335" s="214"/>
      <c r="Q335" s="214"/>
      <c r="R335" s="214"/>
      <c r="S335" s="214"/>
      <c r="T335" s="214"/>
      <c r="U335" s="214"/>
      <c r="V335" s="214"/>
      <c r="W335" s="214"/>
      <c r="X335" s="214"/>
      <c r="Y335" s="214"/>
      <c r="Z335" s="214"/>
      <c r="AA335" s="214"/>
      <c r="AB335" s="214"/>
      <c r="AC335" s="214"/>
      <c r="AD335" s="214"/>
      <c r="AE335" s="214"/>
      <c r="AF335" s="214"/>
      <c r="AG335" s="214"/>
      <c r="AH335" s="214"/>
      <c r="AI335" s="214"/>
      <c r="AJ335" s="214"/>
      <c r="AK335" s="214"/>
      <c r="AL335" s="214"/>
      <c r="AM335" s="214"/>
      <c r="AN335" s="214"/>
      <c r="AO335" s="214"/>
      <c r="AP335" s="214"/>
      <c r="AQ335" s="214"/>
      <c r="AR335" s="214"/>
      <c r="AS335" s="469"/>
      <c r="AT335" s="214"/>
      <c r="AU335" s="214"/>
      <c r="AV335" s="214"/>
      <c r="AW335" s="214"/>
      <c r="AX335" s="214"/>
      <c r="AY335" s="214"/>
      <c r="AZ335" s="214"/>
      <c r="BA335" s="469"/>
      <c r="BB335" s="214"/>
      <c r="BC335" s="214"/>
      <c r="BD335" s="214"/>
      <c r="BE335" s="214"/>
    </row>
    <row r="336" spans="1:57" x14ac:dyDescent="0.25">
      <c r="N336" s="214"/>
      <c r="O336" s="214"/>
      <c r="P336" s="214"/>
      <c r="Q336" s="214"/>
      <c r="R336" s="214"/>
      <c r="S336" s="214"/>
      <c r="T336" s="214"/>
      <c r="U336" s="214"/>
      <c r="V336" s="214"/>
      <c r="W336" s="214"/>
      <c r="X336" s="214"/>
      <c r="Y336" s="214"/>
      <c r="Z336" s="214"/>
      <c r="AA336" s="214"/>
      <c r="AB336" s="214"/>
      <c r="AC336" s="214"/>
      <c r="AD336" s="214"/>
      <c r="AE336" s="214"/>
      <c r="AF336" s="214"/>
      <c r="AG336" s="214"/>
      <c r="AH336" s="214"/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469"/>
      <c r="AT336" s="214"/>
      <c r="AU336" s="214"/>
      <c r="AV336" s="214"/>
      <c r="AW336" s="214"/>
      <c r="AX336" s="214"/>
      <c r="AY336" s="214"/>
      <c r="AZ336" s="214"/>
      <c r="BA336" s="469"/>
      <c r="BB336" s="214"/>
      <c r="BC336" s="214"/>
      <c r="BD336" s="214"/>
      <c r="BE336" s="214"/>
    </row>
    <row r="337" spans="14:57" x14ac:dyDescent="0.25">
      <c r="N337" s="214"/>
      <c r="O337" s="214"/>
      <c r="P337" s="214"/>
      <c r="Q337" s="214"/>
      <c r="R337" s="214"/>
      <c r="S337" s="214"/>
      <c r="T337" s="214"/>
      <c r="U337" s="214"/>
      <c r="V337" s="214"/>
      <c r="W337" s="214"/>
      <c r="X337" s="214"/>
      <c r="Y337" s="214"/>
      <c r="Z337" s="214"/>
      <c r="AA337" s="214"/>
      <c r="AB337" s="214"/>
      <c r="AC337" s="214"/>
      <c r="AD337" s="214"/>
      <c r="AE337" s="214"/>
      <c r="AF337" s="214"/>
      <c r="AG337" s="214"/>
      <c r="AH337" s="214"/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469"/>
      <c r="AT337" s="214"/>
      <c r="AU337" s="214"/>
      <c r="AV337" s="214"/>
      <c r="AW337" s="214"/>
      <c r="AX337" s="214"/>
      <c r="AY337" s="214"/>
      <c r="AZ337" s="214"/>
      <c r="BA337" s="469"/>
      <c r="BB337" s="214"/>
      <c r="BC337" s="214"/>
      <c r="BD337" s="214"/>
      <c r="BE337" s="214"/>
    </row>
    <row r="338" spans="14:57" x14ac:dyDescent="0.25">
      <c r="N338" s="214"/>
      <c r="O338" s="214"/>
      <c r="P338" s="214"/>
      <c r="Q338" s="214"/>
      <c r="R338" s="214"/>
      <c r="S338" s="214"/>
      <c r="T338" s="214"/>
      <c r="U338" s="214"/>
      <c r="V338" s="214"/>
      <c r="W338" s="214"/>
      <c r="X338" s="214"/>
      <c r="Y338" s="214"/>
      <c r="Z338" s="214"/>
      <c r="AA338" s="214"/>
      <c r="AB338" s="214"/>
      <c r="AC338" s="214"/>
      <c r="AD338" s="214"/>
      <c r="AE338" s="214"/>
      <c r="AF338" s="214"/>
      <c r="AG338" s="214"/>
      <c r="AH338" s="214"/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469"/>
      <c r="AT338" s="214"/>
      <c r="AU338" s="214"/>
      <c r="AV338" s="214"/>
      <c r="AW338" s="214"/>
      <c r="AX338" s="214"/>
      <c r="AY338" s="214"/>
      <c r="AZ338" s="214"/>
      <c r="BA338" s="469"/>
      <c r="BB338" s="214"/>
      <c r="BC338" s="214"/>
      <c r="BD338" s="214"/>
      <c r="BE338" s="214"/>
    </row>
    <row r="339" spans="14:57" x14ac:dyDescent="0.25">
      <c r="N339" s="214"/>
      <c r="O339" s="214"/>
      <c r="P339" s="214"/>
      <c r="Q339" s="214"/>
      <c r="R339" s="214"/>
      <c r="S339" s="214"/>
      <c r="T339" s="214"/>
      <c r="U339" s="214"/>
      <c r="V339" s="214"/>
      <c r="W339" s="214"/>
      <c r="X339" s="214"/>
      <c r="Y339" s="214"/>
      <c r="Z339" s="214"/>
      <c r="AA339" s="214"/>
      <c r="AB339" s="214"/>
      <c r="AC339" s="214"/>
      <c r="AD339" s="214"/>
      <c r="AE339" s="214"/>
      <c r="AF339" s="214"/>
      <c r="AG339" s="214"/>
      <c r="AH339" s="214"/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469"/>
      <c r="AT339" s="214"/>
      <c r="AU339" s="214"/>
      <c r="AV339" s="214"/>
      <c r="AW339" s="214"/>
      <c r="AX339" s="214"/>
      <c r="AY339" s="214"/>
      <c r="AZ339" s="214"/>
      <c r="BA339" s="469"/>
      <c r="BB339" s="214"/>
      <c r="BC339" s="214"/>
      <c r="BD339" s="214"/>
      <c r="BE339" s="214"/>
    </row>
    <row r="340" spans="14:57" x14ac:dyDescent="0.25">
      <c r="N340" s="214"/>
      <c r="O340" s="214"/>
      <c r="P340" s="214"/>
      <c r="Q340" s="214"/>
      <c r="R340" s="214"/>
      <c r="S340" s="214"/>
      <c r="T340" s="214"/>
      <c r="U340" s="214"/>
      <c r="V340" s="214"/>
      <c r="W340" s="214"/>
      <c r="X340" s="214"/>
      <c r="Y340" s="214"/>
      <c r="Z340" s="214"/>
      <c r="AA340" s="214"/>
      <c r="AB340" s="214"/>
      <c r="AC340" s="214"/>
      <c r="AD340" s="214"/>
      <c r="AE340" s="214"/>
      <c r="AF340" s="214"/>
      <c r="AG340" s="214"/>
      <c r="AH340" s="214"/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469"/>
      <c r="AT340" s="214"/>
      <c r="AU340" s="214"/>
      <c r="AV340" s="214"/>
      <c r="AW340" s="214"/>
      <c r="AX340" s="214"/>
      <c r="AY340" s="214"/>
      <c r="AZ340" s="214"/>
      <c r="BA340" s="469"/>
      <c r="BB340" s="214"/>
      <c r="BC340" s="214"/>
      <c r="BD340" s="214"/>
      <c r="BE340" s="214"/>
    </row>
    <row r="341" spans="14:57" x14ac:dyDescent="0.25">
      <c r="N341" s="214"/>
      <c r="O341" s="214"/>
      <c r="P341" s="214"/>
      <c r="Q341" s="214"/>
      <c r="R341" s="214"/>
      <c r="S341" s="214"/>
      <c r="T341" s="214"/>
      <c r="U341" s="214"/>
      <c r="V341" s="214"/>
      <c r="W341" s="214"/>
      <c r="X341" s="214"/>
      <c r="Y341" s="214"/>
      <c r="Z341" s="214"/>
      <c r="AA341" s="214"/>
      <c r="AB341" s="214"/>
      <c r="AC341" s="214"/>
      <c r="AD341" s="214"/>
      <c r="AE341" s="214"/>
      <c r="AF341" s="214"/>
      <c r="AG341" s="214"/>
      <c r="AH341" s="214"/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469"/>
      <c r="AT341" s="214"/>
      <c r="AU341" s="214"/>
      <c r="AV341" s="214"/>
      <c r="AW341" s="214"/>
      <c r="AX341" s="214"/>
      <c r="AY341" s="214"/>
      <c r="AZ341" s="214"/>
      <c r="BA341" s="469"/>
      <c r="BB341" s="214"/>
      <c r="BC341" s="214"/>
      <c r="BD341" s="214"/>
      <c r="BE341" s="214"/>
    </row>
    <row r="342" spans="14:57" x14ac:dyDescent="0.25">
      <c r="N342" s="214"/>
      <c r="O342" s="214"/>
      <c r="P342" s="214"/>
      <c r="Q342" s="214"/>
      <c r="R342" s="214"/>
      <c r="S342" s="214"/>
      <c r="T342" s="214"/>
      <c r="U342" s="214"/>
      <c r="V342" s="214"/>
      <c r="W342" s="214"/>
      <c r="X342" s="214"/>
      <c r="Y342" s="214"/>
      <c r="Z342" s="214"/>
      <c r="AA342" s="214"/>
      <c r="AB342" s="214"/>
      <c r="AC342" s="214"/>
      <c r="AD342" s="214"/>
      <c r="AE342" s="214"/>
      <c r="AF342" s="214"/>
      <c r="AG342" s="214"/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469"/>
      <c r="AT342" s="214"/>
      <c r="AU342" s="214"/>
      <c r="AV342" s="214"/>
      <c r="AW342" s="214"/>
      <c r="AX342" s="214"/>
      <c r="AY342" s="214"/>
      <c r="AZ342" s="214"/>
      <c r="BA342" s="469"/>
      <c r="BB342" s="214"/>
      <c r="BC342" s="214"/>
      <c r="BD342" s="214"/>
      <c r="BE342" s="214"/>
    </row>
    <row r="343" spans="14:57" x14ac:dyDescent="0.25">
      <c r="N343" s="214"/>
      <c r="O343" s="214"/>
      <c r="P343" s="214"/>
      <c r="Q343" s="214"/>
      <c r="R343" s="214"/>
      <c r="S343" s="214"/>
      <c r="T343" s="214"/>
      <c r="U343" s="214"/>
      <c r="V343" s="214"/>
      <c r="W343" s="214"/>
      <c r="X343" s="214"/>
      <c r="Y343" s="214"/>
      <c r="Z343" s="214"/>
      <c r="AA343" s="214"/>
      <c r="AB343" s="214"/>
      <c r="AC343" s="214"/>
      <c r="AD343" s="214"/>
      <c r="AE343" s="214"/>
      <c r="AF343" s="214"/>
      <c r="AG343" s="214"/>
      <c r="AH343" s="214"/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469"/>
      <c r="AT343" s="214"/>
      <c r="AU343" s="214"/>
      <c r="AV343" s="214"/>
      <c r="AW343" s="214"/>
      <c r="AX343" s="214"/>
      <c r="AY343" s="214"/>
      <c r="AZ343" s="214"/>
      <c r="BA343" s="469"/>
      <c r="BB343" s="214"/>
      <c r="BC343" s="214"/>
      <c r="BD343" s="214"/>
      <c r="BE343" s="214"/>
    </row>
    <row r="344" spans="14:57" x14ac:dyDescent="0.25">
      <c r="N344" s="214"/>
      <c r="O344" s="214"/>
      <c r="P344" s="214"/>
      <c r="Q344" s="214"/>
      <c r="R344" s="214"/>
      <c r="S344" s="214"/>
      <c r="T344" s="214"/>
      <c r="U344" s="214"/>
      <c r="V344" s="214"/>
      <c r="W344" s="214"/>
      <c r="X344" s="214"/>
      <c r="Y344" s="214"/>
      <c r="Z344" s="214"/>
      <c r="AA344" s="214"/>
      <c r="AB344" s="214"/>
      <c r="AC344" s="214"/>
      <c r="AD344" s="214"/>
      <c r="AE344" s="214"/>
      <c r="AF344" s="214"/>
      <c r="AG344" s="214"/>
      <c r="AH344" s="214"/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469"/>
      <c r="AT344" s="214"/>
      <c r="AU344" s="214"/>
      <c r="AV344" s="214"/>
      <c r="AW344" s="214"/>
      <c r="AX344" s="214"/>
      <c r="AY344" s="214"/>
      <c r="AZ344" s="214"/>
      <c r="BA344" s="469"/>
      <c r="BB344" s="214"/>
      <c r="BC344" s="214"/>
      <c r="BD344" s="214"/>
      <c r="BE344" s="214"/>
    </row>
    <row r="345" spans="14:57" x14ac:dyDescent="0.25">
      <c r="N345" s="214"/>
      <c r="O345" s="214"/>
      <c r="P345" s="214"/>
      <c r="Q345" s="214"/>
      <c r="R345" s="214"/>
      <c r="S345" s="214"/>
      <c r="T345" s="214"/>
      <c r="U345" s="214"/>
      <c r="V345" s="214"/>
      <c r="W345" s="214"/>
      <c r="X345" s="214"/>
      <c r="Y345" s="214"/>
      <c r="Z345" s="214"/>
      <c r="AA345" s="214"/>
      <c r="AB345" s="214"/>
      <c r="AC345" s="214"/>
      <c r="AD345" s="214"/>
      <c r="AE345" s="214"/>
      <c r="AF345" s="214"/>
      <c r="AG345" s="214"/>
      <c r="AH345" s="214"/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469"/>
      <c r="AT345" s="214"/>
      <c r="AU345" s="214"/>
      <c r="AV345" s="214"/>
      <c r="AW345" s="214"/>
      <c r="AX345" s="214"/>
      <c r="AY345" s="214"/>
      <c r="AZ345" s="214"/>
      <c r="BA345" s="469"/>
      <c r="BB345" s="214"/>
      <c r="BC345" s="214"/>
      <c r="BD345" s="214"/>
      <c r="BE345" s="214"/>
    </row>
    <row r="346" spans="14:57" x14ac:dyDescent="0.25">
      <c r="N346" s="214"/>
      <c r="O346" s="214"/>
      <c r="P346" s="214"/>
      <c r="Q346" s="214"/>
      <c r="R346" s="214"/>
      <c r="S346" s="214"/>
      <c r="T346" s="214"/>
      <c r="U346" s="214"/>
      <c r="V346" s="214"/>
      <c r="W346" s="214"/>
      <c r="X346" s="214"/>
      <c r="Y346" s="214"/>
      <c r="Z346" s="214"/>
      <c r="AA346" s="214"/>
      <c r="AB346" s="214"/>
      <c r="AC346" s="214"/>
      <c r="AD346" s="214"/>
      <c r="AE346" s="214"/>
      <c r="AF346" s="214"/>
      <c r="AG346" s="214"/>
      <c r="AH346" s="214"/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469"/>
      <c r="AT346" s="214"/>
      <c r="AU346" s="214"/>
      <c r="AV346" s="214"/>
      <c r="AW346" s="214"/>
      <c r="AX346" s="214"/>
      <c r="AY346" s="214"/>
      <c r="AZ346" s="214"/>
      <c r="BA346" s="469"/>
      <c r="BB346" s="214"/>
      <c r="BC346" s="214"/>
      <c r="BD346" s="214"/>
      <c r="BE346" s="214"/>
    </row>
    <row r="347" spans="14:57" x14ac:dyDescent="0.25">
      <c r="N347" s="214"/>
      <c r="O347" s="214"/>
      <c r="P347" s="214"/>
      <c r="Q347" s="214"/>
      <c r="R347" s="214"/>
      <c r="S347" s="214"/>
      <c r="T347" s="214"/>
      <c r="U347" s="214"/>
      <c r="V347" s="214"/>
      <c r="W347" s="214"/>
      <c r="X347" s="214"/>
      <c r="Y347" s="214"/>
      <c r="Z347" s="214"/>
      <c r="AA347" s="214"/>
      <c r="AB347" s="214"/>
      <c r="AC347" s="214"/>
      <c r="AD347" s="214"/>
      <c r="AE347" s="214"/>
      <c r="AF347" s="214"/>
      <c r="AG347" s="214"/>
      <c r="AH347" s="214"/>
      <c r="AI347" s="214"/>
      <c r="AJ347" s="214"/>
      <c r="AK347" s="214"/>
      <c r="AL347" s="214"/>
      <c r="AM347" s="214"/>
      <c r="AN347" s="214"/>
      <c r="AO347" s="214"/>
      <c r="AP347" s="214"/>
      <c r="AQ347" s="214"/>
      <c r="AR347" s="214"/>
      <c r="AS347" s="469"/>
      <c r="AT347" s="214"/>
      <c r="AU347" s="214"/>
      <c r="AV347" s="214"/>
      <c r="AW347" s="214"/>
      <c r="AX347" s="214"/>
      <c r="AY347" s="214"/>
      <c r="AZ347" s="214"/>
      <c r="BA347" s="469"/>
      <c r="BB347" s="214"/>
      <c r="BC347" s="214"/>
      <c r="BD347" s="214"/>
      <c r="BE347" s="214"/>
    </row>
    <row r="348" spans="14:57" x14ac:dyDescent="0.25">
      <c r="N348" s="214"/>
      <c r="O348" s="214"/>
      <c r="P348" s="214"/>
      <c r="Q348" s="214"/>
      <c r="R348" s="214"/>
      <c r="S348" s="214"/>
      <c r="T348" s="214"/>
      <c r="U348" s="214"/>
      <c r="V348" s="214"/>
      <c r="W348" s="214"/>
      <c r="X348" s="214"/>
      <c r="Y348" s="214"/>
      <c r="Z348" s="214"/>
      <c r="AA348" s="214"/>
      <c r="AB348" s="214"/>
      <c r="AC348" s="214"/>
      <c r="AD348" s="214"/>
      <c r="AE348" s="214"/>
      <c r="AF348" s="214"/>
      <c r="AG348" s="214"/>
      <c r="AH348" s="214"/>
      <c r="AI348" s="214"/>
      <c r="AJ348" s="214"/>
      <c r="AK348" s="214"/>
      <c r="AL348" s="214"/>
      <c r="AM348" s="214"/>
      <c r="AN348" s="214"/>
      <c r="AO348" s="214"/>
      <c r="AP348" s="214"/>
      <c r="AQ348" s="214"/>
      <c r="AR348" s="214"/>
      <c r="AS348" s="469"/>
      <c r="AT348" s="214"/>
      <c r="AU348" s="214"/>
      <c r="AV348" s="214"/>
      <c r="AW348" s="214"/>
      <c r="AX348" s="214"/>
      <c r="AY348" s="214"/>
      <c r="AZ348" s="214"/>
      <c r="BA348" s="469"/>
      <c r="BB348" s="214"/>
      <c r="BC348" s="214"/>
      <c r="BD348" s="214"/>
      <c r="BE348" s="214"/>
    </row>
    <row r="349" spans="14:57" x14ac:dyDescent="0.25">
      <c r="N349" s="214"/>
      <c r="O349" s="214"/>
      <c r="P349" s="214"/>
      <c r="Q349" s="214"/>
      <c r="R349" s="214"/>
      <c r="S349" s="214"/>
      <c r="T349" s="214"/>
      <c r="U349" s="214"/>
      <c r="V349" s="214"/>
      <c r="W349" s="214"/>
      <c r="X349" s="214"/>
      <c r="Y349" s="214"/>
      <c r="Z349" s="214"/>
      <c r="AA349" s="214"/>
      <c r="AB349" s="214"/>
      <c r="AC349" s="214"/>
      <c r="AD349" s="214"/>
      <c r="AE349" s="214"/>
      <c r="AF349" s="214"/>
      <c r="AG349" s="214"/>
      <c r="AH349" s="214"/>
      <c r="AI349" s="214"/>
      <c r="AJ349" s="214"/>
      <c r="AK349" s="214"/>
      <c r="AL349" s="214"/>
      <c r="AM349" s="214"/>
      <c r="AN349" s="214"/>
      <c r="AO349" s="214"/>
      <c r="AP349" s="214"/>
      <c r="AQ349" s="214"/>
      <c r="AR349" s="214"/>
      <c r="AS349" s="469"/>
      <c r="AT349" s="214"/>
      <c r="AU349" s="214"/>
      <c r="AV349" s="214"/>
      <c r="AW349" s="214"/>
      <c r="AX349" s="214"/>
      <c r="AY349" s="214"/>
      <c r="AZ349" s="214"/>
      <c r="BA349" s="469"/>
      <c r="BB349" s="214"/>
      <c r="BC349" s="214"/>
      <c r="BD349" s="214"/>
      <c r="BE349" s="214"/>
    </row>
    <row r="350" spans="14:57" x14ac:dyDescent="0.25">
      <c r="N350" s="214"/>
      <c r="O350" s="214"/>
      <c r="P350" s="214"/>
      <c r="Q350" s="214"/>
      <c r="R350" s="214"/>
      <c r="S350" s="214"/>
      <c r="T350" s="214"/>
      <c r="U350" s="214"/>
      <c r="V350" s="214"/>
      <c r="W350" s="214"/>
      <c r="X350" s="214"/>
      <c r="Y350" s="214"/>
      <c r="Z350" s="214"/>
      <c r="AA350" s="214"/>
      <c r="AB350" s="214"/>
      <c r="AC350" s="214"/>
      <c r="AD350" s="214"/>
      <c r="AE350" s="214"/>
      <c r="AF350" s="214"/>
      <c r="AG350" s="214"/>
      <c r="AH350" s="214"/>
      <c r="AI350" s="214"/>
      <c r="AJ350" s="214"/>
      <c r="AK350" s="214"/>
      <c r="AL350" s="214"/>
      <c r="AM350" s="214"/>
      <c r="AN350" s="214"/>
      <c r="AO350" s="214"/>
      <c r="AP350" s="214"/>
      <c r="AQ350" s="214"/>
      <c r="AR350" s="214"/>
      <c r="AS350" s="469"/>
      <c r="AT350" s="214"/>
      <c r="AU350" s="214"/>
      <c r="AV350" s="214"/>
      <c r="AW350" s="214"/>
      <c r="AX350" s="214"/>
      <c r="AY350" s="214"/>
      <c r="AZ350" s="214"/>
      <c r="BA350" s="469"/>
      <c r="BB350" s="214"/>
      <c r="BC350" s="214"/>
      <c r="BD350" s="214"/>
      <c r="BE350" s="214"/>
    </row>
    <row r="351" spans="14:57" x14ac:dyDescent="0.25">
      <c r="N351" s="214"/>
      <c r="O351" s="214"/>
      <c r="P351" s="214"/>
      <c r="Q351" s="214"/>
      <c r="R351" s="214"/>
      <c r="S351" s="214"/>
      <c r="T351" s="214"/>
      <c r="U351" s="214"/>
      <c r="V351" s="214"/>
      <c r="W351" s="214"/>
      <c r="X351" s="214"/>
      <c r="Y351" s="214"/>
      <c r="Z351" s="214"/>
      <c r="AA351" s="214"/>
      <c r="AB351" s="214"/>
      <c r="AC351" s="214"/>
      <c r="AD351" s="214"/>
      <c r="AE351" s="214"/>
      <c r="AF351" s="214"/>
      <c r="AG351" s="214"/>
      <c r="AH351" s="214"/>
      <c r="AI351" s="214"/>
      <c r="AJ351" s="214"/>
      <c r="AK351" s="214"/>
      <c r="AL351" s="214"/>
      <c r="AM351" s="214"/>
      <c r="AN351" s="214"/>
      <c r="AO351" s="214"/>
      <c r="AP351" s="214"/>
      <c r="AQ351" s="214"/>
      <c r="AR351" s="214"/>
      <c r="AS351" s="469"/>
      <c r="AT351" s="214"/>
      <c r="AU351" s="214"/>
      <c r="AV351" s="214"/>
      <c r="AW351" s="214"/>
      <c r="AX351" s="214"/>
      <c r="AY351" s="214"/>
      <c r="AZ351" s="214"/>
      <c r="BA351" s="469"/>
      <c r="BB351" s="214"/>
      <c r="BC351" s="214"/>
      <c r="BD351" s="214"/>
      <c r="BE351" s="214"/>
    </row>
    <row r="352" spans="14:57" x14ac:dyDescent="0.25">
      <c r="N352" s="214"/>
      <c r="O352" s="214"/>
      <c r="P352" s="214"/>
      <c r="Q352" s="214"/>
      <c r="R352" s="214"/>
      <c r="S352" s="214"/>
      <c r="T352" s="214"/>
      <c r="U352" s="214"/>
      <c r="V352" s="214"/>
      <c r="W352" s="214"/>
      <c r="X352" s="214"/>
      <c r="Y352" s="214"/>
      <c r="Z352" s="214"/>
      <c r="AA352" s="214"/>
      <c r="AB352" s="214"/>
      <c r="AC352" s="214"/>
      <c r="AD352" s="214"/>
      <c r="AE352" s="214"/>
      <c r="AF352" s="214"/>
      <c r="AG352" s="214"/>
      <c r="AH352" s="214"/>
      <c r="AI352" s="214"/>
      <c r="AJ352" s="214"/>
      <c r="AK352" s="214"/>
      <c r="AL352" s="214"/>
      <c r="AM352" s="214"/>
      <c r="AN352" s="214"/>
      <c r="AO352" s="214"/>
      <c r="AP352" s="214"/>
      <c r="AQ352" s="214"/>
      <c r="AR352" s="214"/>
      <c r="AS352" s="469"/>
      <c r="AT352" s="214"/>
      <c r="AU352" s="214"/>
      <c r="AV352" s="214"/>
      <c r="AW352" s="214"/>
      <c r="AX352" s="214"/>
      <c r="AY352" s="214"/>
      <c r="AZ352" s="214"/>
      <c r="BA352" s="469"/>
      <c r="BB352" s="214"/>
      <c r="BC352" s="214"/>
      <c r="BD352" s="214"/>
      <c r="BE352" s="214"/>
    </row>
    <row r="353" spans="14:57" x14ac:dyDescent="0.25">
      <c r="N353" s="214"/>
      <c r="O353" s="214"/>
      <c r="P353" s="214"/>
      <c r="Q353" s="214"/>
      <c r="R353" s="214"/>
      <c r="S353" s="214"/>
      <c r="T353" s="214"/>
      <c r="U353" s="214"/>
      <c r="V353" s="214"/>
      <c r="W353" s="214"/>
      <c r="X353" s="214"/>
      <c r="Y353" s="214"/>
      <c r="Z353" s="214"/>
      <c r="AA353" s="214"/>
      <c r="AB353" s="214"/>
      <c r="AC353" s="214"/>
      <c r="AD353" s="214"/>
      <c r="AE353" s="214"/>
      <c r="AF353" s="214"/>
      <c r="AG353" s="214"/>
      <c r="AH353" s="214"/>
      <c r="AI353" s="214"/>
      <c r="AJ353" s="214"/>
      <c r="AK353" s="214"/>
      <c r="AL353" s="214"/>
      <c r="AM353" s="214"/>
      <c r="AN353" s="214"/>
      <c r="AO353" s="214"/>
      <c r="AP353" s="214"/>
      <c r="AQ353" s="214"/>
      <c r="AR353" s="214"/>
      <c r="AS353" s="469"/>
      <c r="AT353" s="214"/>
      <c r="AU353" s="214"/>
      <c r="AV353" s="214"/>
      <c r="AW353" s="214"/>
      <c r="AX353" s="214"/>
      <c r="AY353" s="214"/>
      <c r="AZ353" s="214"/>
      <c r="BA353" s="469"/>
      <c r="BB353" s="214"/>
      <c r="BC353" s="214"/>
      <c r="BD353" s="214"/>
      <c r="BE353" s="214"/>
    </row>
    <row r="354" spans="14:57" x14ac:dyDescent="0.25">
      <c r="N354" s="214"/>
      <c r="O354" s="214"/>
      <c r="P354" s="214"/>
      <c r="Q354" s="214"/>
      <c r="R354" s="214"/>
      <c r="S354" s="214"/>
      <c r="T354" s="214"/>
      <c r="U354" s="214"/>
      <c r="V354" s="214"/>
      <c r="W354" s="214"/>
      <c r="X354" s="214"/>
      <c r="Y354" s="214"/>
      <c r="Z354" s="214"/>
      <c r="AA354" s="214"/>
      <c r="AB354" s="214"/>
      <c r="AC354" s="214"/>
      <c r="AD354" s="214"/>
      <c r="AE354" s="214"/>
      <c r="AF354" s="214"/>
      <c r="AG354" s="214"/>
      <c r="AH354" s="214"/>
      <c r="AI354" s="214"/>
      <c r="AJ354" s="214"/>
      <c r="AK354" s="214"/>
      <c r="AL354" s="214"/>
      <c r="AM354" s="214"/>
      <c r="AN354" s="214"/>
      <c r="AO354" s="214"/>
      <c r="AP354" s="214"/>
      <c r="AQ354" s="214"/>
      <c r="AR354" s="214"/>
      <c r="AS354" s="469"/>
      <c r="AT354" s="214"/>
      <c r="AU354" s="214"/>
      <c r="AV354" s="214"/>
      <c r="AW354" s="214"/>
      <c r="AX354" s="214"/>
      <c r="AY354" s="214"/>
      <c r="AZ354" s="214"/>
      <c r="BA354" s="469"/>
      <c r="BB354" s="214"/>
      <c r="BC354" s="214"/>
      <c r="BD354" s="214"/>
      <c r="BE354" s="214"/>
    </row>
    <row r="355" spans="14:57" x14ac:dyDescent="0.25">
      <c r="N355" s="214"/>
      <c r="O355" s="214"/>
      <c r="P355" s="214"/>
      <c r="Q355" s="214"/>
      <c r="R355" s="214"/>
      <c r="S355" s="214"/>
      <c r="T355" s="214"/>
      <c r="U355" s="214"/>
      <c r="V355" s="214"/>
      <c r="W355" s="214"/>
      <c r="X355" s="214"/>
      <c r="Y355" s="214"/>
      <c r="Z355" s="214"/>
      <c r="AA355" s="214"/>
      <c r="AB355" s="214"/>
      <c r="AC355" s="214"/>
      <c r="AD355" s="214"/>
      <c r="AE355" s="214"/>
      <c r="AF355" s="214"/>
      <c r="AG355" s="214"/>
      <c r="AH355" s="214"/>
      <c r="AI355" s="214"/>
      <c r="AJ355" s="214"/>
      <c r="AK355" s="214"/>
      <c r="AL355" s="214"/>
      <c r="AM355" s="214"/>
      <c r="AN355" s="214"/>
      <c r="AO355" s="214"/>
      <c r="AP355" s="214"/>
      <c r="AQ355" s="214"/>
      <c r="AR355" s="214"/>
      <c r="AS355" s="469"/>
      <c r="AT355" s="214"/>
      <c r="AU355" s="214"/>
      <c r="AV355" s="214"/>
      <c r="AW355" s="214"/>
      <c r="AX355" s="214"/>
      <c r="AY355" s="214"/>
      <c r="AZ355" s="214"/>
      <c r="BA355" s="469"/>
      <c r="BB355" s="214"/>
      <c r="BC355" s="214"/>
      <c r="BD355" s="214"/>
      <c r="BE355" s="214"/>
    </row>
    <row r="356" spans="14:57" x14ac:dyDescent="0.25">
      <c r="N356" s="214"/>
      <c r="O356" s="214"/>
      <c r="P356" s="214"/>
      <c r="Q356" s="214"/>
      <c r="R356" s="214"/>
      <c r="S356" s="214"/>
      <c r="T356" s="214"/>
      <c r="U356" s="214"/>
      <c r="V356" s="214"/>
      <c r="W356" s="214"/>
      <c r="X356" s="214"/>
      <c r="Y356" s="214"/>
      <c r="Z356" s="214"/>
      <c r="AA356" s="214"/>
      <c r="AB356" s="214"/>
      <c r="AC356" s="214"/>
      <c r="AD356" s="214"/>
      <c r="AE356" s="214"/>
      <c r="AF356" s="214"/>
      <c r="AG356" s="214"/>
      <c r="AH356" s="214"/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469"/>
      <c r="AT356" s="214"/>
      <c r="AU356" s="214"/>
      <c r="AV356" s="214"/>
      <c r="AW356" s="214"/>
      <c r="AX356" s="214"/>
      <c r="AY356" s="214"/>
      <c r="AZ356" s="214"/>
      <c r="BA356" s="469"/>
      <c r="BB356" s="214"/>
      <c r="BC356" s="214"/>
      <c r="BD356" s="214"/>
      <c r="BE356" s="214"/>
    </row>
    <row r="357" spans="14:57" x14ac:dyDescent="0.25">
      <c r="N357" s="214"/>
      <c r="O357" s="214"/>
      <c r="P357" s="214"/>
      <c r="Q357" s="214"/>
      <c r="R357" s="214"/>
      <c r="S357" s="214"/>
      <c r="T357" s="214"/>
      <c r="U357" s="214"/>
      <c r="V357" s="214"/>
      <c r="W357" s="214"/>
      <c r="X357" s="214"/>
      <c r="Y357" s="214"/>
      <c r="Z357" s="214"/>
      <c r="AA357" s="214"/>
      <c r="AB357" s="214"/>
      <c r="AC357" s="214"/>
      <c r="AD357" s="214"/>
      <c r="AE357" s="214"/>
      <c r="AF357" s="214"/>
      <c r="AG357" s="214"/>
      <c r="AH357" s="214"/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469"/>
      <c r="AT357" s="214"/>
      <c r="AU357" s="214"/>
      <c r="AV357" s="214"/>
      <c r="AW357" s="214"/>
      <c r="AX357" s="214"/>
      <c r="AY357" s="214"/>
      <c r="AZ357" s="214"/>
      <c r="BA357" s="469"/>
      <c r="BB357" s="214"/>
      <c r="BC357" s="214"/>
      <c r="BD357" s="214"/>
      <c r="BE357" s="214"/>
    </row>
    <row r="358" spans="14:57" x14ac:dyDescent="0.25">
      <c r="N358" s="214"/>
      <c r="O358" s="214"/>
      <c r="P358" s="214"/>
      <c r="Q358" s="214"/>
      <c r="R358" s="214"/>
      <c r="S358" s="214"/>
      <c r="T358" s="214"/>
      <c r="U358" s="214"/>
      <c r="V358" s="214"/>
      <c r="W358" s="214"/>
      <c r="X358" s="214"/>
      <c r="Y358" s="214"/>
      <c r="Z358" s="214"/>
      <c r="AA358" s="214"/>
      <c r="AB358" s="214"/>
      <c r="AC358" s="214"/>
      <c r="AD358" s="214"/>
      <c r="AE358" s="214"/>
      <c r="AF358" s="214"/>
      <c r="AG358" s="214"/>
      <c r="AH358" s="214"/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469"/>
      <c r="AT358" s="214"/>
      <c r="AU358" s="214"/>
      <c r="AV358" s="214"/>
      <c r="AW358" s="214"/>
      <c r="AX358" s="214"/>
      <c r="AY358" s="214"/>
      <c r="AZ358" s="214"/>
      <c r="BA358" s="469"/>
      <c r="BB358" s="214"/>
      <c r="BC358" s="214"/>
      <c r="BD358" s="214"/>
      <c r="BE358" s="214"/>
    </row>
    <row r="359" spans="14:57" x14ac:dyDescent="0.25">
      <c r="N359" s="214"/>
      <c r="O359" s="214"/>
      <c r="P359" s="214"/>
      <c r="Q359" s="214"/>
      <c r="R359" s="214"/>
      <c r="S359" s="214"/>
      <c r="T359" s="214"/>
      <c r="U359" s="214"/>
      <c r="V359" s="214"/>
      <c r="W359" s="214"/>
      <c r="X359" s="214"/>
      <c r="Y359" s="214"/>
      <c r="Z359" s="214"/>
      <c r="AA359" s="214"/>
      <c r="AB359" s="214"/>
      <c r="AC359" s="214"/>
      <c r="AD359" s="214"/>
      <c r="AE359" s="214"/>
      <c r="AF359" s="214"/>
      <c r="AG359" s="214"/>
      <c r="AH359" s="214"/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469"/>
      <c r="AT359" s="214"/>
      <c r="AU359" s="214"/>
      <c r="AV359" s="214"/>
      <c r="AW359" s="214"/>
      <c r="AX359" s="214"/>
      <c r="AY359" s="214"/>
      <c r="AZ359" s="214"/>
      <c r="BA359" s="469"/>
      <c r="BB359" s="214"/>
      <c r="BC359" s="214"/>
      <c r="BD359" s="214"/>
      <c r="BE359" s="214"/>
    </row>
    <row r="360" spans="14:57" x14ac:dyDescent="0.25">
      <c r="N360" s="214"/>
      <c r="O360" s="214"/>
      <c r="P360" s="214"/>
      <c r="Q360" s="214"/>
      <c r="R360" s="214"/>
      <c r="S360" s="214"/>
      <c r="T360" s="214"/>
      <c r="U360" s="214"/>
      <c r="V360" s="214"/>
      <c r="W360" s="214"/>
      <c r="X360" s="214"/>
      <c r="Y360" s="214"/>
      <c r="Z360" s="214"/>
      <c r="AA360" s="214"/>
      <c r="AB360" s="214"/>
      <c r="AC360" s="214"/>
      <c r="AD360" s="214"/>
      <c r="AE360" s="214"/>
      <c r="AF360" s="214"/>
      <c r="AG360" s="214"/>
      <c r="AH360" s="214"/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469"/>
      <c r="AT360" s="214"/>
      <c r="AU360" s="214"/>
      <c r="AV360" s="214"/>
      <c r="AW360" s="214"/>
      <c r="AX360" s="214"/>
      <c r="AY360" s="214"/>
      <c r="AZ360" s="214"/>
      <c r="BA360" s="469"/>
      <c r="BB360" s="214"/>
      <c r="BC360" s="214"/>
      <c r="BD360" s="214"/>
      <c r="BE360" s="214"/>
    </row>
    <row r="361" spans="14:57" x14ac:dyDescent="0.25">
      <c r="N361" s="214"/>
      <c r="O361" s="214"/>
      <c r="P361" s="214"/>
      <c r="Q361" s="214"/>
      <c r="R361" s="214"/>
      <c r="S361" s="214"/>
      <c r="T361" s="214"/>
      <c r="U361" s="214"/>
      <c r="V361" s="214"/>
      <c r="W361" s="214"/>
      <c r="X361" s="214"/>
      <c r="Y361" s="214"/>
      <c r="Z361" s="214"/>
      <c r="AA361" s="214"/>
      <c r="AB361" s="214"/>
      <c r="AC361" s="214"/>
      <c r="AD361" s="214"/>
      <c r="AE361" s="214"/>
      <c r="AF361" s="214"/>
      <c r="AG361" s="214"/>
      <c r="AH361" s="214"/>
      <c r="AI361" s="214"/>
      <c r="AJ361" s="214"/>
      <c r="AK361" s="214"/>
      <c r="AL361" s="214"/>
      <c r="AM361" s="214"/>
      <c r="AN361" s="214"/>
      <c r="AO361" s="214"/>
      <c r="AP361" s="214"/>
      <c r="AQ361" s="214"/>
      <c r="AR361" s="214"/>
      <c r="AS361" s="469"/>
      <c r="AT361" s="214"/>
      <c r="AU361" s="214"/>
      <c r="AV361" s="214"/>
      <c r="AW361" s="214"/>
      <c r="AX361" s="214"/>
      <c r="AY361" s="214"/>
      <c r="AZ361" s="214"/>
      <c r="BA361" s="469"/>
      <c r="BB361" s="214"/>
      <c r="BC361" s="214"/>
      <c r="BD361" s="214"/>
      <c r="BE361" s="214"/>
    </row>
    <row r="362" spans="14:57" x14ac:dyDescent="0.25">
      <c r="N362" s="214"/>
      <c r="O362" s="214"/>
      <c r="P362" s="214"/>
      <c r="Q362" s="214"/>
      <c r="R362" s="214"/>
      <c r="S362" s="214"/>
      <c r="T362" s="214"/>
      <c r="U362" s="214"/>
      <c r="V362" s="214"/>
      <c r="W362" s="214"/>
      <c r="X362" s="214"/>
      <c r="Y362" s="214"/>
      <c r="Z362" s="214"/>
      <c r="AA362" s="214"/>
      <c r="AB362" s="214"/>
      <c r="AC362" s="214"/>
      <c r="AD362" s="214"/>
      <c r="AE362" s="214"/>
      <c r="AF362" s="214"/>
      <c r="AG362" s="214"/>
      <c r="AH362" s="214"/>
      <c r="AI362" s="214"/>
      <c r="AJ362" s="214"/>
      <c r="AK362" s="214"/>
      <c r="AL362" s="214"/>
      <c r="AM362" s="214"/>
      <c r="AN362" s="214"/>
      <c r="AO362" s="214"/>
      <c r="AP362" s="214"/>
      <c r="AQ362" s="214"/>
      <c r="AR362" s="214"/>
      <c r="AS362" s="469"/>
      <c r="AT362" s="214"/>
      <c r="AU362" s="214"/>
      <c r="AV362" s="214"/>
      <c r="AW362" s="214"/>
      <c r="AX362" s="214"/>
      <c r="AY362" s="214"/>
      <c r="AZ362" s="214"/>
      <c r="BA362" s="469"/>
      <c r="BB362" s="214"/>
      <c r="BC362" s="214"/>
      <c r="BD362" s="214"/>
      <c r="BE362" s="214"/>
    </row>
    <row r="363" spans="14:57" x14ac:dyDescent="0.25">
      <c r="N363" s="214"/>
      <c r="O363" s="214"/>
      <c r="P363" s="214"/>
      <c r="Q363" s="214"/>
      <c r="R363" s="214"/>
      <c r="S363" s="214"/>
      <c r="T363" s="214"/>
      <c r="U363" s="214"/>
      <c r="V363" s="214"/>
      <c r="W363" s="214"/>
      <c r="X363" s="214"/>
      <c r="Y363" s="214"/>
      <c r="Z363" s="214"/>
      <c r="AA363" s="214"/>
      <c r="AB363" s="214"/>
      <c r="AC363" s="214"/>
      <c r="AD363" s="214"/>
      <c r="AE363" s="214"/>
      <c r="AF363" s="214"/>
      <c r="AG363" s="214"/>
      <c r="AH363" s="214"/>
      <c r="AI363" s="214"/>
      <c r="AJ363" s="214"/>
      <c r="AK363" s="214"/>
      <c r="AL363" s="214"/>
      <c r="AM363" s="214"/>
      <c r="AN363" s="214"/>
      <c r="AO363" s="214"/>
      <c r="AP363" s="214"/>
      <c r="AQ363" s="214"/>
      <c r="AR363" s="214"/>
      <c r="AS363" s="469"/>
      <c r="AT363" s="214"/>
      <c r="AU363" s="214"/>
      <c r="AV363" s="214"/>
      <c r="AW363" s="214"/>
      <c r="AX363" s="214"/>
      <c r="AY363" s="214"/>
      <c r="AZ363" s="214"/>
      <c r="BA363" s="469"/>
      <c r="BB363" s="214"/>
      <c r="BC363" s="214"/>
      <c r="BD363" s="214"/>
      <c r="BE363" s="214"/>
    </row>
    <row r="364" spans="14:57" x14ac:dyDescent="0.25">
      <c r="N364" s="214"/>
      <c r="O364" s="214"/>
      <c r="P364" s="214"/>
      <c r="Q364" s="214"/>
      <c r="R364" s="214"/>
      <c r="S364" s="214"/>
      <c r="T364" s="214"/>
      <c r="U364" s="214"/>
      <c r="V364" s="214"/>
      <c r="W364" s="214"/>
      <c r="X364" s="214"/>
      <c r="Y364" s="214"/>
      <c r="Z364" s="214"/>
      <c r="AA364" s="214"/>
      <c r="AB364" s="214"/>
      <c r="AC364" s="214"/>
      <c r="AD364" s="214"/>
      <c r="AE364" s="214"/>
      <c r="AF364" s="214"/>
      <c r="AG364" s="214"/>
      <c r="AH364" s="214"/>
      <c r="AI364" s="214"/>
      <c r="AJ364" s="214"/>
      <c r="AK364" s="214"/>
      <c r="AL364" s="214"/>
      <c r="AM364" s="214"/>
      <c r="AN364" s="214"/>
      <c r="AO364" s="214"/>
      <c r="AP364" s="214"/>
      <c r="AQ364" s="214"/>
      <c r="AR364" s="214"/>
      <c r="AS364" s="469"/>
      <c r="AT364" s="214"/>
      <c r="AU364" s="214"/>
      <c r="AV364" s="214"/>
      <c r="AW364" s="214"/>
      <c r="AX364" s="214"/>
      <c r="AY364" s="214"/>
      <c r="AZ364" s="214"/>
      <c r="BA364" s="469"/>
      <c r="BB364" s="214"/>
      <c r="BC364" s="214"/>
      <c r="BD364" s="214"/>
      <c r="BE364" s="214"/>
    </row>
    <row r="365" spans="14:57" x14ac:dyDescent="0.25">
      <c r="N365" s="214"/>
      <c r="O365" s="214"/>
      <c r="P365" s="214"/>
      <c r="Q365" s="214"/>
      <c r="R365" s="214"/>
      <c r="S365" s="214"/>
      <c r="T365" s="214"/>
      <c r="U365" s="214"/>
      <c r="V365" s="214"/>
      <c r="W365" s="214"/>
      <c r="X365" s="214"/>
      <c r="Y365" s="214"/>
      <c r="Z365" s="214"/>
      <c r="AA365" s="214"/>
      <c r="AB365" s="214"/>
      <c r="AC365" s="214"/>
      <c r="AD365" s="214"/>
      <c r="AE365" s="214"/>
      <c r="AF365" s="214"/>
      <c r="AG365" s="214"/>
      <c r="AH365" s="214"/>
      <c r="AI365" s="214"/>
      <c r="AJ365" s="214"/>
      <c r="AK365" s="214"/>
      <c r="AL365" s="214"/>
      <c r="AM365" s="214"/>
      <c r="AN365" s="214"/>
      <c r="AO365" s="214"/>
      <c r="AP365" s="214"/>
      <c r="AQ365" s="214"/>
      <c r="AR365" s="214"/>
      <c r="AS365" s="469"/>
      <c r="AT365" s="214"/>
      <c r="AU365" s="214"/>
      <c r="AV365" s="214"/>
      <c r="AW365" s="214"/>
      <c r="AX365" s="214"/>
      <c r="AY365" s="214"/>
      <c r="AZ365" s="214"/>
      <c r="BA365" s="469"/>
      <c r="BB365" s="214"/>
      <c r="BC365" s="214"/>
      <c r="BD365" s="214"/>
      <c r="BE365" s="214"/>
    </row>
    <row r="366" spans="14:57" x14ac:dyDescent="0.25">
      <c r="N366" s="214"/>
      <c r="O366" s="214"/>
      <c r="P366" s="214"/>
      <c r="Q366" s="214"/>
      <c r="R366" s="214"/>
      <c r="S366" s="214"/>
      <c r="T366" s="214"/>
      <c r="U366" s="214"/>
      <c r="V366" s="214"/>
      <c r="W366" s="214"/>
      <c r="X366" s="214"/>
      <c r="Y366" s="214"/>
      <c r="Z366" s="214"/>
      <c r="AA366" s="214"/>
      <c r="AB366" s="214"/>
      <c r="AC366" s="214"/>
      <c r="AD366" s="214"/>
      <c r="AE366" s="214"/>
      <c r="AF366" s="214"/>
      <c r="AG366" s="214"/>
      <c r="AH366" s="214"/>
      <c r="AI366" s="214"/>
      <c r="AJ366" s="214"/>
      <c r="AK366" s="214"/>
      <c r="AL366" s="214"/>
      <c r="AM366" s="214"/>
      <c r="AN366" s="214"/>
      <c r="AO366" s="214"/>
      <c r="AP366" s="214"/>
      <c r="AQ366" s="214"/>
      <c r="AR366" s="214"/>
      <c r="AS366" s="469"/>
      <c r="AT366" s="214"/>
      <c r="AU366" s="214"/>
      <c r="AV366" s="214"/>
      <c r="AW366" s="214"/>
      <c r="AX366" s="214"/>
      <c r="AY366" s="214"/>
      <c r="AZ366" s="214"/>
      <c r="BA366" s="469"/>
      <c r="BB366" s="214"/>
      <c r="BC366" s="214"/>
      <c r="BD366" s="214"/>
      <c r="BE366" s="214"/>
    </row>
    <row r="367" spans="14:57" x14ac:dyDescent="0.25">
      <c r="N367" s="214"/>
      <c r="O367" s="214"/>
      <c r="P367" s="214"/>
      <c r="Q367" s="214"/>
      <c r="R367" s="214"/>
      <c r="S367" s="214"/>
      <c r="T367" s="214"/>
      <c r="U367" s="214"/>
      <c r="V367" s="214"/>
      <c r="W367" s="214"/>
      <c r="X367" s="214"/>
      <c r="Y367" s="214"/>
      <c r="Z367" s="214"/>
      <c r="AA367" s="214"/>
      <c r="AB367" s="214"/>
      <c r="AC367" s="214"/>
      <c r="AD367" s="214"/>
      <c r="AE367" s="214"/>
      <c r="AF367" s="214"/>
      <c r="AG367" s="214"/>
      <c r="AH367" s="214"/>
      <c r="AI367" s="214"/>
      <c r="AJ367" s="214"/>
      <c r="AK367" s="214"/>
      <c r="AL367" s="214"/>
      <c r="AM367" s="214"/>
      <c r="AN367" s="214"/>
      <c r="AO367" s="214"/>
      <c r="AP367" s="214"/>
      <c r="AQ367" s="214"/>
      <c r="AR367" s="214"/>
      <c r="AS367" s="469"/>
      <c r="AT367" s="214"/>
      <c r="AU367" s="214"/>
      <c r="AV367" s="214"/>
      <c r="AW367" s="214"/>
      <c r="AX367" s="214"/>
      <c r="AY367" s="214"/>
      <c r="AZ367" s="214"/>
      <c r="BA367" s="469"/>
      <c r="BB367" s="214"/>
      <c r="BC367" s="214"/>
      <c r="BD367" s="214"/>
      <c r="BE367" s="214"/>
    </row>
    <row r="368" spans="14:57" x14ac:dyDescent="0.25">
      <c r="N368" s="214"/>
      <c r="O368" s="214"/>
      <c r="P368" s="214"/>
      <c r="Q368" s="214"/>
      <c r="R368" s="214"/>
      <c r="S368" s="214"/>
      <c r="T368" s="214"/>
      <c r="U368" s="214"/>
      <c r="V368" s="214"/>
      <c r="W368" s="214"/>
      <c r="X368" s="214"/>
      <c r="Y368" s="214"/>
      <c r="Z368" s="214"/>
      <c r="AA368" s="214"/>
      <c r="AB368" s="214"/>
      <c r="AC368" s="214"/>
      <c r="AD368" s="214"/>
      <c r="AE368" s="214"/>
      <c r="AF368" s="214"/>
      <c r="AG368" s="214"/>
      <c r="AH368" s="214"/>
      <c r="AI368" s="214"/>
      <c r="AJ368" s="214"/>
      <c r="AK368" s="214"/>
      <c r="AL368" s="214"/>
      <c r="AM368" s="214"/>
      <c r="AN368" s="214"/>
      <c r="AO368" s="214"/>
      <c r="AP368" s="214"/>
      <c r="AQ368" s="214"/>
      <c r="AR368" s="214"/>
      <c r="AS368" s="469"/>
      <c r="AT368" s="214"/>
      <c r="AU368" s="214"/>
      <c r="AV368" s="214"/>
      <c r="AW368" s="214"/>
      <c r="AX368" s="214"/>
      <c r="AY368" s="214"/>
      <c r="AZ368" s="214"/>
      <c r="BA368" s="469"/>
      <c r="BB368" s="214"/>
      <c r="BC368" s="214"/>
      <c r="BD368" s="214"/>
      <c r="BE368" s="214"/>
    </row>
  </sheetData>
  <sheetProtection algorithmName="SHA-512" hashValue="Ze+9hMU/HZEBX9hKyxAu9kOxBkHvSKMuTaMU6T3AD1bNX8RUuXQgDJ2YBCHqyn+VdqCj6iUCHxgU0mzZKZ1WmQ==" saltValue="wWWhPFDChxjnhgCWqPnXcQ==" spinCount="100000" sheet="1" objects="1" scenarios="1" formatColumns="0" autoFilter="0"/>
  <autoFilter ref="F10:F291"/>
  <mergeCells count="51">
    <mergeCell ref="H7:K7"/>
    <mergeCell ref="AD8:AD10"/>
    <mergeCell ref="AE8:AE10"/>
    <mergeCell ref="AF8:AF10"/>
    <mergeCell ref="AI8:AI10"/>
    <mergeCell ref="BB210:BB212"/>
    <mergeCell ref="BC210:BC212"/>
    <mergeCell ref="AT135:AT137"/>
    <mergeCell ref="AU135:AU137"/>
    <mergeCell ref="AW135:AW137"/>
    <mergeCell ref="AX135:AX137"/>
    <mergeCell ref="AZ135:AZ137"/>
    <mergeCell ref="AY135:AY137"/>
    <mergeCell ref="B298:K298"/>
    <mergeCell ref="Y8:Y10"/>
    <mergeCell ref="AB8:AB10"/>
    <mergeCell ref="Z8:Z10"/>
    <mergeCell ref="X8:X10"/>
    <mergeCell ref="S8:S10"/>
    <mergeCell ref="R8:R10"/>
    <mergeCell ref="N8:N10"/>
    <mergeCell ref="O8:O10"/>
    <mergeCell ref="Q8:Q10"/>
    <mergeCell ref="T8:T10"/>
    <mergeCell ref="H9:K9"/>
    <mergeCell ref="I308:K308"/>
    <mergeCell ref="AZ8:AZ10"/>
    <mergeCell ref="AT8:AT10"/>
    <mergeCell ref="AU8:AU10"/>
    <mergeCell ref="AW8:AW10"/>
    <mergeCell ref="V8:V10"/>
    <mergeCell ref="P8:P10"/>
    <mergeCell ref="B300:K300"/>
    <mergeCell ref="AO8:AO10"/>
    <mergeCell ref="W8:W10"/>
    <mergeCell ref="AK8:AK10"/>
    <mergeCell ref="B299:K299"/>
    <mergeCell ref="U8:U10"/>
    <mergeCell ref="G293:H293"/>
    <mergeCell ref="AC8:AC10"/>
    <mergeCell ref="AL8:AL10"/>
    <mergeCell ref="BD8:BD10"/>
    <mergeCell ref="AQ8:AQ10"/>
    <mergeCell ref="AH8:AH10"/>
    <mergeCell ref="BB8:BB10"/>
    <mergeCell ref="AM8:AM10"/>
    <mergeCell ref="AN8:AN10"/>
    <mergeCell ref="AP8:AP10"/>
    <mergeCell ref="AR8:AR10"/>
    <mergeCell ref="AY8:AY10"/>
    <mergeCell ref="AX8:AX10"/>
  </mergeCells>
  <phoneticPr fontId="51" type="noConversion"/>
  <hyperlinks>
    <hyperlink ref="BG2" location="Form!A1" tooltip=" " display="Form!A1"/>
    <hyperlink ref="BG3" location="Menu!A1" tooltip=" " display="Menu!A1"/>
    <hyperlink ref="BG7" location="Sum!A1" tooltip=" " display="Sum!A1"/>
    <hyperlink ref="BG4" location="Acs!A1" tooltip=" " display="Acs!A1"/>
    <hyperlink ref="BG5" location="SD!A1" tooltip=" " display="SD!A1"/>
    <hyperlink ref="BG6" location="AL!A1" tooltip=" " display="AL!A1"/>
  </hyperlinks>
  <pageMargins left="0.31496062992125984" right="0.19685039370078741" top="0.19685039370078741" bottom="0.59055118110236227" header="0" footer="0"/>
  <pageSetup paperSize="9" scale="85" orientation="portrait" horizontalDpi="300" verticalDpi="300" r:id="rId1"/>
  <headerFooter alignWithMargins="0"/>
  <cellWatches>
    <cellWatch r="M2"/>
  </cellWatches>
  <ignoredErrors>
    <ignoredError sqref="J272:K275 G272:H275 B272:D275 I272:I275" unlockedFormula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B1:E433"/>
  <sheetViews>
    <sheetView workbookViewId="0">
      <selection activeCell="H12" sqref="H12"/>
    </sheetView>
  </sheetViews>
  <sheetFormatPr defaultColWidth="9.1796875" defaultRowHeight="11.5" x14ac:dyDescent="0.25"/>
  <cols>
    <col min="1" max="1" width="3.453125" style="98" customWidth="1"/>
    <col min="2" max="2" width="64.81640625" style="100" customWidth="1"/>
    <col min="3" max="3" width="74.453125" style="98" customWidth="1"/>
    <col min="4" max="16384" width="9.1796875" style="98"/>
  </cols>
  <sheetData>
    <row r="1" spans="2:3" ht="12.5" x14ac:dyDescent="0.25">
      <c r="B1" s="97">
        <f>Form!$T$9</f>
        <v>2</v>
      </c>
      <c r="C1" s="112" t="str">
        <f>$B$110</f>
        <v>Zpět na úvod</v>
      </c>
    </row>
    <row r="2" spans="2:3" x14ac:dyDescent="0.25">
      <c r="B2" s="99"/>
    </row>
    <row r="3" spans="2:3" x14ac:dyDescent="0.25">
      <c r="B3" s="105" t="str">
        <f>IF($B$1=1,#REF!,C3)</f>
        <v>Údaje pro objednávku, zadání slevy od prodejce</v>
      </c>
      <c r="C3" s="98" t="s">
        <v>179</v>
      </c>
    </row>
    <row r="4" spans="2:3" x14ac:dyDescent="0.25">
      <c r="B4" s="105" t="str">
        <f>IF($B$1=1,#REF!,C4)</f>
        <v>Výběr zásuvek a výsuvů</v>
      </c>
      <c r="C4" s="98" t="s">
        <v>209</v>
      </c>
    </row>
    <row r="5" spans="2:3" x14ac:dyDescent="0.25">
      <c r="B5" s="105" t="str">
        <f>IF($B$1=1,#REF!,C5)</f>
        <v>Výběr doplňků</v>
      </c>
      <c r="C5" s="98" t="s">
        <v>222</v>
      </c>
    </row>
    <row r="6" spans="2:3" x14ac:dyDescent="0.25">
      <c r="B6" s="246" t="s">
        <v>351</v>
      </c>
      <c r="C6" s="183" t="s">
        <v>351</v>
      </c>
    </row>
    <row r="7" spans="2:3" x14ac:dyDescent="0.25">
      <c r="B7" s="105" t="str">
        <f>IF($B$1=1,#REF!,C7)</f>
        <v>Výběr AMBIA-LINE</v>
      </c>
      <c r="C7" s="183" t="s">
        <v>482</v>
      </c>
    </row>
    <row r="8" spans="2:3" x14ac:dyDescent="0.25">
      <c r="B8" s="99">
        <f>IF($B$1=1,#REF!,C8)</f>
        <v>0</v>
      </c>
    </row>
    <row r="9" spans="2:3" x14ac:dyDescent="0.25">
      <c r="B9" s="105" t="str">
        <f>IF($B$1=1,#REF!,C9)</f>
        <v>Tato aplikace slouží k snadnějšímu objednávání kování.</v>
      </c>
      <c r="C9" s="98" t="s">
        <v>181</v>
      </c>
    </row>
    <row r="10" spans="2:3" x14ac:dyDescent="0.25">
      <c r="B10" s="99">
        <f>IF($B$1=1,#REF!,C10)</f>
        <v>0</v>
      </c>
    </row>
    <row r="11" spans="2:3" x14ac:dyDescent="0.25">
      <c r="B11" s="105" t="str">
        <f>IF($B$1=1,#REF!,C11)</f>
        <v>Zpět na</v>
      </c>
      <c r="C11" s="98" t="s">
        <v>218</v>
      </c>
    </row>
    <row r="12" spans="2:3" x14ac:dyDescent="0.25">
      <c r="B12" s="105" t="str">
        <f>IF($B$1=1,#REF!,C12)</f>
        <v>Pokračovat na</v>
      </c>
      <c r="C12" s="98" t="s">
        <v>219</v>
      </c>
    </row>
    <row r="13" spans="2:3" x14ac:dyDescent="0.25">
      <c r="B13" s="105" t="str">
        <f>IF($B$1=1,#REF!,C13)</f>
        <v>Úvod</v>
      </c>
      <c r="C13" s="98" t="s">
        <v>191</v>
      </c>
    </row>
    <row r="14" spans="2:3" x14ac:dyDescent="0.25">
      <c r="B14" s="105" t="str">
        <f>IF($B$1=1,#REF!,C14)</f>
        <v>Zásuvky a výsuvy</v>
      </c>
      <c r="C14" s="98" t="s">
        <v>220</v>
      </c>
    </row>
    <row r="15" spans="2:3" x14ac:dyDescent="0.25">
      <c r="B15" s="105" t="str">
        <f>IF($B$1=1,#REF!,C15)</f>
        <v>Přehled</v>
      </c>
      <c r="C15" s="98" t="s">
        <v>201</v>
      </c>
    </row>
    <row r="16" spans="2:3" x14ac:dyDescent="0.25">
      <c r="B16" s="105" t="str">
        <f>IF($B$1=1,#REF!,C16)</f>
        <v>Nápověda</v>
      </c>
      <c r="C16" s="98" t="s">
        <v>126</v>
      </c>
    </row>
    <row r="17" spans="2:3" x14ac:dyDescent="0.25">
      <c r="B17" s="100" t="str">
        <f>IF($B$1=1,#REF!,C17)</f>
        <v>Odkazy</v>
      </c>
      <c r="C17" s="98" t="s">
        <v>127</v>
      </c>
    </row>
    <row r="18" spans="2:3" x14ac:dyDescent="0.25">
      <c r="B18" s="105" t="str">
        <f>IF($B$1=1,#REF!,C18)</f>
        <v>Souhrn</v>
      </c>
      <c r="C18" s="98" t="s">
        <v>221</v>
      </c>
    </row>
    <row r="19" spans="2:3" x14ac:dyDescent="0.25">
      <c r="B19" s="105" t="str">
        <f>IF($B$1=1,#REF!,C19)</f>
        <v>Vybrané zásuvky</v>
      </c>
      <c r="C19" s="98" t="s">
        <v>202</v>
      </c>
    </row>
    <row r="20" spans="2:3" x14ac:dyDescent="0.25">
      <c r="B20" s="105" t="str">
        <f>IF($B$1=1,#REF!,C20)</f>
        <v>Objednávka</v>
      </c>
      <c r="C20" s="98" t="s">
        <v>128</v>
      </c>
    </row>
    <row r="21" spans="2:3" x14ac:dyDescent="0.25">
      <c r="B21" s="105" t="str">
        <f>IF($B$1=1,#REF!,C21)</f>
        <v>Doplňky</v>
      </c>
      <c r="C21" s="98" t="s">
        <v>129</v>
      </c>
    </row>
    <row r="22" spans="2:3" x14ac:dyDescent="0.25">
      <c r="B22" s="105" t="str">
        <f>IF($B$1=1,#REF!,C22)</f>
        <v>Soupis kování</v>
      </c>
      <c r="C22" s="98" t="s">
        <v>130</v>
      </c>
    </row>
    <row r="23" spans="2:3" x14ac:dyDescent="0.25">
      <c r="B23" s="105" t="str">
        <f>IF($B$1=1,#REF!,C23)</f>
        <v>Volitelně</v>
      </c>
      <c r="C23" s="98" t="s">
        <v>223</v>
      </c>
    </row>
    <row r="24" spans="2:3" x14ac:dyDescent="0.25">
      <c r="B24" s="105" t="str">
        <f>IF($B$1=1,#REF!,C24)</f>
        <v>Základní údaje</v>
      </c>
      <c r="C24" s="98" t="s">
        <v>131</v>
      </c>
    </row>
    <row r="25" spans="2:3" x14ac:dyDescent="0.25">
      <c r="B25" s="105" t="str">
        <f>IF($B$1=1,#REF!,C25)</f>
        <v>Informace k objednávání</v>
      </c>
      <c r="C25" s="98" t="s">
        <v>46</v>
      </c>
    </row>
    <row r="26" spans="2:3" x14ac:dyDescent="0.25">
      <c r="B26" s="99">
        <f>IF($B$1=1,#REF!,C26)</f>
        <v>0</v>
      </c>
    </row>
    <row r="27" spans="2:3" x14ac:dyDescent="0.25">
      <c r="B27" s="105" t="str">
        <f>IF($B$1=1,#REF!,C27)</f>
        <v>barva</v>
      </c>
      <c r="C27" s="98" t="s">
        <v>206</v>
      </c>
    </row>
    <row r="28" spans="2:3" x14ac:dyDescent="0.25">
      <c r="B28" s="105" t="str">
        <f>IF($B$1=1,#REF!,C28)</f>
        <v>Orion šedá</v>
      </c>
      <c r="C28" s="183" t="s">
        <v>483</v>
      </c>
    </row>
    <row r="29" spans="2:3" x14ac:dyDescent="0.25">
      <c r="B29" s="105" t="str">
        <f>IF($B$1=1,#REF!,C29)</f>
        <v>hedvábně bílá</v>
      </c>
      <c r="C29" s="98" t="s">
        <v>203</v>
      </c>
    </row>
    <row r="30" spans="2:3" x14ac:dyDescent="0.25">
      <c r="B30" s="105" t="str">
        <f>IF($B$1=1,#REF!,C30)</f>
        <v xml:space="preserve">Terra černá </v>
      </c>
      <c r="C30" s="183" t="s">
        <v>497</v>
      </c>
    </row>
    <row r="31" spans="2:3" x14ac:dyDescent="0.25">
      <c r="B31" s="105" t="str">
        <f>IF($B$1=1,#REF!,C31)</f>
        <v>Inox</v>
      </c>
      <c r="C31" s="183" t="s">
        <v>496</v>
      </c>
    </row>
    <row r="32" spans="2:3" x14ac:dyDescent="0.25">
      <c r="B32" s="105" t="str">
        <f>IF($B$1=1,#REF!,C32)</f>
        <v>Nebraska dub/OG-M</v>
      </c>
      <c r="C32" s="183" t="s">
        <v>940</v>
      </c>
    </row>
    <row r="33" spans="2:3" x14ac:dyDescent="0.25">
      <c r="B33" s="105" t="str">
        <f>IF($B$1=1,#REF!,C33)</f>
        <v>Bardolino dub/SW-M</v>
      </c>
      <c r="C33" s="183" t="s">
        <v>941</v>
      </c>
    </row>
    <row r="34" spans="2:3" x14ac:dyDescent="0.25">
      <c r="B34" s="105" t="str">
        <f>IF($B$1=1,#REF!,C34)</f>
        <v>Tennessee ořech/TS-M</v>
      </c>
      <c r="C34" s="183" t="s">
        <v>942</v>
      </c>
    </row>
    <row r="35" spans="2:3" x14ac:dyDescent="0.25">
      <c r="B35" s="105" t="str">
        <f>IF($B$1=1,#REF!,C35)</f>
        <v>sklo</v>
      </c>
      <c r="C35" s="98" t="s">
        <v>207</v>
      </c>
    </row>
    <row r="36" spans="2:3" x14ac:dyDescent="0.25">
      <c r="B36" s="105" t="str">
        <f>IF($B$1=1,#REF!,C36)</f>
        <v>čiré</v>
      </c>
      <c r="C36" s="98" t="s">
        <v>204</v>
      </c>
    </row>
    <row r="37" spans="2:3" x14ac:dyDescent="0.25">
      <c r="B37" s="105" t="str">
        <f>IF($B$1=1,#REF!,C37)</f>
        <v>saténované</v>
      </c>
      <c r="C37" s="98" t="s">
        <v>205</v>
      </c>
    </row>
    <row r="38" spans="2:3" x14ac:dyDescent="0.25">
      <c r="B38" s="99"/>
    </row>
    <row r="39" spans="2:3" x14ac:dyDescent="0.25">
      <c r="B39" s="105" t="str">
        <f>IF($B$1=1,#REF!,C39)</f>
        <v>čelní kování</v>
      </c>
      <c r="C39" s="98" t="s">
        <v>208</v>
      </c>
    </row>
    <row r="40" spans="2:3" x14ac:dyDescent="0.25">
      <c r="B40" s="105" t="str">
        <f>IF($B$1=1,#REF!,C40)</f>
        <v>na vruty</v>
      </c>
      <c r="C40" s="98" t="s">
        <v>125</v>
      </c>
    </row>
    <row r="41" spans="2:3" x14ac:dyDescent="0.25">
      <c r="B41" s="99">
        <f>IF($B$1=1,#REF!,C41)</f>
        <v>0</v>
      </c>
    </row>
    <row r="42" spans="2:3" x14ac:dyDescent="0.25">
      <c r="B42" s="99">
        <f>IF($B$1=1,#REF!,C42)</f>
        <v>0</v>
      </c>
    </row>
    <row r="43" spans="2:3" x14ac:dyDescent="0.25">
      <c r="B43" s="99">
        <f>IF($B$1=1,#REF!,C43)</f>
        <v>0</v>
      </c>
    </row>
    <row r="44" spans="2:3" x14ac:dyDescent="0.25">
      <c r="B44" s="99">
        <f>IF($B$1=1,#REF!,C44)</f>
        <v>0</v>
      </c>
    </row>
    <row r="45" spans="2:3" x14ac:dyDescent="0.25">
      <c r="B45" s="99">
        <f>IF($B$1=1,#REF!,C45)</f>
        <v>0</v>
      </c>
    </row>
    <row r="46" spans="2:3" x14ac:dyDescent="0.25">
      <c r="B46" s="99">
        <f>IF($B$1=1,#REF!,C46)</f>
        <v>0</v>
      </c>
    </row>
    <row r="47" spans="2:3" x14ac:dyDescent="0.25">
      <c r="B47" s="99">
        <f>IF($B$1=1,#REF!,C47)</f>
        <v>0</v>
      </c>
    </row>
    <row r="48" spans="2:3" ht="12.75" customHeight="1" x14ac:dyDescent="0.25">
      <c r="B48" s="99">
        <f>IF($B$1=1,#REF!,C48)</f>
        <v>0</v>
      </c>
    </row>
    <row r="49" spans="2:3" x14ac:dyDescent="0.25">
      <c r="B49" s="105" t="str">
        <f>IF($B$1=1,#REF!,C49)</f>
        <v>Zásuvka</v>
      </c>
      <c r="C49" s="98" t="s">
        <v>183</v>
      </c>
    </row>
    <row r="50" spans="2:3" x14ac:dyDescent="0.25">
      <c r="B50" s="105" t="str">
        <f>IF($B$1=1,#REF!,C50)</f>
        <v>Vnitřní zásuvka</v>
      </c>
      <c r="C50" s="98" t="s">
        <v>184</v>
      </c>
    </row>
    <row r="51" spans="2:3" x14ac:dyDescent="0.25">
      <c r="B51" s="105" t="str">
        <f>IF($B$1=1,#REF!,C51)</f>
        <v>Čelní výsuv</v>
      </c>
      <c r="C51" s="98" t="s">
        <v>185</v>
      </c>
    </row>
    <row r="52" spans="2:3" x14ac:dyDescent="0.25">
      <c r="B52" s="105" t="str">
        <f>IF($B$1=1,#REF!,C52)</f>
        <v>Vnitřní výsuv</v>
      </c>
      <c r="C52" s="98" t="s">
        <v>186</v>
      </c>
    </row>
    <row r="53" spans="2:3" s="99" customFormat="1" x14ac:dyDescent="0.25">
      <c r="B53" s="105" t="str">
        <f>IF($B$1=1,#REF!,C53)</f>
        <v>Dřezová zásuvka</v>
      </c>
      <c r="C53" s="99" t="s">
        <v>187</v>
      </c>
    </row>
    <row r="54" spans="2:3" s="99" customFormat="1" x14ac:dyDescent="0.25">
      <c r="B54" s="105" t="str">
        <f>IF($B$1=1,#REF!,C54)</f>
        <v>Dřezový výsuv</v>
      </c>
      <c r="C54" s="99" t="s">
        <v>188</v>
      </c>
    </row>
    <row r="55" spans="2:3" s="99" customFormat="1" x14ac:dyDescent="0.25"/>
    <row r="56" spans="2:3" x14ac:dyDescent="0.25">
      <c r="B56" s="105" t="str">
        <f>IF($B$1=1,#REF!,C56)</f>
        <v>Zásuvky</v>
      </c>
      <c r="C56" s="98" t="s">
        <v>193</v>
      </c>
    </row>
    <row r="57" spans="2:3" x14ac:dyDescent="0.25">
      <c r="B57" s="105" t="str">
        <f>IF($B$1=1,#REF!,C57)</f>
        <v>Vnitřní zásuvky</v>
      </c>
      <c r="C57" s="98" t="s">
        <v>194</v>
      </c>
    </row>
    <row r="58" spans="2:3" x14ac:dyDescent="0.25">
      <c r="B58" s="105" t="str">
        <f>IF($B$1=1,#REF!,C58)</f>
        <v>Čelní výsuvy</v>
      </c>
      <c r="C58" s="98" t="s">
        <v>195</v>
      </c>
    </row>
    <row r="59" spans="2:3" x14ac:dyDescent="0.25">
      <c r="B59" s="105" t="str">
        <f>IF($B$1=1,#REF!,C59)</f>
        <v>Vnitřní výsuvy</v>
      </c>
      <c r="C59" s="98" t="s">
        <v>196</v>
      </c>
    </row>
    <row r="60" spans="2:3" s="99" customFormat="1" x14ac:dyDescent="0.25">
      <c r="B60" s="105" t="str">
        <f>IF($B$1=1,#REF!,C60)</f>
        <v>Dřezové zásuvky a výsuvy</v>
      </c>
      <c r="C60" s="184" t="s">
        <v>22</v>
      </c>
    </row>
    <row r="61" spans="2:3" s="99" customFormat="1" x14ac:dyDescent="0.25">
      <c r="B61" s="105" t="str">
        <f>IF($B$1=1,#REF!,C61)</f>
        <v>Dřezové výsuvy</v>
      </c>
      <c r="C61" s="99" t="s">
        <v>197</v>
      </c>
    </row>
    <row r="62" spans="2:3" s="99" customFormat="1" x14ac:dyDescent="0.25">
      <c r="B62" s="105" t="str">
        <f>IF($B$1=1,#REF!,C62)</f>
        <v>pro úzké korpusy</v>
      </c>
      <c r="C62" s="167" t="s">
        <v>134</v>
      </c>
    </row>
    <row r="63" spans="2:3" s="99" customFormat="1" x14ac:dyDescent="0.25">
      <c r="B63" s="105" t="str">
        <f>IF($B$1=1,#REF!,C63)</f>
        <v>sestava</v>
      </c>
      <c r="C63" s="167" t="s">
        <v>135</v>
      </c>
    </row>
    <row r="64" spans="2:3" s="99" customFormat="1" x14ac:dyDescent="0.25"/>
    <row r="65" spans="2:3" s="99" customFormat="1" x14ac:dyDescent="0.25">
      <c r="B65" s="105" t="str">
        <f>IF($B$1=1,#REF!,C65)</f>
        <v>Přední zásuvné prvky</v>
      </c>
      <c r="C65" s="561" t="s">
        <v>1133</v>
      </c>
    </row>
    <row r="66" spans="2:3" s="99" customFormat="1" x14ac:dyDescent="0.25">
      <c r="B66" s="105" t="str">
        <f>IF($B$1=1,#REF!,C66)</f>
        <v>přední zásuvný prvek</v>
      </c>
      <c r="C66" s="561" t="s">
        <v>1134</v>
      </c>
    </row>
    <row r="67" spans="2:3" s="99" customFormat="1" x14ac:dyDescent="0.25">
      <c r="B67" s="105" t="str">
        <f>IF($B$1=1,#REF!,C67)</f>
        <v>Boční zásuvné prvky</v>
      </c>
      <c r="C67" s="561" t="s">
        <v>1135</v>
      </c>
    </row>
    <row r="68" spans="2:3" s="99" customFormat="1" x14ac:dyDescent="0.25">
      <c r="B68" s="105" t="str">
        <f>IF($B$1=1,#REF!,C68)</f>
        <v>vysoký</v>
      </c>
      <c r="C68" s="184" t="s">
        <v>485</v>
      </c>
    </row>
    <row r="69" spans="2:3" s="99" customFormat="1" x14ac:dyDescent="0.25">
      <c r="B69" s="105" t="str">
        <f>IF($B$1=1,#REF!,C69)</f>
        <v>nízký</v>
      </c>
      <c r="C69" s="184" t="s">
        <v>484</v>
      </c>
    </row>
    <row r="70" spans="2:3" s="99" customFormat="1" x14ac:dyDescent="0.25">
      <c r="B70" s="105" t="str">
        <f>IF($B$1=1,#REF!,C70)</f>
        <v>Vlastní zásuvné prvky</v>
      </c>
      <c r="C70" s="184" t="s">
        <v>6</v>
      </c>
    </row>
    <row r="71" spans="2:3" x14ac:dyDescent="0.25">
      <c r="B71" s="105" t="str">
        <f>IF($B$1=1,#REF!,C71)</f>
        <v>přední reling</v>
      </c>
      <c r="C71" s="183" t="s">
        <v>472</v>
      </c>
    </row>
    <row r="72" spans="2:3" s="99" customFormat="1" x14ac:dyDescent="0.25"/>
    <row r="73" spans="2:3" s="99" customFormat="1" x14ac:dyDescent="0.25"/>
    <row r="74" spans="2:3" s="99" customFormat="1" x14ac:dyDescent="0.25">
      <c r="B74" s="105" t="str">
        <f>IF($B$1=1,#REF!,C74)</f>
        <v>šířka</v>
      </c>
      <c r="C74" s="99" t="s">
        <v>854</v>
      </c>
    </row>
    <row r="75" spans="2:3" s="99" customFormat="1" x14ac:dyDescent="0.25">
      <c r="B75" s="105" t="str">
        <f>IF($B$1=1,#REF!,C75)</f>
        <v>výška</v>
      </c>
      <c r="C75" s="99" t="s">
        <v>855</v>
      </c>
    </row>
    <row r="76" spans="2:3" s="99" customFormat="1" x14ac:dyDescent="0.25">
      <c r="B76" s="105" t="str">
        <f>IF($B$1=1,#REF!,C76)</f>
        <v>délka</v>
      </c>
      <c r="C76" s="184" t="s">
        <v>907</v>
      </c>
    </row>
    <row r="77" spans="2:3" x14ac:dyDescent="0.25">
      <c r="B77" s="99"/>
    </row>
    <row r="78" spans="2:3" x14ac:dyDescent="0.25">
      <c r="B78" s="105" t="str">
        <f>IF($B$1=1,#REF!,C78)</f>
        <v>označení</v>
      </c>
      <c r="C78" s="98" t="s">
        <v>198</v>
      </c>
    </row>
    <row r="79" spans="2:3" x14ac:dyDescent="0.25">
      <c r="B79" s="105" t="str">
        <f>IF($B$1=1,#REF!,C79)</f>
        <v>bočnice</v>
      </c>
      <c r="C79" s="98" t="s">
        <v>199</v>
      </c>
    </row>
    <row r="80" spans="2:3" x14ac:dyDescent="0.25">
      <c r="B80" s="105" t="s">
        <v>1132</v>
      </c>
      <c r="C80" s="561" t="s">
        <v>1132</v>
      </c>
    </row>
    <row r="81" spans="2:3" s="99" customFormat="1" x14ac:dyDescent="0.25">
      <c r="B81" s="105" t="str">
        <f>IF($B$1=1,#REF!,C81)</f>
        <v>potřebný prostor</v>
      </c>
      <c r="C81" s="99" t="s">
        <v>200</v>
      </c>
    </row>
    <row r="82" spans="2:3" s="99" customFormat="1" x14ac:dyDescent="0.25">
      <c r="B82" s="105" t="str">
        <f>IF($B$1=1,#REF!,C82)</f>
        <v>Vhodné pro</v>
      </c>
      <c r="C82" s="184" t="s">
        <v>58</v>
      </c>
    </row>
    <row r="83" spans="2:3" s="99" customFormat="1" x14ac:dyDescent="0.25"/>
    <row r="84" spans="2:3" x14ac:dyDescent="0.25">
      <c r="B84" s="99"/>
    </row>
    <row r="85" spans="2:3" x14ac:dyDescent="0.25">
      <c r="B85" s="105" t="str">
        <f>IF($B$1=1,#REF!,C85)</f>
        <v>Cenová hladina</v>
      </c>
      <c r="C85" s="98" t="s">
        <v>105</v>
      </c>
    </row>
    <row r="86" spans="2:3" x14ac:dyDescent="0.25">
      <c r="B86" s="105" t="str">
        <f>IF($B$1=1,#REF!,C86)</f>
        <v>Základní ceny</v>
      </c>
      <c r="C86" s="98" t="s">
        <v>106</v>
      </c>
    </row>
    <row r="87" spans="2:3" x14ac:dyDescent="0.25">
      <c r="B87" s="105" t="str">
        <f>IF($B$1=1,#REF!,C87)</f>
        <v>Nákupní ceny</v>
      </c>
      <c r="C87" s="98" t="s">
        <v>107</v>
      </c>
    </row>
    <row r="88" spans="2:3" s="99" customFormat="1" x14ac:dyDescent="0.25">
      <c r="B88" s="105" t="str">
        <f>IF($B$1=1,#REF!,C88)</f>
        <v>Se slevou</v>
      </c>
      <c r="C88" s="99" t="s">
        <v>108</v>
      </c>
    </row>
    <row r="89" spans="2:3" s="99" customFormat="1" x14ac:dyDescent="0.25">
      <c r="B89" s="105" t="str">
        <f>IF($B$1=1,#REF!,C89)</f>
        <v>Zadejte výši slevy</v>
      </c>
      <c r="C89" s="99" t="s">
        <v>109</v>
      </c>
    </row>
    <row r="90" spans="2:3" s="99" customFormat="1" x14ac:dyDescent="0.25">
      <c r="B90" s="105" t="str">
        <f>IF($B$1=1,#REF!,C90)</f>
        <v>Ceny s volitelnou slevou</v>
      </c>
      <c r="C90" s="98" t="s">
        <v>110</v>
      </c>
    </row>
    <row r="91" spans="2:3" x14ac:dyDescent="0.25">
      <c r="B91" s="105" t="str">
        <f>IF($B$1=1,#REF!,C91)</f>
        <v>Ceny se slevou od prodejce</v>
      </c>
      <c r="C91" s="98" t="s">
        <v>111</v>
      </c>
    </row>
    <row r="92" spans="2:3" x14ac:dyDescent="0.25">
      <c r="B92" s="105" t="str">
        <f>IF($B$1=1,#REF!,C92)</f>
        <v>Nastavit</v>
      </c>
      <c r="C92" s="98" t="s">
        <v>112</v>
      </c>
    </row>
    <row r="93" spans="2:3" x14ac:dyDescent="0.25">
      <c r="B93" s="101"/>
    </row>
    <row r="94" spans="2:3" x14ac:dyDescent="0.25">
      <c r="B94" s="105" t="str">
        <f>IF($B$1=1,#REF!,C94)</f>
        <v>cena kování</v>
      </c>
      <c r="C94" s="183" t="s">
        <v>619</v>
      </c>
    </row>
    <row r="95" spans="2:3" x14ac:dyDescent="0.25">
      <c r="B95" s="105" t="str">
        <f>IF($B$1=1,#REF!,C95)</f>
        <v>Název</v>
      </c>
      <c r="C95" s="98" t="s">
        <v>113</v>
      </c>
    </row>
    <row r="96" spans="2:3" x14ac:dyDescent="0.25">
      <c r="B96" s="105" t="str">
        <f>IF($B$1=1,#REF!,C96)</f>
        <v>Číslo artiklu</v>
      </c>
      <c r="C96" s="98" t="s">
        <v>114</v>
      </c>
    </row>
    <row r="97" spans="2:3" x14ac:dyDescent="0.25">
      <c r="B97" s="105" t="str">
        <f>IF($B$1=1,#REF!,C97)</f>
        <v>Barva</v>
      </c>
      <c r="C97" s="98" t="s">
        <v>248</v>
      </c>
    </row>
    <row r="98" spans="2:3" x14ac:dyDescent="0.25">
      <c r="B98" s="105" t="str">
        <f>IF($B$1=1,#REF!,C98)</f>
        <v>Počet</v>
      </c>
      <c r="C98" s="98" t="s">
        <v>241</v>
      </c>
    </row>
    <row r="99" spans="2:3" x14ac:dyDescent="0.25">
      <c r="B99" s="105" t="str">
        <f>IF($B$1=1,#REF!,C99)</f>
        <v>Počet skříní</v>
      </c>
      <c r="C99" s="183" t="s">
        <v>885</v>
      </c>
    </row>
    <row r="100" spans="2:3" x14ac:dyDescent="0.25">
      <c r="B100" s="105" t="str">
        <f>IF($B$1=1,#REF!,C100)</f>
        <v>Celkový počet ks</v>
      </c>
      <c r="C100" s="183" t="s">
        <v>819</v>
      </c>
    </row>
    <row r="101" spans="2:3" x14ac:dyDescent="0.25">
      <c r="B101" s="105" t="str">
        <f>IF($B$1=1,#REF!,C101)</f>
        <v>Dostupnost</v>
      </c>
      <c r="C101" s="183" t="s">
        <v>937</v>
      </c>
    </row>
    <row r="102" spans="2:3" x14ac:dyDescent="0.25">
      <c r="B102" s="105" t="str">
        <f>IF($B$1=1,#REF!,C102)</f>
        <v>Ks</v>
      </c>
      <c r="C102" s="98" t="s">
        <v>115</v>
      </c>
    </row>
    <row r="103" spans="2:3" x14ac:dyDescent="0.25">
      <c r="B103" s="105" t="str">
        <f>IF($B$1=1,#REF!,C103)</f>
        <v>Jednotková cena</v>
      </c>
      <c r="C103" s="98" t="s">
        <v>116</v>
      </c>
    </row>
    <row r="104" spans="2:3" x14ac:dyDescent="0.25">
      <c r="B104" s="105" t="str">
        <f>IF($B$1=1,#REF!,C104)</f>
        <v>Celkem</v>
      </c>
      <c r="C104" s="98" t="s">
        <v>117</v>
      </c>
    </row>
    <row r="105" spans="2:3" x14ac:dyDescent="0.25">
      <c r="B105" s="105" t="str">
        <f>IF($B$1=1,#REF!,C105)</f>
        <v>Změna</v>
      </c>
      <c r="C105" s="98" t="s">
        <v>118</v>
      </c>
    </row>
    <row r="106" spans="2:3" x14ac:dyDescent="0.25">
      <c r="B106" s="105" t="str">
        <f>IF($B$1=1,#REF!,C106)</f>
        <v>Cena celkem bez DPH</v>
      </c>
      <c r="C106" s="98" t="s">
        <v>119</v>
      </c>
    </row>
    <row r="107" spans="2:3" x14ac:dyDescent="0.25">
      <c r="B107" s="105" t="str">
        <f>IF($B$1=1,#REF!,C107)</f>
        <v>Kč</v>
      </c>
      <c r="C107" s="98" t="s">
        <v>120</v>
      </c>
    </row>
    <row r="108" spans="2:3" x14ac:dyDescent="0.25">
      <c r="B108" s="99">
        <f>IF($B$1=1,#REF!,C108)</f>
        <v>0</v>
      </c>
    </row>
    <row r="109" spans="2:3" x14ac:dyDescent="0.25">
      <c r="B109" s="105" t="str">
        <f>IF($B$1=1,#REF!,C109)</f>
        <v>Zpět</v>
      </c>
      <c r="C109" s="98" t="s">
        <v>132</v>
      </c>
    </row>
    <row r="110" spans="2:3" x14ac:dyDescent="0.25">
      <c r="B110" s="105" t="str">
        <f>IF($B$1=1,#REF!,C110)</f>
        <v>Zpět na úvod</v>
      </c>
      <c r="C110" s="98" t="s">
        <v>249</v>
      </c>
    </row>
    <row r="111" spans="2:3" x14ac:dyDescent="0.25">
      <c r="B111" s="99">
        <f>IF($B$1=1,#REF!,C111)</f>
        <v>0</v>
      </c>
    </row>
    <row r="112" spans="2:3" x14ac:dyDescent="0.25">
      <c r="B112" s="105" t="str">
        <f>IF($B$1=1,#REF!,C112)</f>
        <v>Šířka korpusu</v>
      </c>
      <c r="C112" s="98" t="s">
        <v>121</v>
      </c>
    </row>
    <row r="113" spans="2:3" x14ac:dyDescent="0.25">
      <c r="B113" s="105" t="str">
        <f>IF($B$1=1,#REF!,C113)</f>
        <v>pro zásuvky</v>
      </c>
      <c r="C113" s="183" t="s">
        <v>53</v>
      </c>
    </row>
    <row r="114" spans="2:3" x14ac:dyDescent="0.25">
      <c r="B114" s="105" t="str">
        <f>IF($B$1=1,#REF!,C114)</f>
        <v>pro čelní výsuvy</v>
      </c>
      <c r="C114" s="183" t="s">
        <v>54</v>
      </c>
    </row>
    <row r="115" spans="2:3" x14ac:dyDescent="0.25">
      <c r="B115" s="105" t="str">
        <f>IF($B$1=1,#REF!,C115)</f>
        <v>Jmenovitá délka</v>
      </c>
      <c r="C115" s="183" t="s">
        <v>883</v>
      </c>
    </row>
    <row r="116" spans="2:3" x14ac:dyDescent="0.25">
      <c r="B116" s="105" t="str">
        <f>IF($B$1=1,#REF!,C116)</f>
        <v>Design ocel</v>
      </c>
      <c r="C116" s="184" t="s">
        <v>486</v>
      </c>
    </row>
    <row r="117" spans="2:3" x14ac:dyDescent="0.25">
      <c r="B117" s="105" t="str">
        <f>IF($B$1=1,#REF!,C117)</f>
        <v>Design dřevo</v>
      </c>
      <c r="C117" s="184" t="s">
        <v>487</v>
      </c>
    </row>
    <row r="118" spans="2:3" x14ac:dyDescent="0.25">
      <c r="B118" s="105">
        <f>IF($B$1=1,#REF!,C118)</f>
        <v>0</v>
      </c>
      <c r="C118" s="184"/>
    </row>
    <row r="119" spans="2:3" x14ac:dyDescent="0.25">
      <c r="B119" s="105" t="str">
        <f>IF($B$1=1,#REF!,C119)</f>
        <v>Pro zásuvku</v>
      </c>
      <c r="C119" s="184" t="s">
        <v>908</v>
      </c>
    </row>
    <row r="120" spans="2:3" x14ac:dyDescent="0.25">
      <c r="B120" s="105" t="str">
        <f>IF($B$1=1,#REF!,C120)</f>
        <v>Pro čení výsuv</v>
      </c>
      <c r="C120" s="184" t="s">
        <v>909</v>
      </c>
    </row>
    <row r="121" spans="2:3" x14ac:dyDescent="0.25">
      <c r="B121" s="105" t="str">
        <f>IF($B$1=1,#REF!,C121)</f>
        <v>od jmenovité délky</v>
      </c>
      <c r="C121" s="184" t="s">
        <v>910</v>
      </c>
    </row>
    <row r="122" spans="2:3" x14ac:dyDescent="0.25">
      <c r="B122" s="105" t="str">
        <f>IF($B$1=1,#REF!,C122)</f>
        <v>Misky</v>
      </c>
      <c r="C122" s="184" t="s">
        <v>102</v>
      </c>
    </row>
    <row r="123" spans="2:3" x14ac:dyDescent="0.25">
      <c r="B123" s="105" t="str">
        <f>IF($B$1=1,#REF!,C123)</f>
        <v>Příčné dělící prvky</v>
      </c>
      <c r="C123" s="184" t="s">
        <v>103</v>
      </c>
    </row>
    <row r="124" spans="2:3" x14ac:dyDescent="0.25">
      <c r="B124" s="105" t="str">
        <f>IF($B$1=1,#REF!,C124)</f>
        <v>Pomůcky do kuchyně</v>
      </c>
      <c r="C124" s="184" t="s">
        <v>104</v>
      </c>
    </row>
    <row r="125" spans="2:3" x14ac:dyDescent="0.25">
      <c r="B125" s="105"/>
      <c r="C125" s="99"/>
    </row>
    <row r="126" spans="2:3" ht="12.5" x14ac:dyDescent="0.25">
      <c r="B126" s="105" t="str">
        <f>IF($B$1=1,#REF!,C126)</f>
        <v>Korpusové lišty</v>
      </c>
      <c r="C126" s="560" t="s">
        <v>884</v>
      </c>
    </row>
    <row r="127" spans="2:3" ht="12.5" x14ac:dyDescent="0.25">
      <c r="B127" s="105" t="str">
        <f>IF($B$1=1,#REF!,C127)</f>
        <v>Bočnice nahoře</v>
      </c>
      <c r="C127" s="560" t="s">
        <v>889</v>
      </c>
    </row>
    <row r="128" spans="2:3" ht="12.5" x14ac:dyDescent="0.25">
      <c r="B128" s="105" t="str">
        <f>IF($B$1=1,#REF!,C128)</f>
        <v>Bočnice dole</v>
      </c>
      <c r="C128" s="560" t="s">
        <v>890</v>
      </c>
    </row>
    <row r="129" spans="2:3" ht="12.5" x14ac:dyDescent="0.25">
      <c r="B129" s="105" t="str">
        <f>IF($B$1=1,#REF!,C129)</f>
        <v>pro mezistěnu</v>
      </c>
      <c r="C129" s="560" t="s">
        <v>213</v>
      </c>
    </row>
    <row r="130" spans="2:3" ht="12.5" x14ac:dyDescent="0.25">
      <c r="B130" s="105" t="str">
        <f>IF($B$1=1,#REF!,C130)</f>
        <v>Příčné dělení</v>
      </c>
      <c r="C130" s="560" t="s">
        <v>49</v>
      </c>
    </row>
    <row r="131" spans="2:3" ht="12.5" x14ac:dyDescent="0.25">
      <c r="B131" s="105" t="str">
        <f>IF($B$1=1,#REF!,C131)</f>
        <v>Podélné dělení</v>
      </c>
      <c r="C131" s="560" t="s">
        <v>240</v>
      </c>
    </row>
    <row r="132" spans="2:3" ht="12.5" x14ac:dyDescent="0.25">
      <c r="B132" s="105" t="str">
        <f>IF($B$1=1,#REF!,C132)</f>
        <v>Držák talířů</v>
      </c>
      <c r="C132" s="560" t="s">
        <v>255</v>
      </c>
    </row>
    <row r="133" spans="2:3" ht="12.5" x14ac:dyDescent="0.25">
      <c r="B133" s="105" t="str">
        <f>IF($B$1=1,#REF!,C133)</f>
        <v>Držáky talířů</v>
      </c>
      <c r="C133" s="560" t="s">
        <v>50</v>
      </c>
    </row>
    <row r="134" spans="2:3" ht="12.5" x14ac:dyDescent="0.25">
      <c r="B134" s="105" t="str">
        <f>IF($B$1=1,#REF!,C134)</f>
        <v>Držák nožů</v>
      </c>
      <c r="C134" s="560" t="s">
        <v>31</v>
      </c>
    </row>
    <row r="135" spans="2:3" ht="12.5" x14ac:dyDescent="0.25">
      <c r="B135" s="105" t="str">
        <f>IF($B$1=1,#REF!,C135)</f>
        <v>Mezistěna</v>
      </c>
      <c r="C135" s="560" t="s">
        <v>242</v>
      </c>
    </row>
    <row r="136" spans="2:3" ht="12.5" x14ac:dyDescent="0.25">
      <c r="B136" s="105" t="str">
        <f>IF($B$1=1,#REF!,C136)</f>
        <v>Mezistěny</v>
      </c>
      <c r="C136" s="560" t="s">
        <v>51</v>
      </c>
    </row>
    <row r="137" spans="2:3" ht="12.5" x14ac:dyDescent="0.25">
      <c r="B137" s="105" t="str">
        <f>IF($B$1=1,#REF!,C137)</f>
        <v>Stojánek na kořenky</v>
      </c>
      <c r="C137" s="560" t="s">
        <v>608</v>
      </c>
    </row>
    <row r="138" spans="2:3" ht="12.5" x14ac:dyDescent="0.25">
      <c r="B138" s="105" t="str">
        <f>IF($B$1=1,#REF!,C138)</f>
        <v>Držáky na kořenky</v>
      </c>
      <c r="C138" s="560" t="s">
        <v>52</v>
      </c>
    </row>
    <row r="139" spans="2:3" ht="12.5" x14ac:dyDescent="0.25">
      <c r="B139" s="105" t="str">
        <f>IF($B$1=1,#REF!,C139)</f>
        <v>Řezačka potravinové folie</v>
      </c>
      <c r="C139" s="560" t="s">
        <v>906</v>
      </c>
    </row>
    <row r="140" spans="2:3" ht="12.5" x14ac:dyDescent="0.25">
      <c r="B140" s="105" t="str">
        <f>IF($B$1=1,#REF!,C140)</f>
        <v>s fólií</v>
      </c>
      <c r="C140" s="560" t="s">
        <v>911</v>
      </c>
    </row>
    <row r="141" spans="2:3" ht="12.5" x14ac:dyDescent="0.25">
      <c r="B141" s="105" t="str">
        <f>IF($B$1=1,#REF!,C141)</f>
        <v>bez fólie</v>
      </c>
      <c r="C141" s="560" t="s">
        <v>912</v>
      </c>
    </row>
    <row r="142" spans="2:3" ht="12.5" x14ac:dyDescent="0.25">
      <c r="B142" s="105"/>
      <c r="C142" s="560"/>
    </row>
    <row r="143" spans="2:3" ht="12.5" x14ac:dyDescent="0.25">
      <c r="B143" s="105" t="str">
        <f>IF($B$1=1,#REF!,C143)</f>
        <v>Základní prvek</v>
      </c>
      <c r="C143" s="560" t="s">
        <v>216</v>
      </c>
    </row>
    <row r="144" spans="2:3" ht="12.5" x14ac:dyDescent="0.25">
      <c r="B144" s="105" t="str">
        <f>IF($B$1=1,#REF!,C144)</f>
        <v>Přířezy příčky</v>
      </c>
      <c r="C144" s="560" t="s">
        <v>214</v>
      </c>
    </row>
    <row r="145" spans="2:3" ht="12.5" x14ac:dyDescent="0.25">
      <c r="B145" s="105" t="str">
        <f>IF($B$1=1,#REF!,C145)</f>
        <v>Přířezy relingu</v>
      </c>
      <c r="C145" s="560" t="s">
        <v>62</v>
      </c>
    </row>
    <row r="146" spans="2:3" x14ac:dyDescent="0.25">
      <c r="B146" s="105" t="str">
        <f>IF($B$1=1,#REF!,C146)</f>
        <v>Přířezy prvků</v>
      </c>
      <c r="C146" s="102" t="s">
        <v>224</v>
      </c>
    </row>
    <row r="147" spans="2:3" x14ac:dyDescent="0.25">
      <c r="B147" s="105" t="str">
        <f>IF($B$1=1,#REF!,C147)</f>
        <v>Délky příček</v>
      </c>
      <c r="C147" s="102" t="s">
        <v>215</v>
      </c>
    </row>
    <row r="148" spans="2:3" x14ac:dyDescent="0.25">
      <c r="B148" s="105" t="str">
        <f>IF($B$1=1,#REF!,C148)</f>
        <v>Délka relingu</v>
      </c>
      <c r="C148" s="102" t="s">
        <v>61</v>
      </c>
    </row>
    <row r="149" spans="2:3" ht="12.5" x14ac:dyDescent="0.25">
      <c r="B149" s="105" t="str">
        <f>IF($B$1=1,#REF!,C149)</f>
        <v>Příčky</v>
      </c>
      <c r="C149" s="560" t="s">
        <v>217</v>
      </c>
    </row>
    <row r="150" spans="2:3" ht="12.5" x14ac:dyDescent="0.25">
      <c r="B150" s="105" t="str">
        <f>IF($B$1=1,#REF!,C150)</f>
        <v>Přední díl</v>
      </c>
      <c r="C150" s="560" t="s">
        <v>225</v>
      </c>
    </row>
    <row r="151" spans="2:3" ht="12.5" x14ac:dyDescent="0.25">
      <c r="B151" s="105" t="str">
        <f t="shared" ref="B151:B156" si="0">C151</f>
        <v>Příčný reling</v>
      </c>
      <c r="C151" s="560" t="s">
        <v>226</v>
      </c>
    </row>
    <row r="152" spans="2:3" ht="12.5" x14ac:dyDescent="0.25">
      <c r="B152" s="105" t="str">
        <f t="shared" si="0"/>
        <v>Příčný reling ke zkrácení</v>
      </c>
      <c r="C152" s="560" t="s">
        <v>60</v>
      </c>
    </row>
    <row r="153" spans="2:3" ht="12.5" x14ac:dyDescent="0.25">
      <c r="B153" s="105" t="str">
        <f t="shared" si="0"/>
        <v>Držák příčného relingu</v>
      </c>
      <c r="C153" s="560" t="s">
        <v>1160</v>
      </c>
    </row>
    <row r="154" spans="2:3" ht="12.5" x14ac:dyDescent="0.25">
      <c r="B154" s="105" t="str">
        <f t="shared" si="0"/>
        <v>Podélné dělení pro reling</v>
      </c>
      <c r="C154" s="560" t="s">
        <v>63</v>
      </c>
    </row>
    <row r="155" spans="2:3" ht="12.5" x14ac:dyDescent="0.25">
      <c r="B155" s="105" t="str">
        <f t="shared" si="0"/>
        <v>Ostatní</v>
      </c>
      <c r="C155" s="560" t="s">
        <v>30</v>
      </c>
    </row>
    <row r="156" spans="2:3" ht="12.5" x14ac:dyDescent="0.25">
      <c r="B156" s="105" t="str">
        <f t="shared" si="0"/>
        <v>Závěsy pro potravinové skříně</v>
      </c>
      <c r="C156" s="560" t="s">
        <v>333</v>
      </c>
    </row>
    <row r="157" spans="2:3" x14ac:dyDescent="0.25">
      <c r="B157" s="99"/>
      <c r="C157" s="99"/>
    </row>
    <row r="158" spans="2:3" x14ac:dyDescent="0.25">
      <c r="B158" s="105" t="str">
        <f>IF($B$1=1,#REF!,C158)</f>
        <v>Pro každý výsuv je započítán jeden přední díl</v>
      </c>
      <c r="C158" s="99" t="s">
        <v>229</v>
      </c>
    </row>
    <row r="159" spans="2:3" x14ac:dyDescent="0.25">
      <c r="B159" s="105" t="str">
        <f>IF($B$1=1,#REF!,C159)</f>
        <v>Pro každý výsuv je započítán jeden přední díl a jeden příčný reling</v>
      </c>
      <c r="C159" s="99" t="s">
        <v>227</v>
      </c>
    </row>
    <row r="160" spans="2:3" x14ac:dyDescent="0.25">
      <c r="B160" s="105" t="str">
        <f>IF($B$1=1,#REF!,C160)</f>
        <v>Potřebný počet předních dílů upravte v objednávce</v>
      </c>
      <c r="C160" s="99" t="s">
        <v>230</v>
      </c>
    </row>
    <row r="161" spans="2:3" x14ac:dyDescent="0.25">
      <c r="B161" s="105" t="str">
        <f>IF($B$1=1,#REF!,C161)</f>
        <v>Potřebný počet předních dílů a relingů upravte v objednávce</v>
      </c>
      <c r="C161" s="99" t="s">
        <v>228</v>
      </c>
    </row>
    <row r="162" spans="2:3" x14ac:dyDescent="0.25">
      <c r="B162" s="105" t="str">
        <f>IF($B$1=1,#REF!,C162)</f>
        <v>Nastavené počty korpusových lišt</v>
      </c>
      <c r="C162" s="184" t="s">
        <v>886</v>
      </c>
    </row>
    <row r="163" spans="2:3" x14ac:dyDescent="0.25">
      <c r="B163" s="105" t="str">
        <f>IF($B$1=1,#REF!,C163)</f>
        <v>Doporučené počty korpusových lišt</v>
      </c>
      <c r="C163" s="679" t="s">
        <v>1248</v>
      </c>
    </row>
    <row r="164" spans="2:3" x14ac:dyDescent="0.25">
      <c r="B164" s="105" t="str">
        <f>IF($B$1=1,#REF!,C164)</f>
        <v>Pokud chcete jiné složení, zadejte požadovaný počet 40kg korpusových lišt</v>
      </c>
      <c r="C164" s="184" t="s">
        <v>26</v>
      </c>
    </row>
    <row r="165" spans="2:3" x14ac:dyDescent="0.25">
      <c r="B165" s="105" t="str">
        <f>IF($B$1=1,#REF!,C165)</f>
        <v>70kg lišty se dopopočítají</v>
      </c>
      <c r="C165" s="184" t="s">
        <v>27</v>
      </c>
    </row>
    <row r="166" spans="2:3" x14ac:dyDescent="0.25">
      <c r="B166" s="105" t="str">
        <f>IF($B$1=1,#REF!,C166)</f>
        <v>Pozor!</v>
      </c>
      <c r="C166" s="184" t="s">
        <v>932</v>
      </c>
    </row>
    <row r="167" spans="2:3" x14ac:dyDescent="0.25">
      <c r="B167" s="105" t="str">
        <f>IF($B$1=1,#REF!,C167)</f>
        <v>Zadejte zásuvné prvky</v>
      </c>
      <c r="C167" s="184" t="s">
        <v>933</v>
      </c>
    </row>
    <row r="168" spans="2:3" x14ac:dyDescent="0.25">
      <c r="B168" s="105" t="str">
        <f>IF($B$1=1,#REF!,C168)</f>
        <v>Zadejte celkový počet předních zásuvných prvků pro příslušnou šířku korpusu</v>
      </c>
      <c r="C168" s="561" t="s">
        <v>1136</v>
      </c>
    </row>
    <row r="169" spans="2:3" x14ac:dyDescent="0.25">
      <c r="B169" s="105" t="str">
        <f>IF($B$1=1,#REF!,C169)</f>
        <v>Boční zásuvné prvky se načtou automaticky</v>
      </c>
      <c r="C169" s="561" t="s">
        <v>1137</v>
      </c>
    </row>
    <row r="170" spans="2:3" x14ac:dyDescent="0.25">
      <c r="B170" s="105" t="str">
        <f>IF($B$1=1,#REF!,C170)</f>
        <v>Složení čelních zásuvných prvků</v>
      </c>
      <c r="C170" s="561" t="s">
        <v>1150</v>
      </c>
    </row>
    <row r="171" spans="2:3" x14ac:dyDescent="0.25">
      <c r="B171" s="105" t="str">
        <f>IF($B$1=1,#REF!,C171)</f>
        <v>Chcete-li jiné složení zásuvných prvků, upravte počty v objednávce</v>
      </c>
      <c r="C171" s="184" t="s">
        <v>8</v>
      </c>
    </row>
    <row r="172" spans="2:3" x14ac:dyDescent="0.25">
      <c r="B172" s="105" t="str">
        <f>IF($B$1=1,#REF!,C172)</f>
        <v>Máte-li zásuvné prvky vlastní, počty nezadávejte</v>
      </c>
      <c r="C172" s="184" t="s">
        <v>931</v>
      </c>
    </row>
    <row r="173" spans="2:3" x14ac:dyDescent="0.25">
      <c r="B173" s="105" t="str">
        <f>IF($B$1=1,#REF!,C173)</f>
        <v>Máte-li zásuvné prvky vlastní, upravte počty v objednávce</v>
      </c>
      <c r="C173" s="184" t="s">
        <v>7</v>
      </c>
    </row>
    <row r="174" spans="2:3" x14ac:dyDescent="0.25">
      <c r="B174" s="105" t="str">
        <f>IF($B$1=1,#REF!,C174)</f>
        <v>Chybí počty zásuvných prvků</v>
      </c>
      <c r="C174" s="184" t="s">
        <v>28</v>
      </c>
    </row>
    <row r="175" spans="2:3" x14ac:dyDescent="0.25">
      <c r="B175" s="99"/>
      <c r="C175" s="99"/>
    </row>
    <row r="176" spans="2:3" x14ac:dyDescent="0.25">
      <c r="B176" s="105" t="str">
        <f>IF($B$1=1,#REF!,C176)</f>
        <v>možnosti</v>
      </c>
      <c r="C176" s="184" t="s">
        <v>894</v>
      </c>
    </row>
    <row r="177" spans="2:3" x14ac:dyDescent="0.25">
      <c r="B177" s="105" t="str">
        <f>IF($B$1=1,#REF!,C177)</f>
        <v>nahoře</v>
      </c>
      <c r="C177" s="184" t="s">
        <v>10</v>
      </c>
    </row>
    <row r="178" spans="2:3" x14ac:dyDescent="0.25">
      <c r="B178" s="105" t="str">
        <f>IF($B$1=1,#REF!,C178)</f>
        <v>dole</v>
      </c>
      <c r="C178" s="184" t="s">
        <v>11</v>
      </c>
    </row>
    <row r="179" spans="2:3" x14ac:dyDescent="0.25">
      <c r="B179" s="105" t="str">
        <f>IF($B$1=1,#REF!,C179)</f>
        <v>Pro délku 600mm jen bočnice M nebo C</v>
      </c>
      <c r="C179" s="184" t="s">
        <v>9</v>
      </c>
    </row>
    <row r="180" spans="2:3" x14ac:dyDescent="0.25">
      <c r="B180" s="105"/>
      <c r="C180" s="678"/>
    </row>
    <row r="181" spans="2:3" x14ac:dyDescent="0.25">
      <c r="B181" s="99"/>
      <c r="C181" s="99"/>
    </row>
    <row r="182" spans="2:3" x14ac:dyDescent="0.25">
      <c r="B182" s="105" t="str">
        <f>IF($B$1=1,#REF!,C182)</f>
        <v>Zadejte bočnici pro horní zásuvku - viz možnosti</v>
      </c>
      <c r="C182" s="184" t="s">
        <v>893</v>
      </c>
    </row>
    <row r="183" spans="2:3" x14ac:dyDescent="0.25">
      <c r="B183" s="105" t="str">
        <f>IF($B$1=1,#REF!,C183)</f>
        <v>Výšku bočnic pro horní zásuvku lze změnit</v>
      </c>
      <c r="C183" s="184" t="s">
        <v>895</v>
      </c>
    </row>
    <row r="184" spans="2:3" x14ac:dyDescent="0.25">
      <c r="B184" s="105" t="str">
        <f>IF($B$1=1,#REF!,C184)</f>
        <v>Nutno ověřit dostupnost</v>
      </c>
      <c r="C184" s="184" t="s">
        <v>934</v>
      </c>
    </row>
    <row r="185" spans="2:3" x14ac:dyDescent="0.25">
      <c r="B185" s="105" t="str">
        <f>IF($B$1=1,#REF!,C185)</f>
        <v>Ověřte dostupnost u svého dodavatele</v>
      </c>
      <c r="C185" s="184" t="s">
        <v>935</v>
      </c>
    </row>
    <row r="186" spans="2:3" x14ac:dyDescent="0.25">
      <c r="B186" s="105" t="str">
        <f>IF($B$1=1,#REF!,C186)</f>
        <v>Objednávka obsahuje artikly s omezenou dostupností</v>
      </c>
      <c r="C186" s="184" t="s">
        <v>939</v>
      </c>
    </row>
    <row r="187" spans="2:3" x14ac:dyDescent="0.25">
      <c r="B187" s="105" t="str">
        <f>IF($B$1=1,#REF!,C187)</f>
        <v>Vybráno celkem</v>
      </c>
      <c r="C187" s="561" t="s">
        <v>944</v>
      </c>
    </row>
    <row r="188" spans="2:3" x14ac:dyDescent="0.25">
      <c r="B188" s="105" t="str">
        <f>IF($B$1=1,#REF!,C188)</f>
        <v>zásuvek a výsuvů</v>
      </c>
      <c r="C188" s="561" t="s">
        <v>945</v>
      </c>
    </row>
    <row r="189" spans="2:3" x14ac:dyDescent="0.25">
      <c r="B189" s="105" t="str">
        <f>IF($B$1=1,#REF!,C189)</f>
        <v>potravinových skříní</v>
      </c>
      <c r="C189" s="561" t="s">
        <v>946</v>
      </c>
    </row>
    <row r="190" spans="2:3" x14ac:dyDescent="0.25">
      <c r="B190" s="105" t="str">
        <f>IF($B$1=1,#REF!,C190)</f>
        <v>prvků AMBIA-LINE</v>
      </c>
      <c r="C190" s="561" t="s">
        <v>947</v>
      </c>
    </row>
    <row r="191" spans="2:3" x14ac:dyDescent="0.25">
      <c r="B191" s="105" t="str">
        <f>IF($B$1=1,#REF!,C191)</f>
        <v>Adaptér je nutný pro připojení rámečku k dřevěné zadní stěně</v>
      </c>
      <c r="C191" s="561" t="s">
        <v>948</v>
      </c>
    </row>
    <row r="192" spans="2:3" x14ac:dyDescent="0.25">
      <c r="B192" s="105" t="str">
        <f>IF($B$1=1,#REF!,C192)</f>
        <v>Jen pro rámeček</v>
      </c>
      <c r="C192" s="561" t="s">
        <v>949</v>
      </c>
    </row>
    <row r="193" spans="2:5" x14ac:dyDescent="0.25">
      <c r="B193" s="105" t="str">
        <f>IF($B$1=1,#REF!,C193)</f>
        <v>Zóny DYNAMIC SPACE</v>
      </c>
      <c r="C193" s="184" t="s">
        <v>55</v>
      </c>
    </row>
    <row r="194" spans="2:5" x14ac:dyDescent="0.25">
      <c r="B194" s="105" t="str">
        <f>IF($B$1=1,#REF!,C194)</f>
        <v>Zásoby</v>
      </c>
      <c r="C194" s="184" t="s">
        <v>231</v>
      </c>
    </row>
    <row r="195" spans="2:5" x14ac:dyDescent="0.25">
      <c r="B195" s="105" t="str">
        <f>IF($B$1=1,#REF!,C195)</f>
        <v>Ukládání</v>
      </c>
      <c r="C195" s="184" t="s">
        <v>234</v>
      </c>
    </row>
    <row r="196" spans="2:5" x14ac:dyDescent="0.25">
      <c r="B196" s="105" t="str">
        <f>IF($B$1=1,#REF!,C196)</f>
        <v>Mytí</v>
      </c>
      <c r="C196" s="184" t="s">
        <v>235</v>
      </c>
    </row>
    <row r="197" spans="2:5" x14ac:dyDescent="0.25">
      <c r="B197" s="105" t="str">
        <f>IF($B$1=1,#REF!,C197)</f>
        <v>Příprava</v>
      </c>
      <c r="C197" s="184" t="s">
        <v>236</v>
      </c>
    </row>
    <row r="198" spans="2:5" x14ac:dyDescent="0.25">
      <c r="B198" s="105" t="str">
        <f>IF($B$1=1,#REF!,C198)</f>
        <v>Vaření / pečení</v>
      </c>
      <c r="C198" s="184" t="s">
        <v>56</v>
      </c>
    </row>
    <row r="199" spans="2:5" customFormat="1" ht="12" customHeight="1" x14ac:dyDescent="0.35">
      <c r="C199" s="562"/>
    </row>
    <row r="200" spans="2:5" x14ac:dyDescent="0.25">
      <c r="B200" s="100" t="str">
        <f>IF($B$1=1,#REF!,C200)</f>
        <v>Doporučená hodnota</v>
      </c>
      <c r="C200" s="99" t="s">
        <v>124</v>
      </c>
    </row>
    <row r="201" spans="2:5" x14ac:dyDescent="0.25">
      <c r="B201" s="99">
        <f>IF($B$1=1,#REF!,C201)</f>
        <v>0</v>
      </c>
      <c r="C201" s="99"/>
    </row>
    <row r="202" spans="2:5" x14ac:dyDescent="0.25">
      <c r="B202" s="99">
        <f>IF($B$1=1,#REF!,C202)</f>
        <v>0</v>
      </c>
      <c r="C202" s="99"/>
    </row>
    <row r="203" spans="2:5" x14ac:dyDescent="0.25">
      <c r="B203" s="105" t="str">
        <f>IF($B$1=1,#REF!,C203)</f>
        <v>Příborníky</v>
      </c>
      <c r="C203" s="563" t="s">
        <v>899</v>
      </c>
    </row>
    <row r="204" spans="2:5" ht="12.5" x14ac:dyDescent="0.25">
      <c r="B204" s="105" t="str">
        <f>IF($B$1=1,#REF!,C204)</f>
        <v>Zásuvkové rámečky</v>
      </c>
      <c r="C204" s="563" t="s">
        <v>900</v>
      </c>
      <c r="E204" s="2"/>
    </row>
    <row r="205" spans="2:5" x14ac:dyDescent="0.25">
      <c r="B205" s="105" t="str">
        <f>IF($B$1=1,#REF!,C205)</f>
        <v xml:space="preserve">Zásuvkové rámečky pro jmenovitou délku od </v>
      </c>
      <c r="C205" s="563" t="s">
        <v>904</v>
      </c>
    </row>
    <row r="206" spans="2:5" ht="12.5" x14ac:dyDescent="0.25">
      <c r="B206" s="105" t="str">
        <f>IF($B$1=1,#REF!,C206)</f>
        <v>Rámečky pro čelní výsuv</v>
      </c>
      <c r="C206" s="564" t="s">
        <v>901</v>
      </c>
      <c r="E206" s="2"/>
    </row>
    <row r="207" spans="2:5" ht="12.5" x14ac:dyDescent="0.25">
      <c r="B207" s="105" t="str">
        <f>IF($B$1=1,#REF!,C207)</f>
        <v>Rámečky pro čelní výsuv pro jmenovitu délku od</v>
      </c>
      <c r="C207" s="564" t="s">
        <v>903</v>
      </c>
      <c r="E207" s="2"/>
    </row>
    <row r="208" spans="2:5" x14ac:dyDescent="0.25">
      <c r="B208" s="105" t="str">
        <f>IF($B$1=1,#REF!,C208)</f>
        <v>Adaptér pro zadní stěnu</v>
      </c>
      <c r="C208" s="102" t="s">
        <v>902</v>
      </c>
    </row>
    <row r="209" spans="2:5" ht="12.5" x14ac:dyDescent="0.25">
      <c r="B209" s="105" t="str">
        <f>IF($B$1=1,#REF!,C209)</f>
        <v>Souprava na lahve</v>
      </c>
      <c r="C209" s="679" t="s">
        <v>1268</v>
      </c>
      <c r="E209" s="2"/>
    </row>
    <row r="210" spans="2:5" ht="12.5" x14ac:dyDescent="0.25">
      <c r="B210" s="105" t="str">
        <f>IF($B$1=1,#REF!,C210)</f>
        <v>Pro rámeček šířky</v>
      </c>
      <c r="C210" s="679" t="s">
        <v>1269</v>
      </c>
      <c r="E210" s="2"/>
    </row>
    <row r="211" spans="2:5" ht="12.5" x14ac:dyDescent="0.25">
      <c r="B211" s="105" t="str">
        <f>IF($B$1=1,#REF!,C211)</f>
        <v>Samostatné příčky - viz Výběr doplňků</v>
      </c>
      <c r="C211" s="102" t="s">
        <v>905</v>
      </c>
      <c r="D211" s="103"/>
      <c r="E211" s="2"/>
    </row>
    <row r="212" spans="2:5" x14ac:dyDescent="0.25">
      <c r="B212" s="105" t="str">
        <f>IF($B$1=1,#REF!,C212)</f>
        <v>Hrnce, poklice</v>
      </c>
      <c r="C212" s="102" t="s">
        <v>334</v>
      </c>
    </row>
    <row r="213" spans="2:5" ht="12.5" x14ac:dyDescent="0.25">
      <c r="B213" s="105" t="str">
        <f>IF($B$1=1,#REF!,C213)</f>
        <v xml:space="preserve">Ukládání potravin </v>
      </c>
      <c r="C213" s="560" t="s">
        <v>335</v>
      </c>
      <c r="D213" s="103"/>
    </row>
    <row r="214" spans="2:5" ht="12.5" x14ac:dyDescent="0.25">
      <c r="B214" s="105" t="str">
        <f>IF($B$1=1,#REF!,C214)</f>
        <v>Načatá balení potravin</v>
      </c>
      <c r="C214" s="560" t="s">
        <v>338</v>
      </c>
      <c r="D214" s="103"/>
    </row>
    <row r="215" spans="2:5" s="99" customFormat="1" ht="12.5" x14ac:dyDescent="0.25">
      <c r="B215" s="105" t="str">
        <f>IF($B$1=1,#REF!,C215)</f>
        <v>Misky a mísy</v>
      </c>
      <c r="C215" s="560" t="s">
        <v>336</v>
      </c>
      <c r="D215" s="104"/>
    </row>
    <row r="216" spans="2:5" ht="12.5" x14ac:dyDescent="0.25">
      <c r="B216" s="105" t="str">
        <f>IF($B$1=1,#REF!,C216)</f>
        <v>Hrnce, poklice, náčiní</v>
      </c>
      <c r="C216" s="560" t="s">
        <v>337</v>
      </c>
      <c r="D216" s="103"/>
    </row>
    <row r="217" spans="2:5" x14ac:dyDescent="0.25">
      <c r="B217" s="105" t="str">
        <f>IF($B$1=1,#REF!,C217)</f>
        <v>Ukládání talířů</v>
      </c>
      <c r="C217" s="102" t="s">
        <v>339</v>
      </c>
      <c r="D217" s="103"/>
    </row>
    <row r="218" spans="2:5" ht="12.5" x14ac:dyDescent="0.25">
      <c r="B218" s="105" t="str">
        <f>IF($B$1=1,#REF!,C218)</f>
        <v>Odpadkové koše, mycí prostředky</v>
      </c>
      <c r="C218" s="560" t="s">
        <v>340</v>
      </c>
    </row>
    <row r="219" spans="2:5" ht="12.5" x14ac:dyDescent="0.25">
      <c r="B219" s="105" t="str">
        <f>IF($B$1=1,#REF!,C219)</f>
        <v>Láhve, načatá balení potravin</v>
      </c>
      <c r="C219" s="560" t="s">
        <v>341</v>
      </c>
    </row>
    <row r="220" spans="2:5" ht="12.5" x14ac:dyDescent="0.25">
      <c r="B220" s="105" t="str">
        <f>IF($B$1=1,#REF!,C220)</f>
        <v>Koření, načatá balení potravin</v>
      </c>
      <c r="C220" s="560" t="s">
        <v>342</v>
      </c>
    </row>
    <row r="221" spans="2:5" ht="12.5" x14ac:dyDescent="0.25">
      <c r="B221" s="105" t="str">
        <f>IF($B$1=1,#REF!,C221)</f>
        <v>Koření</v>
      </c>
      <c r="C221" s="560" t="s">
        <v>343</v>
      </c>
    </row>
    <row r="222" spans="2:5" ht="12.5" x14ac:dyDescent="0.25">
      <c r="B222" s="105" t="str">
        <f>IF($B$1=1,#REF!,C222)</f>
        <v>Láhve, prkýnka na krájení</v>
      </c>
      <c r="C222" s="560" t="s">
        <v>344</v>
      </c>
    </row>
    <row r="223" spans="2:5" ht="12.5" x14ac:dyDescent="0.25">
      <c r="B223" s="105" t="str">
        <f>IF($B$1=1,#REF!,C223)</f>
        <v>Láhve (oleje, octy)</v>
      </c>
      <c r="C223" s="560" t="s">
        <v>345</v>
      </c>
    </row>
    <row r="224" spans="2:5" ht="12.5" x14ac:dyDescent="0.25">
      <c r="B224" s="105" t="str">
        <f>IF($B$1=1,#REF!,C224)</f>
        <v>Formy, plechy na pečení</v>
      </c>
      <c r="C224" s="560" t="s">
        <v>346</v>
      </c>
    </row>
    <row r="225" spans="2:3" x14ac:dyDescent="0.25">
      <c r="B225" s="105" t="str">
        <f>IF($B$1=1,#REF!,C225)</f>
        <v>Není vhodná pro vnitřní výsuv</v>
      </c>
      <c r="C225" s="679" t="s">
        <v>1270</v>
      </c>
    </row>
    <row r="226" spans="2:3" ht="12.5" x14ac:dyDescent="0.25">
      <c r="B226" s="105"/>
      <c r="C226" s="560"/>
    </row>
    <row r="227" spans="2:3" x14ac:dyDescent="0.25">
      <c r="B227" s="105" t="str">
        <f>IF($B$1=1,#REF!,C227)</f>
        <v>Nahoru</v>
      </c>
      <c r="C227" s="184" t="s">
        <v>347</v>
      </c>
    </row>
    <row r="228" spans="2:3" x14ac:dyDescent="0.25">
      <c r="B228" s="105" t="str">
        <f>IF($B$1=1,#REF!,C228)</f>
        <v>od</v>
      </c>
      <c r="C228" s="99" t="s">
        <v>139</v>
      </c>
    </row>
    <row r="229" spans="2:3" x14ac:dyDescent="0.25">
      <c r="B229" s="105" t="str">
        <f>IF($B$1=1,#REF!,C229)</f>
        <v>do</v>
      </c>
      <c r="C229" s="99" t="s">
        <v>133</v>
      </c>
    </row>
    <row r="230" spans="2:3" x14ac:dyDescent="0.25">
      <c r="B230" s="99">
        <f>IF($B$1=1,#REF!,C230)</f>
        <v>0</v>
      </c>
      <c r="C230" s="99"/>
    </row>
    <row r="231" spans="2:3" x14ac:dyDescent="0.25">
      <c r="B231" s="105" t="str">
        <f>IF($B$1=1,#REF!,C231)</f>
        <v>Vzhledem k šířce korpusu je nutné použití synchronizace pro TIP-ON</v>
      </c>
      <c r="C231" s="565" t="s">
        <v>149</v>
      </c>
    </row>
    <row r="232" spans="2:3" x14ac:dyDescent="0.25">
      <c r="B232" s="105" t="str">
        <f>IF($B$1=1,#REF!,C232)</f>
        <v>Věnujte pozornost pokynům - zde</v>
      </c>
      <c r="C232" s="565" t="s">
        <v>150</v>
      </c>
    </row>
    <row r="233" spans="2:3" x14ac:dyDescent="0.25">
      <c r="B233" s="105" t="str">
        <f>IF($B$1=1,#REF!,C233)</f>
        <v>Synchronizaci vyberte v sekci Doplňky</v>
      </c>
      <c r="C233" s="565" t="s">
        <v>151</v>
      </c>
    </row>
    <row r="234" spans="2:3" ht="13.5" customHeight="1" x14ac:dyDescent="0.25">
      <c r="B234" s="105" t="str">
        <f>IF($B$1=1,#REF!,C234)</f>
        <v>Minimální rozměry přířezu dna</v>
      </c>
      <c r="C234" s="566" t="s">
        <v>152</v>
      </c>
    </row>
    <row r="235" spans="2:3" x14ac:dyDescent="0.25">
      <c r="B235" s="105" t="str">
        <f>IF($B$1=1,#REF!,C235)</f>
        <v>Není-li možné minimální rozměry dodržet, nelze použít výsuvy s TIP-ON</v>
      </c>
      <c r="C235" s="565" t="s">
        <v>153</v>
      </c>
    </row>
    <row r="236" spans="2:3" x14ac:dyDescent="0.25">
      <c r="B236" s="100" t="str">
        <f>IF($B$1=1,#REF!,C236)</f>
        <v>Firma Blum ani prodejci neručí za jejich správnost.</v>
      </c>
      <c r="C236" s="99" t="s">
        <v>154</v>
      </c>
    </row>
    <row r="237" spans="2:3" x14ac:dyDescent="0.25">
      <c r="B237" s="99">
        <f>IF($B$1=1,#REF!,C237)</f>
        <v>0</v>
      </c>
      <c r="C237" s="99"/>
    </row>
    <row r="238" spans="2:3" x14ac:dyDescent="0.25">
      <c r="B238" s="99">
        <f>IF($B$1=1,#REF!,C238)</f>
        <v>0</v>
      </c>
      <c r="C238" s="99"/>
    </row>
    <row r="239" spans="2:3" x14ac:dyDescent="0.25">
      <c r="B239" s="105" t="str">
        <f>IF($B$1=1,#REF!,C239)</f>
        <v>Formulář pro identifikační údaje</v>
      </c>
      <c r="C239" s="99" t="s">
        <v>155</v>
      </c>
    </row>
    <row r="240" spans="2:3" x14ac:dyDescent="0.25">
      <c r="B240" s="105" t="str">
        <f>IF($B$1=1,#REF!,C240)</f>
        <v>Odběratel</v>
      </c>
      <c r="C240" s="99" t="s">
        <v>156</v>
      </c>
    </row>
    <row r="241" spans="2:3" x14ac:dyDescent="0.25">
      <c r="B241" s="105" t="str">
        <f>IF($B$1=1,#REF!,C241)</f>
        <v>Adresa</v>
      </c>
      <c r="C241" s="99" t="s">
        <v>157</v>
      </c>
    </row>
    <row r="242" spans="2:3" x14ac:dyDescent="0.25">
      <c r="B242" s="105" t="str">
        <f>IF($B$1=1,#REF!,C242)</f>
        <v>Dodací adresa</v>
      </c>
      <c r="C242" s="99" t="s">
        <v>158</v>
      </c>
    </row>
    <row r="243" spans="2:3" x14ac:dyDescent="0.25">
      <c r="B243" s="105" t="str">
        <f>IF($B$1=1,#REF!,C243)</f>
        <v>IČO, DIČ</v>
      </c>
      <c r="C243" s="99" t="s">
        <v>159</v>
      </c>
    </row>
    <row r="244" spans="2:3" x14ac:dyDescent="0.25">
      <c r="B244" s="105" t="str">
        <f>IF($B$1=1,#REF!,C244)</f>
        <v>Telefon, fax, e-mail</v>
      </c>
      <c r="C244" s="99" t="s">
        <v>160</v>
      </c>
    </row>
    <row r="245" spans="2:3" x14ac:dyDescent="0.25">
      <c r="B245" s="105" t="str">
        <f>IF($B$1=1,#REF!,C245)</f>
        <v>Číslo objednávky</v>
      </c>
      <c r="C245" s="99" t="s">
        <v>161</v>
      </c>
    </row>
    <row r="246" spans="2:3" x14ac:dyDescent="0.25">
      <c r="B246" s="105" t="str">
        <f>IF($B$1=1,#REF!,C246)</f>
        <v>Zakázka</v>
      </c>
      <c r="C246" s="99" t="s">
        <v>162</v>
      </c>
    </row>
    <row r="247" spans="2:3" x14ac:dyDescent="0.25">
      <c r="B247" s="99">
        <f>IF($B$1=1,#REF!,C247)</f>
        <v>0</v>
      </c>
      <c r="C247" s="99"/>
    </row>
    <row r="248" spans="2:3" x14ac:dyDescent="0.25">
      <c r="B248" s="105" t="str">
        <f>IF($B$1=1,#REF!,C248)</f>
        <v>Verze</v>
      </c>
      <c r="C248" s="99" t="s">
        <v>140</v>
      </c>
    </row>
    <row r="249" spans="2:3" x14ac:dyDescent="0.25">
      <c r="B249" s="105" t="str">
        <f>IF($B$1=1,#REF!,C249)</f>
        <v>Platnost ceníku od</v>
      </c>
      <c r="C249" s="99" t="s">
        <v>141</v>
      </c>
    </row>
    <row r="250" spans="2:3" x14ac:dyDescent="0.25">
      <c r="B250" s="105" t="str">
        <f>IF($B$1=1,#REF!,C250)</f>
        <v>Sleva</v>
      </c>
      <c r="C250" s="99" t="s">
        <v>142</v>
      </c>
    </row>
    <row r="251" spans="2:3" x14ac:dyDescent="0.25">
      <c r="B251" s="105" t="str">
        <f>IF($B$1=1,#REF!,C251)</f>
        <v>Prodejce</v>
      </c>
      <c r="C251" s="99" t="s">
        <v>143</v>
      </c>
    </row>
    <row r="252" spans="2:3" x14ac:dyDescent="0.25">
      <c r="B252" s="105" t="str">
        <f>IF($B$1=1,#REF!,C252)</f>
        <v>Sleva od prodejce</v>
      </c>
      <c r="C252" s="99" t="s">
        <v>144</v>
      </c>
    </row>
    <row r="253" spans="2:3" x14ac:dyDescent="0.25">
      <c r="B253" s="105" t="str">
        <f>IF($B$1=1,#REF!,C253)</f>
        <v>Ceník</v>
      </c>
      <c r="C253" s="99" t="s">
        <v>145</v>
      </c>
    </row>
    <row r="254" spans="2:3" x14ac:dyDescent="0.25">
      <c r="B254" s="99"/>
      <c r="C254" s="99"/>
    </row>
    <row r="255" spans="2:3" x14ac:dyDescent="0.25">
      <c r="B255" s="99">
        <f>IF($B$1=1,#REF!,C255)</f>
        <v>0</v>
      </c>
      <c r="C255" s="99"/>
    </row>
    <row r="256" spans="2:3" x14ac:dyDescent="0.25">
      <c r="B256" s="105" t="str">
        <f>IF($B$1=1,#REF!,C256)</f>
        <v>Poznámka</v>
      </c>
      <c r="C256" s="99" t="s">
        <v>163</v>
      </c>
    </row>
    <row r="257" spans="2:3" x14ac:dyDescent="0.25">
      <c r="B257" s="99">
        <f>IF($B$1=1,#REF!,C257)</f>
        <v>0</v>
      </c>
      <c r="C257" s="99"/>
    </row>
    <row r="258" spans="2:3" x14ac:dyDescent="0.25">
      <c r="B258" s="105" t="str">
        <f>IF($B$1=1,#REF!,C258)</f>
        <v>Zde můžete vložit vlastní položky (následujících 10 řádků, zobrazí se v objednávce)</v>
      </c>
      <c r="C258" s="99" t="s">
        <v>164</v>
      </c>
    </row>
    <row r="259" spans="2:3" x14ac:dyDescent="0.25">
      <c r="B259" s="99">
        <f>IF($B$1=1,#REF!,C259)</f>
        <v>0</v>
      </c>
      <c r="C259" s="99"/>
    </row>
    <row r="260" spans="2:3" x14ac:dyDescent="0.25">
      <c r="B260" s="99">
        <f>IF($B$1=1,#REF!,C260)</f>
        <v>0</v>
      </c>
      <c r="C260" s="99"/>
    </row>
    <row r="261" spans="2:3" x14ac:dyDescent="0.25">
      <c r="B261" s="99">
        <f>IF($B$1=1,#REF!,C261)</f>
        <v>0</v>
      </c>
      <c r="C261" s="99"/>
    </row>
    <row r="262" spans="2:3" x14ac:dyDescent="0.25">
      <c r="B262" s="105" t="str">
        <f>IF($B$1=1,#REF!,C262)</f>
        <v>Vítejte v aplikaci BOXPLAN</v>
      </c>
      <c r="C262" s="99" t="s">
        <v>210</v>
      </c>
    </row>
    <row r="263" spans="2:3" x14ac:dyDescent="0.25">
      <c r="B263" s="105" t="str">
        <f>IF($B$1=1,#REF!,C263)</f>
        <v>Před prvním spuštěním</v>
      </c>
      <c r="C263" s="99" t="s">
        <v>167</v>
      </c>
    </row>
    <row r="264" spans="2:3" x14ac:dyDescent="0.25">
      <c r="B264" s="105" t="str">
        <f>IF($B$1=1,#REF!,C264)</f>
        <v xml:space="preserve">Přejděte na </v>
      </c>
      <c r="C264" s="99" t="s">
        <v>168</v>
      </c>
    </row>
    <row r="265" spans="2:3" x14ac:dyDescent="0.25">
      <c r="B265" s="105" t="str">
        <f>IF($B$1=1,#REF!,C265)</f>
        <v>Vyplňte identifikační údaje a výši slevy od prodejce</v>
      </c>
      <c r="C265" s="184" t="s">
        <v>232</v>
      </c>
    </row>
    <row r="266" spans="2:3" x14ac:dyDescent="0.25">
      <c r="B266" s="105" t="str">
        <f>IF($B$1=1,#REF!,C266)</f>
        <v>Po vyplnění se vraťte na úvod a subor uložte nebo zavřete s potvrzením změn</v>
      </c>
      <c r="C266" s="184" t="s">
        <v>233</v>
      </c>
    </row>
    <row r="267" spans="2:3" x14ac:dyDescent="0.25">
      <c r="B267" s="105" t="str">
        <f>IF($B$1=1,#REF!,C267)</f>
        <v>Identifikační údaje se budou zobrazovat v objednávkách</v>
      </c>
      <c r="C267" s="99" t="s">
        <v>169</v>
      </c>
    </row>
    <row r="268" spans="2:3" x14ac:dyDescent="0.25">
      <c r="B268" s="99">
        <f>IF($B$1=1,#REF!,C268)</f>
        <v>0</v>
      </c>
      <c r="C268" s="99"/>
    </row>
    <row r="269" spans="2:3" x14ac:dyDescent="0.25">
      <c r="B269" s="105" t="str">
        <f>IF($B$1=1,#REF!,C269)</f>
        <v>Na úvodní obrazovce vyberte, jaké ceny se budou zobrazovat:</v>
      </c>
      <c r="C269" s="99" t="s">
        <v>170</v>
      </c>
    </row>
    <row r="270" spans="2:3" x14ac:dyDescent="0.25">
      <c r="B270" s="105" t="str">
        <f>IF($B$1=1,#REF!,C270)</f>
        <v>Základní (ceníkové) ceny bez slevy</v>
      </c>
      <c r="C270" s="99" t="s">
        <v>171</v>
      </c>
    </row>
    <row r="271" spans="2:3" x14ac:dyDescent="0.25">
      <c r="B271" s="105" t="str">
        <f>IF($B$1=1,#REF!,C271)</f>
        <v xml:space="preserve">Zadáte-li slevu s mínusovým znamínkem, zobrazí se ceny o tuto hodnotu vyšší </v>
      </c>
      <c r="C271" s="184" t="s">
        <v>34</v>
      </c>
    </row>
    <row r="272" spans="2:3" x14ac:dyDescent="0.25">
      <c r="B272" s="99">
        <f>IF($B$1=1,#REF!,C272)</f>
        <v>0</v>
      </c>
      <c r="C272" s="99"/>
    </row>
    <row r="273" spans="2:3" x14ac:dyDescent="0.25">
      <c r="B273" s="105" t="str">
        <f>IF($B$1=1,#REF!,C273)</f>
        <v>Vyberte barvu povrchové úpravy</v>
      </c>
      <c r="C273" s="184" t="s">
        <v>33</v>
      </c>
    </row>
    <row r="274" spans="2:3" x14ac:dyDescent="0.25">
      <c r="B274" s="105" t="str">
        <f>IF($B$1=1,#REF!,C274)</f>
        <v>Vyberte způsob montáže čelního kování</v>
      </c>
      <c r="C274" s="184" t="s">
        <v>32</v>
      </c>
    </row>
    <row r="275" spans="2:3" x14ac:dyDescent="0.25">
      <c r="B275" s="99">
        <f>IF($B$1=1,#REF!,C275)</f>
        <v>0</v>
      </c>
      <c r="C275" s="99"/>
    </row>
    <row r="276" spans="2:3" x14ac:dyDescent="0.25">
      <c r="B276" s="105" t="str">
        <f>IF($B$1=1,#REF!,C276)</f>
        <v>Kliknutím na označení vyberte požadovaný výsuv</v>
      </c>
      <c r="C276" s="184" t="s">
        <v>35</v>
      </c>
    </row>
    <row r="277" spans="2:3" x14ac:dyDescent="0.25">
      <c r="B277" s="99"/>
      <c r="C277" s="99"/>
    </row>
    <row r="278" spans="2:3" x14ac:dyDescent="0.25">
      <c r="B278" s="100" t="str">
        <f>IF($B$1=1,#REF!,C278)</f>
        <v>Legenda</v>
      </c>
      <c r="C278" s="99" t="s">
        <v>172</v>
      </c>
    </row>
    <row r="279" spans="2:3" x14ac:dyDescent="0.25">
      <c r="B279" s="100" t="str">
        <f>IF($B$1=1,#REF!,C279)</f>
        <v>Výpočet hmotnosti</v>
      </c>
      <c r="C279" s="99" t="s">
        <v>138</v>
      </c>
    </row>
    <row r="280" spans="2:3" x14ac:dyDescent="0.25">
      <c r="B280" s="100" t="str">
        <f>IF($B$1=1,#REF!,C280)</f>
        <v>Upozornění</v>
      </c>
      <c r="C280" s="99" t="s">
        <v>173</v>
      </c>
    </row>
    <row r="281" spans="2:3" x14ac:dyDescent="0.25">
      <c r="B281" s="100" t="str">
        <f>IF($B$1=1,#REF!,C281)</f>
        <v>Informace a vysvětlivky</v>
      </c>
      <c r="C281" s="99" t="s">
        <v>174</v>
      </c>
    </row>
    <row r="282" spans="2:3" x14ac:dyDescent="0.25">
      <c r="B282" s="100" t="str">
        <f>IF($B$1=1,#REF!,C282)</f>
        <v>Tip</v>
      </c>
      <c r="C282" s="99" t="s">
        <v>175</v>
      </c>
    </row>
    <row r="283" spans="2:3" x14ac:dyDescent="0.25">
      <c r="B283" s="100" t="str">
        <f>IF($B$1=1,#REF!,C283)</f>
        <v>Nápověda</v>
      </c>
      <c r="C283" s="99" t="s">
        <v>126</v>
      </c>
    </row>
    <row r="284" spans="2:3" x14ac:dyDescent="0.25">
      <c r="B284" s="100" t="str">
        <f>IF($B$1=1,#REF!,C284)</f>
        <v>Odkazy na brožury, montážní návody a instrukážní videa</v>
      </c>
      <c r="C284" s="99" t="s">
        <v>176</v>
      </c>
    </row>
    <row r="285" spans="2:3" x14ac:dyDescent="0.25">
      <c r="B285" s="100" t="str">
        <f>IF($B$1=1,#REF!,C285)</f>
        <v>Soubory PDF</v>
      </c>
      <c r="C285" s="99" t="s">
        <v>177</v>
      </c>
    </row>
    <row r="286" spans="2:3" x14ac:dyDescent="0.25">
      <c r="B286" s="99"/>
      <c r="C286" s="99"/>
    </row>
    <row r="287" spans="2:3" x14ac:dyDescent="0.25">
      <c r="B287" s="105" t="str">
        <f>IF($B$1=1,#REF!,C287)</f>
        <v>Po úpravě objenávky odfiltrujte pomocí filtru ve sloupci "Ks" prázné řádky.</v>
      </c>
      <c r="C287" s="99" t="s">
        <v>178</v>
      </c>
    </row>
    <row r="288" spans="2:3" x14ac:dyDescent="0.25">
      <c r="B288" s="99"/>
      <c r="C288" s="99"/>
    </row>
    <row r="289" spans="2:3" x14ac:dyDescent="0.25">
      <c r="B289" s="105" t="str">
        <f>IF($B$1=1,#REF!,C289)</f>
        <v>Chcete-li objednávku uložit nebo odeslat jako přílohu, vytvořte nový soubor kliknutím na odkaz</v>
      </c>
      <c r="C289" s="567" t="s">
        <v>166</v>
      </c>
    </row>
    <row r="290" spans="2:3" x14ac:dyDescent="0.25">
      <c r="B290" s="99"/>
      <c r="C290" s="99"/>
    </row>
    <row r="291" spans="2:3" x14ac:dyDescent="0.25">
      <c r="B291" s="105" t="str">
        <f>IF($B$1=1,#REF!,C291)</f>
        <v>Vytvořit objednávku</v>
      </c>
      <c r="C291" s="184" t="s">
        <v>165</v>
      </c>
    </row>
    <row r="292" spans="2:3" x14ac:dyDescent="0.25">
      <c r="B292" s="99"/>
    </row>
    <row r="293" spans="2:3" x14ac:dyDescent="0.25">
      <c r="B293" s="105" t="str">
        <f>IF($B$1=1,#REF!,C293)</f>
        <v>Výběr sady jednotek</v>
      </c>
      <c r="C293" s="679" t="s">
        <v>1229</v>
      </c>
    </row>
    <row r="294" spans="2:3" x14ac:dyDescent="0.25">
      <c r="B294" s="105">
        <f>IF($B$1=1,#REF!,C294)</f>
        <v>0</v>
      </c>
      <c r="C294" s="718"/>
    </row>
    <row r="295" spans="2:3" x14ac:dyDescent="0.25">
      <c r="B295" s="105" t="str">
        <f>IF($B$1=1,#REF!,C295)</f>
        <v>Zadejte počty skříní podle šířky korpusu a délky výsuvů</v>
      </c>
      <c r="C295" s="679" t="s">
        <v>1255</v>
      </c>
    </row>
    <row r="296" spans="2:3" x14ac:dyDescent="0.25">
      <c r="B296" s="105" t="str">
        <f>IF($B$1=1,#REF!,C296)</f>
        <v>Poté zadejte požadované složení korpusových lišt</v>
      </c>
      <c r="C296" s="679" t="s">
        <v>1250</v>
      </c>
    </row>
    <row r="297" spans="2:3" x14ac:dyDescent="0.25">
      <c r="B297" s="105" t="str">
        <f>IF($B$1=1,#REF!,C297)</f>
        <v>Zadejte počty 40kg korpusových lišt, 70kg lišty se dopočítají</v>
      </c>
      <c r="C297" s="679" t="s">
        <v>1251</v>
      </c>
    </row>
    <row r="298" spans="2:3" x14ac:dyDescent="0.25">
      <c r="B298" s="105">
        <f>IF($B$1=1,#REF!,C298)</f>
        <v>0</v>
      </c>
      <c r="C298" s="718"/>
    </row>
    <row r="299" spans="2:3" x14ac:dyDescent="0.25">
      <c r="B299" s="105" t="str">
        <f>IF($B$1=1,#REF!,C299)</f>
        <v>Zadejte počet korpusových lišt, pokud chcete jiné, než přednastavené složení</v>
      </c>
      <c r="C299" s="679" t="s">
        <v>1256</v>
      </c>
    </row>
    <row r="300" spans="2:3" x14ac:dyDescent="0.25">
      <c r="B300" s="105">
        <f>IF($B$1=1,#REF!,C300)</f>
        <v>0</v>
      </c>
      <c r="C300" s="679"/>
    </row>
    <row r="301" spans="2:3" x14ac:dyDescent="0.25">
      <c r="B301" s="99"/>
    </row>
    <row r="302" spans="2:3" x14ac:dyDescent="0.25">
      <c r="B302" s="105" t="str">
        <f>IF($B$1=1,#REF!,C302)</f>
        <v>Sada jednotek TIP-ON BLUMOTION</v>
      </c>
      <c r="C302" s="679" t="s">
        <v>1191</v>
      </c>
    </row>
    <row r="303" spans="2:3" x14ac:dyDescent="0.25">
      <c r="B303" s="105" t="str">
        <f>IF($B$1=1,#REF!,C303)</f>
        <v>Synchronizaci vyberte v sekci "Výběr doplňků"</v>
      </c>
      <c r="C303" s="679" t="s">
        <v>1196</v>
      </c>
    </row>
    <row r="304" spans="2:3" x14ac:dyDescent="0.25">
      <c r="B304" s="105" t="str">
        <f>IF($B$1=1,#REF!,C304)</f>
        <v>Jednotka</v>
      </c>
      <c r="C304" s="679" t="s">
        <v>1243</v>
      </c>
    </row>
    <row r="305" spans="2:3" x14ac:dyDescent="0.25">
      <c r="B305" s="105" t="str">
        <f>IF($B$1=1,#REF!,C305)</f>
        <v>S1 pouze pro jmenovitou délku 270 a 300 mm</v>
      </c>
      <c r="C305" s="679" t="s">
        <v>1233</v>
      </c>
    </row>
    <row r="306" spans="2:3" x14ac:dyDescent="0.25">
      <c r="B306" s="105" t="str">
        <f>IF($B$1=1,#REF!,C306)</f>
        <v>Pro výsuvy délky 270 a 300 mm vyberte jednotky S1</v>
      </c>
      <c r="C306" s="679" t="s">
        <v>1234</v>
      </c>
    </row>
    <row r="307" spans="2:3" x14ac:dyDescent="0.25">
      <c r="B307" s="105" t="str">
        <f>IF($B$1=1,#REF!,C307)</f>
        <v>Počet jednotek L neodpovídá počtu korpusových lišt</v>
      </c>
      <c r="C307" s="679" t="s">
        <v>1235</v>
      </c>
    </row>
    <row r="308" spans="2:3" x14ac:dyDescent="0.25">
      <c r="B308" s="105" t="str">
        <f>IF($B$1=1,#REF!,C308)</f>
        <v>Počet jednotek S1 neodpovídá počtu korpusových lišt</v>
      </c>
      <c r="C308" s="679" t="s">
        <v>1236</v>
      </c>
    </row>
    <row r="309" spans="2:3" x14ac:dyDescent="0.25">
      <c r="B309" s="105" t="str">
        <f>IF($B$1=1,#REF!,C309)</f>
        <v>Využití pro</v>
      </c>
      <c r="C309" s="679" t="s">
        <v>1240</v>
      </c>
    </row>
    <row r="310" spans="2:3" x14ac:dyDescent="0.25">
      <c r="B310" s="105" t="str">
        <f>IF($B$1=1,#REF!,C310)</f>
        <v>Doporučené hodnoty hmotnosti</v>
      </c>
      <c r="C310" s="679" t="s">
        <v>1241</v>
      </c>
    </row>
    <row r="311" spans="2:3" x14ac:dyDescent="0.25">
      <c r="B311" s="105" t="str">
        <f>IF($B$1=1,#REF!,C311)</f>
        <v>Celková hmotnost výsuvu (hmotnost výsuvu včetně náplně)</v>
      </c>
      <c r="C311" s="679" t="s">
        <v>1242</v>
      </c>
    </row>
    <row r="312" spans="2:3" x14ac:dyDescent="0.25">
      <c r="B312" s="105" t="str">
        <f>IF($B$1=1,#REF!,C312)</f>
        <v>a sada unašečů TIP-ON BLUMOTION</v>
      </c>
      <c r="C312" s="679" t="s">
        <v>1247</v>
      </c>
    </row>
    <row r="313" spans="2:3" x14ac:dyDescent="0.25">
      <c r="B313" s="105" t="str">
        <f>IF($B$1=1,#REF!,C313)</f>
        <v>Jednotky TIP-ON BLUMOTION budou přidány automaticky</v>
      </c>
      <c r="C313" s="679" t="s">
        <v>1249</v>
      </c>
    </row>
    <row r="314" spans="2:3" x14ac:dyDescent="0.25">
      <c r="B314" s="99"/>
    </row>
    <row r="315" spans="2:3" x14ac:dyDescent="0.25">
      <c r="B315" s="99"/>
    </row>
    <row r="316" spans="2:3" x14ac:dyDescent="0.25">
      <c r="B316" s="99"/>
      <c r="C316" s="561" t="s">
        <v>26</v>
      </c>
    </row>
    <row r="317" spans="2:3" x14ac:dyDescent="0.25">
      <c r="B317" s="99"/>
      <c r="C317" s="561" t="s">
        <v>27</v>
      </c>
    </row>
    <row r="318" spans="2:3" ht="12.5" x14ac:dyDescent="0.25">
      <c r="B318" s="99"/>
      <c r="C318" s="2"/>
    </row>
    <row r="319" spans="2:3" x14ac:dyDescent="0.25">
      <c r="B319" s="99"/>
    </row>
    <row r="320" spans="2:3" x14ac:dyDescent="0.25">
      <c r="B320" s="99"/>
    </row>
    <row r="321" spans="2:2" x14ac:dyDescent="0.25">
      <c r="B321" s="99"/>
    </row>
    <row r="322" spans="2:2" x14ac:dyDescent="0.25">
      <c r="B322" s="99"/>
    </row>
    <row r="323" spans="2:2" x14ac:dyDescent="0.25">
      <c r="B323" s="99"/>
    </row>
    <row r="324" spans="2:2" x14ac:dyDescent="0.25">
      <c r="B324" s="99"/>
    </row>
    <row r="325" spans="2:2" x14ac:dyDescent="0.25">
      <c r="B325" s="99"/>
    </row>
    <row r="326" spans="2:2" x14ac:dyDescent="0.25">
      <c r="B326" s="99"/>
    </row>
    <row r="327" spans="2:2" x14ac:dyDescent="0.25">
      <c r="B327" s="99"/>
    </row>
    <row r="328" spans="2:2" x14ac:dyDescent="0.25">
      <c r="B328" s="99"/>
    </row>
    <row r="329" spans="2:2" x14ac:dyDescent="0.25">
      <c r="B329" s="99"/>
    </row>
    <row r="330" spans="2:2" x14ac:dyDescent="0.25">
      <c r="B330" s="99"/>
    </row>
    <row r="331" spans="2:2" x14ac:dyDescent="0.25">
      <c r="B331" s="99"/>
    </row>
    <row r="332" spans="2:2" x14ac:dyDescent="0.25">
      <c r="B332" s="99"/>
    </row>
    <row r="333" spans="2:2" x14ac:dyDescent="0.25">
      <c r="B333" s="99"/>
    </row>
    <row r="334" spans="2:2" x14ac:dyDescent="0.25">
      <c r="B334" s="99"/>
    </row>
    <row r="335" spans="2:2" x14ac:dyDescent="0.25">
      <c r="B335" s="99"/>
    </row>
    <row r="336" spans="2:2" x14ac:dyDescent="0.25">
      <c r="B336" s="99"/>
    </row>
    <row r="337" spans="2:2" x14ac:dyDescent="0.25">
      <c r="B337" s="99"/>
    </row>
    <row r="338" spans="2:2" x14ac:dyDescent="0.25">
      <c r="B338" s="99"/>
    </row>
    <row r="339" spans="2:2" x14ac:dyDescent="0.25">
      <c r="B339" s="99"/>
    </row>
    <row r="340" spans="2:2" x14ac:dyDescent="0.25">
      <c r="B340" s="99"/>
    </row>
    <row r="341" spans="2:2" x14ac:dyDescent="0.25">
      <c r="B341" s="99"/>
    </row>
    <row r="342" spans="2:2" x14ac:dyDescent="0.25">
      <c r="B342" s="99"/>
    </row>
    <row r="343" spans="2:2" x14ac:dyDescent="0.25">
      <c r="B343" s="99"/>
    </row>
    <row r="344" spans="2:2" x14ac:dyDescent="0.25">
      <c r="B344" s="99"/>
    </row>
    <row r="345" spans="2:2" x14ac:dyDescent="0.25">
      <c r="B345" s="99"/>
    </row>
    <row r="346" spans="2:2" x14ac:dyDescent="0.25">
      <c r="B346" s="99"/>
    </row>
    <row r="347" spans="2:2" x14ac:dyDescent="0.25">
      <c r="B347" s="99"/>
    </row>
    <row r="348" spans="2:2" x14ac:dyDescent="0.25">
      <c r="B348" s="99"/>
    </row>
    <row r="349" spans="2:2" x14ac:dyDescent="0.25">
      <c r="B349" s="99"/>
    </row>
    <row r="350" spans="2:2" x14ac:dyDescent="0.25">
      <c r="B350" s="99"/>
    </row>
    <row r="351" spans="2:2" x14ac:dyDescent="0.25">
      <c r="B351" s="99"/>
    </row>
    <row r="352" spans="2:2" x14ac:dyDescent="0.25">
      <c r="B352" s="99"/>
    </row>
    <row r="353" spans="2:2" x14ac:dyDescent="0.25">
      <c r="B353" s="99"/>
    </row>
    <row r="354" spans="2:2" x14ac:dyDescent="0.25">
      <c r="B354" s="99"/>
    </row>
    <row r="355" spans="2:2" x14ac:dyDescent="0.25">
      <c r="B355" s="99"/>
    </row>
    <row r="356" spans="2:2" x14ac:dyDescent="0.25">
      <c r="B356" s="99"/>
    </row>
    <row r="357" spans="2:2" x14ac:dyDescent="0.25">
      <c r="B357" s="99"/>
    </row>
    <row r="358" spans="2:2" x14ac:dyDescent="0.25">
      <c r="B358" s="99"/>
    </row>
    <row r="359" spans="2:2" x14ac:dyDescent="0.25">
      <c r="B359" s="99"/>
    </row>
    <row r="360" spans="2:2" x14ac:dyDescent="0.25">
      <c r="B360" s="99"/>
    </row>
    <row r="361" spans="2:2" x14ac:dyDescent="0.25">
      <c r="B361" s="99"/>
    </row>
    <row r="362" spans="2:2" x14ac:dyDescent="0.25">
      <c r="B362" s="99"/>
    </row>
    <row r="363" spans="2:2" x14ac:dyDescent="0.25">
      <c r="B363" s="99"/>
    </row>
    <row r="364" spans="2:2" x14ac:dyDescent="0.25">
      <c r="B364" s="99"/>
    </row>
    <row r="365" spans="2:2" x14ac:dyDescent="0.25">
      <c r="B365" s="99"/>
    </row>
    <row r="366" spans="2:2" x14ac:dyDescent="0.25">
      <c r="B366" s="99"/>
    </row>
    <row r="367" spans="2:2" x14ac:dyDescent="0.25">
      <c r="B367" s="99"/>
    </row>
    <row r="368" spans="2:2" x14ac:dyDescent="0.25">
      <c r="B368" s="99"/>
    </row>
    <row r="369" spans="2:2" x14ac:dyDescent="0.25">
      <c r="B369" s="99"/>
    </row>
    <row r="370" spans="2:2" x14ac:dyDescent="0.25">
      <c r="B370" s="99"/>
    </row>
    <row r="371" spans="2:2" x14ac:dyDescent="0.25">
      <c r="B371" s="99"/>
    </row>
    <row r="372" spans="2:2" x14ac:dyDescent="0.25">
      <c r="B372" s="99"/>
    </row>
    <row r="373" spans="2:2" x14ac:dyDescent="0.25">
      <c r="B373" s="99"/>
    </row>
    <row r="374" spans="2:2" x14ac:dyDescent="0.25">
      <c r="B374" s="99"/>
    </row>
    <row r="375" spans="2:2" x14ac:dyDescent="0.25">
      <c r="B375" s="99"/>
    </row>
    <row r="376" spans="2:2" x14ac:dyDescent="0.25">
      <c r="B376" s="99"/>
    </row>
    <row r="377" spans="2:2" x14ac:dyDescent="0.25">
      <c r="B377" s="99"/>
    </row>
    <row r="378" spans="2:2" x14ac:dyDescent="0.25">
      <c r="B378" s="99"/>
    </row>
    <row r="379" spans="2:2" x14ac:dyDescent="0.25">
      <c r="B379" s="99"/>
    </row>
    <row r="380" spans="2:2" x14ac:dyDescent="0.25">
      <c r="B380" s="99"/>
    </row>
    <row r="381" spans="2:2" x14ac:dyDescent="0.25">
      <c r="B381" s="99"/>
    </row>
    <row r="382" spans="2:2" x14ac:dyDescent="0.25">
      <c r="B382" s="99"/>
    </row>
    <row r="383" spans="2:2" x14ac:dyDescent="0.25">
      <c r="B383" s="99"/>
    </row>
    <row r="384" spans="2:2" x14ac:dyDescent="0.25">
      <c r="B384" s="99"/>
    </row>
    <row r="385" spans="2:2" x14ac:dyDescent="0.25">
      <c r="B385" s="99"/>
    </row>
    <row r="386" spans="2:2" x14ac:dyDescent="0.25">
      <c r="B386" s="99"/>
    </row>
    <row r="387" spans="2:2" x14ac:dyDescent="0.25">
      <c r="B387" s="99"/>
    </row>
    <row r="388" spans="2:2" x14ac:dyDescent="0.25">
      <c r="B388" s="99"/>
    </row>
    <row r="389" spans="2:2" x14ac:dyDescent="0.25">
      <c r="B389" s="99"/>
    </row>
    <row r="390" spans="2:2" x14ac:dyDescent="0.25">
      <c r="B390" s="99"/>
    </row>
    <row r="391" spans="2:2" x14ac:dyDescent="0.25">
      <c r="B391" s="99"/>
    </row>
    <row r="392" spans="2:2" x14ac:dyDescent="0.25">
      <c r="B392" s="99"/>
    </row>
    <row r="393" spans="2:2" x14ac:dyDescent="0.25">
      <c r="B393" s="99"/>
    </row>
    <row r="394" spans="2:2" x14ac:dyDescent="0.25">
      <c r="B394" s="99"/>
    </row>
    <row r="395" spans="2:2" x14ac:dyDescent="0.25">
      <c r="B395" s="99"/>
    </row>
    <row r="396" spans="2:2" x14ac:dyDescent="0.25">
      <c r="B396" s="99"/>
    </row>
    <row r="397" spans="2:2" x14ac:dyDescent="0.25">
      <c r="B397" s="99"/>
    </row>
    <row r="398" spans="2:2" x14ac:dyDescent="0.25">
      <c r="B398" s="99"/>
    </row>
    <row r="399" spans="2:2" x14ac:dyDescent="0.25">
      <c r="B399" s="99"/>
    </row>
    <row r="400" spans="2:2" x14ac:dyDescent="0.25">
      <c r="B400" s="99"/>
    </row>
    <row r="401" spans="2:2" x14ac:dyDescent="0.25">
      <c r="B401" s="99"/>
    </row>
    <row r="402" spans="2:2" x14ac:dyDescent="0.25">
      <c r="B402" s="99"/>
    </row>
    <row r="403" spans="2:2" x14ac:dyDescent="0.25">
      <c r="B403" s="99"/>
    </row>
    <row r="404" spans="2:2" x14ac:dyDescent="0.25">
      <c r="B404" s="99"/>
    </row>
    <row r="405" spans="2:2" x14ac:dyDescent="0.25">
      <c r="B405" s="99"/>
    </row>
    <row r="406" spans="2:2" x14ac:dyDescent="0.25">
      <c r="B406" s="99"/>
    </row>
    <row r="407" spans="2:2" x14ac:dyDescent="0.25">
      <c r="B407" s="99"/>
    </row>
    <row r="408" spans="2:2" x14ac:dyDescent="0.25">
      <c r="B408" s="99"/>
    </row>
    <row r="409" spans="2:2" x14ac:dyDescent="0.25">
      <c r="B409" s="99"/>
    </row>
    <row r="410" spans="2:2" x14ac:dyDescent="0.25">
      <c r="B410" s="99"/>
    </row>
    <row r="411" spans="2:2" x14ac:dyDescent="0.25">
      <c r="B411" s="99"/>
    </row>
    <row r="412" spans="2:2" x14ac:dyDescent="0.25">
      <c r="B412" s="99"/>
    </row>
    <row r="413" spans="2:2" x14ac:dyDescent="0.25">
      <c r="B413" s="99"/>
    </row>
    <row r="414" spans="2:2" x14ac:dyDescent="0.25">
      <c r="B414" s="99"/>
    </row>
    <row r="415" spans="2:2" x14ac:dyDescent="0.25">
      <c r="B415" s="99"/>
    </row>
    <row r="416" spans="2:2" x14ac:dyDescent="0.25">
      <c r="B416" s="99"/>
    </row>
    <row r="417" spans="2:2" x14ac:dyDescent="0.25">
      <c r="B417" s="99"/>
    </row>
    <row r="418" spans="2:2" x14ac:dyDescent="0.25">
      <c r="B418" s="99"/>
    </row>
    <row r="419" spans="2:2" x14ac:dyDescent="0.25">
      <c r="B419" s="99"/>
    </row>
    <row r="420" spans="2:2" x14ac:dyDescent="0.25">
      <c r="B420" s="99"/>
    </row>
    <row r="421" spans="2:2" x14ac:dyDescent="0.25">
      <c r="B421" s="99"/>
    </row>
    <row r="422" spans="2:2" x14ac:dyDescent="0.25">
      <c r="B422" s="99"/>
    </row>
    <row r="423" spans="2:2" x14ac:dyDescent="0.25">
      <c r="B423" s="99"/>
    </row>
    <row r="424" spans="2:2" x14ac:dyDescent="0.25">
      <c r="B424" s="99"/>
    </row>
    <row r="425" spans="2:2" x14ac:dyDescent="0.25">
      <c r="B425" s="99"/>
    </row>
    <row r="426" spans="2:2" x14ac:dyDescent="0.25">
      <c r="B426" s="99"/>
    </row>
    <row r="427" spans="2:2" x14ac:dyDescent="0.25">
      <c r="B427" s="99"/>
    </row>
    <row r="428" spans="2:2" x14ac:dyDescent="0.25">
      <c r="B428" s="99"/>
    </row>
    <row r="429" spans="2:2" x14ac:dyDescent="0.25">
      <c r="B429" s="99"/>
    </row>
    <row r="430" spans="2:2" x14ac:dyDescent="0.25">
      <c r="B430" s="99"/>
    </row>
    <row r="431" spans="2:2" x14ac:dyDescent="0.25">
      <c r="B431" s="99"/>
    </row>
    <row r="432" spans="2:2" x14ac:dyDescent="0.25">
      <c r="B432" s="99"/>
    </row>
    <row r="433" spans="2:2" x14ac:dyDescent="0.25">
      <c r="B433" s="99"/>
    </row>
  </sheetData>
  <sheetProtection algorithmName="SHA-512" hashValue="OTZVBcvTa0L+GJxFYl77AVY2lFA3h2uX7cxIkEdhvzBRL35TnJ3Jb00FoEV+VcdqEagvf8Pgr39+T8tvTEyO5Q==" saltValue="GTSE3OsbyH5MSQ3SZ0PG4A==" spinCount="100000" sheet="1" objects="1" scenarios="1"/>
  <phoneticPr fontId="51" type="noConversion"/>
  <hyperlinks>
    <hyperlink ref="C1" location="Form!A1" tooltip=" " display="Form!A1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1" tint="0.499984740745262"/>
  </sheetPr>
  <dimension ref="A1:Z714"/>
  <sheetViews>
    <sheetView showGridLines="0" showRowColHeaders="0" topLeftCell="V612" workbookViewId="0">
      <selection activeCell="A612" sqref="A1:U1048576"/>
    </sheetView>
  </sheetViews>
  <sheetFormatPr defaultRowHeight="14.5" x14ac:dyDescent="0.35"/>
  <cols>
    <col min="1" max="1" width="44.26953125" hidden="1" customWidth="1"/>
    <col min="2" max="2" width="17.7265625" hidden="1" customWidth="1"/>
    <col min="3" max="3" width="9.1796875" hidden="1" customWidth="1"/>
    <col min="4" max="4" width="2.1796875" style="535" hidden="1" customWidth="1"/>
    <col min="5" max="5" width="1.54296875" hidden="1" customWidth="1"/>
    <col min="6" max="6" width="13.7265625" hidden="1" customWidth="1"/>
    <col min="7" max="8" width="5" hidden="1" customWidth="1"/>
    <col min="9" max="9" width="9.453125" hidden="1" customWidth="1"/>
    <col min="10" max="10" width="5" hidden="1" customWidth="1"/>
    <col min="11" max="11" width="4.26953125" style="24" hidden="1" customWidth="1"/>
    <col min="12" max="12" width="44.26953125" hidden="1" customWidth="1"/>
    <col min="13" max="13" width="17.7265625" hidden="1" customWidth="1"/>
    <col min="14" max="14" width="9.1796875" hidden="1" customWidth="1"/>
    <col min="15" max="15" width="3.26953125" style="538" hidden="1" customWidth="1"/>
    <col min="16" max="16" width="1.54296875" hidden="1" customWidth="1"/>
    <col min="17" max="17" width="13.7265625" hidden="1" customWidth="1"/>
    <col min="18" max="19" width="1.81640625" hidden="1" customWidth="1"/>
    <col min="20" max="21" width="13.7265625" hidden="1" customWidth="1"/>
    <col min="23" max="23" width="17.54296875" customWidth="1"/>
  </cols>
  <sheetData>
    <row r="1" spans="1:26" ht="15" thickBot="1" x14ac:dyDescent="0.4">
      <c r="A1" s="2"/>
      <c r="B1" s="2"/>
      <c r="C1" s="2"/>
      <c r="D1" s="72"/>
      <c r="E1" s="2"/>
      <c r="F1" s="2"/>
      <c r="G1" s="2"/>
      <c r="H1" s="2"/>
      <c r="I1" s="2"/>
      <c r="J1" s="2"/>
      <c r="O1" s="536"/>
    </row>
    <row r="2" spans="1:26" ht="15" thickBot="1" x14ac:dyDescent="0.4">
      <c r="A2" s="73" t="s">
        <v>82</v>
      </c>
      <c r="B2" s="74" t="str">
        <f>IF(C2=1,"šedá",IF(C2=2,"hedvábně bílá",IF(C2=3,"černá Terra",IF(C2=4,"Inox","x"))))</f>
        <v>šedá</v>
      </c>
      <c r="C2" s="75">
        <f>Form!$N$2</f>
        <v>1</v>
      </c>
      <c r="D2" s="517"/>
      <c r="E2" s="2"/>
      <c r="F2" s="2"/>
      <c r="G2" s="2"/>
      <c r="H2" s="2"/>
      <c r="I2" s="2"/>
      <c r="J2" s="2"/>
      <c r="L2" s="161" t="str">
        <f>List!$B$110</f>
        <v>Zpět na úvod</v>
      </c>
      <c r="O2" s="536"/>
    </row>
    <row r="3" spans="1:26" ht="15" thickBot="1" x14ac:dyDescent="0.4">
      <c r="A3" s="73" t="s">
        <v>84</v>
      </c>
      <c r="B3" s="74" t="str">
        <f>IF(C3=1,"čiré",IF(C3=2,"saténované","chyba"))</f>
        <v>čiré</v>
      </c>
      <c r="C3" s="75">
        <f>Form!$N$8</f>
        <v>1</v>
      </c>
      <c r="D3" s="517"/>
      <c r="E3" s="2"/>
      <c r="F3" s="2"/>
      <c r="G3" s="2"/>
      <c r="H3" s="2"/>
      <c r="I3" s="2"/>
      <c r="J3" s="2"/>
      <c r="K3" s="51"/>
      <c r="O3" s="536"/>
    </row>
    <row r="4" spans="1:26" ht="15" thickBot="1" x14ac:dyDescent="0.4">
      <c r="A4" s="73" t="s">
        <v>93</v>
      </c>
      <c r="B4" s="74" t="str">
        <f>IF(C4=1,"na vruty",IF(C4=2,"INSERTA","chyba"))</f>
        <v>INSERTA</v>
      </c>
      <c r="C4" s="75">
        <f>Form!$N$13</f>
        <v>2</v>
      </c>
      <c r="D4" s="517"/>
      <c r="E4" s="2"/>
      <c r="F4" s="2"/>
      <c r="G4" s="2"/>
      <c r="H4" s="2"/>
      <c r="I4" s="2"/>
      <c r="J4" s="2"/>
      <c r="O4" s="536"/>
    </row>
    <row r="5" spans="1:26" x14ac:dyDescent="0.35">
      <c r="A5" s="2"/>
      <c r="B5" s="2"/>
      <c r="C5" s="2"/>
      <c r="D5" s="72"/>
      <c r="E5" s="2"/>
      <c r="F5" s="2"/>
      <c r="G5" s="2"/>
      <c r="H5" s="2"/>
      <c r="I5" s="2"/>
      <c r="J5" s="2"/>
      <c r="O5" s="536"/>
    </row>
    <row r="6" spans="1:26" x14ac:dyDescent="0.35">
      <c r="A6" s="73" t="s">
        <v>83</v>
      </c>
      <c r="B6" s="2"/>
      <c r="C6" s="72">
        <f>Form!$N$21</f>
        <v>1</v>
      </c>
      <c r="D6" s="72"/>
      <c r="E6" s="2"/>
      <c r="F6" s="92">
        <f>Form!$I$21</f>
        <v>0</v>
      </c>
      <c r="G6" s="169"/>
      <c r="H6" s="169"/>
      <c r="I6" s="169"/>
      <c r="J6" s="169"/>
      <c r="O6" s="536"/>
    </row>
    <row r="7" spans="1:26" x14ac:dyDescent="0.35">
      <c r="A7" s="2"/>
      <c r="B7" s="2"/>
      <c r="C7" s="2"/>
      <c r="D7" s="72"/>
      <c r="E7" s="2"/>
      <c r="F7" s="2"/>
      <c r="G7" s="2"/>
      <c r="H7" s="2"/>
      <c r="I7" s="2"/>
      <c r="J7" s="2"/>
      <c r="O7" s="536"/>
    </row>
    <row r="8" spans="1:26" x14ac:dyDescent="0.35">
      <c r="A8" s="2"/>
      <c r="B8" s="2"/>
      <c r="C8" s="2"/>
      <c r="D8" s="72"/>
      <c r="E8" s="2"/>
      <c r="F8" s="2"/>
      <c r="G8" s="2"/>
      <c r="H8" s="2"/>
      <c r="I8" s="2"/>
      <c r="J8" s="2"/>
      <c r="O8" s="536"/>
    </row>
    <row r="9" spans="1:26" x14ac:dyDescent="0.35">
      <c r="A9" s="2"/>
      <c r="B9" s="2"/>
      <c r="C9" s="2"/>
      <c r="D9" s="72"/>
      <c r="E9" s="2"/>
      <c r="F9" s="2"/>
      <c r="G9" s="2"/>
      <c r="H9" s="2"/>
      <c r="I9" s="2"/>
      <c r="J9" s="2"/>
      <c r="O9" s="536"/>
    </row>
    <row r="10" spans="1:26" x14ac:dyDescent="0.35">
      <c r="A10" s="84" t="str">
        <f t="shared" ref="A10:J10" si="0">L10</f>
        <v>Název</v>
      </c>
      <c r="B10" s="84" t="str">
        <f t="shared" si="0"/>
        <v>Číslo artiklu</v>
      </c>
      <c r="C10" s="84" t="str">
        <f t="shared" si="0"/>
        <v>Barva</v>
      </c>
      <c r="D10" s="84" t="str">
        <f t="shared" si="0"/>
        <v>Dostupnost</v>
      </c>
      <c r="E10" s="84" t="str">
        <f t="shared" si="0"/>
        <v>Počet</v>
      </c>
      <c r="F10" s="549" t="str">
        <f t="shared" si="0"/>
        <v>Jednotková cena</v>
      </c>
      <c r="G10" s="549" t="str">
        <f t="shared" si="0"/>
        <v>Celkem</v>
      </c>
      <c r="H10" s="549" t="str">
        <f t="shared" si="0"/>
        <v>Změna</v>
      </c>
      <c r="I10" s="549" t="str">
        <f t="shared" si="0"/>
        <v>IDNr.</v>
      </c>
      <c r="J10" s="549">
        <f t="shared" si="0"/>
        <v>0</v>
      </c>
      <c r="K10" s="20"/>
      <c r="L10" s="59" t="str">
        <f>Price!A10</f>
        <v>Název</v>
      </c>
      <c r="M10" s="59" t="str">
        <f>Price!B10</f>
        <v>Číslo artiklu</v>
      </c>
      <c r="N10" s="59" t="str">
        <f>Price!C10</f>
        <v>Barva</v>
      </c>
      <c r="O10" s="59" t="str">
        <f>Price!D10</f>
        <v>Dostupnost</v>
      </c>
      <c r="P10" s="59" t="str">
        <f>List!B98</f>
        <v>Počet</v>
      </c>
      <c r="Q10" s="59" t="str">
        <f>Price!F10</f>
        <v>Jednotková cena</v>
      </c>
      <c r="R10" s="59" t="str">
        <f>List!$B$104</f>
        <v>Celkem</v>
      </c>
      <c r="S10" s="59" t="str">
        <f>List!$B$105</f>
        <v>Změna</v>
      </c>
      <c r="T10" s="168" t="str">
        <f>Price!G10</f>
        <v>IDNr.</v>
      </c>
      <c r="U10" s="168">
        <f>Price!H10</f>
        <v>0</v>
      </c>
      <c r="V10" s="13"/>
      <c r="X10" s="14"/>
      <c r="Y10" s="14"/>
    </row>
    <row r="11" spans="1:26" ht="15" thickBot="1" x14ac:dyDescent="0.4">
      <c r="A11" s="85" t="str">
        <f>IF($C$2=1,L11,IF($C$2=2,L12,IF($C$2=3,L13,IF($C$2=4,L14,"  chyba"))))</f>
        <v>Bočnice N 450mm, Orion šedé</v>
      </c>
      <c r="B11" s="86" t="str">
        <f>IF($C$2=1,M11,IF($C$2=2,M12,IF($C$2=3,M13,IF($C$2=4,M14,"  chyba"))))</f>
        <v>770N4502S</v>
      </c>
      <c r="C11" s="86" t="str">
        <f>IF($C$2=1,N11,IF($C$2=2,N12,IF($C$2=3,N13,IF($C$2=4,N14,"  chyba"))))</f>
        <v>OG-M</v>
      </c>
      <c r="D11" s="539" t="str">
        <f>IF($C$2=1,O11,IF($C$2=2,O12,IF($C$2=3,O13,IF($C$2=4,O14,"  chyba"))))</f>
        <v>!</v>
      </c>
      <c r="E11" s="87"/>
      <c r="F11" s="88">
        <f>IF($C$2=1,Q11,IF($C$2=2,Q12,IF($C$2=3,Q13,IF($C$2=4,Q14,0))))*(100-$F$6)/100</f>
        <v>18.978459999999998</v>
      </c>
      <c r="G11" s="64"/>
      <c r="H11" s="64"/>
      <c r="I11" s="171">
        <f>IF($C$2=1,T11,IF($C$2=2,T12,IF($C$2=3,T13,IF($C$2=4,T14,"  chyba"))))</f>
        <v>9950830</v>
      </c>
      <c r="J11" s="171">
        <f>IF($C$2=1,U11,IF($C$2=2,U12,IF($C$2=3,U13,IF($C$2=4,U14,"  chyba"))))</f>
        <v>227434</v>
      </c>
      <c r="K11" s="20"/>
      <c r="L11" s="60" t="str">
        <f>Price!A11</f>
        <v>Bočnice N 450mm, Orion šedé</v>
      </c>
      <c r="M11" s="15" t="str">
        <f>Price!B11</f>
        <v>770N4502S</v>
      </c>
      <c r="N11" s="15" t="str">
        <f>Price!C11</f>
        <v>OG-M</v>
      </c>
      <c r="O11" s="537" t="str">
        <f>Price!D11</f>
        <v>!</v>
      </c>
      <c r="P11" s="16"/>
      <c r="Q11" s="17">
        <f>Price!F11</f>
        <v>18.978459999999998</v>
      </c>
      <c r="R11" s="323"/>
      <c r="S11" s="323"/>
      <c r="T11" s="12">
        <f>Price!G11</f>
        <v>9950830</v>
      </c>
      <c r="U11" s="257">
        <f>Price!H11</f>
        <v>227434</v>
      </c>
      <c r="V11" s="13"/>
      <c r="W11" s="14"/>
      <c r="X11" s="14"/>
      <c r="Y11" s="14"/>
    </row>
    <row r="12" spans="1:26" ht="15" thickBot="1" x14ac:dyDescent="0.4">
      <c r="A12" s="76"/>
      <c r="B12" s="162"/>
      <c r="C12" s="162"/>
      <c r="D12" s="540"/>
      <c r="E12" s="77"/>
      <c r="F12" s="64"/>
      <c r="G12" s="64"/>
      <c r="H12" s="64"/>
      <c r="I12" s="64"/>
      <c r="J12" s="64"/>
      <c r="K12" s="20"/>
      <c r="L12" s="60" t="str">
        <f>Price!A12</f>
        <v>Bočnice N 450mm, hedvábně bílé</v>
      </c>
      <c r="M12" s="15" t="str">
        <f>Price!B12</f>
        <v>770N4502S</v>
      </c>
      <c r="N12" s="15" t="str">
        <f>Price!C12</f>
        <v>SW-M</v>
      </c>
      <c r="O12" s="537" t="str">
        <f>Price!D12</f>
        <v>!</v>
      </c>
      <c r="P12" s="16"/>
      <c r="Q12" s="17">
        <f>Price!F12</f>
        <v>18.978459999999998</v>
      </c>
      <c r="R12" s="323"/>
      <c r="S12" s="323"/>
      <c r="T12" s="12">
        <f>Price!G12</f>
        <v>9968111</v>
      </c>
      <c r="U12" s="257">
        <f>Price!H12</f>
        <v>227433</v>
      </c>
      <c r="V12" s="13"/>
      <c r="W12" s="12" t="s">
        <v>250</v>
      </c>
      <c r="X12" s="14"/>
      <c r="Y12" s="14"/>
    </row>
    <row r="13" spans="1:26" ht="15" thickBot="1" x14ac:dyDescent="0.4">
      <c r="A13" s="78"/>
      <c r="B13" s="163"/>
      <c r="C13" s="163"/>
      <c r="D13" s="541"/>
      <c r="E13" s="77"/>
      <c r="F13" s="66"/>
      <c r="G13" s="66"/>
      <c r="H13" s="66"/>
      <c r="I13" s="66"/>
      <c r="J13" s="66"/>
      <c r="K13" s="61"/>
      <c r="L13" s="60" t="str">
        <f>Price!A13</f>
        <v>Bočnice N 450mm, černé Terra</v>
      </c>
      <c r="M13" s="15" t="str">
        <f>Price!B13</f>
        <v>770N4502S</v>
      </c>
      <c r="N13" s="15" t="str">
        <f>Price!C13</f>
        <v>TS-M</v>
      </c>
      <c r="O13" s="537" t="str">
        <f>Price!D13</f>
        <v>!</v>
      </c>
      <c r="P13" s="16"/>
      <c r="Q13" s="17">
        <f>Price!F13</f>
        <v>18.978459999999998</v>
      </c>
      <c r="R13" s="323"/>
      <c r="S13" s="323"/>
      <c r="T13" s="12">
        <f>Price!G13</f>
        <v>9976170</v>
      </c>
      <c r="U13" s="257">
        <f>Price!H13</f>
        <v>227435</v>
      </c>
      <c r="V13" s="13"/>
      <c r="W13" s="18">
        <f>Price!H8</f>
        <v>43009</v>
      </c>
      <c r="X13" s="14"/>
      <c r="Y13" s="14"/>
    </row>
    <row r="14" spans="1:26" x14ac:dyDescent="0.35">
      <c r="A14" s="57"/>
      <c r="B14" s="162"/>
      <c r="C14" s="162"/>
      <c r="D14" s="540"/>
      <c r="E14" s="77"/>
      <c r="F14" s="64"/>
      <c r="G14" s="64"/>
      <c r="H14" s="64"/>
      <c r="I14" s="64"/>
      <c r="J14" s="64"/>
      <c r="K14" s="62"/>
      <c r="L14" s="60" t="str">
        <f>Price!A14</f>
        <v>Bočnice N 450mm, nerez</v>
      </c>
      <c r="M14" s="15" t="str">
        <f>Price!B14</f>
        <v>770N4502I</v>
      </c>
      <c r="N14" s="15" t="str">
        <f>Price!C14</f>
        <v>Inox</v>
      </c>
      <c r="O14" s="537" t="str">
        <f>Price!D14</f>
        <v>!</v>
      </c>
      <c r="P14" s="16"/>
      <c r="Q14" s="17">
        <f>Price!F14</f>
        <v>35.365110000000001</v>
      </c>
      <c r="R14" s="323"/>
      <c r="S14" s="323"/>
      <c r="T14" s="12">
        <f>Price!G14</f>
        <v>9929474</v>
      </c>
      <c r="U14" s="257">
        <f>Price!H14</f>
        <v>227436</v>
      </c>
      <c r="V14" s="13"/>
      <c r="W14" s="13"/>
      <c r="X14" s="14"/>
      <c r="Y14" s="14"/>
    </row>
    <row r="15" spans="1:26" ht="15" thickBot="1" x14ac:dyDescent="0.4">
      <c r="A15" s="85" t="str">
        <f>IF($C$2=1,L15,IF($C$2=2,L16,IF($C$2=3,L17,IF($C$2=4,L18,"  chyba"))))</f>
        <v>Bočnice N 500mm, Orion šedé</v>
      </c>
      <c r="B15" s="86" t="str">
        <f>IF($C$2=1,M15,IF($C$2=2,M16,IF($C$2=3,M17,IF($C$2=4,M18,"  chyba"))))</f>
        <v>770N5002S</v>
      </c>
      <c r="C15" s="86" t="str">
        <f>IF($C$2=1,N15,IF($C$2=2,N16,IF($C$2=3,N17,IF($C$2=4,N18,"  chyba"))))</f>
        <v>OG-M</v>
      </c>
      <c r="D15" s="86">
        <f>IF($C$2=1,O15,IF($C$2=2,O16,IF($C$2=3,O17,IF($C$2=4,O18,"  chyba"))))</f>
        <v>0</v>
      </c>
      <c r="E15" s="87"/>
      <c r="F15" s="88">
        <f>IF($C$2=1,Q15,IF($C$2=2,Q16,IF($C$2=3,Q17,IF($C$2=4,Q18,0))))*(100-$F$6)/100</f>
        <v>19.201000000000001</v>
      </c>
      <c r="G15" s="64"/>
      <c r="H15" s="64"/>
      <c r="I15" s="171">
        <f>IF($C$2=1,T15,IF($C$2=2,T16,IF($C$2=3,T17,IF($C$2=4,T18,"  chyba"))))</f>
        <v>9978373</v>
      </c>
      <c r="J15" s="171">
        <f>IF($C$2=1,U15,IF($C$2=2,U16,IF($C$2=3,U17,IF($C$2=4,U18,"  chyba"))))</f>
        <v>227438</v>
      </c>
      <c r="K15" s="20"/>
      <c r="L15" s="60" t="str">
        <f>Price!A15</f>
        <v>Bočnice N 500mm, Orion šedé</v>
      </c>
      <c r="M15" s="15" t="str">
        <f>Price!B15</f>
        <v>770N5002S</v>
      </c>
      <c r="N15" s="15" t="str">
        <f>Price!C15</f>
        <v>OG-M</v>
      </c>
      <c r="O15" s="537">
        <f>Price!D15</f>
        <v>0</v>
      </c>
      <c r="P15" s="16"/>
      <c r="Q15" s="17">
        <f>Price!F15</f>
        <v>19.201000000000001</v>
      </c>
      <c r="R15" s="323"/>
      <c r="S15" s="323"/>
      <c r="T15" s="12">
        <f>Price!G15</f>
        <v>9978373</v>
      </c>
      <c r="U15" s="257">
        <f>Price!H15</f>
        <v>227438</v>
      </c>
      <c r="V15" s="13"/>
      <c r="W15" s="56"/>
      <c r="X15" s="57"/>
      <c r="Y15" s="57"/>
      <c r="Z15" s="24"/>
    </row>
    <row r="16" spans="1:26" x14ac:dyDescent="0.35">
      <c r="A16" s="76"/>
      <c r="B16" s="162"/>
      <c r="C16" s="162"/>
      <c r="D16" s="540"/>
      <c r="E16" s="77"/>
      <c r="F16" s="64"/>
      <c r="G16" s="64"/>
      <c r="H16" s="64"/>
      <c r="I16" s="162"/>
      <c r="J16" s="162"/>
      <c r="K16" s="20"/>
      <c r="L16" s="60" t="str">
        <f>Price!A16</f>
        <v>Bočnice N 500mm, hedvábně bílé</v>
      </c>
      <c r="M16" s="15" t="str">
        <f>Price!B16</f>
        <v>770N5002S</v>
      </c>
      <c r="N16" s="15" t="str">
        <f>Price!C16</f>
        <v>SW-M</v>
      </c>
      <c r="O16" s="537">
        <f>Price!D16</f>
        <v>0</v>
      </c>
      <c r="P16" s="16"/>
      <c r="Q16" s="17">
        <f>Price!F16</f>
        <v>19.201000000000001</v>
      </c>
      <c r="R16" s="323"/>
      <c r="S16" s="323"/>
      <c r="T16" s="12">
        <f>Price!G16</f>
        <v>9980005</v>
      </c>
      <c r="U16" s="257">
        <f>Price!H16</f>
        <v>227437</v>
      </c>
      <c r="V16" s="13"/>
      <c r="W16" s="58"/>
      <c r="X16" s="58"/>
      <c r="Y16" s="58"/>
      <c r="Z16" s="24"/>
    </row>
    <row r="17" spans="1:26" x14ac:dyDescent="0.35">
      <c r="A17" s="78"/>
      <c r="B17" s="163"/>
      <c r="C17" s="163"/>
      <c r="D17" s="541"/>
      <c r="E17" s="77"/>
      <c r="F17" s="66"/>
      <c r="G17" s="66"/>
      <c r="H17" s="66"/>
      <c r="I17" s="163"/>
      <c r="J17" s="163"/>
      <c r="K17" s="61"/>
      <c r="L17" s="60" t="str">
        <f>Price!A17</f>
        <v>Bočnice N 500mm, černé Terra</v>
      </c>
      <c r="M17" s="15" t="str">
        <f>Price!B17</f>
        <v>770N5002S</v>
      </c>
      <c r="N17" s="15" t="str">
        <f>Price!C17</f>
        <v>TS-M</v>
      </c>
      <c r="O17" s="537">
        <f>Price!D17</f>
        <v>0</v>
      </c>
      <c r="P17" s="16"/>
      <c r="Q17" s="17">
        <f>Price!F17</f>
        <v>19.201000000000001</v>
      </c>
      <c r="R17" s="323"/>
      <c r="S17" s="323"/>
      <c r="T17" s="12">
        <f>Price!G17</f>
        <v>9995392</v>
      </c>
      <c r="U17" s="257">
        <f>Price!H17</f>
        <v>227439</v>
      </c>
      <c r="V17" s="13"/>
      <c r="W17" s="58"/>
      <c r="X17" s="58"/>
      <c r="Y17" s="58"/>
      <c r="Z17" s="24"/>
    </row>
    <row r="18" spans="1:26" x14ac:dyDescent="0.35">
      <c r="A18" s="57"/>
      <c r="B18" s="162"/>
      <c r="C18" s="162"/>
      <c r="D18" s="540"/>
      <c r="E18" s="77"/>
      <c r="F18" s="64"/>
      <c r="G18" s="64"/>
      <c r="H18" s="64"/>
      <c r="I18" s="162"/>
      <c r="J18" s="162"/>
      <c r="K18" s="62"/>
      <c r="L18" s="60" t="str">
        <f>Price!A18</f>
        <v>Bočnice N 500mm, nerez</v>
      </c>
      <c r="M18" s="15" t="str">
        <f>Price!B18</f>
        <v>770N5002I</v>
      </c>
      <c r="N18" s="15" t="str">
        <f>Price!C18</f>
        <v>Inox</v>
      </c>
      <c r="O18" s="537" t="str">
        <f>Price!D18</f>
        <v>!</v>
      </c>
      <c r="P18" s="16"/>
      <c r="Q18" s="17">
        <f>Price!F18</f>
        <v>36.143830000000001</v>
      </c>
      <c r="R18" s="323"/>
      <c r="S18" s="323"/>
      <c r="T18" s="12">
        <f>Price!G18</f>
        <v>1181705</v>
      </c>
      <c r="U18" s="257">
        <f>Price!H18</f>
        <v>227440</v>
      </c>
      <c r="V18" s="13"/>
      <c r="W18" s="58"/>
      <c r="X18" s="58"/>
      <c r="Y18" s="58"/>
      <c r="Z18" s="24"/>
    </row>
    <row r="19" spans="1:26" ht="15" thickBot="1" x14ac:dyDescent="0.4">
      <c r="A19" s="85" t="str">
        <f>IF($C$2=1,L19,IF($C$2=2,L20,IF($C$2=3,L21,IF($C$2=4,L22,"  chyba"))))</f>
        <v>Bočnice M 270mm, Orion šedé</v>
      </c>
      <c r="B19" s="86" t="str">
        <f>IF($C$2=1,M19,IF($C$2=2,M20,IF($C$2=3,M21,IF($C$2=4,M22,"  chyba"))))</f>
        <v>770M2702S</v>
      </c>
      <c r="C19" s="86" t="str">
        <f>IF($C$2=1,N19,IF($C$2=2,N20,IF($C$2=3,N21,IF($C$2=4,N22,"  chyba"))))</f>
        <v>OG-M</v>
      </c>
      <c r="D19" s="86">
        <f>IF($C$2=1,O19,IF($C$2=2,O20,IF($C$2=3,O21,IF($C$2=4,O22,"  chyba"))))</f>
        <v>0</v>
      </c>
      <c r="E19" s="87"/>
      <c r="F19" s="88">
        <f>IF($C$2=1,Q19,IF($C$2=2,Q20,IF($C$2=3,Q21,IF($C$2=4,Q22,0))))*(100-$F$6)/100</f>
        <v>18.533550000000002</v>
      </c>
      <c r="G19" s="64"/>
      <c r="H19" s="64"/>
      <c r="I19" s="171">
        <f>IF($C$2=1,T19,IF($C$2=2,T20,IF($C$2=3,T21,IF($C$2=4,T22,"  chyba"))))</f>
        <v>8145106</v>
      </c>
      <c r="J19" s="171">
        <f>IF($C$2=1,U19,IF($C$2=2,U20,IF($C$2=3,U21,IF($C$2=4,U22,"  chyba"))))</f>
        <v>227442</v>
      </c>
      <c r="K19" s="20"/>
      <c r="L19" s="60" t="str">
        <f>Price!A19</f>
        <v>Bočnice M 270mm, Orion šedé</v>
      </c>
      <c r="M19" s="15" t="str">
        <f>Price!B19</f>
        <v>770M2702S</v>
      </c>
      <c r="N19" s="15" t="str">
        <f>Price!C19</f>
        <v>OG-M</v>
      </c>
      <c r="O19" s="537">
        <f>Price!D19</f>
        <v>0</v>
      </c>
      <c r="P19" s="16"/>
      <c r="Q19" s="17">
        <f>Price!F19</f>
        <v>18.533550000000002</v>
      </c>
      <c r="R19" s="323"/>
      <c r="S19" s="323"/>
      <c r="T19" s="12">
        <f>Price!G19</f>
        <v>8145106</v>
      </c>
      <c r="U19" s="257">
        <f>Price!H19</f>
        <v>227442</v>
      </c>
      <c r="V19" s="13"/>
      <c r="W19" s="58"/>
      <c r="X19" s="58"/>
      <c r="Y19" s="58"/>
      <c r="Z19" s="24"/>
    </row>
    <row r="20" spans="1:26" x14ac:dyDescent="0.35">
      <c r="A20" s="76"/>
      <c r="B20" s="162"/>
      <c r="C20" s="162"/>
      <c r="D20" s="540"/>
      <c r="E20" s="77"/>
      <c r="F20" s="64"/>
      <c r="G20" s="64"/>
      <c r="H20" s="64"/>
      <c r="I20" s="162"/>
      <c r="J20" s="162"/>
      <c r="K20" s="20"/>
      <c r="L20" s="60" t="str">
        <f>Price!A20</f>
        <v>Bočnice M 270mm, hedvábně bílé</v>
      </c>
      <c r="M20" s="15" t="str">
        <f>Price!B20</f>
        <v>770M2702S</v>
      </c>
      <c r="N20" s="15" t="str">
        <f>Price!C20</f>
        <v>SW-M</v>
      </c>
      <c r="O20" s="537">
        <f>Price!D20</f>
        <v>0</v>
      </c>
      <c r="P20" s="16"/>
      <c r="Q20" s="17">
        <f>Price!F20</f>
        <v>18.46576</v>
      </c>
      <c r="R20" s="323"/>
      <c r="S20" s="323"/>
      <c r="T20" s="12">
        <f>Price!G20</f>
        <v>8156603</v>
      </c>
      <c r="U20" s="257">
        <f>Price!H20</f>
        <v>227441</v>
      </c>
      <c r="V20" s="13"/>
      <c r="W20" s="58"/>
      <c r="X20" s="58"/>
      <c r="Y20" s="58"/>
      <c r="Z20" s="24"/>
    </row>
    <row r="21" spans="1:26" x14ac:dyDescent="0.35">
      <c r="A21" s="78"/>
      <c r="B21" s="163"/>
      <c r="C21" s="163"/>
      <c r="D21" s="541"/>
      <c r="E21" s="77"/>
      <c r="F21" s="66"/>
      <c r="G21" s="66"/>
      <c r="H21" s="66"/>
      <c r="I21" s="163"/>
      <c r="J21" s="163"/>
      <c r="K21" s="61"/>
      <c r="L21" s="60" t="str">
        <f>Price!A21</f>
        <v>Bočnice M 270mm, černé Terra</v>
      </c>
      <c r="M21" s="15" t="str">
        <f>Price!B21</f>
        <v>770M2702S</v>
      </c>
      <c r="N21" s="15" t="str">
        <f>Price!C21</f>
        <v>TS-M</v>
      </c>
      <c r="O21" s="537">
        <f>Price!D21</f>
        <v>0</v>
      </c>
      <c r="P21" s="16"/>
      <c r="Q21" s="17">
        <f>Price!F21</f>
        <v>18.533550000000002</v>
      </c>
      <c r="R21" s="323"/>
      <c r="S21" s="323"/>
      <c r="T21" s="12">
        <f>Price!G21</f>
        <v>8161028</v>
      </c>
      <c r="U21" s="257">
        <f>Price!H21</f>
        <v>227443</v>
      </c>
      <c r="V21" s="13"/>
      <c r="W21" s="58"/>
      <c r="X21" s="58"/>
      <c r="Y21" s="58"/>
      <c r="Z21" s="24"/>
    </row>
    <row r="22" spans="1:26" x14ac:dyDescent="0.35">
      <c r="A22" s="57"/>
      <c r="B22" s="162"/>
      <c r="C22" s="162"/>
      <c r="D22" s="540"/>
      <c r="E22" s="77"/>
      <c r="F22" s="64"/>
      <c r="G22" s="64"/>
      <c r="H22" s="64"/>
      <c r="I22" s="162"/>
      <c r="J22" s="162"/>
      <c r="K22" s="62"/>
      <c r="L22" s="60" t="str">
        <f>Price!A22</f>
        <v>Bočnice M 270mm, nerez</v>
      </c>
      <c r="M22" s="15" t="str">
        <f>Price!B22</f>
        <v>770M2702I</v>
      </c>
      <c r="N22" s="15" t="str">
        <f>Price!C22</f>
        <v>Inox</v>
      </c>
      <c r="O22" s="537" t="str">
        <f>Price!D22</f>
        <v>!</v>
      </c>
      <c r="P22" s="16"/>
      <c r="Q22" s="17">
        <f>Price!F22</f>
        <v>33.807659999999998</v>
      </c>
      <c r="R22" s="323"/>
      <c r="S22" s="323"/>
      <c r="T22" s="12">
        <f>Price!G22</f>
        <v>9847326</v>
      </c>
      <c r="U22" s="257">
        <f>Price!H22</f>
        <v>227444</v>
      </c>
      <c r="V22" s="13"/>
      <c r="W22" s="21"/>
      <c r="X22" s="23"/>
      <c r="Y22" s="23"/>
      <c r="Z22" s="24"/>
    </row>
    <row r="23" spans="1:26" ht="15" thickBot="1" x14ac:dyDescent="0.4">
      <c r="A23" s="85" t="str">
        <f>IF($C$2=1,L23,IF($C$2=2,L24,IF($C$2=3,L25,IF($C$2=4,L26,"  chyba"))))</f>
        <v>Bočnice M 300mm, Orion šedé</v>
      </c>
      <c r="B23" s="86" t="str">
        <f>IF($C$2=1,M23,IF($C$2=2,M24,IF($C$2=3,M25,IF($C$2=4,M26,"  chyba"))))</f>
        <v>770M3002S</v>
      </c>
      <c r="C23" s="86" t="str">
        <f>IF($C$2=1,N23,IF($C$2=2,N24,IF($C$2=3,N25,IF($C$2=4,N26,"  chyba"))))</f>
        <v>OG-M</v>
      </c>
      <c r="D23" s="86">
        <f>IF($C$2=1,O23,IF($C$2=2,O24,IF($C$2=3,O25,IF($C$2=4,O26,"  chyba"))))</f>
        <v>0</v>
      </c>
      <c r="E23" s="87"/>
      <c r="F23" s="88">
        <f>IF($C$2=1,Q23,IF($C$2=2,Q24,IF($C$2=3,Q25,IF($C$2=4,Q26,0))))*(100-$F$6)/100</f>
        <v>18.533550000000002</v>
      </c>
      <c r="G23" s="64"/>
      <c r="H23" s="64"/>
      <c r="I23" s="171">
        <f>IF($C$2=1,T23,IF($C$2=2,T24,IF($C$2=3,T25,IF($C$2=4,T26,"  chyba"))))</f>
        <v>8163892</v>
      </c>
      <c r="J23" s="171">
        <f>IF($C$2=1,U23,IF($C$2=2,U24,IF($C$2=3,U25,IF($C$2=4,U26,"  chyba"))))</f>
        <v>227446</v>
      </c>
      <c r="K23" s="20"/>
      <c r="L23" s="60" t="str">
        <f>Price!A23</f>
        <v>Bočnice M 300mm, Orion šedé</v>
      </c>
      <c r="M23" s="15" t="str">
        <f>Price!B23</f>
        <v>770M3002S</v>
      </c>
      <c r="N23" s="15" t="str">
        <f>Price!C23</f>
        <v>OG-M</v>
      </c>
      <c r="O23" s="537">
        <f>Price!D23</f>
        <v>0</v>
      </c>
      <c r="P23" s="16"/>
      <c r="Q23" s="17">
        <f>Price!F23</f>
        <v>18.533550000000002</v>
      </c>
      <c r="R23" s="323"/>
      <c r="S23" s="323"/>
      <c r="T23" s="12">
        <f>Price!G23</f>
        <v>8163892</v>
      </c>
      <c r="U23" s="257">
        <f>Price!H23</f>
        <v>227446</v>
      </c>
      <c r="V23" s="13"/>
      <c r="W23" s="13"/>
      <c r="X23" s="19"/>
      <c r="Y23" s="19"/>
    </row>
    <row r="24" spans="1:26" x14ac:dyDescent="0.35">
      <c r="A24" s="76"/>
      <c r="B24" s="162"/>
      <c r="C24" s="162"/>
      <c r="D24" s="540"/>
      <c r="E24" s="77"/>
      <c r="F24" s="64"/>
      <c r="G24" s="64"/>
      <c r="H24" s="64"/>
      <c r="I24" s="162"/>
      <c r="J24" s="162"/>
      <c r="K24" s="20"/>
      <c r="L24" s="60" t="str">
        <f>Price!A24</f>
        <v>Bočnice M 300mm, hedvábně bílé</v>
      </c>
      <c r="M24" s="15" t="str">
        <f>Price!B24</f>
        <v>770M3002S</v>
      </c>
      <c r="N24" s="15" t="str">
        <f>Price!C24</f>
        <v>SW-M</v>
      </c>
      <c r="O24" s="537">
        <f>Price!D24</f>
        <v>0</v>
      </c>
      <c r="P24" s="16"/>
      <c r="Q24" s="17">
        <f>Price!F24</f>
        <v>18.533550000000002</v>
      </c>
      <c r="R24" s="323"/>
      <c r="S24" s="323"/>
      <c r="T24" s="12">
        <f>Price!G24</f>
        <v>8169927</v>
      </c>
      <c r="U24" s="257">
        <f>Price!H24</f>
        <v>227445</v>
      </c>
      <c r="V24" s="13"/>
      <c r="W24" s="13"/>
      <c r="X24" s="19"/>
      <c r="Y24" s="19"/>
    </row>
    <row r="25" spans="1:26" x14ac:dyDescent="0.35">
      <c r="A25" s="78"/>
      <c r="B25" s="163"/>
      <c r="C25" s="163"/>
      <c r="D25" s="541"/>
      <c r="E25" s="77"/>
      <c r="F25" s="66"/>
      <c r="G25" s="66"/>
      <c r="H25" s="66"/>
      <c r="I25" s="163"/>
      <c r="J25" s="163"/>
      <c r="K25" s="61"/>
      <c r="L25" s="60" t="str">
        <f>Price!A25</f>
        <v>Bočnice M 300mm, černé Terra</v>
      </c>
      <c r="M25" s="15" t="str">
        <f>Price!B25</f>
        <v>770M3002S</v>
      </c>
      <c r="N25" s="15" t="str">
        <f>Price!C25</f>
        <v>TS-M</v>
      </c>
      <c r="O25" s="537">
        <f>Price!D25</f>
        <v>0</v>
      </c>
      <c r="P25" s="16"/>
      <c r="Q25" s="17">
        <f>Price!F25</f>
        <v>18.533550000000002</v>
      </c>
      <c r="R25" s="323"/>
      <c r="S25" s="323"/>
      <c r="T25" s="12">
        <f>Price!G25</f>
        <v>8217950</v>
      </c>
      <c r="U25" s="257">
        <f>Price!H25</f>
        <v>227447</v>
      </c>
      <c r="V25" s="13"/>
      <c r="W25" s="20"/>
      <c r="X25" s="19"/>
      <c r="Y25" s="19"/>
    </row>
    <row r="26" spans="1:26" x14ac:dyDescent="0.35">
      <c r="A26" s="57"/>
      <c r="B26" s="162"/>
      <c r="C26" s="162"/>
      <c r="D26" s="540"/>
      <c r="E26" s="77"/>
      <c r="F26" s="64"/>
      <c r="G26" s="64"/>
      <c r="H26" s="64"/>
      <c r="I26" s="162"/>
      <c r="J26" s="162"/>
      <c r="K26" s="62"/>
      <c r="L26" s="60" t="str">
        <f>Price!A26</f>
        <v>Bočnice M 300mm, nerez</v>
      </c>
      <c r="M26" s="15" t="str">
        <f>Price!B26</f>
        <v>770M3002I</v>
      </c>
      <c r="N26" s="15" t="str">
        <f>Price!C26</f>
        <v>Inox</v>
      </c>
      <c r="O26" s="537" t="str">
        <f>Price!D26</f>
        <v>!</v>
      </c>
      <c r="P26" s="16"/>
      <c r="Q26" s="17">
        <f>Price!F26</f>
        <v>33.807659999999998</v>
      </c>
      <c r="R26" s="323"/>
      <c r="S26" s="323"/>
      <c r="T26" s="12">
        <f>Price!G26</f>
        <v>9861747</v>
      </c>
      <c r="U26" s="257">
        <f>Price!H26</f>
        <v>227448</v>
      </c>
      <c r="V26" s="13"/>
      <c r="W26" s="13"/>
      <c r="X26" s="19"/>
      <c r="Y26" s="19"/>
    </row>
    <row r="27" spans="1:26" ht="15" thickBot="1" x14ac:dyDescent="0.4">
      <c r="A27" s="85" t="str">
        <f>IF($C$2=1,L27,IF($C$2=2,L28,IF($C$2=3,L29,IF($C$2=4,L30,"  chyba"))))</f>
        <v>Bočnice M 350mm, Orion šedé</v>
      </c>
      <c r="B27" s="86" t="str">
        <f>IF($C$2=1,M27,IF($C$2=2,M28,IF($C$2=3,M29,IF($C$2=4,M30,"  chyba"))))</f>
        <v>770M3502S</v>
      </c>
      <c r="C27" s="86" t="str">
        <f>IF($C$2=1,N27,IF($C$2=2,N28,IF($C$2=3,N29,IF($C$2=4,N30,"  chyba"))))</f>
        <v>OG-M</v>
      </c>
      <c r="D27" s="86">
        <f>IF($C$2=1,O27,IF($C$2=2,O28,IF($C$2=3,O29,IF($C$2=4,O30,"  chyba"))))</f>
        <v>0</v>
      </c>
      <c r="E27" s="87"/>
      <c r="F27" s="88">
        <f>IF($C$2=1,Q27,IF($C$2=2,Q28,IF($C$2=3,Q29,IF($C$2=4,Q30,0))))*(100-$F$6)/100</f>
        <v>18.533550000000002</v>
      </c>
      <c r="G27" s="64"/>
      <c r="H27" s="64"/>
      <c r="I27" s="171">
        <f>IF($C$2=1,T27,IF($C$2=2,T28,IF($C$2=3,T29,IF($C$2=4,T30,"  chyba"))))</f>
        <v>8232508</v>
      </c>
      <c r="J27" s="171">
        <f>IF($C$2=1,U27,IF($C$2=2,U28,IF($C$2=3,U29,IF($C$2=4,U30,"  chyba"))))</f>
        <v>227450</v>
      </c>
      <c r="K27" s="20"/>
      <c r="L27" s="60" t="str">
        <f>Price!A27</f>
        <v>Bočnice M 350mm, Orion šedé</v>
      </c>
      <c r="M27" s="15" t="str">
        <f>Price!B27</f>
        <v>770M3502S</v>
      </c>
      <c r="N27" s="15" t="str">
        <f>Price!C27</f>
        <v>OG-M</v>
      </c>
      <c r="O27" s="537">
        <f>Price!D27</f>
        <v>0</v>
      </c>
      <c r="P27" s="16"/>
      <c r="Q27" s="17">
        <f>Price!F27</f>
        <v>18.533550000000002</v>
      </c>
      <c r="R27" s="323"/>
      <c r="S27" s="323"/>
      <c r="T27" s="12">
        <f>Price!G27</f>
        <v>8232508</v>
      </c>
      <c r="U27" s="257">
        <f>Price!H27</f>
        <v>227450</v>
      </c>
      <c r="V27" s="13"/>
      <c r="W27" s="13"/>
      <c r="X27" s="19"/>
      <c r="Y27" s="19"/>
    </row>
    <row r="28" spans="1:26" x14ac:dyDescent="0.35">
      <c r="A28" s="76"/>
      <c r="B28" s="162"/>
      <c r="C28" s="162"/>
      <c r="D28" s="540"/>
      <c r="E28" s="77"/>
      <c r="F28" s="64"/>
      <c r="G28" s="64"/>
      <c r="H28" s="64"/>
      <c r="I28" s="162"/>
      <c r="J28" s="162"/>
      <c r="K28" s="20"/>
      <c r="L28" s="60" t="str">
        <f>Price!A28</f>
        <v>Bočnice M 350mm, hedvábně bílé</v>
      </c>
      <c r="M28" s="15" t="str">
        <f>Price!B28</f>
        <v>770M3502S</v>
      </c>
      <c r="N28" s="15" t="str">
        <f>Price!C28</f>
        <v>SW-M</v>
      </c>
      <c r="O28" s="537">
        <f>Price!D28</f>
        <v>0</v>
      </c>
      <c r="P28" s="16"/>
      <c r="Q28" s="17">
        <f>Price!F28</f>
        <v>18.533550000000002</v>
      </c>
      <c r="R28" s="323"/>
      <c r="S28" s="323"/>
      <c r="T28" s="12">
        <f>Price!G28</f>
        <v>8292779</v>
      </c>
      <c r="U28" s="257">
        <f>Price!H28</f>
        <v>227449</v>
      </c>
      <c r="V28" s="13"/>
      <c r="W28" s="13"/>
      <c r="X28" s="19"/>
      <c r="Y28" s="19"/>
    </row>
    <row r="29" spans="1:26" x14ac:dyDescent="0.35">
      <c r="A29" s="78"/>
      <c r="B29" s="163"/>
      <c r="C29" s="163"/>
      <c r="D29" s="541"/>
      <c r="E29" s="77"/>
      <c r="F29" s="66"/>
      <c r="G29" s="66"/>
      <c r="H29" s="66"/>
      <c r="I29" s="163"/>
      <c r="J29" s="163"/>
      <c r="K29" s="61"/>
      <c r="L29" s="60" t="str">
        <f>Price!A29</f>
        <v>Bočnice M 350mm, černé Terra</v>
      </c>
      <c r="M29" s="15" t="str">
        <f>Price!B29</f>
        <v>770M3502S</v>
      </c>
      <c r="N29" s="15" t="str">
        <f>Price!C29</f>
        <v>TS-M</v>
      </c>
      <c r="O29" s="537">
        <f>Price!D29</f>
        <v>0</v>
      </c>
      <c r="P29" s="16"/>
      <c r="Q29" s="17">
        <f>Price!F29</f>
        <v>18.533550000000002</v>
      </c>
      <c r="R29" s="323"/>
      <c r="S29" s="323"/>
      <c r="T29" s="12">
        <f>Price!G29</f>
        <v>8345870</v>
      </c>
      <c r="U29" s="257">
        <f>Price!H29</f>
        <v>227451</v>
      </c>
      <c r="V29" s="13"/>
      <c r="W29" s="13"/>
      <c r="X29" s="19"/>
      <c r="Y29" s="19"/>
    </row>
    <row r="30" spans="1:26" x14ac:dyDescent="0.35">
      <c r="A30" s="57"/>
      <c r="B30" s="162"/>
      <c r="C30" s="162"/>
      <c r="D30" s="540"/>
      <c r="E30" s="77"/>
      <c r="F30" s="64"/>
      <c r="G30" s="64"/>
      <c r="H30" s="64"/>
      <c r="I30" s="162"/>
      <c r="J30" s="162"/>
      <c r="K30" s="62"/>
      <c r="L30" s="60" t="str">
        <f>Price!A30</f>
        <v>Bočnice M 350mm, nerez</v>
      </c>
      <c r="M30" s="15" t="str">
        <f>Price!B30</f>
        <v>770M3502I</v>
      </c>
      <c r="N30" s="15" t="str">
        <f>Price!C30</f>
        <v>Inox</v>
      </c>
      <c r="O30" s="537" t="str">
        <f>Price!D30</f>
        <v>!</v>
      </c>
      <c r="P30" s="16"/>
      <c r="Q30" s="17">
        <f>Price!F30</f>
        <v>33.807659999999998</v>
      </c>
      <c r="R30" s="323"/>
      <c r="S30" s="323"/>
      <c r="T30" s="12">
        <f>Price!G30</f>
        <v>9900227</v>
      </c>
      <c r="U30" s="257">
        <f>Price!H30</f>
        <v>227452</v>
      </c>
      <c r="V30" s="13"/>
      <c r="W30" s="13"/>
      <c r="X30" s="19"/>
      <c r="Y30" s="19"/>
    </row>
    <row r="31" spans="1:26" ht="15" thickBot="1" x14ac:dyDescent="0.4">
      <c r="A31" s="85" t="str">
        <f>IF($C$2=1,L31,IF($C$2=2,L32,IF($C$2=3,L33,IF($C$2=4,L34,"  chyba"))))</f>
        <v>Bočnice M 400mm, Orion šedé</v>
      </c>
      <c r="B31" s="86" t="str">
        <f>IF($C$2=1,M31,IF($C$2=2,M32,IF($C$2=3,M33,IF($C$2=4,M34,"  chyba"))))</f>
        <v>770M4002S</v>
      </c>
      <c r="C31" s="86" t="str">
        <f>IF($C$2=1,N31,IF($C$2=2,N32,IF($C$2=3,N33,IF($C$2=4,N34,"  chyba"))))</f>
        <v>OG-M</v>
      </c>
      <c r="D31" s="86">
        <f>IF($C$2=1,O31,IF($C$2=2,O32,IF($C$2=3,O33,IF($C$2=4,O34,"  chyba"))))</f>
        <v>0</v>
      </c>
      <c r="E31" s="87"/>
      <c r="F31" s="88">
        <f>IF($C$2=1,Q31,IF($C$2=2,Q32,IF($C$2=3,Q33,IF($C$2=4,Q34,0))))*(100-$F$6)/100</f>
        <v>18.75609</v>
      </c>
      <c r="G31" s="64"/>
      <c r="H31" s="64"/>
      <c r="I31" s="171">
        <f>IF($C$2=1,T31,IF($C$2=2,T32,IF($C$2=3,T33,IF($C$2=4,T34,"  chyba"))))</f>
        <v>8385764</v>
      </c>
      <c r="J31" s="171">
        <f>IF($C$2=1,U31,IF($C$2=2,U32,IF($C$2=3,U33,IF($C$2=4,U34,"  chyba"))))</f>
        <v>227454</v>
      </c>
      <c r="K31" s="20"/>
      <c r="L31" s="60" t="str">
        <f>Price!A31</f>
        <v>Bočnice M 400mm, Orion šedé</v>
      </c>
      <c r="M31" s="15" t="str">
        <f>Price!B31</f>
        <v>770M4002S</v>
      </c>
      <c r="N31" s="15" t="str">
        <f>Price!C31</f>
        <v>OG-M</v>
      </c>
      <c r="O31" s="537">
        <f>Price!D31</f>
        <v>0</v>
      </c>
      <c r="P31" s="16"/>
      <c r="Q31" s="17">
        <f>Price!F31</f>
        <v>18.75609</v>
      </c>
      <c r="R31" s="323"/>
      <c r="S31" s="323"/>
      <c r="T31" s="12">
        <f>Price!G31</f>
        <v>8385764</v>
      </c>
      <c r="U31" s="257">
        <f>Price!H31</f>
        <v>227454</v>
      </c>
      <c r="V31" s="13"/>
      <c r="W31" s="13"/>
      <c r="X31" s="19"/>
      <c r="Y31" s="19"/>
    </row>
    <row r="32" spans="1:26" x14ac:dyDescent="0.35">
      <c r="A32" s="76"/>
      <c r="B32" s="162"/>
      <c r="C32" s="162"/>
      <c r="D32" s="540"/>
      <c r="E32" s="77"/>
      <c r="F32" s="64"/>
      <c r="G32" s="64"/>
      <c r="H32" s="64"/>
      <c r="I32" s="64"/>
      <c r="J32" s="64"/>
      <c r="K32" s="20"/>
      <c r="L32" s="60" t="str">
        <f>Price!A32</f>
        <v>Bočnice M 400mm, hedvábně bílé</v>
      </c>
      <c r="M32" s="15" t="str">
        <f>Price!B32</f>
        <v>770M4002S</v>
      </c>
      <c r="N32" s="15" t="str">
        <f>Price!C32</f>
        <v>SW-M</v>
      </c>
      <c r="O32" s="537">
        <f>Price!D32</f>
        <v>0</v>
      </c>
      <c r="P32" s="16"/>
      <c r="Q32" s="17">
        <f>Price!F32</f>
        <v>18.687480000000001</v>
      </c>
      <c r="R32" s="323"/>
      <c r="S32" s="323"/>
      <c r="T32" s="12">
        <f>Price!G32</f>
        <v>8395424</v>
      </c>
      <c r="U32" s="257">
        <f>Price!H32</f>
        <v>227453</v>
      </c>
      <c r="V32" s="13"/>
      <c r="W32" s="13"/>
      <c r="X32" s="19"/>
      <c r="Y32" s="19"/>
    </row>
    <row r="33" spans="1:25" x14ac:dyDescent="0.35">
      <c r="A33" s="78"/>
      <c r="B33" s="163"/>
      <c r="C33" s="163"/>
      <c r="D33" s="541"/>
      <c r="E33" s="77"/>
      <c r="F33" s="66"/>
      <c r="G33" s="66"/>
      <c r="H33" s="66"/>
      <c r="I33" s="66"/>
      <c r="J33" s="66"/>
      <c r="K33" s="61"/>
      <c r="L33" s="60" t="str">
        <f>Price!A33</f>
        <v>Bočnice M 400mm, černé Terra</v>
      </c>
      <c r="M33" s="15" t="str">
        <f>Price!B33</f>
        <v>770M4002S</v>
      </c>
      <c r="N33" s="15" t="str">
        <f>Price!C33</f>
        <v>TS-M</v>
      </c>
      <c r="O33" s="537">
        <f>Price!D33</f>
        <v>0</v>
      </c>
      <c r="P33" s="16"/>
      <c r="Q33" s="17">
        <f>Price!F33</f>
        <v>18.75609</v>
      </c>
      <c r="R33" s="323"/>
      <c r="S33" s="323"/>
      <c r="T33" s="12">
        <f>Price!G33</f>
        <v>8401192</v>
      </c>
      <c r="U33" s="257">
        <f>Price!H33</f>
        <v>227455</v>
      </c>
      <c r="V33" s="13"/>
      <c r="W33" s="13"/>
      <c r="X33" s="19"/>
      <c r="Y33" s="19"/>
    </row>
    <row r="34" spans="1:25" x14ac:dyDescent="0.35">
      <c r="A34" s="57"/>
      <c r="B34" s="162"/>
      <c r="C34" s="162"/>
      <c r="D34" s="540"/>
      <c r="E34" s="77"/>
      <c r="F34" s="64"/>
      <c r="G34" s="64"/>
      <c r="H34" s="64"/>
      <c r="I34" s="64"/>
      <c r="J34" s="64"/>
      <c r="K34" s="62"/>
      <c r="L34" s="60" t="str">
        <f>Price!A34</f>
        <v>Bočnice M 400mm, nerez</v>
      </c>
      <c r="M34" s="15" t="str">
        <f>Price!B34</f>
        <v>770M4002I</v>
      </c>
      <c r="N34" s="15" t="str">
        <f>Price!C34</f>
        <v>Inox</v>
      </c>
      <c r="O34" s="537" t="str">
        <f>Price!D34</f>
        <v>!</v>
      </c>
      <c r="P34" s="16"/>
      <c r="Q34" s="17">
        <f>Price!F34</f>
        <v>34.586379999999998</v>
      </c>
      <c r="R34" s="323"/>
      <c r="S34" s="323"/>
      <c r="T34" s="12">
        <f>Price!G34</f>
        <v>9901658</v>
      </c>
      <c r="U34" s="257">
        <f>Price!H34</f>
        <v>227456</v>
      </c>
      <c r="V34" s="13"/>
      <c r="W34" s="13"/>
      <c r="X34" s="19"/>
      <c r="Y34" s="19"/>
    </row>
    <row r="35" spans="1:25" ht="15" thickBot="1" x14ac:dyDescent="0.4">
      <c r="A35" s="85" t="str">
        <f>IF($C$2=1,L35,IF($C$2=2,L36,IF($C$2=3,L37,IF($C$2=4,L38,"  chyba"))))</f>
        <v>Bočnice M 450mm, Orion šedé</v>
      </c>
      <c r="B35" s="86" t="str">
        <f>IF($C$2=1,M35,IF($C$2=2,M36,IF($C$2=3,M37,IF($C$2=4,M38,"  chyba"))))</f>
        <v>770M4502S</v>
      </c>
      <c r="C35" s="86" t="str">
        <f>IF($C$2=1,N35,IF($C$2=2,N36,IF($C$2=3,N37,IF($C$2=4,N38,"  chyba"))))</f>
        <v>OG-M</v>
      </c>
      <c r="D35" s="86">
        <f>IF($C$2=1,O35,IF($C$2=2,O36,IF($C$2=3,O37,IF($C$2=4,O38,"  chyba"))))</f>
        <v>0</v>
      </c>
      <c r="E35" s="87"/>
      <c r="F35" s="88">
        <f>IF($C$2=1,Q35,IF($C$2=2,Q36,IF($C$2=3,Q37,IF($C$2=4,Q38,0))))*(100-$F$6)/100</f>
        <v>19.977319999999999</v>
      </c>
      <c r="G35" s="64"/>
      <c r="H35" s="64"/>
      <c r="I35" s="171">
        <f>IF($C$2=1,T35,IF($C$2=2,T36,IF($C$2=3,T37,IF($C$2=4,T38,"  chyba"))))</f>
        <v>8435320</v>
      </c>
      <c r="J35" s="171">
        <f>IF($C$2=1,U35,IF($C$2=2,U36,IF($C$2=3,U37,IF($C$2=4,U38,"  chyba"))))</f>
        <v>227458</v>
      </c>
      <c r="K35" s="20"/>
      <c r="L35" s="60" t="str">
        <f>Price!A35</f>
        <v>Bočnice M 450mm, Orion šedé</v>
      </c>
      <c r="M35" s="15" t="str">
        <f>Price!B35</f>
        <v>770M4502S</v>
      </c>
      <c r="N35" s="15" t="str">
        <f>Price!C35</f>
        <v>OG-M</v>
      </c>
      <c r="O35" s="537">
        <f>Price!D35</f>
        <v>0</v>
      </c>
      <c r="P35" s="16"/>
      <c r="Q35" s="17">
        <f>Price!F35</f>
        <v>19.977319999999999</v>
      </c>
      <c r="R35" s="323"/>
      <c r="S35" s="323"/>
      <c r="T35" s="12">
        <f>Price!G35</f>
        <v>8435320</v>
      </c>
      <c r="U35" s="257">
        <f>Price!H35</f>
        <v>227458</v>
      </c>
      <c r="V35" s="13"/>
      <c r="W35" s="13"/>
      <c r="X35" s="19"/>
      <c r="Y35" s="19"/>
    </row>
    <row r="36" spans="1:25" x14ac:dyDescent="0.35">
      <c r="A36" s="76"/>
      <c r="B36" s="162"/>
      <c r="C36" s="162"/>
      <c r="D36" s="540"/>
      <c r="E36" s="77"/>
      <c r="F36" s="64"/>
      <c r="G36" s="64"/>
      <c r="H36" s="64"/>
      <c r="I36" s="64"/>
      <c r="J36" s="64"/>
      <c r="K36" s="20"/>
      <c r="L36" s="60" t="str">
        <f>Price!A36</f>
        <v>Bočnice M 450mm, hedvábně bílé</v>
      </c>
      <c r="M36" s="15" t="str">
        <f>Price!B36</f>
        <v>770M4502S</v>
      </c>
      <c r="N36" s="15" t="str">
        <f>Price!C36</f>
        <v>SW-M</v>
      </c>
      <c r="O36" s="537">
        <f>Price!D36</f>
        <v>0</v>
      </c>
      <c r="P36" s="16"/>
      <c r="Q36" s="17">
        <f>Price!F36</f>
        <v>19.977319999999999</v>
      </c>
      <c r="R36" s="323"/>
      <c r="S36" s="323"/>
      <c r="T36" s="12">
        <f>Price!G36</f>
        <v>8441668</v>
      </c>
      <c r="U36" s="257">
        <f>Price!H36</f>
        <v>227457</v>
      </c>
      <c r="V36" s="13"/>
      <c r="W36" s="13"/>
      <c r="X36" s="19"/>
      <c r="Y36" s="19"/>
    </row>
    <row r="37" spans="1:25" x14ac:dyDescent="0.35">
      <c r="A37" s="79"/>
      <c r="B37" s="164"/>
      <c r="C37" s="164"/>
      <c r="D37" s="542"/>
      <c r="E37" s="77"/>
      <c r="F37" s="64"/>
      <c r="G37" s="64"/>
      <c r="H37" s="64"/>
      <c r="I37" s="64"/>
      <c r="J37" s="64"/>
      <c r="K37" s="63"/>
      <c r="L37" s="60" t="str">
        <f>Price!A37</f>
        <v>Bočnice M 450mm, černé Terra</v>
      </c>
      <c r="M37" s="15" t="str">
        <f>Price!B37</f>
        <v>770M4502S</v>
      </c>
      <c r="N37" s="15" t="str">
        <f>Price!C37</f>
        <v>TS-M</v>
      </c>
      <c r="O37" s="537">
        <f>Price!D37</f>
        <v>0</v>
      </c>
      <c r="P37" s="16"/>
      <c r="Q37" s="17">
        <f>Price!F37</f>
        <v>19.977319999999999</v>
      </c>
      <c r="R37" s="323"/>
      <c r="S37" s="323"/>
      <c r="T37" s="12">
        <f>Price!G37</f>
        <v>8463442</v>
      </c>
      <c r="U37" s="257">
        <f>Price!H37</f>
        <v>227459</v>
      </c>
      <c r="V37" s="13"/>
      <c r="W37" s="13"/>
      <c r="X37" s="19"/>
      <c r="Y37" s="19"/>
    </row>
    <row r="38" spans="1:25" x14ac:dyDescent="0.35">
      <c r="A38" s="57"/>
      <c r="B38" s="162"/>
      <c r="C38" s="162"/>
      <c r="D38" s="540"/>
      <c r="E38" s="77"/>
      <c r="F38" s="64"/>
      <c r="G38" s="64"/>
      <c r="H38" s="64"/>
      <c r="I38" s="64"/>
      <c r="J38" s="64"/>
      <c r="K38" s="62"/>
      <c r="L38" s="60" t="str">
        <f>Price!A38</f>
        <v>Bočnice M 450mm, nerez</v>
      </c>
      <c r="M38" s="15" t="str">
        <f>Price!B38</f>
        <v>770M4502I</v>
      </c>
      <c r="N38" s="15" t="str">
        <f>Price!C38</f>
        <v>Inox</v>
      </c>
      <c r="O38" s="537" t="str">
        <f>Price!D38</f>
        <v>!</v>
      </c>
      <c r="P38" s="16"/>
      <c r="Q38" s="17">
        <f>Price!F38</f>
        <v>35.365110000000001</v>
      </c>
      <c r="R38" s="323"/>
      <c r="S38" s="323"/>
      <c r="T38" s="12">
        <f>Price!G38</f>
        <v>9904142</v>
      </c>
      <c r="U38" s="257">
        <f>Price!H38</f>
        <v>227460</v>
      </c>
      <c r="V38" s="13"/>
      <c r="W38" s="13"/>
      <c r="X38" s="19"/>
      <c r="Y38" s="19"/>
    </row>
    <row r="39" spans="1:25" ht="15" thickBot="1" x14ac:dyDescent="0.4">
      <c r="A39" s="85" t="str">
        <f>IF($C$2=1,L39,IF($C$2=2,L40,IF($C$2=3,L41,IF($C$2=4,L42,"  chyba"))))</f>
        <v>Bočnice M 500mm, Orion šedé</v>
      </c>
      <c r="B39" s="86" t="str">
        <f>IF($C$2=1,M39,IF($C$2=2,M40,IF($C$2=3,M41,IF($C$2=4,M42,"  chyba"))))</f>
        <v>770M5002S</v>
      </c>
      <c r="C39" s="86" t="str">
        <f>IF($C$2=1,N39,IF($C$2=2,N40,IF($C$2=3,N41,IF($C$2=4,N42,"  chyba"))))</f>
        <v>OG-M</v>
      </c>
      <c r="D39" s="86">
        <f>IF($C$2=1,O39,IF($C$2=2,O40,IF($C$2=3,O41,IF($C$2=4,O42,"  chyba"))))</f>
        <v>0</v>
      </c>
      <c r="E39" s="87"/>
      <c r="F39" s="88">
        <f>IF($C$2=1,Q39,IF($C$2=2,Q40,IF($C$2=3,Q41,IF($C$2=4,Q42,0))))*(100-$F$6)/100</f>
        <v>20.211580000000001</v>
      </c>
      <c r="G39" s="64"/>
      <c r="H39" s="64"/>
      <c r="I39" s="171">
        <f>IF($C$2=1,T39,IF($C$2=2,T40,IF($C$2=3,T41,IF($C$2=4,T42,"  chyba"))))</f>
        <v>8477460</v>
      </c>
      <c r="J39" s="171">
        <f>IF($C$2=1,U39,IF($C$2=2,U40,IF($C$2=3,U41,IF($C$2=4,U42,"  chyba"))))</f>
        <v>227462</v>
      </c>
      <c r="K39" s="62"/>
      <c r="L39" s="60" t="str">
        <f>Price!A39</f>
        <v>Bočnice M 500mm, Orion šedé</v>
      </c>
      <c r="M39" s="15" t="str">
        <f>Price!B39</f>
        <v>770M5002S</v>
      </c>
      <c r="N39" s="15" t="str">
        <f>Price!C39</f>
        <v>OG-M</v>
      </c>
      <c r="O39" s="537">
        <f>Price!D39</f>
        <v>0</v>
      </c>
      <c r="P39" s="16"/>
      <c r="Q39" s="17">
        <f>Price!F39</f>
        <v>20.211580000000001</v>
      </c>
      <c r="R39" s="323"/>
      <c r="S39" s="323"/>
      <c r="T39" s="12">
        <f>Price!G39</f>
        <v>8477460</v>
      </c>
      <c r="U39" s="257">
        <f>Price!H39</f>
        <v>227462</v>
      </c>
      <c r="V39" s="13"/>
      <c r="W39" s="13"/>
      <c r="X39" s="19"/>
      <c r="Y39" s="19"/>
    </row>
    <row r="40" spans="1:25" x14ac:dyDescent="0.35">
      <c r="A40" s="80"/>
      <c r="B40" s="162"/>
      <c r="C40" s="162"/>
      <c r="D40" s="540"/>
      <c r="E40" s="77"/>
      <c r="F40" s="64"/>
      <c r="G40" s="64"/>
      <c r="H40" s="64"/>
      <c r="I40" s="64"/>
      <c r="J40" s="64"/>
      <c r="K40" s="20"/>
      <c r="L40" s="60" t="str">
        <f>Price!A40</f>
        <v>Bočnice M 500mm, hedvábně bílé</v>
      </c>
      <c r="M40" s="15" t="str">
        <f>Price!B40</f>
        <v>770M5002S</v>
      </c>
      <c r="N40" s="15" t="str">
        <f>Price!C40</f>
        <v>SW-M</v>
      </c>
      <c r="O40" s="537">
        <f>Price!D40</f>
        <v>0</v>
      </c>
      <c r="P40" s="16"/>
      <c r="Q40" s="17">
        <f>Price!F40</f>
        <v>19.130739999999999</v>
      </c>
      <c r="R40" s="323"/>
      <c r="S40" s="323"/>
      <c r="T40" s="12">
        <f>Price!G40</f>
        <v>8505699</v>
      </c>
      <c r="U40" s="257">
        <f>Price!H40</f>
        <v>227461</v>
      </c>
      <c r="V40" s="13"/>
      <c r="W40" s="13"/>
      <c r="X40" s="19"/>
      <c r="Y40" s="19"/>
    </row>
    <row r="41" spans="1:25" x14ac:dyDescent="0.35">
      <c r="A41" s="80"/>
      <c r="B41" s="162"/>
      <c r="C41" s="162"/>
      <c r="D41" s="540"/>
      <c r="E41" s="77"/>
      <c r="F41" s="64"/>
      <c r="G41" s="64"/>
      <c r="H41" s="64"/>
      <c r="I41" s="64"/>
      <c r="J41" s="64"/>
      <c r="K41" s="20"/>
      <c r="L41" s="60" t="str">
        <f>Price!A41</f>
        <v>Bočnice M 500mm, černé Terra</v>
      </c>
      <c r="M41" s="15" t="str">
        <f>Price!B41</f>
        <v>770M5002S</v>
      </c>
      <c r="N41" s="15" t="str">
        <f>Price!C41</f>
        <v>TS-M</v>
      </c>
      <c r="O41" s="537">
        <f>Price!D41</f>
        <v>0</v>
      </c>
      <c r="P41" s="16"/>
      <c r="Q41" s="17">
        <f>Price!F41</f>
        <v>20.211580000000001</v>
      </c>
      <c r="R41" s="323"/>
      <c r="S41" s="323"/>
      <c r="T41" s="12">
        <f>Price!G41</f>
        <v>8577103</v>
      </c>
      <c r="U41" s="257">
        <f>Price!H41</f>
        <v>227463</v>
      </c>
      <c r="V41" s="13"/>
      <c r="W41" s="13"/>
      <c r="X41" s="19"/>
      <c r="Y41" s="19"/>
    </row>
    <row r="42" spans="1:25" x14ac:dyDescent="0.35">
      <c r="A42" s="80"/>
      <c r="B42" s="162"/>
      <c r="C42" s="162"/>
      <c r="D42" s="540"/>
      <c r="E42" s="77"/>
      <c r="F42" s="64"/>
      <c r="G42" s="64"/>
      <c r="H42" s="64"/>
      <c r="I42" s="64"/>
      <c r="J42" s="64"/>
      <c r="K42" s="20"/>
      <c r="L42" s="60" t="str">
        <f>Price!A42</f>
        <v>Bočnice M 500mm, nerez</v>
      </c>
      <c r="M42" s="15" t="str">
        <f>Price!B42</f>
        <v>770M5002I</v>
      </c>
      <c r="N42" s="15" t="str">
        <f>Price!C42</f>
        <v>Inox</v>
      </c>
      <c r="O42" s="537" t="str">
        <f>Price!D42</f>
        <v>!</v>
      </c>
      <c r="P42" s="16"/>
      <c r="Q42" s="17">
        <f>Price!F42</f>
        <v>36.143830000000001</v>
      </c>
      <c r="R42" s="323"/>
      <c r="S42" s="323"/>
      <c r="T42" s="12">
        <f>Price!G42</f>
        <v>9913559</v>
      </c>
      <c r="U42" s="257">
        <f>Price!H42</f>
        <v>227464</v>
      </c>
      <c r="V42" s="13"/>
      <c r="W42" s="13"/>
      <c r="X42" s="19"/>
      <c r="Y42" s="19"/>
    </row>
    <row r="43" spans="1:25" ht="15" thickBot="1" x14ac:dyDescent="0.4">
      <c r="A43" s="85" t="str">
        <f>IF($C$2=1,L43,IF($C$2=2,L44,IF($C$2=3,L45,IF($C$2=4,L46,"  chyba"))))</f>
        <v>Bočnice M 550mm, Orion šedé</v>
      </c>
      <c r="B43" s="86" t="str">
        <f>IF($C$2=1,M43,IF($C$2=2,M44,IF($C$2=3,M45,IF($C$2=4,M46,"  chyba"))))</f>
        <v>770M5502S</v>
      </c>
      <c r="C43" s="86" t="str">
        <f>IF($C$2=1,N43,IF($C$2=2,N44,IF($C$2=3,N45,IF($C$2=4,N46,"  chyba"))))</f>
        <v>OG-M</v>
      </c>
      <c r="D43" s="86">
        <f>IF($C$2=1,O43,IF($C$2=2,O44,IF($C$2=3,O45,IF($C$2=4,O46,"  chyba"))))</f>
        <v>0</v>
      </c>
      <c r="E43" s="87"/>
      <c r="F43" s="88">
        <f>IF($C$2=1,Q43,IF($C$2=2,Q44,IF($C$2=3,Q45,IF($C$2=4,Q46,0))))*(100-$F$6)/100</f>
        <v>20.980989999999998</v>
      </c>
      <c r="G43" s="64"/>
      <c r="H43" s="64"/>
      <c r="I43" s="171">
        <f>IF($C$2=1,T43,IF($C$2=2,T44,IF($C$2=3,T45,IF($C$2=4,T46,"  chyba"))))</f>
        <v>8616258</v>
      </c>
      <c r="J43" s="171">
        <f>IF($C$2=1,U43,IF($C$2=2,U44,IF($C$2=3,U45,IF($C$2=4,U46,"  chyba"))))</f>
        <v>227466</v>
      </c>
      <c r="K43" s="20"/>
      <c r="L43" s="60" t="str">
        <f>Price!A43</f>
        <v>Bočnice M 550mm, Orion šedé</v>
      </c>
      <c r="M43" s="15" t="str">
        <f>Price!B43</f>
        <v>770M5502S</v>
      </c>
      <c r="N43" s="15" t="str">
        <f>Price!C43</f>
        <v>OG-M</v>
      </c>
      <c r="O43" s="537">
        <f>Price!D43</f>
        <v>0</v>
      </c>
      <c r="P43" s="16"/>
      <c r="Q43" s="17">
        <f>Price!F43</f>
        <v>20.980989999999998</v>
      </c>
      <c r="R43" s="323"/>
      <c r="S43" s="323"/>
      <c r="T43" s="12">
        <f>Price!G43</f>
        <v>8616258</v>
      </c>
      <c r="U43" s="257">
        <f>Price!H43</f>
        <v>227466</v>
      </c>
      <c r="V43" s="13"/>
      <c r="W43" s="13"/>
      <c r="X43" s="19"/>
      <c r="Y43" s="19"/>
    </row>
    <row r="44" spans="1:25" x14ac:dyDescent="0.35">
      <c r="A44" s="80"/>
      <c r="B44" s="162"/>
      <c r="C44" s="162"/>
      <c r="D44" s="540"/>
      <c r="E44" s="77"/>
      <c r="F44" s="64"/>
      <c r="G44" s="64"/>
      <c r="H44" s="64"/>
      <c r="I44" s="64"/>
      <c r="J44" s="64"/>
      <c r="K44" s="20"/>
      <c r="L44" s="60" t="str">
        <f>Price!A44</f>
        <v>Bočnice M 550mm, hedvábně bílé</v>
      </c>
      <c r="M44" s="15" t="str">
        <f>Price!B44</f>
        <v>770M5502S</v>
      </c>
      <c r="N44" s="15" t="str">
        <f>Price!C44</f>
        <v>SW-M</v>
      </c>
      <c r="O44" s="537">
        <f>Price!D44</f>
        <v>0</v>
      </c>
      <c r="P44" s="16"/>
      <c r="Q44" s="17">
        <f>Price!F44</f>
        <v>20.980989999999998</v>
      </c>
      <c r="R44" s="323"/>
      <c r="S44" s="323"/>
      <c r="T44" s="12">
        <f>Price!G44</f>
        <v>8627776</v>
      </c>
      <c r="U44" s="257">
        <f>Price!H44</f>
        <v>227465</v>
      </c>
      <c r="V44" s="13"/>
      <c r="W44" s="13"/>
      <c r="X44" s="19"/>
      <c r="Y44" s="19"/>
    </row>
    <row r="45" spans="1:25" x14ac:dyDescent="0.35">
      <c r="A45" s="80"/>
      <c r="B45" s="162"/>
      <c r="C45" s="162"/>
      <c r="D45" s="540"/>
      <c r="E45" s="77"/>
      <c r="F45" s="64"/>
      <c r="G45" s="64"/>
      <c r="H45" s="64"/>
      <c r="I45" s="64"/>
      <c r="J45" s="64"/>
      <c r="K45" s="64"/>
      <c r="L45" s="60" t="str">
        <f>Price!A45</f>
        <v>Bočnice M 550mm, černé Terra</v>
      </c>
      <c r="M45" s="15" t="str">
        <f>Price!B45</f>
        <v>770M5502S</v>
      </c>
      <c r="N45" s="15" t="str">
        <f>Price!C45</f>
        <v>TS-M</v>
      </c>
      <c r="O45" s="537">
        <f>Price!D45</f>
        <v>0</v>
      </c>
      <c r="P45" s="16"/>
      <c r="Q45" s="17">
        <f>Price!F45</f>
        <v>20.980989999999998</v>
      </c>
      <c r="R45" s="323"/>
      <c r="S45" s="323"/>
      <c r="T45" s="12">
        <f>Price!G45</f>
        <v>8635792</v>
      </c>
      <c r="U45" s="257">
        <f>Price!H45</f>
        <v>227467</v>
      </c>
      <c r="V45" s="13"/>
      <c r="W45" s="13"/>
      <c r="X45" s="19"/>
      <c r="Y45" s="19"/>
    </row>
    <row r="46" spans="1:25" x14ac:dyDescent="0.35">
      <c r="A46" s="80"/>
      <c r="B46" s="162"/>
      <c r="C46" s="162"/>
      <c r="D46" s="540"/>
      <c r="E46" s="77"/>
      <c r="F46" s="64"/>
      <c r="G46" s="64"/>
      <c r="H46" s="64"/>
      <c r="I46" s="64"/>
      <c r="J46" s="64"/>
      <c r="K46" s="20"/>
      <c r="L46" s="60" t="str">
        <f>Price!A46</f>
        <v>Bočnice M 550mm, nerez</v>
      </c>
      <c r="M46" s="15" t="str">
        <f>Price!B46</f>
        <v>770M5502I</v>
      </c>
      <c r="N46" s="15" t="str">
        <f>Price!C46</f>
        <v>Inox</v>
      </c>
      <c r="O46" s="537" t="str">
        <f>Price!D46</f>
        <v>!</v>
      </c>
      <c r="P46" s="16"/>
      <c r="Q46" s="17">
        <f>Price!F46</f>
        <v>38.334919999999997</v>
      </c>
      <c r="R46" s="323"/>
      <c r="S46" s="323"/>
      <c r="T46" s="12">
        <f>Price!G46</f>
        <v>9924108</v>
      </c>
      <c r="U46" s="257">
        <f>Price!H46</f>
        <v>227468</v>
      </c>
      <c r="V46" s="13"/>
      <c r="W46" s="13"/>
      <c r="X46" s="19"/>
      <c r="Y46" s="19"/>
    </row>
    <row r="47" spans="1:25" ht="15" thickBot="1" x14ac:dyDescent="0.4">
      <c r="A47" s="85" t="str">
        <f>IF($C$2=1,L47,IF($C$2=2,L48,IF($C$2=3,L49,IF($C$2=4,L50,"  chyba"))))</f>
        <v>Bočnice M 600mm, Orion šedé</v>
      </c>
      <c r="B47" s="86" t="str">
        <f>IF($C$2=1,M47,IF($C$2=2,M48,IF($C$2=3,M49,IF($C$2=4,M50,"  chyba"))))</f>
        <v>770M6002S</v>
      </c>
      <c r="C47" s="86" t="str">
        <f>IF($C$2=1,N47,IF($C$2=2,N48,IF($C$2=3,N49,IF($C$2=4,N50,"  chyba"))))</f>
        <v>OG-M</v>
      </c>
      <c r="D47" s="86">
        <f>IF($C$2=1,O47,IF($C$2=2,O48,IF($C$2=3,O49,IF($C$2=4,O50,"  chyba"))))</f>
        <v>0</v>
      </c>
      <c r="E47" s="87"/>
      <c r="F47" s="88">
        <f>IF($C$2=1,Q47,IF($C$2=2,Q48,IF($C$2=3,Q49,IF($C$2=4,Q50,0))))*(100-$F$6)/100</f>
        <v>23.762070000000005</v>
      </c>
      <c r="G47" s="64"/>
      <c r="H47" s="64"/>
      <c r="I47" s="171">
        <f>IF($C$2=1,T47,IF($C$2=2,T48,IF($C$2=3,T49,IF($C$2=4,T50,"  chyba"))))</f>
        <v>8684084</v>
      </c>
      <c r="J47" s="171">
        <f>IF($C$2=1,U47,IF($C$2=2,U48,IF($C$2=3,U49,IF($C$2=4,U50,"  chyba"))))</f>
        <v>227470</v>
      </c>
      <c r="K47" s="20"/>
      <c r="L47" s="60" t="str">
        <f>Price!A47</f>
        <v>Bočnice M 600mm, Orion šedé</v>
      </c>
      <c r="M47" s="15" t="str">
        <f>Price!B47</f>
        <v>770M6002S</v>
      </c>
      <c r="N47" s="15" t="str">
        <f>Price!C47</f>
        <v>OG-M</v>
      </c>
      <c r="O47" s="537">
        <f>Price!D47</f>
        <v>0</v>
      </c>
      <c r="P47" s="16"/>
      <c r="Q47" s="17">
        <f>Price!F47</f>
        <v>23.762070000000001</v>
      </c>
      <c r="R47" s="323"/>
      <c r="S47" s="323"/>
      <c r="T47" s="12">
        <f>Price!G47</f>
        <v>8684084</v>
      </c>
      <c r="U47" s="257">
        <f>Price!H47</f>
        <v>227470</v>
      </c>
      <c r="V47" s="13"/>
      <c r="W47" s="13"/>
      <c r="X47" s="19"/>
      <c r="Y47" s="19"/>
    </row>
    <row r="48" spans="1:25" x14ac:dyDescent="0.35">
      <c r="A48" s="80"/>
      <c r="B48" s="162"/>
      <c r="C48" s="162"/>
      <c r="D48" s="540"/>
      <c r="E48" s="77"/>
      <c r="F48" s="64"/>
      <c r="G48" s="64"/>
      <c r="H48" s="64"/>
      <c r="I48" s="64"/>
      <c r="J48" s="64"/>
      <c r="K48" s="20"/>
      <c r="L48" s="60" t="str">
        <f>Price!A48</f>
        <v>Bočnice M 600mm, hedvábně bílé</v>
      </c>
      <c r="M48" s="15" t="str">
        <f>Price!B48</f>
        <v>770M6002S</v>
      </c>
      <c r="N48" s="15" t="str">
        <f>Price!C48</f>
        <v>SW-M</v>
      </c>
      <c r="O48" s="537">
        <f>Price!D48</f>
        <v>0</v>
      </c>
      <c r="P48" s="16"/>
      <c r="Q48" s="17">
        <f>Price!F48</f>
        <v>23.762070000000001</v>
      </c>
      <c r="R48" s="323"/>
      <c r="S48" s="323"/>
      <c r="T48" s="12">
        <f>Price!G48</f>
        <v>8696445</v>
      </c>
      <c r="U48" s="257">
        <f>Price!H48</f>
        <v>227469</v>
      </c>
      <c r="V48" s="13"/>
      <c r="W48" s="13"/>
      <c r="X48" s="19"/>
      <c r="Y48" s="19"/>
    </row>
    <row r="49" spans="1:25" x14ac:dyDescent="0.35">
      <c r="A49" s="80"/>
      <c r="B49" s="162"/>
      <c r="C49" s="162"/>
      <c r="D49" s="540"/>
      <c r="E49" s="77"/>
      <c r="F49" s="64"/>
      <c r="G49" s="64"/>
      <c r="H49" s="64"/>
      <c r="I49" s="64"/>
      <c r="J49" s="64"/>
      <c r="K49" s="20"/>
      <c r="L49" s="60" t="str">
        <f>Price!A49</f>
        <v>Bočnice M 600mm, černé Terra</v>
      </c>
      <c r="M49" s="15" t="str">
        <f>Price!B49</f>
        <v>770M6002S</v>
      </c>
      <c r="N49" s="15" t="str">
        <f>Price!C49</f>
        <v>TS-M</v>
      </c>
      <c r="O49" s="537">
        <f>Price!D49</f>
        <v>0</v>
      </c>
      <c r="P49" s="16"/>
      <c r="Q49" s="17">
        <f>Price!F49</f>
        <v>23.762070000000001</v>
      </c>
      <c r="R49" s="323"/>
      <c r="S49" s="323"/>
      <c r="T49" s="12">
        <f>Price!G49</f>
        <v>8702548</v>
      </c>
      <c r="U49" s="257">
        <f>Price!H49</f>
        <v>227471</v>
      </c>
      <c r="V49" s="13"/>
      <c r="W49" s="13"/>
      <c r="X49" s="19"/>
      <c r="Y49" s="19"/>
    </row>
    <row r="50" spans="1:25" x14ac:dyDescent="0.35">
      <c r="A50" s="80"/>
      <c r="B50" s="162"/>
      <c r="C50" s="162"/>
      <c r="D50" s="540"/>
      <c r="E50" s="77"/>
      <c r="F50" s="64"/>
      <c r="G50" s="64"/>
      <c r="H50" s="64"/>
      <c r="I50" s="64"/>
      <c r="J50" s="64"/>
      <c r="K50" s="63"/>
      <c r="L50" s="60" t="str">
        <f>Price!A50</f>
        <v>Bočnice M 600mm, nerez</v>
      </c>
      <c r="M50" s="15" t="str">
        <f>Price!B50</f>
        <v>770M6002I</v>
      </c>
      <c r="N50" s="15" t="str">
        <f>Price!C50</f>
        <v>Inox</v>
      </c>
      <c r="O50" s="537" t="str">
        <f>Price!D50</f>
        <v>!</v>
      </c>
      <c r="P50" s="16"/>
      <c r="Q50" s="17">
        <f>Price!F50</f>
        <v>43.109769999999997</v>
      </c>
      <c r="R50" s="323"/>
      <c r="S50" s="323"/>
      <c r="T50" s="12">
        <f>Price!G50</f>
        <v>9924301</v>
      </c>
      <c r="U50" s="257">
        <f>Price!H50</f>
        <v>227472</v>
      </c>
      <c r="V50" s="13"/>
      <c r="W50" s="13"/>
      <c r="X50" s="19"/>
      <c r="Y50" s="19"/>
    </row>
    <row r="51" spans="1:25" ht="15" thickBot="1" x14ac:dyDescent="0.4">
      <c r="A51" s="85" t="str">
        <f>IF($C$2=1,L51,IF($C$2=2,L52,IF($C$2=3,L53,IF($C$2=4,L54,"  chyba"))))</f>
        <v>Bočnice M 650mm, Orion šedé</v>
      </c>
      <c r="B51" s="86" t="str">
        <f>IF($C$2=1,M51,IF($C$2=2,M52,IF($C$2=3,M53,IF($C$2=4,M54,"  chyba"))))</f>
        <v>770M6502S</v>
      </c>
      <c r="C51" s="86" t="str">
        <f>IF($C$2=1,N51,IF($C$2=2,N52,IF($C$2=3,N53,IF($C$2=4,N54,"  chyba"))))</f>
        <v>OG-M</v>
      </c>
      <c r="D51" s="86">
        <f>IF($C$2=1,O51,IF($C$2=2,O52,IF($C$2=3,O53,IF($C$2=4,O54,"  chyba"))))</f>
        <v>0</v>
      </c>
      <c r="E51" s="87"/>
      <c r="F51" s="88">
        <f>IF($C$2=1,Q51,IF($C$2=2,Q52,IF($C$2=3,Q53,IF($C$2=4,Q54,0))))*(100-$F$6)/100</f>
        <v>24.808240000000001</v>
      </c>
      <c r="G51" s="64"/>
      <c r="H51" s="64"/>
      <c r="I51" s="171">
        <f>IF($C$2=1,T51,IF($C$2=2,T52,IF($C$2=3,T53,IF($C$2=4,T54,"  chyba"))))</f>
        <v>8777716</v>
      </c>
      <c r="J51" s="171">
        <f>IF($C$2=1,U51,IF($C$2=2,U52,IF($C$2=3,U53,IF($C$2=4,U54,"  chyba"))))</f>
        <v>256454</v>
      </c>
      <c r="K51" s="63"/>
      <c r="L51" s="60" t="str">
        <f>Price!A51</f>
        <v>Bočnice M 650mm, Orion šedé</v>
      </c>
      <c r="M51" s="15" t="str">
        <f>Price!B51</f>
        <v>770M6502S</v>
      </c>
      <c r="N51" s="15" t="str">
        <f>Price!C51</f>
        <v>OG-M</v>
      </c>
      <c r="O51" s="537">
        <f>Price!D51</f>
        <v>0</v>
      </c>
      <c r="P51" s="16"/>
      <c r="Q51" s="17">
        <f>Price!F51</f>
        <v>24.808240000000001</v>
      </c>
      <c r="R51" s="323"/>
      <c r="S51" s="323"/>
      <c r="T51" s="12">
        <f>Price!G51</f>
        <v>8777716</v>
      </c>
      <c r="U51" s="257">
        <f>Price!H51</f>
        <v>256454</v>
      </c>
      <c r="V51" s="13"/>
      <c r="W51" s="13"/>
      <c r="X51" s="19"/>
      <c r="Y51" s="19"/>
    </row>
    <row r="52" spans="1:25" x14ac:dyDescent="0.35">
      <c r="A52" s="80"/>
      <c r="B52" s="162"/>
      <c r="C52" s="162"/>
      <c r="D52" s="540"/>
      <c r="E52" s="77"/>
      <c r="F52" s="64"/>
      <c r="G52" s="64"/>
      <c r="H52" s="64"/>
      <c r="I52" s="64"/>
      <c r="J52" s="64"/>
      <c r="K52" s="63"/>
      <c r="L52" s="60" t="str">
        <f>Price!A52</f>
        <v>Bočnice M 650mm, hedvábně bílé</v>
      </c>
      <c r="M52" s="15" t="str">
        <f>Price!B52</f>
        <v>770M6502S</v>
      </c>
      <c r="N52" s="15" t="str">
        <f>Price!C52</f>
        <v>SW-M</v>
      </c>
      <c r="O52" s="537">
        <f>Price!D52</f>
        <v>0</v>
      </c>
      <c r="P52" s="16"/>
      <c r="Q52" s="17">
        <f>Price!F52</f>
        <v>24.808240000000001</v>
      </c>
      <c r="R52" s="323"/>
      <c r="S52" s="323"/>
      <c r="T52" s="12">
        <f>Price!G52</f>
        <v>7776578</v>
      </c>
      <c r="U52" s="257">
        <f>Price!H52</f>
        <v>256453</v>
      </c>
      <c r="V52" s="13"/>
      <c r="W52" s="13"/>
      <c r="X52" s="19"/>
      <c r="Y52" s="19"/>
    </row>
    <row r="53" spans="1:25" x14ac:dyDescent="0.35">
      <c r="A53" s="80"/>
      <c r="B53" s="162"/>
      <c r="C53" s="162"/>
      <c r="D53" s="540"/>
      <c r="E53" s="77"/>
      <c r="F53" s="64"/>
      <c r="G53" s="64"/>
      <c r="H53" s="64"/>
      <c r="I53" s="64"/>
      <c r="J53" s="64"/>
      <c r="K53" s="63"/>
      <c r="L53" s="60" t="str">
        <f>Price!A53</f>
        <v>Bočnice M 650mm, černé Terra</v>
      </c>
      <c r="M53" s="15" t="str">
        <f>Price!B53</f>
        <v>770M6502S</v>
      </c>
      <c r="N53" s="15" t="str">
        <f>Price!C53</f>
        <v>TS-M</v>
      </c>
      <c r="O53" s="537">
        <f>Price!D53</f>
        <v>0</v>
      </c>
      <c r="P53" s="16"/>
      <c r="Q53" s="17">
        <f>Price!F53</f>
        <v>24.808240000000001</v>
      </c>
      <c r="R53" s="323"/>
      <c r="S53" s="323"/>
      <c r="T53" s="12">
        <f>Price!G53</f>
        <v>9771845</v>
      </c>
      <c r="U53" s="257">
        <f>Price!H53</f>
        <v>256455</v>
      </c>
      <c r="V53" s="13"/>
      <c r="W53" s="13"/>
      <c r="X53" s="19"/>
      <c r="Y53" s="19"/>
    </row>
    <row r="54" spans="1:25" x14ac:dyDescent="0.35">
      <c r="A54" s="80"/>
      <c r="B54" s="162"/>
      <c r="C54" s="162"/>
      <c r="D54" s="540"/>
      <c r="E54" s="77"/>
      <c r="F54" s="64"/>
      <c r="G54" s="64"/>
      <c r="H54" s="64"/>
      <c r="I54" s="64"/>
      <c r="J54" s="64"/>
      <c r="K54" s="63"/>
      <c r="L54" s="60" t="str">
        <f>Price!A54</f>
        <v>Bočnice M 600mm, nerez</v>
      </c>
      <c r="M54" s="15" t="str">
        <f>Price!B54</f>
        <v>770M6502I</v>
      </c>
      <c r="N54" s="15" t="str">
        <f>Price!C54</f>
        <v>Inox</v>
      </c>
      <c r="O54" s="537" t="str">
        <f>Price!D54</f>
        <v>!</v>
      </c>
      <c r="P54" s="16"/>
      <c r="Q54" s="17">
        <f>Price!F54</f>
        <v>45.597819999999999</v>
      </c>
      <c r="R54" s="323"/>
      <c r="S54" s="323"/>
      <c r="T54" s="12">
        <f>Price!G54</f>
        <v>8204879</v>
      </c>
      <c r="U54" s="257">
        <f>Price!H54</f>
        <v>256456</v>
      </c>
      <c r="V54" s="13"/>
      <c r="W54" s="13"/>
      <c r="X54" s="19"/>
      <c r="Y54" s="19"/>
    </row>
    <row r="55" spans="1:25" ht="15" thickBot="1" x14ac:dyDescent="0.4">
      <c r="A55" s="85" t="str">
        <f>IF($C$2=1,L55,IF($C$2=2,L56,IF($C$2=3,L57,IF($C$2=4,L58,"  chyba"))))</f>
        <v>Bočnice K 350mm, Orion šedé</v>
      </c>
      <c r="B55" s="86" t="str">
        <f>IF($C$2=1,M55,IF($C$2=2,M56,IF($C$2=3,M57,IF($C$2=4,M58,"  chyba"))))</f>
        <v>770K3502S</v>
      </c>
      <c r="C55" s="86" t="str">
        <f>IF($C$2=1,N55,IF($C$2=2,N56,IF($C$2=3,N57,IF($C$2=4,N58,"  chyba"))))</f>
        <v>OG-M</v>
      </c>
      <c r="D55" s="86" t="str">
        <f>IF($C$2=1,O55,IF($C$2=2,O56,IF($C$2=3,O57,IF($C$2=4,O58,"  chyba"))))</f>
        <v>!</v>
      </c>
      <c r="E55" s="87"/>
      <c r="F55" s="88">
        <f>IF($C$2=1,Q55,IF($C$2=2,Q56,IF($C$2=3,Q57,IF($C$2=4,Q58,0))))*(100-$F$6)/100</f>
        <v>23.039159999999995</v>
      </c>
      <c r="G55" s="64"/>
      <c r="H55" s="64"/>
      <c r="I55" s="171">
        <f>IF($C$2=1,T55,IF($C$2=2,T56,IF($C$2=3,T57,IF($C$2=4,T58,"  chyba"))))</f>
        <v>9340962</v>
      </c>
      <c r="J55" s="171">
        <f>IF($C$2=1,U55,IF($C$2=2,U56,IF($C$2=3,U57,IF($C$2=4,U58,"  chyba"))))</f>
        <v>227474</v>
      </c>
      <c r="K55" s="63"/>
      <c r="L55" s="60" t="str">
        <f>Price!A55</f>
        <v>Bočnice K 350mm, Orion šedé</v>
      </c>
      <c r="M55" s="15" t="str">
        <f>Price!B55</f>
        <v>770K3502S</v>
      </c>
      <c r="N55" s="15" t="str">
        <f>Price!C55</f>
        <v>OG-M</v>
      </c>
      <c r="O55" s="537" t="str">
        <f>Price!D55</f>
        <v>!</v>
      </c>
      <c r="P55" s="16"/>
      <c r="Q55" s="17">
        <f>Price!F55</f>
        <v>23.039159999999999</v>
      </c>
      <c r="R55" s="323"/>
      <c r="S55" s="323"/>
      <c r="T55" s="12">
        <f>Price!G55</f>
        <v>9340962</v>
      </c>
      <c r="U55" s="257">
        <f>Price!H55</f>
        <v>227474</v>
      </c>
      <c r="V55" s="13"/>
      <c r="W55" s="13"/>
      <c r="X55" s="19"/>
      <c r="Y55" s="19"/>
    </row>
    <row r="56" spans="1:25" x14ac:dyDescent="0.35">
      <c r="A56" s="80"/>
      <c r="B56" s="162"/>
      <c r="C56" s="162"/>
      <c r="D56" s="540"/>
      <c r="E56" s="77"/>
      <c r="F56" s="64"/>
      <c r="G56" s="64"/>
      <c r="H56" s="64"/>
      <c r="I56" s="64"/>
      <c r="J56" s="64"/>
      <c r="K56" s="63"/>
      <c r="L56" s="60" t="str">
        <f>Price!A56</f>
        <v>Bočnice K 350mm, hedvábně bílé</v>
      </c>
      <c r="M56" s="15" t="str">
        <f>Price!B56</f>
        <v>770K3502S</v>
      </c>
      <c r="N56" s="15" t="str">
        <f>Price!C56</f>
        <v>SW-M</v>
      </c>
      <c r="O56" s="537" t="str">
        <f>Price!D56</f>
        <v>!</v>
      </c>
      <c r="P56" s="16"/>
      <c r="Q56" s="17">
        <f>Price!F56</f>
        <v>23.039159999999999</v>
      </c>
      <c r="R56" s="323"/>
      <c r="S56" s="323"/>
      <c r="T56" s="12">
        <f>Price!G56</f>
        <v>9360049</v>
      </c>
      <c r="U56" s="257">
        <f>Price!H56</f>
        <v>227473</v>
      </c>
      <c r="V56" s="13"/>
      <c r="W56" s="13"/>
      <c r="X56" s="19"/>
      <c r="Y56" s="19"/>
    </row>
    <row r="57" spans="1:25" x14ac:dyDescent="0.35">
      <c r="A57" s="80"/>
      <c r="B57" s="162"/>
      <c r="C57" s="162"/>
      <c r="D57" s="540"/>
      <c r="E57" s="77"/>
      <c r="F57" s="64"/>
      <c r="G57" s="64"/>
      <c r="H57" s="64"/>
      <c r="I57" s="64"/>
      <c r="J57" s="64"/>
      <c r="K57" s="63"/>
      <c r="L57" s="60" t="str">
        <f>Price!A57</f>
        <v>Bočnice K 350mm, černé Terra</v>
      </c>
      <c r="M57" s="15" t="str">
        <f>Price!B57</f>
        <v>770K3502S</v>
      </c>
      <c r="N57" s="15" t="str">
        <f>Price!C57</f>
        <v>TS-M</v>
      </c>
      <c r="O57" s="537" t="str">
        <f>Price!D57</f>
        <v>!</v>
      </c>
      <c r="P57" s="16"/>
      <c r="Q57" s="17">
        <f>Price!F57</f>
        <v>23.039159999999999</v>
      </c>
      <c r="R57" s="323"/>
      <c r="S57" s="323"/>
      <c r="T57" s="12">
        <f>Price!G57</f>
        <v>9376787</v>
      </c>
      <c r="U57" s="257">
        <f>Price!H57</f>
        <v>227475</v>
      </c>
      <c r="V57" s="13"/>
      <c r="W57" s="21"/>
      <c r="X57" s="19"/>
      <c r="Y57" s="19"/>
    </row>
    <row r="58" spans="1:25" x14ac:dyDescent="0.35">
      <c r="A58" s="80"/>
      <c r="B58" s="162"/>
      <c r="C58" s="162"/>
      <c r="D58" s="540"/>
      <c r="E58" s="77"/>
      <c r="F58" s="64"/>
      <c r="G58" s="64"/>
      <c r="H58" s="64"/>
      <c r="I58" s="64"/>
      <c r="J58" s="64"/>
      <c r="K58" s="65"/>
      <c r="L58" s="60" t="str">
        <f>Price!A58</f>
        <v>Bočnice K 350mm, nerez</v>
      </c>
      <c r="M58" s="15" t="str">
        <f>Price!B58</f>
        <v>770K3502I</v>
      </c>
      <c r="N58" s="15" t="str">
        <f>Price!C58</f>
        <v>Inox</v>
      </c>
      <c r="O58" s="537" t="str">
        <f>Price!D58</f>
        <v>!</v>
      </c>
      <c r="P58" s="16"/>
      <c r="Q58" s="17">
        <f>Price!F58</f>
        <v>43.254849999999998</v>
      </c>
      <c r="R58" s="323"/>
      <c r="S58" s="323"/>
      <c r="T58" s="12">
        <f>Price!G58</f>
        <v>1478096</v>
      </c>
      <c r="U58" s="257">
        <f>Price!H58</f>
        <v>227476</v>
      </c>
      <c r="V58" s="13"/>
      <c r="W58" s="22"/>
      <c r="X58" s="19"/>
      <c r="Y58" s="19"/>
    </row>
    <row r="59" spans="1:25" ht="15" thickBot="1" x14ac:dyDescent="0.4">
      <c r="A59" s="85" t="str">
        <f>IF($C$2=1,L59,IF($C$2=2,L60,IF($C$2=3,L61,IF($C$2=4,L62,"  chyba"))))</f>
        <v>Bočnice K 400mm, Orion šedé</v>
      </c>
      <c r="B59" s="86" t="str">
        <f>IF($C$2=1,M59,IF($C$2=2,M60,IF($C$2=3,M61,IF($C$2=4,M62,"  chyba"))))</f>
        <v>770K4002S</v>
      </c>
      <c r="C59" s="86" t="str">
        <f>IF($C$2=1,N59,IF($C$2=2,N60,IF($C$2=3,N61,IF($C$2=4,N62,"  chyba"))))</f>
        <v>OG-M</v>
      </c>
      <c r="D59" s="86" t="str">
        <f>IF($C$2=1,O59,IF($C$2=2,O60,IF($C$2=3,O61,IF($C$2=4,O62,"  chyba"))))</f>
        <v>!</v>
      </c>
      <c r="E59" s="87"/>
      <c r="F59" s="88">
        <f>IF($C$2=1,Q59,IF($C$2=2,Q60,IF($C$2=3,Q61,IF($C$2=4,Q62,0))))*(100-$F$6)/100</f>
        <v>23.363859999999999</v>
      </c>
      <c r="G59" s="64"/>
      <c r="H59" s="64"/>
      <c r="I59" s="171">
        <f>IF($C$2=1,T59,IF($C$2=2,T60,IF($C$2=3,T61,IF($C$2=4,T62,"  chyba"))))</f>
        <v>9409124</v>
      </c>
      <c r="J59" s="171">
        <f>IF($C$2=1,U59,IF($C$2=2,U60,IF($C$2=3,U61,IF($C$2=4,U62,"  chyba"))))</f>
        <v>227478</v>
      </c>
      <c r="K59" s="65"/>
      <c r="L59" s="60" t="str">
        <f>Price!A59</f>
        <v>Bočnice K 400mm, Orion šedé</v>
      </c>
      <c r="M59" s="15" t="str">
        <f>Price!B59</f>
        <v>770K4002S</v>
      </c>
      <c r="N59" s="15" t="str">
        <f>Price!C59</f>
        <v>OG-M</v>
      </c>
      <c r="O59" s="537" t="str">
        <f>Price!D59</f>
        <v>!</v>
      </c>
      <c r="P59" s="16"/>
      <c r="Q59" s="17">
        <f>Price!F59</f>
        <v>23.363859999999999</v>
      </c>
      <c r="R59" s="323"/>
      <c r="S59" s="323"/>
      <c r="T59" s="12">
        <f>Price!G59</f>
        <v>9409124</v>
      </c>
      <c r="U59" s="257">
        <f>Price!H59</f>
        <v>227478</v>
      </c>
      <c r="V59" s="13"/>
      <c r="W59" s="22"/>
      <c r="X59" s="19"/>
      <c r="Y59" s="19"/>
    </row>
    <row r="60" spans="1:25" x14ac:dyDescent="0.35">
      <c r="A60" s="80"/>
      <c r="B60" s="162"/>
      <c r="C60" s="162"/>
      <c r="D60" s="540"/>
      <c r="E60" s="77"/>
      <c r="F60" s="64"/>
      <c r="G60" s="64"/>
      <c r="H60" s="64"/>
      <c r="I60" s="64"/>
      <c r="J60" s="64"/>
      <c r="K60" s="68"/>
      <c r="L60" s="60" t="str">
        <f>Price!A60</f>
        <v>Bočnice K 400mm, hedvábně bílé</v>
      </c>
      <c r="M60" s="15" t="str">
        <f>Price!B60</f>
        <v>770K4002S</v>
      </c>
      <c r="N60" s="15" t="str">
        <f>Price!C60</f>
        <v>SW-M</v>
      </c>
      <c r="O60" s="537" t="str">
        <f>Price!D60</f>
        <v>!</v>
      </c>
      <c r="P60" s="16"/>
      <c r="Q60" s="17">
        <f>Price!F60</f>
        <v>23.363859999999999</v>
      </c>
      <c r="R60" s="323"/>
      <c r="S60" s="323"/>
      <c r="T60" s="12">
        <f>Price!G60</f>
        <v>9412510</v>
      </c>
      <c r="U60" s="257">
        <f>Price!H60</f>
        <v>227477</v>
      </c>
      <c r="V60" s="13"/>
      <c r="W60" s="22"/>
      <c r="X60" s="19"/>
      <c r="Y60" s="19"/>
    </row>
    <row r="61" spans="1:25" x14ac:dyDescent="0.35">
      <c r="A61" s="80"/>
      <c r="B61" s="162"/>
      <c r="C61" s="162"/>
      <c r="D61" s="540"/>
      <c r="E61" s="77"/>
      <c r="F61" s="64"/>
      <c r="G61" s="64"/>
      <c r="H61" s="64"/>
      <c r="I61" s="64"/>
      <c r="J61" s="64"/>
      <c r="K61" s="68"/>
      <c r="L61" s="60" t="str">
        <f>Price!A61</f>
        <v>Bočnice K 400mm, černé Terra</v>
      </c>
      <c r="M61" s="15" t="str">
        <f>Price!B61</f>
        <v>770K4002S</v>
      </c>
      <c r="N61" s="15" t="str">
        <f>Price!C61</f>
        <v>TS-M</v>
      </c>
      <c r="O61" s="537" t="str">
        <f>Price!D61</f>
        <v>!</v>
      </c>
      <c r="P61" s="16"/>
      <c r="Q61" s="17">
        <f>Price!F61</f>
        <v>23.363859999999999</v>
      </c>
      <c r="R61" s="323"/>
      <c r="S61" s="323"/>
      <c r="T61" s="12">
        <f>Price!G61</f>
        <v>9477844</v>
      </c>
      <c r="U61" s="257">
        <f>Price!H61</f>
        <v>227479</v>
      </c>
      <c r="V61" s="13"/>
      <c r="W61" s="22"/>
      <c r="X61" s="19"/>
      <c r="Y61" s="19"/>
    </row>
    <row r="62" spans="1:25" x14ac:dyDescent="0.35">
      <c r="A62" s="80"/>
      <c r="B62" s="162"/>
      <c r="C62" s="162"/>
      <c r="D62" s="540"/>
      <c r="E62" s="77"/>
      <c r="F62" s="64"/>
      <c r="G62" s="64"/>
      <c r="H62" s="64"/>
      <c r="I62" s="64"/>
      <c r="J62" s="64"/>
      <c r="K62" s="68"/>
      <c r="L62" s="60" t="str">
        <f>Price!A62</f>
        <v>Bočnice K 400mm, nerez</v>
      </c>
      <c r="M62" s="15" t="str">
        <f>Price!B62</f>
        <v>770K4002I</v>
      </c>
      <c r="N62" s="15" t="str">
        <f>Price!C62</f>
        <v>Inox</v>
      </c>
      <c r="O62" s="537" t="str">
        <f>Price!D62</f>
        <v>!</v>
      </c>
      <c r="P62" s="16"/>
      <c r="Q62" s="17">
        <f>Price!F62</f>
        <v>44.36721</v>
      </c>
      <c r="R62" s="323"/>
      <c r="S62" s="323"/>
      <c r="T62" s="12">
        <f>Price!G62</f>
        <v>1501198</v>
      </c>
      <c r="U62" s="257">
        <f>Price!H62</f>
        <v>227480</v>
      </c>
      <c r="V62" s="13"/>
      <c r="W62" s="22"/>
      <c r="X62" s="19"/>
      <c r="Y62" s="19"/>
    </row>
    <row r="63" spans="1:25" ht="15" thickBot="1" x14ac:dyDescent="0.4">
      <c r="A63" s="85" t="str">
        <f>IF($C$2=1,L63,IF($C$2=2,L64,IF($C$2=3,L65,IF($C$2=4,L66,"  chyba"))))</f>
        <v>Bočnice K 450mm, Orion šedé</v>
      </c>
      <c r="B63" s="86" t="str">
        <f>IF($C$2=1,M63,IF($C$2=2,M64,IF($C$2=3,M65,IF($C$2=4,M66,"  chyba"))))</f>
        <v>770K4502S</v>
      </c>
      <c r="C63" s="86" t="str">
        <f>IF($C$2=1,N63,IF($C$2=2,N64,IF($C$2=3,N65,IF($C$2=4,N66,"  chyba"))))</f>
        <v>OG-M</v>
      </c>
      <c r="D63" s="86" t="str">
        <f>IF($C$2=1,O63,IF($C$2=2,O64,IF($C$2=3,O65,IF($C$2=4,O66,"  chyba"))))</f>
        <v>!</v>
      </c>
      <c r="E63" s="87"/>
      <c r="F63" s="88">
        <f>IF($C$2=1,Q63,IF($C$2=2,Q64,IF($C$2=3,Q65,IF($C$2=4,Q66,0))))*(100-$F$6)/100</f>
        <v>23.688369999999999</v>
      </c>
      <c r="G63" s="64"/>
      <c r="H63" s="64"/>
      <c r="I63" s="171">
        <f>IF($C$2=1,T63,IF($C$2=2,T64,IF($C$2=3,T65,IF($C$2=4,T66,"  chyba"))))</f>
        <v>9485595</v>
      </c>
      <c r="J63" s="171">
        <f>IF($C$2=1,U63,IF($C$2=2,U64,IF($C$2=3,U65,IF($C$2=4,U66,"  chyba"))))</f>
        <v>227482</v>
      </c>
      <c r="K63" s="66"/>
      <c r="L63" s="60" t="str">
        <f>Price!A63</f>
        <v>Bočnice K 450mm, Orion šedé</v>
      </c>
      <c r="M63" s="15" t="str">
        <f>Price!B63</f>
        <v>770K4502S</v>
      </c>
      <c r="N63" s="15" t="str">
        <f>Price!C63</f>
        <v>OG-M</v>
      </c>
      <c r="O63" s="537" t="str">
        <f>Price!D63</f>
        <v>!</v>
      </c>
      <c r="P63" s="16"/>
      <c r="Q63" s="17">
        <f>Price!F63</f>
        <v>23.688369999999999</v>
      </c>
      <c r="R63" s="323"/>
      <c r="S63" s="323"/>
      <c r="T63" s="12">
        <f>Price!G63</f>
        <v>9485595</v>
      </c>
      <c r="U63" s="257">
        <f>Price!H63</f>
        <v>227482</v>
      </c>
      <c r="V63" s="13"/>
      <c r="W63" s="22"/>
      <c r="X63" s="19"/>
      <c r="Y63" s="19"/>
    </row>
    <row r="64" spans="1:25" x14ac:dyDescent="0.35">
      <c r="A64" s="80"/>
      <c r="B64" s="162"/>
      <c r="C64" s="162"/>
      <c r="D64" s="540"/>
      <c r="E64" s="77"/>
      <c r="F64" s="64"/>
      <c r="G64" s="64"/>
      <c r="H64" s="64"/>
      <c r="I64" s="64"/>
      <c r="J64" s="64"/>
      <c r="K64" s="68"/>
      <c r="L64" s="60" t="str">
        <f>Price!A64</f>
        <v>Bočnice K 450mm, hedvábně bílé</v>
      </c>
      <c r="M64" s="15" t="str">
        <f>Price!B64</f>
        <v>770K4502S</v>
      </c>
      <c r="N64" s="15" t="str">
        <f>Price!C64</f>
        <v>SW-M</v>
      </c>
      <c r="O64" s="537" t="str">
        <f>Price!D64</f>
        <v>!</v>
      </c>
      <c r="P64" s="16"/>
      <c r="Q64" s="17">
        <f>Price!F64</f>
        <v>23.688369999999999</v>
      </c>
      <c r="R64" s="323"/>
      <c r="S64" s="323"/>
      <c r="T64" s="12">
        <f>Price!G64</f>
        <v>9525482</v>
      </c>
      <c r="U64" s="257">
        <f>Price!H64</f>
        <v>227481</v>
      </c>
      <c r="V64" s="13"/>
      <c r="W64" s="22"/>
      <c r="X64" s="19"/>
      <c r="Y64" s="19"/>
    </row>
    <row r="65" spans="1:25" x14ac:dyDescent="0.35">
      <c r="A65" s="80"/>
      <c r="B65" s="162"/>
      <c r="C65" s="162"/>
      <c r="D65" s="540"/>
      <c r="E65" s="77"/>
      <c r="F65" s="64"/>
      <c r="G65" s="64"/>
      <c r="H65" s="64"/>
      <c r="I65" s="64"/>
      <c r="J65" s="64"/>
      <c r="K65" s="68"/>
      <c r="L65" s="60" t="str">
        <f>Price!A65</f>
        <v>Bočnice K 450mm, černé Terra</v>
      </c>
      <c r="M65" s="15" t="str">
        <f>Price!B65</f>
        <v>770K4502S</v>
      </c>
      <c r="N65" s="15" t="str">
        <f>Price!C65</f>
        <v>TS-M</v>
      </c>
      <c r="O65" s="537" t="str">
        <f>Price!D65</f>
        <v>!</v>
      </c>
      <c r="P65" s="16"/>
      <c r="Q65" s="17">
        <f>Price!F65</f>
        <v>23.688369999999999</v>
      </c>
      <c r="R65" s="323"/>
      <c r="S65" s="323"/>
      <c r="T65" s="12">
        <f>Price!G65</f>
        <v>9537952</v>
      </c>
      <c r="U65" s="257">
        <f>Price!H65</f>
        <v>227483</v>
      </c>
      <c r="V65" s="13"/>
      <c r="W65" s="22"/>
      <c r="X65" s="19"/>
      <c r="Y65" s="19"/>
    </row>
    <row r="66" spans="1:25" x14ac:dyDescent="0.35">
      <c r="A66" s="80"/>
      <c r="B66" s="162"/>
      <c r="C66" s="162"/>
      <c r="D66" s="540"/>
      <c r="E66" s="77"/>
      <c r="F66" s="64"/>
      <c r="G66" s="64"/>
      <c r="H66" s="64"/>
      <c r="I66" s="64"/>
      <c r="J66" s="64"/>
      <c r="K66" s="68"/>
      <c r="L66" s="60" t="str">
        <f>Price!A66</f>
        <v>Bočnice K 450mm, nerez</v>
      </c>
      <c r="M66" s="15" t="str">
        <f>Price!B66</f>
        <v>770K4502I</v>
      </c>
      <c r="N66" s="15" t="str">
        <f>Price!C66</f>
        <v>Inox</v>
      </c>
      <c r="O66" s="537" t="str">
        <f>Price!D66</f>
        <v>!</v>
      </c>
      <c r="P66" s="16"/>
      <c r="Q66" s="17">
        <f>Price!F66</f>
        <v>45.479570000000002</v>
      </c>
      <c r="R66" s="323"/>
      <c r="S66" s="323"/>
      <c r="T66" s="12">
        <f>Price!G66</f>
        <v>1679728</v>
      </c>
      <c r="U66" s="257">
        <f>Price!H66</f>
        <v>227484</v>
      </c>
      <c r="V66" s="13"/>
      <c r="W66" s="22"/>
      <c r="X66" s="19"/>
      <c r="Y66" s="19"/>
    </row>
    <row r="67" spans="1:25" ht="15" thickBot="1" x14ac:dyDescent="0.4">
      <c r="A67" s="85" t="str">
        <f>IF($C$2=1,L67,IF($C$2=2,L68,IF($C$2=3,L69,IF($C$2=4,L70,"  chyba"))))</f>
        <v>Bočnice K 500mm, Orion šedé</v>
      </c>
      <c r="B67" s="86" t="str">
        <f>IF($C$2=1,M67,IF($C$2=2,M68,IF($C$2=3,M69,IF($C$2=4,M70,"  chyba"))))</f>
        <v>770K5002S</v>
      </c>
      <c r="C67" s="86" t="str">
        <f>IF($C$2=1,N67,IF($C$2=2,N68,IF($C$2=3,N69,IF($C$2=4,N70,"  chyba"))))</f>
        <v>OG-M</v>
      </c>
      <c r="D67" s="86" t="str">
        <f>IF($C$2=1,O67,IF($C$2=2,O68,IF($C$2=3,O69,IF($C$2=4,O70,"  chyba"))))</f>
        <v>!</v>
      </c>
      <c r="E67" s="87"/>
      <c r="F67" s="88">
        <f>IF($C$2=1,Q67,IF($C$2=2,Q68,IF($C$2=3,Q69,IF($C$2=4,Q70,0))))*(100-$F$6)/100</f>
        <v>24.013059999999999</v>
      </c>
      <c r="G67" s="64"/>
      <c r="H67" s="64"/>
      <c r="I67" s="171">
        <f>IF($C$2=1,T67,IF($C$2=2,T68,IF($C$2=3,T69,IF($C$2=4,T70,"  chyba"))))</f>
        <v>9545678</v>
      </c>
      <c r="J67" s="171">
        <f>IF($C$2=1,U67,IF($C$2=2,U68,IF($C$2=3,U69,IF($C$2=4,U70,"  chyba"))))</f>
        <v>227486</v>
      </c>
      <c r="K67" s="66"/>
      <c r="L67" s="60" t="str">
        <f>Price!A67</f>
        <v>Bočnice K 500mm, Orion šedé</v>
      </c>
      <c r="M67" s="15" t="str">
        <f>Price!B67</f>
        <v>770K5002S</v>
      </c>
      <c r="N67" s="15" t="str">
        <f>Price!C67</f>
        <v>OG-M</v>
      </c>
      <c r="O67" s="537" t="str">
        <f>Price!D67</f>
        <v>!</v>
      </c>
      <c r="P67" s="16"/>
      <c r="Q67" s="17">
        <f>Price!F67</f>
        <v>24.013059999999999</v>
      </c>
      <c r="R67" s="323"/>
      <c r="S67" s="323"/>
      <c r="T67" s="12">
        <f>Price!G67</f>
        <v>9545678</v>
      </c>
      <c r="U67" s="257">
        <f>Price!H67</f>
        <v>227486</v>
      </c>
      <c r="V67" s="13"/>
      <c r="W67" s="22"/>
      <c r="X67" s="19"/>
      <c r="Y67" s="19"/>
    </row>
    <row r="68" spans="1:25" x14ac:dyDescent="0.35">
      <c r="A68" s="80"/>
      <c r="B68" s="162"/>
      <c r="C68" s="162"/>
      <c r="D68" s="540"/>
      <c r="E68" s="77"/>
      <c r="F68" s="64"/>
      <c r="G68" s="64"/>
      <c r="H68" s="64"/>
      <c r="I68" s="64"/>
      <c r="J68" s="64"/>
      <c r="K68" s="68"/>
      <c r="L68" s="60" t="str">
        <f>Price!A68</f>
        <v>Bočnice K 500mm, hedvábně bílé</v>
      </c>
      <c r="M68" s="15" t="str">
        <f>Price!B68</f>
        <v>770K5002S</v>
      </c>
      <c r="N68" s="15" t="str">
        <f>Price!C68</f>
        <v>SW-M</v>
      </c>
      <c r="O68" s="537" t="str">
        <f>Price!D68</f>
        <v>!</v>
      </c>
      <c r="P68" s="16"/>
      <c r="Q68" s="17">
        <f>Price!F68</f>
        <v>24.013059999999999</v>
      </c>
      <c r="R68" s="323"/>
      <c r="S68" s="323"/>
      <c r="T68" s="12">
        <f>Price!G68</f>
        <v>9547141</v>
      </c>
      <c r="U68" s="257">
        <f>Price!H68</f>
        <v>227485</v>
      </c>
      <c r="V68" s="13"/>
      <c r="W68" s="22"/>
      <c r="X68" s="19"/>
      <c r="Y68" s="19"/>
    </row>
    <row r="69" spans="1:25" x14ac:dyDescent="0.35">
      <c r="A69" s="80"/>
      <c r="B69" s="162"/>
      <c r="C69" s="162"/>
      <c r="D69" s="540"/>
      <c r="E69" s="77"/>
      <c r="F69" s="64"/>
      <c r="G69" s="64"/>
      <c r="H69" s="64"/>
      <c r="I69" s="64"/>
      <c r="J69" s="64"/>
      <c r="K69" s="68"/>
      <c r="L69" s="60" t="str">
        <f>Price!A69</f>
        <v>Bočnice K 500mm, černé Terra</v>
      </c>
      <c r="M69" s="15" t="str">
        <f>Price!B69</f>
        <v>770K5002S</v>
      </c>
      <c r="N69" s="15" t="str">
        <f>Price!C69</f>
        <v>TS-M</v>
      </c>
      <c r="O69" s="537" t="str">
        <f>Price!D69</f>
        <v>!</v>
      </c>
      <c r="P69" s="16"/>
      <c r="Q69" s="17">
        <f>Price!F69</f>
        <v>24.013059999999999</v>
      </c>
      <c r="R69" s="323"/>
      <c r="S69" s="323"/>
      <c r="T69" s="12">
        <f>Price!G69</f>
        <v>9555427</v>
      </c>
      <c r="U69" s="257">
        <f>Price!H69</f>
        <v>227487</v>
      </c>
      <c r="V69" s="13"/>
      <c r="W69" s="22"/>
      <c r="X69" s="19"/>
      <c r="Y69" s="19"/>
    </row>
    <row r="70" spans="1:25" x14ac:dyDescent="0.35">
      <c r="A70" s="80"/>
      <c r="B70" s="162"/>
      <c r="C70" s="162"/>
      <c r="D70" s="540"/>
      <c r="E70" s="77"/>
      <c r="F70" s="64"/>
      <c r="G70" s="64"/>
      <c r="H70" s="64"/>
      <c r="I70" s="64"/>
      <c r="J70" s="64"/>
      <c r="K70" s="66"/>
      <c r="L70" s="60" t="str">
        <f>Price!A70</f>
        <v>Bočnice K 500mm, nerez</v>
      </c>
      <c r="M70" s="15" t="str">
        <f>Price!B70</f>
        <v>770K5002I</v>
      </c>
      <c r="N70" s="15" t="str">
        <f>Price!C70</f>
        <v>Inox</v>
      </c>
      <c r="O70" s="537" t="str">
        <f>Price!D70</f>
        <v>!</v>
      </c>
      <c r="P70" s="16"/>
      <c r="Q70" s="17">
        <f>Price!F70</f>
        <v>46.592109999999998</v>
      </c>
      <c r="R70" s="323"/>
      <c r="S70" s="323"/>
      <c r="T70" s="12">
        <f>Price!G70</f>
        <v>1722370</v>
      </c>
      <c r="U70" s="257">
        <f>Price!H70</f>
        <v>227488</v>
      </c>
      <c r="V70" s="13"/>
      <c r="W70" s="13"/>
      <c r="X70" s="19"/>
      <c r="Y70" s="19"/>
    </row>
    <row r="71" spans="1:25" ht="15" thickBot="1" x14ac:dyDescent="0.4">
      <c r="A71" s="85" t="str">
        <f>IF($C$2=1,L71,IF($C$2=2,L72,IF($C$2=3,L73,IF($C$2=4,L74,"  chyba"))))</f>
        <v>Bočnice K 550mm, Orion šedé</v>
      </c>
      <c r="B71" s="86" t="str">
        <f>IF($C$2=1,M71,IF($C$2=2,M72,IF($C$2=3,M73,IF($C$2=4,M74,"  chyba"))))</f>
        <v>770K5502S</v>
      </c>
      <c r="C71" s="86" t="str">
        <f>IF($C$2=1,N71,IF($C$2=2,N72,IF($C$2=3,N73,IF($C$2=4,N74,"  chyba"))))</f>
        <v>OG-M</v>
      </c>
      <c r="D71" s="86" t="str">
        <f>IF($C$2=1,O71,IF($C$2=2,O72,IF($C$2=3,O73,IF($C$2=4,O74,"  chyba"))))</f>
        <v>!</v>
      </c>
      <c r="E71" s="87"/>
      <c r="F71" s="88">
        <f>IF($C$2=1,Q71,IF($C$2=2,Q72,IF($C$2=3,Q73,IF($C$2=4,Q74,0))))*(100-$F$6)/100</f>
        <v>26.612380000000002</v>
      </c>
      <c r="G71" s="64"/>
      <c r="H71" s="64"/>
      <c r="I71" s="171">
        <f>IF($C$2=1,T71,IF($C$2=2,T72,IF($C$2=3,T73,IF($C$2=4,T74,"  chyba"))))</f>
        <v>9562948</v>
      </c>
      <c r="J71" s="171">
        <f>IF($C$2=1,U71,IF($C$2=2,U72,IF($C$2=3,U73,IF($C$2=4,U74,"  chyba"))))</f>
        <v>227490</v>
      </c>
      <c r="K71" s="66"/>
      <c r="L71" s="60" t="str">
        <f>Price!A71</f>
        <v>Bočnice K 550mm, Orion šedé</v>
      </c>
      <c r="M71" s="15" t="str">
        <f>Price!B71</f>
        <v>770K5502S</v>
      </c>
      <c r="N71" s="15" t="str">
        <f>Price!C71</f>
        <v>OG-M</v>
      </c>
      <c r="O71" s="537" t="str">
        <f>Price!D71</f>
        <v>!</v>
      </c>
      <c r="P71" s="16"/>
      <c r="Q71" s="17">
        <f>Price!F71</f>
        <v>26.612380000000002</v>
      </c>
      <c r="R71" s="323"/>
      <c r="S71" s="323"/>
      <c r="T71" s="12">
        <f>Price!G71</f>
        <v>9562948</v>
      </c>
      <c r="U71" s="257">
        <f>Price!H71</f>
        <v>227490</v>
      </c>
      <c r="V71" s="13"/>
      <c r="W71" s="13"/>
      <c r="X71" s="19"/>
      <c r="Y71" s="19"/>
    </row>
    <row r="72" spans="1:25" x14ac:dyDescent="0.35">
      <c r="A72" s="80"/>
      <c r="B72" s="162"/>
      <c r="C72" s="162"/>
      <c r="D72" s="540"/>
      <c r="E72" s="77"/>
      <c r="F72" s="64"/>
      <c r="G72" s="64"/>
      <c r="H72" s="64"/>
      <c r="I72" s="64"/>
      <c r="J72" s="64"/>
      <c r="K72" s="68"/>
      <c r="L72" s="60" t="str">
        <f>Price!A72</f>
        <v>Bočnice K 550mm, hedvábně bílé</v>
      </c>
      <c r="M72" s="15" t="str">
        <f>Price!B72</f>
        <v>770K5502S</v>
      </c>
      <c r="N72" s="15" t="str">
        <f>Price!C72</f>
        <v>SW-M</v>
      </c>
      <c r="O72" s="537" t="str">
        <f>Price!D72</f>
        <v>!</v>
      </c>
      <c r="P72" s="16"/>
      <c r="Q72" s="17">
        <f>Price!F72</f>
        <v>26.612380000000002</v>
      </c>
      <c r="R72" s="323"/>
      <c r="S72" s="323"/>
      <c r="T72" s="12">
        <f>Price!G72</f>
        <v>9571190</v>
      </c>
      <c r="U72" s="257">
        <f>Price!H72</f>
        <v>227489</v>
      </c>
      <c r="V72" s="13"/>
      <c r="W72" s="13"/>
      <c r="X72" s="19"/>
      <c r="Y72" s="19"/>
    </row>
    <row r="73" spans="1:25" x14ac:dyDescent="0.35">
      <c r="A73" s="80"/>
      <c r="B73" s="162"/>
      <c r="C73" s="162"/>
      <c r="D73" s="540"/>
      <c r="E73" s="77"/>
      <c r="F73" s="64"/>
      <c r="G73" s="64"/>
      <c r="H73" s="64"/>
      <c r="I73" s="64"/>
      <c r="J73" s="64"/>
      <c r="K73" s="62"/>
      <c r="L73" s="60" t="str">
        <f>Price!A73</f>
        <v>Bočnice K 550mm, černé Terra</v>
      </c>
      <c r="M73" s="15" t="str">
        <f>Price!B73</f>
        <v>770K5502S</v>
      </c>
      <c r="N73" s="15" t="str">
        <f>Price!C73</f>
        <v>TS-M</v>
      </c>
      <c r="O73" s="537" t="str">
        <f>Price!D73</f>
        <v>!</v>
      </c>
      <c r="P73" s="16"/>
      <c r="Q73" s="17">
        <f>Price!F73</f>
        <v>26.612380000000002</v>
      </c>
      <c r="R73" s="323"/>
      <c r="S73" s="323"/>
      <c r="T73" s="12">
        <f>Price!G73</f>
        <v>9572887</v>
      </c>
      <c r="U73" s="257">
        <f>Price!H73</f>
        <v>227491</v>
      </c>
      <c r="V73" s="13"/>
      <c r="W73" s="13"/>
      <c r="X73" s="19"/>
      <c r="Y73" s="19"/>
    </row>
    <row r="74" spans="1:25" x14ac:dyDescent="0.35">
      <c r="A74" s="80"/>
      <c r="B74" s="162"/>
      <c r="C74" s="162"/>
      <c r="D74" s="540"/>
      <c r="E74" s="77"/>
      <c r="F74" s="64"/>
      <c r="G74" s="64"/>
      <c r="H74" s="64"/>
      <c r="I74" s="64"/>
      <c r="J74" s="64"/>
      <c r="K74" s="62"/>
      <c r="L74" s="60" t="str">
        <f>Price!A74</f>
        <v>Bočnice K 550mm, nerez</v>
      </c>
      <c r="M74" s="15" t="str">
        <f>Price!B74</f>
        <v>770K5502I</v>
      </c>
      <c r="N74" s="15" t="str">
        <f>Price!C74</f>
        <v>Inox</v>
      </c>
      <c r="O74" s="537" t="str">
        <f>Price!D74</f>
        <v>!</v>
      </c>
      <c r="P74" s="16"/>
      <c r="Q74" s="17">
        <f>Price!F74</f>
        <v>49.707360000000001</v>
      </c>
      <c r="R74" s="323"/>
      <c r="S74" s="323"/>
      <c r="T74" s="12">
        <f>Price!G74</f>
        <v>1770080</v>
      </c>
      <c r="U74" s="257">
        <f>Price!H74</f>
        <v>227492</v>
      </c>
      <c r="V74" s="13"/>
      <c r="W74" s="13"/>
      <c r="X74" s="19"/>
      <c r="Y74" s="19"/>
    </row>
    <row r="75" spans="1:25" ht="15" thickBot="1" x14ac:dyDescent="0.4">
      <c r="A75" s="85" t="str">
        <f>IF($C$2=1,L75,IF($C$2=2,L76,IF($C$2=3,L77,IF($C$2=4,L78,"  chyba"))))</f>
        <v>Bočnice C pure, 270mm, Orion šedé</v>
      </c>
      <c r="B75" s="86" t="str">
        <f>IF($C$2=1,M75,IF($C$2=2,M76,IF($C$2=3,M77,IF($C$2=4,M78,"  chyba"))))</f>
        <v>770C2702S</v>
      </c>
      <c r="C75" s="86" t="str">
        <f>IF($C$2=1,N75,IF($C$2=2,N76,IF($C$2=3,N77,IF($C$2=4,N78,"  chyba"))))</f>
        <v>OG-M</v>
      </c>
      <c r="D75" s="86">
        <f>IF($C$2=1,O75,IF($C$2=2,O76,IF($C$2=3,O77,IF($C$2=4,O78,"  chyba"))))</f>
        <v>0</v>
      </c>
      <c r="E75" s="87"/>
      <c r="F75" s="88">
        <f>IF($C$2=1,Q75,IF($C$2=2,Q76,IF($C$2=3,Q77,IF($C$2=4,Q78,0))))*(100-$F$6)/100</f>
        <v>29.004729999999999</v>
      </c>
      <c r="G75" s="64"/>
      <c r="H75" s="64"/>
      <c r="I75" s="171">
        <f>IF($C$2=1,T75,IF($C$2=2,T76,IF($C$2=3,T77,IF($C$2=4,T78,"  chyba"))))</f>
        <v>8762565</v>
      </c>
      <c r="J75" s="171">
        <f>IF($C$2=1,U75,IF($C$2=2,U76,IF($C$2=3,U77,IF($C$2=4,U78,"  chyba"))))</f>
        <v>227494</v>
      </c>
      <c r="K75" s="62"/>
      <c r="L75" s="60" t="str">
        <f>Price!A75</f>
        <v>Bočnice C pure, 270mm, Orion šedé</v>
      </c>
      <c r="M75" s="15" t="str">
        <f>Price!B75</f>
        <v>770C2702S</v>
      </c>
      <c r="N75" s="15" t="str">
        <f>Price!C75</f>
        <v>OG-M</v>
      </c>
      <c r="O75" s="537">
        <f>Price!D75</f>
        <v>0</v>
      </c>
      <c r="P75" s="16"/>
      <c r="Q75" s="17">
        <f>Price!F75</f>
        <v>29.004729999999999</v>
      </c>
      <c r="R75" s="323"/>
      <c r="S75" s="323"/>
      <c r="T75" s="12">
        <f>Price!G75</f>
        <v>8762565</v>
      </c>
      <c r="U75" s="257">
        <f>Price!H75</f>
        <v>227494</v>
      </c>
      <c r="V75" s="13"/>
      <c r="W75" s="13"/>
      <c r="X75" s="19"/>
      <c r="Y75" s="19"/>
    </row>
    <row r="76" spans="1:25" x14ac:dyDescent="0.35">
      <c r="A76" s="80"/>
      <c r="B76" s="162"/>
      <c r="C76" s="162"/>
      <c r="D76" s="540"/>
      <c r="E76" s="77"/>
      <c r="F76" s="64"/>
      <c r="G76" s="64"/>
      <c r="H76" s="64"/>
      <c r="I76" s="64"/>
      <c r="J76" s="64"/>
      <c r="K76" s="62"/>
      <c r="L76" s="60" t="str">
        <f>Price!A76</f>
        <v>Bočnice C pure, 270mm, hedvábně bílé</v>
      </c>
      <c r="M76" s="15" t="str">
        <f>Price!B76</f>
        <v>770C2702S</v>
      </c>
      <c r="N76" s="15" t="str">
        <f>Price!C76</f>
        <v>SW-M</v>
      </c>
      <c r="O76" s="537">
        <f>Price!D76</f>
        <v>0</v>
      </c>
      <c r="P76" s="16"/>
      <c r="Q76" s="17">
        <f>Price!F76</f>
        <v>28.898599999999998</v>
      </c>
      <c r="R76" s="323"/>
      <c r="S76" s="323"/>
      <c r="T76" s="12">
        <f>Price!G76</f>
        <v>8764832</v>
      </c>
      <c r="U76" s="257">
        <f>Price!H76</f>
        <v>227493</v>
      </c>
      <c r="V76" s="13"/>
      <c r="W76" s="13"/>
      <c r="X76" s="19"/>
      <c r="Y76" s="19"/>
    </row>
    <row r="77" spans="1:25" x14ac:dyDescent="0.35">
      <c r="A77" s="80"/>
      <c r="B77" s="162"/>
      <c r="C77" s="162"/>
      <c r="D77" s="540"/>
      <c r="E77" s="77"/>
      <c r="F77" s="64"/>
      <c r="G77" s="64"/>
      <c r="H77" s="64"/>
      <c r="I77" s="64"/>
      <c r="J77" s="64"/>
      <c r="K77" s="62"/>
      <c r="L77" s="60" t="str">
        <f>Price!A77</f>
        <v>Bočnice C pure, 270mm, černé Terra</v>
      </c>
      <c r="M77" s="15" t="str">
        <f>Price!B77</f>
        <v>770C2702S</v>
      </c>
      <c r="N77" s="15" t="str">
        <f>Price!C77</f>
        <v>TS-M</v>
      </c>
      <c r="O77" s="537">
        <f>Price!D77</f>
        <v>0</v>
      </c>
      <c r="P77" s="16"/>
      <c r="Q77" s="17">
        <f>Price!F77</f>
        <v>29.004729999999999</v>
      </c>
      <c r="R77" s="323"/>
      <c r="S77" s="323"/>
      <c r="T77" s="12">
        <f>Price!G77</f>
        <v>8768393</v>
      </c>
      <c r="U77" s="257">
        <f>Price!H77</f>
        <v>227495</v>
      </c>
      <c r="V77" s="13"/>
      <c r="W77" s="13"/>
      <c r="X77" s="19"/>
      <c r="Y77" s="19"/>
    </row>
    <row r="78" spans="1:25" x14ac:dyDescent="0.35">
      <c r="A78" s="80"/>
      <c r="B78" s="162"/>
      <c r="C78" s="162"/>
      <c r="D78" s="540"/>
      <c r="E78" s="77"/>
      <c r="F78" s="64"/>
      <c r="G78" s="64"/>
      <c r="H78" s="64"/>
      <c r="I78" s="64"/>
      <c r="J78" s="64"/>
      <c r="K78" s="62"/>
      <c r="L78" s="60" t="str">
        <f>Price!A78</f>
        <v>Bočnice C pure, 270mm, nerez</v>
      </c>
      <c r="M78" s="15" t="str">
        <f>Price!B78</f>
        <v>770C2702I</v>
      </c>
      <c r="N78" s="15" t="str">
        <f>Price!C78</f>
        <v>Inox</v>
      </c>
      <c r="O78" s="537" t="str">
        <f>Price!D78</f>
        <v>!</v>
      </c>
      <c r="P78" s="16"/>
      <c r="Q78" s="17">
        <f>Price!F78</f>
        <v>56.612650000000002</v>
      </c>
      <c r="R78" s="323"/>
      <c r="S78" s="323"/>
      <c r="T78" s="12">
        <f>Price!G78</f>
        <v>9717715</v>
      </c>
      <c r="U78" s="257">
        <f>Price!H78</f>
        <v>227496</v>
      </c>
      <c r="V78" s="13"/>
      <c r="W78" s="13"/>
      <c r="X78" s="19"/>
      <c r="Y78" s="19"/>
    </row>
    <row r="79" spans="1:25" ht="15" thickBot="1" x14ac:dyDescent="0.4">
      <c r="A79" s="85" t="str">
        <f>IF($C$2=1,L79,IF($C$2=2,L80,IF($C$2=3,L81,IF($C$2=4,L82,"  chyba"))))</f>
        <v>Bočnice C pure, 300mm, Orion šedé</v>
      </c>
      <c r="B79" s="86" t="str">
        <f>IF($C$2=1,M79,IF($C$2=2,M80,IF($C$2=3,M81,IF($C$2=4,M82,"  chyba"))))</f>
        <v>770C3002S</v>
      </c>
      <c r="C79" s="86" t="str">
        <f>IF($C$2=1,N79,IF($C$2=2,N80,IF($C$2=3,N81,IF($C$2=4,N82,"  chyba"))))</f>
        <v>OG-M</v>
      </c>
      <c r="D79" s="86">
        <f>IF($C$2=1,O79,IF($C$2=2,O80,IF($C$2=3,O81,IF($C$2=4,O82,"  chyba"))))</f>
        <v>0</v>
      </c>
      <c r="E79" s="87"/>
      <c r="F79" s="88">
        <f>IF($C$2=1,Q79,IF($C$2=2,Q80,IF($C$2=3,Q81,IF($C$2=4,Q82,0))))*(100-$F$6)/100</f>
        <v>29.004729999999999</v>
      </c>
      <c r="G79" s="64"/>
      <c r="H79" s="64"/>
      <c r="I79" s="171">
        <f>IF($C$2=1,T79,IF($C$2=2,T80,IF($C$2=3,T81,IF($C$2=4,T82,"  chyba"))))</f>
        <v>8769064</v>
      </c>
      <c r="J79" s="171">
        <f>IF($C$2=1,U79,IF($C$2=2,U80,IF($C$2=3,U81,IF($C$2=4,U82,"  chyba"))))</f>
        <v>227498</v>
      </c>
      <c r="K79" s="20"/>
      <c r="L79" s="60" t="str">
        <f>Price!A79</f>
        <v>Bočnice C pure, 300mm, Orion šedé</v>
      </c>
      <c r="M79" s="15" t="str">
        <f>Price!B79</f>
        <v>770C3002S</v>
      </c>
      <c r="N79" s="15" t="str">
        <f>Price!C79</f>
        <v>OG-M</v>
      </c>
      <c r="O79" s="537">
        <f>Price!D79</f>
        <v>0</v>
      </c>
      <c r="P79" s="16"/>
      <c r="Q79" s="17">
        <f>Price!F79</f>
        <v>29.004729999999999</v>
      </c>
      <c r="R79" s="323"/>
      <c r="S79" s="323"/>
      <c r="T79" s="12">
        <f>Price!G79</f>
        <v>8769064</v>
      </c>
      <c r="U79" s="257">
        <f>Price!H79</f>
        <v>227498</v>
      </c>
      <c r="V79" s="13"/>
      <c r="W79" s="13"/>
      <c r="X79" s="19"/>
      <c r="Y79" s="19"/>
    </row>
    <row r="80" spans="1:25" x14ac:dyDescent="0.35">
      <c r="A80" s="80"/>
      <c r="B80" s="162"/>
      <c r="C80" s="162"/>
      <c r="D80" s="540"/>
      <c r="E80" s="77"/>
      <c r="F80" s="64"/>
      <c r="G80" s="64"/>
      <c r="H80" s="64"/>
      <c r="I80" s="64"/>
      <c r="J80" s="64"/>
      <c r="K80" s="20"/>
      <c r="L80" s="60" t="str">
        <f>Price!A80</f>
        <v>Bočnice C pure, 300mm, hedvábně bílé</v>
      </c>
      <c r="M80" s="15" t="str">
        <f>Price!B80</f>
        <v>770C3002S</v>
      </c>
      <c r="N80" s="15" t="str">
        <f>Price!C80</f>
        <v>SW-M</v>
      </c>
      <c r="O80" s="537">
        <f>Price!D80</f>
        <v>0</v>
      </c>
      <c r="P80" s="16"/>
      <c r="Q80" s="17">
        <f>Price!F80</f>
        <v>29.004729999999999</v>
      </c>
      <c r="R80" s="323"/>
      <c r="S80" s="323"/>
      <c r="T80" s="12">
        <f>Price!G80</f>
        <v>8774453</v>
      </c>
      <c r="U80" s="257">
        <f>Price!H80</f>
        <v>227497</v>
      </c>
      <c r="V80" s="13"/>
      <c r="W80" s="13"/>
      <c r="X80" s="19"/>
      <c r="Y80" s="19"/>
    </row>
    <row r="81" spans="1:25" x14ac:dyDescent="0.35">
      <c r="A81" s="80"/>
      <c r="B81" s="162"/>
      <c r="C81" s="162"/>
      <c r="D81" s="540"/>
      <c r="E81" s="77"/>
      <c r="F81" s="64"/>
      <c r="G81" s="64"/>
      <c r="H81" s="64"/>
      <c r="I81" s="64"/>
      <c r="J81" s="64"/>
      <c r="K81" s="20"/>
      <c r="L81" s="60" t="str">
        <f>Price!A81</f>
        <v>Bočnice C pure, 300mm, černé Terra</v>
      </c>
      <c r="M81" s="15" t="str">
        <f>Price!B81</f>
        <v>770C3002S</v>
      </c>
      <c r="N81" s="15" t="str">
        <f>Price!C81</f>
        <v>TS-M</v>
      </c>
      <c r="O81" s="537">
        <f>Price!D81</f>
        <v>0</v>
      </c>
      <c r="P81" s="16"/>
      <c r="Q81" s="17">
        <f>Price!F81</f>
        <v>29.004729999999999</v>
      </c>
      <c r="R81" s="323"/>
      <c r="S81" s="323"/>
      <c r="T81" s="12">
        <f>Price!G81</f>
        <v>8784593</v>
      </c>
      <c r="U81" s="257">
        <f>Price!H81</f>
        <v>227499</v>
      </c>
      <c r="V81" s="13"/>
      <c r="W81" s="13"/>
      <c r="X81" s="19"/>
      <c r="Y81" s="19"/>
    </row>
    <row r="82" spans="1:25" x14ac:dyDescent="0.35">
      <c r="A82" s="80"/>
      <c r="B82" s="162"/>
      <c r="C82" s="162"/>
      <c r="D82" s="540"/>
      <c r="E82" s="77"/>
      <c r="F82" s="64"/>
      <c r="G82" s="64"/>
      <c r="H82" s="64"/>
      <c r="I82" s="64"/>
      <c r="J82" s="64"/>
      <c r="K82" s="61"/>
      <c r="L82" s="60" t="str">
        <f>Price!A82</f>
        <v>Bočnice C pure, 300mm, nerez</v>
      </c>
      <c r="M82" s="15" t="str">
        <f>Price!B82</f>
        <v>770C3002I</v>
      </c>
      <c r="N82" s="15" t="str">
        <f>Price!C82</f>
        <v>Inox</v>
      </c>
      <c r="O82" s="537" t="str">
        <f>Price!D82</f>
        <v>!</v>
      </c>
      <c r="P82" s="16"/>
      <c r="Q82" s="17">
        <f>Price!F82</f>
        <v>56.612650000000002</v>
      </c>
      <c r="R82" s="323"/>
      <c r="S82" s="323"/>
      <c r="T82" s="12">
        <f>Price!G82</f>
        <v>9724625</v>
      </c>
      <c r="U82" s="257">
        <f>Price!H82</f>
        <v>227500</v>
      </c>
      <c r="V82" s="13"/>
      <c r="W82" s="13"/>
      <c r="X82" s="19"/>
      <c r="Y82" s="19"/>
    </row>
    <row r="83" spans="1:25" ht="15" thickBot="1" x14ac:dyDescent="0.4">
      <c r="A83" s="85" t="str">
        <f>IF($C$2=1,L83,IF($C$2=2,L84,IF($C$2=3,L85,IF($C$2=4,L86,"  chyba"))))</f>
        <v>Bočnice C pure, 350mm, Orion šedé</v>
      </c>
      <c r="B83" s="86" t="str">
        <f>IF($C$2=1,M83,IF($C$2=2,M84,IF($C$2=3,M85,IF($C$2=4,M86,"  chyba"))))</f>
        <v>770C3502S</v>
      </c>
      <c r="C83" s="86" t="str">
        <f>IF($C$2=1,N83,IF($C$2=2,N84,IF($C$2=3,N85,IF($C$2=4,N86,"  chyba"))))</f>
        <v>OG-M</v>
      </c>
      <c r="D83" s="86">
        <f>IF($C$2=1,O83,IF($C$2=2,O84,IF($C$2=3,O85,IF($C$2=4,O86,"  chyba"))))</f>
        <v>0</v>
      </c>
      <c r="E83" s="87"/>
      <c r="F83" s="88">
        <f>IF($C$2=1,Q83,IF($C$2=2,Q84,IF($C$2=3,Q85,IF($C$2=4,Q86,0))))*(100-$F$6)/100</f>
        <v>29.004729999999999</v>
      </c>
      <c r="G83" s="64"/>
      <c r="H83" s="64"/>
      <c r="I83" s="171">
        <f>IF($C$2=1,T83,IF($C$2=2,T84,IF($C$2=3,T85,IF($C$2=4,T86,"  chyba"))))</f>
        <v>8799519</v>
      </c>
      <c r="J83" s="171">
        <f>IF($C$2=1,U83,IF($C$2=2,U84,IF($C$2=3,U85,IF($C$2=4,U86,"  chyba"))))</f>
        <v>227502</v>
      </c>
      <c r="K83" s="20"/>
      <c r="L83" s="60" t="str">
        <f>Price!A83</f>
        <v>Bočnice C pure, 350mm, Orion šedé</v>
      </c>
      <c r="M83" s="15" t="str">
        <f>Price!B83</f>
        <v>770C3502S</v>
      </c>
      <c r="N83" s="15" t="str">
        <f>Price!C83</f>
        <v>OG-M</v>
      </c>
      <c r="O83" s="537">
        <f>Price!D83</f>
        <v>0</v>
      </c>
      <c r="P83" s="16"/>
      <c r="Q83" s="17">
        <f>Price!F83</f>
        <v>29.004729999999999</v>
      </c>
      <c r="R83" s="323"/>
      <c r="S83" s="323"/>
      <c r="T83" s="12">
        <f>Price!G83</f>
        <v>8799519</v>
      </c>
      <c r="U83" s="257">
        <f>Price!H83</f>
        <v>227502</v>
      </c>
      <c r="V83" s="13"/>
      <c r="W83" s="13"/>
      <c r="X83" s="19"/>
      <c r="Y83" s="19"/>
    </row>
    <row r="84" spans="1:25" x14ac:dyDescent="0.35">
      <c r="A84" s="80"/>
      <c r="B84" s="162"/>
      <c r="C84" s="162"/>
      <c r="D84" s="540"/>
      <c r="E84" s="77"/>
      <c r="F84" s="64"/>
      <c r="G84" s="64"/>
      <c r="H84" s="64"/>
      <c r="I84" s="64"/>
      <c r="J84" s="64"/>
      <c r="K84" s="20"/>
      <c r="L84" s="60" t="str">
        <f>Price!A84</f>
        <v>Bočnice C pure, 350mm, hedvábně bílé</v>
      </c>
      <c r="M84" s="15" t="str">
        <f>Price!B84</f>
        <v>770C3502S</v>
      </c>
      <c r="N84" s="15" t="str">
        <f>Price!C84</f>
        <v>SW-M</v>
      </c>
      <c r="O84" s="537">
        <f>Price!D84</f>
        <v>0</v>
      </c>
      <c r="P84" s="16"/>
      <c r="Q84" s="17">
        <f>Price!F84</f>
        <v>28.898599999999998</v>
      </c>
      <c r="R84" s="323"/>
      <c r="S84" s="323"/>
      <c r="T84" s="12">
        <f>Price!G84</f>
        <v>8814169</v>
      </c>
      <c r="U84" s="257">
        <f>Price!H84</f>
        <v>227501</v>
      </c>
      <c r="V84" s="13"/>
      <c r="W84" s="13"/>
      <c r="X84" s="19"/>
      <c r="Y84" s="19"/>
    </row>
    <row r="85" spans="1:25" x14ac:dyDescent="0.35">
      <c r="A85" s="80"/>
      <c r="B85" s="162"/>
      <c r="C85" s="162"/>
      <c r="D85" s="540"/>
      <c r="E85" s="77"/>
      <c r="F85" s="64"/>
      <c r="G85" s="64"/>
      <c r="H85" s="64"/>
      <c r="I85" s="64"/>
      <c r="J85" s="64"/>
      <c r="K85" s="20"/>
      <c r="L85" s="60" t="str">
        <f>Price!A85</f>
        <v>Bočnice C pure, 350mm, černé Terra</v>
      </c>
      <c r="M85" s="15" t="str">
        <f>Price!B85</f>
        <v>770C3502S</v>
      </c>
      <c r="N85" s="15" t="str">
        <f>Price!C85</f>
        <v>TS-M</v>
      </c>
      <c r="O85" s="537">
        <f>Price!D85</f>
        <v>0</v>
      </c>
      <c r="P85" s="16"/>
      <c r="Q85" s="17">
        <f>Price!F85</f>
        <v>29.004729999999999</v>
      </c>
      <c r="R85" s="323"/>
      <c r="S85" s="323"/>
      <c r="T85" s="12">
        <f>Price!G85</f>
        <v>8828590</v>
      </c>
      <c r="U85" s="257">
        <f>Price!H85</f>
        <v>227503</v>
      </c>
      <c r="V85" s="13"/>
      <c r="W85" s="13"/>
      <c r="X85" s="19"/>
      <c r="Y85" s="19"/>
    </row>
    <row r="86" spans="1:25" x14ac:dyDescent="0.35">
      <c r="A86" s="80"/>
      <c r="B86" s="162"/>
      <c r="C86" s="162"/>
      <c r="D86" s="540"/>
      <c r="E86" s="77"/>
      <c r="F86" s="64"/>
      <c r="G86" s="64"/>
      <c r="H86" s="64"/>
      <c r="I86" s="64"/>
      <c r="J86" s="64"/>
      <c r="K86" s="61"/>
      <c r="L86" s="60" t="str">
        <f>Price!A86</f>
        <v>Bočnice C pure, 350mm, nerez</v>
      </c>
      <c r="M86" s="15" t="str">
        <f>Price!B86</f>
        <v>770C3502I</v>
      </c>
      <c r="N86" s="15" t="str">
        <f>Price!C86</f>
        <v>Inox</v>
      </c>
      <c r="O86" s="537" t="str">
        <f>Price!D86</f>
        <v>!</v>
      </c>
      <c r="P86" s="16"/>
      <c r="Q86" s="17">
        <f>Price!F86</f>
        <v>56.612650000000002</v>
      </c>
      <c r="R86" s="323"/>
      <c r="S86" s="323"/>
      <c r="T86" s="12">
        <f>Price!G86</f>
        <v>9758672</v>
      </c>
      <c r="U86" s="257">
        <f>Price!H86</f>
        <v>227504</v>
      </c>
      <c r="V86" s="13"/>
      <c r="W86" s="13"/>
      <c r="X86" s="19"/>
      <c r="Y86" s="19"/>
    </row>
    <row r="87" spans="1:25" ht="15" thickBot="1" x14ac:dyDescent="0.4">
      <c r="A87" s="85" t="str">
        <f>IF($C$2=1,L87,IF($C$2=2,L88,IF($C$2=3,L89,IF($C$2=4,L90,"  chyba"))))</f>
        <v>Bočnice C pure, 400mm, Orion šedé</v>
      </c>
      <c r="B87" s="86" t="str">
        <f>IF($C$2=1,M87,IF($C$2=2,M88,IF($C$2=3,M89,IF($C$2=4,M90,"  chyba"))))</f>
        <v>770C4002S</v>
      </c>
      <c r="C87" s="86" t="str">
        <f>IF($C$2=1,N87,IF($C$2=2,N88,IF($C$2=3,N89,IF($C$2=4,N90,"  chyba"))))</f>
        <v>OG-M</v>
      </c>
      <c r="D87" s="86">
        <f>IF($C$2=1,O87,IF($C$2=2,O88,IF($C$2=3,O89,IF($C$2=4,O90,"  chyba"))))</f>
        <v>0</v>
      </c>
      <c r="E87" s="87"/>
      <c r="F87" s="88">
        <f>IF($C$2=1,Q87,IF($C$2=2,Q88,IF($C$2=3,Q89,IF($C$2=4,Q90,0))))*(100-$F$6)/100</f>
        <v>29.360900000000001</v>
      </c>
      <c r="G87" s="64"/>
      <c r="H87" s="64"/>
      <c r="I87" s="171">
        <f>IF($C$2=1,T87,IF($C$2=2,T88,IF($C$2=3,T89,IF($C$2=4,T90,"  chyba"))))</f>
        <v>8858929</v>
      </c>
      <c r="J87" s="171">
        <f>IF($C$2=1,U87,IF($C$2=2,U88,IF($C$2=3,U89,IF($C$2=4,U90,"  chyba"))))</f>
        <v>227506</v>
      </c>
      <c r="K87" s="20"/>
      <c r="L87" s="60" t="str">
        <f>Price!A87</f>
        <v>Bočnice C pure, 400mm, Orion šedé</v>
      </c>
      <c r="M87" s="15" t="str">
        <f>Price!B87</f>
        <v>770C4002S</v>
      </c>
      <c r="N87" s="15" t="str">
        <f>Price!C87</f>
        <v>OG-M</v>
      </c>
      <c r="O87" s="537">
        <f>Price!D87</f>
        <v>0</v>
      </c>
      <c r="P87" s="16"/>
      <c r="Q87" s="17">
        <f>Price!F87</f>
        <v>29.360900000000001</v>
      </c>
      <c r="R87" s="323"/>
      <c r="S87" s="323"/>
      <c r="T87" s="12">
        <f>Price!G87</f>
        <v>8858929</v>
      </c>
      <c r="U87" s="257">
        <f>Price!H87</f>
        <v>227506</v>
      </c>
      <c r="V87" s="13"/>
      <c r="W87" s="13"/>
      <c r="X87" s="19"/>
      <c r="Y87" s="19"/>
    </row>
    <row r="88" spans="1:25" x14ac:dyDescent="0.35">
      <c r="A88" s="80"/>
      <c r="B88" s="162"/>
      <c r="C88" s="162"/>
      <c r="D88" s="540"/>
      <c r="E88" s="77"/>
      <c r="F88" s="64"/>
      <c r="G88" s="64"/>
      <c r="H88" s="64"/>
      <c r="I88" s="64"/>
      <c r="J88" s="64"/>
      <c r="K88" s="20"/>
      <c r="L88" s="60" t="str">
        <f>Price!A88</f>
        <v>Bočnice C pure, 400mm, hedvábně bílé</v>
      </c>
      <c r="M88" s="15" t="str">
        <f>Price!B88</f>
        <v>770C4002S</v>
      </c>
      <c r="N88" s="15" t="str">
        <f>Price!C88</f>
        <v>SW-M</v>
      </c>
      <c r="O88" s="537">
        <f>Price!D88</f>
        <v>0</v>
      </c>
      <c r="P88" s="16"/>
      <c r="Q88" s="17">
        <f>Price!F88</f>
        <v>29.360900000000001</v>
      </c>
      <c r="R88" s="323"/>
      <c r="S88" s="323"/>
      <c r="T88" s="12">
        <f>Price!G88</f>
        <v>8914227</v>
      </c>
      <c r="U88" s="257">
        <f>Price!H88</f>
        <v>227505</v>
      </c>
      <c r="V88" s="13"/>
      <c r="W88" s="13"/>
      <c r="X88" s="19"/>
      <c r="Y88" s="19"/>
    </row>
    <row r="89" spans="1:25" x14ac:dyDescent="0.35">
      <c r="A89" s="80"/>
      <c r="B89" s="162"/>
      <c r="C89" s="162"/>
      <c r="D89" s="540"/>
      <c r="E89" s="77"/>
      <c r="F89" s="64"/>
      <c r="G89" s="64"/>
      <c r="H89" s="64"/>
      <c r="I89" s="64"/>
      <c r="J89" s="64"/>
      <c r="K89" s="20"/>
      <c r="L89" s="60" t="str">
        <f>Price!A89</f>
        <v>Bočnice C pure, 400mm, černé Terra</v>
      </c>
      <c r="M89" s="15" t="str">
        <f>Price!B89</f>
        <v>770C4002S</v>
      </c>
      <c r="N89" s="15" t="str">
        <f>Price!C89</f>
        <v>TS-M</v>
      </c>
      <c r="O89" s="537">
        <f>Price!D89</f>
        <v>0</v>
      </c>
      <c r="P89" s="16"/>
      <c r="Q89" s="17">
        <f>Price!F89</f>
        <v>29.360900000000001</v>
      </c>
      <c r="R89" s="323"/>
      <c r="S89" s="323"/>
      <c r="T89" s="12">
        <f>Price!G89</f>
        <v>8928290</v>
      </c>
      <c r="U89" s="257">
        <f>Price!H89</f>
        <v>227507</v>
      </c>
      <c r="V89" s="13"/>
      <c r="W89" s="13"/>
      <c r="X89" s="19"/>
      <c r="Y89" s="19"/>
    </row>
    <row r="90" spans="1:25" x14ac:dyDescent="0.35">
      <c r="A90" s="80"/>
      <c r="B90" s="162"/>
      <c r="C90" s="162"/>
      <c r="D90" s="540"/>
      <c r="E90" s="77"/>
      <c r="F90" s="64"/>
      <c r="G90" s="64"/>
      <c r="H90" s="64"/>
      <c r="I90" s="64"/>
      <c r="J90" s="64"/>
      <c r="K90" s="61"/>
      <c r="L90" s="60" t="str">
        <f>Price!A90</f>
        <v>Bočnice C pure, 400mm, nerez</v>
      </c>
      <c r="M90" s="15" t="str">
        <f>Price!B90</f>
        <v>770C4002I</v>
      </c>
      <c r="N90" s="15" t="str">
        <f>Price!C90</f>
        <v>Inox</v>
      </c>
      <c r="O90" s="537" t="str">
        <f>Price!D90</f>
        <v>!</v>
      </c>
      <c r="P90" s="16"/>
      <c r="Q90" s="17">
        <f>Price!F90</f>
        <v>57.725189999999998</v>
      </c>
      <c r="R90" s="323"/>
      <c r="S90" s="323"/>
      <c r="T90" s="12">
        <f>Price!G90</f>
        <v>9760627</v>
      </c>
      <c r="U90" s="257">
        <f>Price!H90</f>
        <v>227508</v>
      </c>
      <c r="V90" s="13"/>
      <c r="W90" s="13"/>
      <c r="X90" s="19"/>
      <c r="Y90" s="19"/>
    </row>
    <row r="91" spans="1:25" ht="15" thickBot="1" x14ac:dyDescent="0.4">
      <c r="A91" s="85" t="str">
        <f>IF($C$2=1,L91,IF($C$2=2,L92,IF($C$2=3,L93,IF($C$2=4,L94,"  chyba"))))</f>
        <v>Bočnice C pure, 450mm, Orion šedé</v>
      </c>
      <c r="B91" s="86" t="str">
        <f>IF($C$2=1,M91,IF($C$2=2,M92,IF($C$2=3,M93,IF($C$2=4,M94,"  chyba"))))</f>
        <v>770C4502S</v>
      </c>
      <c r="C91" s="86" t="str">
        <f>IF($C$2=1,N91,IF($C$2=2,N92,IF($C$2=3,N93,IF($C$2=4,N94,"  chyba"))))</f>
        <v>OG-M</v>
      </c>
      <c r="D91" s="86">
        <f>IF($C$2=1,O91,IF($C$2=2,O92,IF($C$2=3,O93,IF($C$2=4,O94,"  chyba"))))</f>
        <v>0</v>
      </c>
      <c r="E91" s="87"/>
      <c r="F91" s="88">
        <f>IF($C$2=1,Q91,IF($C$2=2,Q92,IF($C$2=3,Q93,IF($C$2=4,Q94,0))))*(100-$F$6)/100</f>
        <v>31.28134</v>
      </c>
      <c r="G91" s="64"/>
      <c r="H91" s="64"/>
      <c r="I91" s="171">
        <f>IF($C$2=1,T91,IF($C$2=2,T92,IF($C$2=3,T93,IF($C$2=4,T94,"  chyba"))))</f>
        <v>8936515</v>
      </c>
      <c r="J91" s="171">
        <f>IF($C$2=1,U91,IF($C$2=2,U92,IF($C$2=3,U93,IF($C$2=4,U94,"  chyba"))))</f>
        <v>227510</v>
      </c>
      <c r="K91" s="20"/>
      <c r="L91" s="60" t="str">
        <f>Price!A91</f>
        <v>Bočnice C pure, 450mm, Orion šedé</v>
      </c>
      <c r="M91" s="15" t="str">
        <f>Price!B91</f>
        <v>770C4502S</v>
      </c>
      <c r="N91" s="15" t="str">
        <f>Price!C91</f>
        <v>OG-M</v>
      </c>
      <c r="O91" s="537">
        <f>Price!D91</f>
        <v>0</v>
      </c>
      <c r="P91" s="16"/>
      <c r="Q91" s="17">
        <f>Price!F91</f>
        <v>31.28134</v>
      </c>
      <c r="R91" s="323"/>
      <c r="S91" s="323"/>
      <c r="T91" s="12">
        <f>Price!G91</f>
        <v>8936515</v>
      </c>
      <c r="U91" s="257">
        <f>Price!H91</f>
        <v>227510</v>
      </c>
      <c r="V91" s="13"/>
      <c r="W91" s="13"/>
      <c r="X91" s="19"/>
      <c r="Y91" s="19"/>
    </row>
    <row r="92" spans="1:25" x14ac:dyDescent="0.35">
      <c r="A92" s="80"/>
      <c r="B92" s="162"/>
      <c r="C92" s="162"/>
      <c r="D92" s="540"/>
      <c r="E92" s="77"/>
      <c r="F92" s="64"/>
      <c r="G92" s="64"/>
      <c r="H92" s="64"/>
      <c r="I92" s="64"/>
      <c r="J92" s="64"/>
      <c r="K92" s="20"/>
      <c r="L92" s="60" t="str">
        <f>Price!A92</f>
        <v>Bočnice C pure, 450mm, hedvábně bílé</v>
      </c>
      <c r="M92" s="15" t="str">
        <f>Price!B92</f>
        <v>770C4502S</v>
      </c>
      <c r="N92" s="15" t="str">
        <f>Price!C92</f>
        <v>SW-M</v>
      </c>
      <c r="O92" s="537">
        <f>Price!D92</f>
        <v>0</v>
      </c>
      <c r="P92" s="16"/>
      <c r="Q92" s="17">
        <f>Price!F92</f>
        <v>31.28134</v>
      </c>
      <c r="R92" s="323"/>
      <c r="S92" s="323"/>
      <c r="T92" s="12">
        <f>Price!G92</f>
        <v>8952499</v>
      </c>
      <c r="U92" s="257">
        <f>Price!H92</f>
        <v>227509</v>
      </c>
      <c r="V92" s="13"/>
      <c r="W92" s="13"/>
      <c r="X92" s="19"/>
      <c r="Y92" s="19"/>
    </row>
    <row r="93" spans="1:25" x14ac:dyDescent="0.35">
      <c r="A93" s="80"/>
      <c r="B93" s="162"/>
      <c r="C93" s="162"/>
      <c r="D93" s="540"/>
      <c r="E93" s="77"/>
      <c r="F93" s="64"/>
      <c r="G93" s="64"/>
      <c r="H93" s="64"/>
      <c r="I93" s="64"/>
      <c r="J93" s="64"/>
      <c r="K93" s="20"/>
      <c r="L93" s="60" t="str">
        <f>Price!A93</f>
        <v>Bočnice C pure, 450mm, černé Terra</v>
      </c>
      <c r="M93" s="15" t="str">
        <f>Price!B93</f>
        <v>770C4502S</v>
      </c>
      <c r="N93" s="15" t="str">
        <f>Price!C93</f>
        <v>TS-M</v>
      </c>
      <c r="O93" s="537">
        <f>Price!D93</f>
        <v>0</v>
      </c>
      <c r="P93" s="16"/>
      <c r="Q93" s="17">
        <f>Price!F93</f>
        <v>31.28134</v>
      </c>
      <c r="R93" s="323"/>
      <c r="S93" s="323"/>
      <c r="T93" s="12">
        <f>Price!G93</f>
        <v>8959099</v>
      </c>
      <c r="U93" s="257">
        <f>Price!H93</f>
        <v>227511</v>
      </c>
      <c r="V93" s="13"/>
      <c r="W93" s="13"/>
      <c r="X93" s="19"/>
      <c r="Y93" s="19"/>
    </row>
    <row r="94" spans="1:25" x14ac:dyDescent="0.35">
      <c r="A94" s="80"/>
      <c r="B94" s="162"/>
      <c r="C94" s="162"/>
      <c r="D94" s="540"/>
      <c r="E94" s="77"/>
      <c r="F94" s="64"/>
      <c r="G94" s="64"/>
      <c r="H94" s="64"/>
      <c r="I94" s="64"/>
      <c r="J94" s="64"/>
      <c r="K94" s="61"/>
      <c r="L94" s="60" t="str">
        <f>Price!A94</f>
        <v>Bočnice C pure, 450mm, nerez</v>
      </c>
      <c r="M94" s="15" t="str">
        <f>Price!B94</f>
        <v>770C4502I</v>
      </c>
      <c r="N94" s="15" t="str">
        <f>Price!C94</f>
        <v>Inox</v>
      </c>
      <c r="O94" s="537" t="str">
        <f>Price!D94</f>
        <v>!</v>
      </c>
      <c r="P94" s="16"/>
      <c r="Q94" s="17">
        <f>Price!F94</f>
        <v>58.83755</v>
      </c>
      <c r="R94" s="323"/>
      <c r="S94" s="323"/>
      <c r="T94" s="12">
        <f>Price!G94</f>
        <v>9778477</v>
      </c>
      <c r="U94" s="257">
        <f>Price!H94</f>
        <v>227512</v>
      </c>
      <c r="V94" s="13"/>
      <c r="W94" s="13"/>
      <c r="X94" s="19"/>
      <c r="Y94" s="19"/>
    </row>
    <row r="95" spans="1:25" ht="15" thickBot="1" x14ac:dyDescent="0.4">
      <c r="A95" s="85" t="str">
        <f>IF($C$2=1,L95,IF($C$2=2,L96,IF($C$2=3,L97,IF($C$2=4,L98,"  chyba"))))</f>
        <v>Bočnice C pure, 500mm, Orion šedé</v>
      </c>
      <c r="B95" s="86" t="str">
        <f>IF($C$2=1,M95,IF($C$2=2,M96,IF($C$2=3,M97,IF($C$2=4,M98,"  chyba"))))</f>
        <v>770C5002S</v>
      </c>
      <c r="C95" s="86" t="str">
        <f>IF($C$2=1,N95,IF($C$2=2,N96,IF($C$2=3,N97,IF($C$2=4,N98,"  chyba"))))</f>
        <v>OG-M</v>
      </c>
      <c r="D95" s="86">
        <f>IF($C$2=1,O95,IF($C$2=2,O96,IF($C$2=3,O97,IF($C$2=4,O98,"  chyba"))))</f>
        <v>0</v>
      </c>
      <c r="E95" s="87"/>
      <c r="F95" s="88">
        <f>IF($C$2=1,Q95,IF($C$2=2,Q96,IF($C$2=3,Q97,IF($C$2=4,Q98,0))))*(100-$F$6)/100</f>
        <v>31.656259999999996</v>
      </c>
      <c r="G95" s="64"/>
      <c r="H95" s="64"/>
      <c r="I95" s="171">
        <f>IF($C$2=1,T95,IF($C$2=2,T96,IF($C$2=3,T97,IF($C$2=4,T98,"  chyba"))))</f>
        <v>8962303</v>
      </c>
      <c r="J95" s="171">
        <f>IF($C$2=1,U95,IF($C$2=2,U96,IF($C$2=3,U97,IF($C$2=4,U98,"  chyba"))))</f>
        <v>227514</v>
      </c>
      <c r="K95" s="20"/>
      <c r="L95" s="60" t="str">
        <f>Price!A95</f>
        <v>Bočnice C pure, 500mm, Orion šedé</v>
      </c>
      <c r="M95" s="15" t="str">
        <f>Price!B95</f>
        <v>770C5002S</v>
      </c>
      <c r="N95" s="15" t="str">
        <f>Price!C95</f>
        <v>OG-M</v>
      </c>
      <c r="O95" s="537">
        <f>Price!D95</f>
        <v>0</v>
      </c>
      <c r="P95" s="16"/>
      <c r="Q95" s="17">
        <f>Price!F95</f>
        <v>31.65626</v>
      </c>
      <c r="R95" s="323"/>
      <c r="S95" s="323"/>
      <c r="T95" s="12">
        <f>Price!G95</f>
        <v>8962303</v>
      </c>
      <c r="U95" s="257">
        <f>Price!H95</f>
        <v>227514</v>
      </c>
      <c r="V95" s="13"/>
      <c r="W95" s="13"/>
      <c r="X95" s="19"/>
      <c r="Y95" s="19"/>
    </row>
    <row r="96" spans="1:25" x14ac:dyDescent="0.35">
      <c r="A96" s="80"/>
      <c r="B96" s="162"/>
      <c r="C96" s="162"/>
      <c r="D96" s="540"/>
      <c r="E96" s="77"/>
      <c r="F96" s="64"/>
      <c r="G96" s="64"/>
      <c r="H96" s="64"/>
      <c r="I96" s="64"/>
      <c r="J96" s="64"/>
      <c r="K96" s="20"/>
      <c r="L96" s="60" t="str">
        <f>Price!A96</f>
        <v>Bočnice C pure, 500mm, hedvábně bílé</v>
      </c>
      <c r="M96" s="15" t="str">
        <f>Price!B96</f>
        <v>770C5002S</v>
      </c>
      <c r="N96" s="15" t="str">
        <f>Price!C96</f>
        <v>SW-M</v>
      </c>
      <c r="O96" s="537">
        <f>Price!D96</f>
        <v>0</v>
      </c>
      <c r="P96" s="16"/>
      <c r="Q96" s="17">
        <f>Price!F96</f>
        <v>29.96341</v>
      </c>
      <c r="R96" s="323"/>
      <c r="S96" s="323"/>
      <c r="T96" s="12">
        <f>Price!G96</f>
        <v>8965119</v>
      </c>
      <c r="U96" s="257">
        <f>Price!H96</f>
        <v>227513</v>
      </c>
      <c r="V96" s="13"/>
      <c r="W96" s="13"/>
      <c r="X96" s="19"/>
      <c r="Y96" s="19"/>
    </row>
    <row r="97" spans="1:25" x14ac:dyDescent="0.35">
      <c r="A97" s="80"/>
      <c r="B97" s="162"/>
      <c r="C97" s="162"/>
      <c r="D97" s="540"/>
      <c r="E97" s="77"/>
      <c r="F97" s="64"/>
      <c r="G97" s="64"/>
      <c r="H97" s="64"/>
      <c r="I97" s="64"/>
      <c r="J97" s="64"/>
      <c r="K97" s="61"/>
      <c r="L97" s="60" t="str">
        <f>Price!A97</f>
        <v>Bočnice C pure, 500mm, černé Terra</v>
      </c>
      <c r="M97" s="15" t="str">
        <f>Price!B97</f>
        <v>770C5002S</v>
      </c>
      <c r="N97" s="15" t="str">
        <f>Price!C97</f>
        <v>TS-M</v>
      </c>
      <c r="O97" s="537">
        <f>Price!D97</f>
        <v>0</v>
      </c>
      <c r="P97" s="16"/>
      <c r="Q97" s="17">
        <f>Price!F97</f>
        <v>31.65626</v>
      </c>
      <c r="R97" s="323"/>
      <c r="S97" s="323"/>
      <c r="T97" s="12">
        <f>Price!G97</f>
        <v>8979438</v>
      </c>
      <c r="U97" s="257">
        <f>Price!H97</f>
        <v>227515</v>
      </c>
      <c r="V97" s="13"/>
      <c r="W97" s="13"/>
      <c r="X97" s="19"/>
      <c r="Y97" s="19"/>
    </row>
    <row r="98" spans="1:25" x14ac:dyDescent="0.35">
      <c r="A98" s="80"/>
      <c r="B98" s="162"/>
      <c r="C98" s="162"/>
      <c r="D98" s="540"/>
      <c r="E98" s="77"/>
      <c r="F98" s="64"/>
      <c r="G98" s="64"/>
      <c r="H98" s="64"/>
      <c r="I98" s="64"/>
      <c r="J98" s="64"/>
      <c r="K98" s="20"/>
      <c r="L98" s="60" t="str">
        <f>Price!A98</f>
        <v>Bočnice C pure, 500mm, nerez</v>
      </c>
      <c r="M98" s="15" t="str">
        <f>Price!B98</f>
        <v>770C5002I</v>
      </c>
      <c r="N98" s="15" t="str">
        <f>Price!C98</f>
        <v>Inox</v>
      </c>
      <c r="O98" s="537" t="str">
        <f>Price!D98</f>
        <v>!</v>
      </c>
      <c r="P98" s="16"/>
      <c r="Q98" s="17">
        <f>Price!F98</f>
        <v>59.949910000000003</v>
      </c>
      <c r="R98" s="323"/>
      <c r="S98" s="323"/>
      <c r="T98" s="12">
        <f>Price!G98</f>
        <v>9782673</v>
      </c>
      <c r="U98" s="257">
        <f>Price!H98</f>
        <v>227516</v>
      </c>
      <c r="V98" s="13"/>
      <c r="W98" s="13"/>
      <c r="X98" s="19"/>
      <c r="Y98" s="19"/>
    </row>
    <row r="99" spans="1:25" ht="15" thickBot="1" x14ac:dyDescent="0.4">
      <c r="A99" s="85" t="str">
        <f>IF($C$2=1,L99,IF($C$2=2,L100,IF($C$2=3,L101,IF($C$2=4,L102,"  chyba"))))</f>
        <v>Bočnice C pure, 550mm, Orion šedé</v>
      </c>
      <c r="B99" s="86" t="str">
        <f>IF($C$2=1,M99,IF($C$2=2,M100,IF($C$2=3,M101,IF($C$2=4,M102,"  chyba"))))</f>
        <v>770C5502S</v>
      </c>
      <c r="C99" s="86" t="str">
        <f>IF($C$2=1,N99,IF($C$2=2,N100,IF($C$2=3,N101,IF($C$2=4,N102,"  chyba"))))</f>
        <v>OG-M</v>
      </c>
      <c r="D99" s="86">
        <f>IF($C$2=1,O99,IF($C$2=2,O100,IF($C$2=3,O101,IF($C$2=4,O102,"  chyba"))))</f>
        <v>0</v>
      </c>
      <c r="E99" s="87"/>
      <c r="F99" s="88">
        <f>IF($C$2=1,Q99,IF($C$2=2,Q100,IF($C$2=3,Q101,IF($C$2=4,Q102,0))))*(100-$F$6)/100</f>
        <v>31.853429999999999</v>
      </c>
      <c r="G99" s="64"/>
      <c r="H99" s="64"/>
      <c r="I99" s="171">
        <f>IF($C$2=1,T99,IF($C$2=2,T100,IF($C$2=3,T101,IF($C$2=4,T102,"  chyba"))))</f>
        <v>8987845</v>
      </c>
      <c r="J99" s="171">
        <f>IF($C$2=1,U99,IF($C$2=2,U100,IF($C$2=3,U101,IF($C$2=4,U102,"  chyba"))))</f>
        <v>227518</v>
      </c>
      <c r="K99" s="20"/>
      <c r="L99" s="60" t="str">
        <f>Price!A99</f>
        <v>Bočnice C pure, 550mm, Orion šedé</v>
      </c>
      <c r="M99" s="15" t="str">
        <f>Price!B99</f>
        <v>770C5502S</v>
      </c>
      <c r="N99" s="15" t="str">
        <f>Price!C99</f>
        <v>OG-M</v>
      </c>
      <c r="O99" s="537">
        <f>Price!D99</f>
        <v>0</v>
      </c>
      <c r="P99" s="16"/>
      <c r="Q99" s="17">
        <f>Price!F99</f>
        <v>31.853429999999999</v>
      </c>
      <c r="R99" s="323"/>
      <c r="S99" s="323"/>
      <c r="T99" s="12">
        <f>Price!G99</f>
        <v>8987845</v>
      </c>
      <c r="U99" s="257">
        <f>Price!H99</f>
        <v>227518</v>
      </c>
      <c r="V99" s="13"/>
      <c r="W99" s="13"/>
      <c r="X99" s="19"/>
      <c r="Y99" s="19"/>
    </row>
    <row r="100" spans="1:25" x14ac:dyDescent="0.35">
      <c r="A100" s="80"/>
      <c r="B100" s="162"/>
      <c r="C100" s="162"/>
      <c r="D100" s="540"/>
      <c r="E100" s="77"/>
      <c r="F100" s="64"/>
      <c r="G100" s="64"/>
      <c r="H100" s="64"/>
      <c r="I100" s="64"/>
      <c r="J100" s="64"/>
      <c r="K100" s="61"/>
      <c r="L100" s="60" t="str">
        <f>Price!A100</f>
        <v>Bočnice C pure, 550mm, hedvábně bílé</v>
      </c>
      <c r="M100" s="15" t="str">
        <f>Price!B100</f>
        <v>770C5502S</v>
      </c>
      <c r="N100" s="15" t="str">
        <f>Price!C100</f>
        <v>SW-M</v>
      </c>
      <c r="O100" s="537">
        <f>Price!D100</f>
        <v>0</v>
      </c>
      <c r="P100" s="16"/>
      <c r="Q100" s="17">
        <f>Price!F100</f>
        <v>31.853429999999999</v>
      </c>
      <c r="R100" s="323"/>
      <c r="S100" s="323"/>
      <c r="T100" s="12">
        <f>Price!G100</f>
        <v>9045768</v>
      </c>
      <c r="U100" s="257">
        <f>Price!H100</f>
        <v>227517</v>
      </c>
      <c r="V100" s="13"/>
      <c r="W100" s="13"/>
      <c r="X100" s="19"/>
      <c r="Y100" s="19"/>
    </row>
    <row r="101" spans="1:25" x14ac:dyDescent="0.35">
      <c r="A101" s="80"/>
      <c r="B101" s="162"/>
      <c r="C101" s="162"/>
      <c r="D101" s="540"/>
      <c r="E101" s="77"/>
      <c r="F101" s="64"/>
      <c r="G101" s="64"/>
      <c r="H101" s="64"/>
      <c r="I101" s="64"/>
      <c r="J101" s="64"/>
      <c r="K101" s="62"/>
      <c r="L101" s="60" t="str">
        <f>Price!A101</f>
        <v>Bočnice C pure, 550mm, černé Terra</v>
      </c>
      <c r="M101" s="15" t="str">
        <f>Price!B101</f>
        <v>770C5502S</v>
      </c>
      <c r="N101" s="15" t="str">
        <f>Price!C101</f>
        <v>TS-M</v>
      </c>
      <c r="O101" s="537">
        <f>Price!D101</f>
        <v>0</v>
      </c>
      <c r="P101" s="16"/>
      <c r="Q101" s="17">
        <f>Price!F101</f>
        <v>31.853429999999999</v>
      </c>
      <c r="R101" s="323"/>
      <c r="S101" s="323"/>
      <c r="T101" s="12">
        <f>Price!G101</f>
        <v>9054479</v>
      </c>
      <c r="U101" s="257">
        <f>Price!H101</f>
        <v>227519</v>
      </c>
      <c r="V101" s="13"/>
      <c r="W101" s="13"/>
      <c r="X101" s="19"/>
      <c r="Y101" s="19"/>
    </row>
    <row r="102" spans="1:25" x14ac:dyDescent="0.35">
      <c r="A102" s="80"/>
      <c r="B102" s="162"/>
      <c r="C102" s="162"/>
      <c r="D102" s="540"/>
      <c r="E102" s="77"/>
      <c r="F102" s="64"/>
      <c r="G102" s="64"/>
      <c r="H102" s="64"/>
      <c r="I102" s="64"/>
      <c r="J102" s="64"/>
      <c r="K102" s="20"/>
      <c r="L102" s="60" t="str">
        <f>Price!A102</f>
        <v>Bočnice C pure, 550mm, nerez</v>
      </c>
      <c r="M102" s="15" t="str">
        <f>Price!B102</f>
        <v>770C5502I</v>
      </c>
      <c r="N102" s="15" t="str">
        <f>Price!C102</f>
        <v>Inox</v>
      </c>
      <c r="O102" s="537" t="str">
        <f>Price!D102</f>
        <v>!</v>
      </c>
      <c r="P102" s="16"/>
      <c r="Q102" s="17">
        <f>Price!F102</f>
        <v>63.065159999999999</v>
      </c>
      <c r="R102" s="323"/>
      <c r="S102" s="323"/>
      <c r="T102" s="12">
        <f>Price!G102</f>
        <v>9804991</v>
      </c>
      <c r="U102" s="257">
        <f>Price!H102</f>
        <v>227520</v>
      </c>
      <c r="V102" s="13"/>
      <c r="W102" s="13"/>
      <c r="X102" s="19"/>
      <c r="Y102" s="19"/>
    </row>
    <row r="103" spans="1:25" ht="15" thickBot="1" x14ac:dyDescent="0.4">
      <c r="A103" s="85" t="str">
        <f>IF($C$2=1,L103,IF($C$2=2,L104,IF($C$2=3,L105,IF($C$2=4,L106,"  chyba"))))</f>
        <v>Bočnice C pure, 600mm, Orion šedé</v>
      </c>
      <c r="B103" s="86" t="str">
        <f>IF($C$2=1,M103,IF($C$2=2,M104,IF($C$2=3,M105,IF($C$2=4,M106,"  chyba"))))</f>
        <v>770C6002S</v>
      </c>
      <c r="C103" s="86" t="str">
        <f>IF($C$2=1,N103,IF($C$2=2,N104,IF($C$2=3,N105,IF($C$2=4,N106,"  chyba"))))</f>
        <v>OG-M</v>
      </c>
      <c r="D103" s="86">
        <f>IF($C$2=1,O103,IF($C$2=2,O104,IF($C$2=3,O105,IF($C$2=4,O106,"  chyba"))))</f>
        <v>0</v>
      </c>
      <c r="E103" s="87"/>
      <c r="F103" s="88">
        <f>IF($C$2=1,Q103,IF($C$2=2,Q104,IF($C$2=3,Q105,IF($C$2=4,Q106,0))))*(100-$F$6)/100</f>
        <v>35.537379999999999</v>
      </c>
      <c r="G103" s="64"/>
      <c r="H103" s="64"/>
      <c r="I103" s="171">
        <f>IF($C$2=1,T103,IF($C$2=2,T104,IF($C$2=3,T105,IF($C$2=4,T106,"  chyba"))))</f>
        <v>9069622</v>
      </c>
      <c r="J103" s="171">
        <f>IF($C$2=1,U103,IF($C$2=2,U104,IF($C$2=3,U105,IF($C$2=4,U106,"  chyba"))))</f>
        <v>227522</v>
      </c>
      <c r="K103" s="20"/>
      <c r="L103" s="60" t="str">
        <f>Price!A103</f>
        <v>Bočnice C pure, 600mm, Orion šedé</v>
      </c>
      <c r="M103" s="15" t="str">
        <f>Price!B103</f>
        <v>770C6002S</v>
      </c>
      <c r="N103" s="15" t="str">
        <f>Price!C103</f>
        <v>OG-M</v>
      </c>
      <c r="O103" s="537">
        <f>Price!D103</f>
        <v>0</v>
      </c>
      <c r="P103" s="16"/>
      <c r="Q103" s="17">
        <f>Price!F103</f>
        <v>35.537379999999999</v>
      </c>
      <c r="R103" s="323"/>
      <c r="S103" s="323"/>
      <c r="T103" s="12">
        <f>Price!G103</f>
        <v>9069622</v>
      </c>
      <c r="U103" s="257">
        <f>Price!H103</f>
        <v>227522</v>
      </c>
      <c r="V103" s="13"/>
      <c r="W103" s="13"/>
      <c r="X103" s="19"/>
      <c r="Y103" s="19"/>
    </row>
    <row r="104" spans="1:25" x14ac:dyDescent="0.35">
      <c r="A104" s="80"/>
      <c r="B104" s="162"/>
      <c r="C104" s="162"/>
      <c r="D104" s="540"/>
      <c r="E104" s="77"/>
      <c r="F104" s="64"/>
      <c r="G104" s="64"/>
      <c r="H104" s="64"/>
      <c r="I104" s="64"/>
      <c r="J104" s="64"/>
      <c r="K104" s="61"/>
      <c r="L104" s="60" t="str">
        <f>Price!A104</f>
        <v>Bočnice C pure, 600mm, hedvábně bílé</v>
      </c>
      <c r="M104" s="15" t="str">
        <f>Price!B104</f>
        <v>770C6002S</v>
      </c>
      <c r="N104" s="15" t="str">
        <f>Price!C104</f>
        <v>SW-M</v>
      </c>
      <c r="O104" s="537">
        <f>Price!D104</f>
        <v>0</v>
      </c>
      <c r="P104" s="16"/>
      <c r="Q104" s="17">
        <f>Price!F104</f>
        <v>35.537379999999999</v>
      </c>
      <c r="R104" s="323"/>
      <c r="S104" s="323"/>
      <c r="T104" s="12">
        <f>Price!G104</f>
        <v>9085908</v>
      </c>
      <c r="U104" s="257">
        <f>Price!H104</f>
        <v>227521</v>
      </c>
      <c r="V104" s="13"/>
      <c r="W104" s="13"/>
      <c r="X104" s="19"/>
      <c r="Y104" s="19"/>
    </row>
    <row r="105" spans="1:25" x14ac:dyDescent="0.35">
      <c r="A105" s="80"/>
      <c r="B105" s="162"/>
      <c r="C105" s="162"/>
      <c r="D105" s="540"/>
      <c r="E105" s="77"/>
      <c r="F105" s="64"/>
      <c r="G105" s="64"/>
      <c r="H105" s="64"/>
      <c r="I105" s="64"/>
      <c r="J105" s="64"/>
      <c r="K105" s="62"/>
      <c r="L105" s="60" t="str">
        <f>Price!A105</f>
        <v>Bočnice C pure, 600mm, černé Terra</v>
      </c>
      <c r="M105" s="15" t="str">
        <f>Price!B105</f>
        <v>770C6002S</v>
      </c>
      <c r="N105" s="15" t="str">
        <f>Price!C105</f>
        <v>TS-M</v>
      </c>
      <c r="O105" s="537">
        <f>Price!D105</f>
        <v>0</v>
      </c>
      <c r="P105" s="16"/>
      <c r="Q105" s="17">
        <f>Price!F105</f>
        <v>35.537379999999999</v>
      </c>
      <c r="R105" s="323"/>
      <c r="S105" s="323"/>
      <c r="T105" s="12">
        <f>Price!G105</f>
        <v>9087007</v>
      </c>
      <c r="U105" s="257">
        <f>Price!H105</f>
        <v>227523</v>
      </c>
      <c r="V105" s="13"/>
      <c r="W105" s="13"/>
      <c r="X105" s="19"/>
      <c r="Y105" s="19"/>
    </row>
    <row r="106" spans="1:25" x14ac:dyDescent="0.35">
      <c r="A106" s="80"/>
      <c r="B106" s="162"/>
      <c r="C106" s="162"/>
      <c r="D106" s="540"/>
      <c r="E106" s="77"/>
      <c r="F106" s="64"/>
      <c r="G106" s="64"/>
      <c r="H106" s="64"/>
      <c r="I106" s="64"/>
      <c r="J106" s="64"/>
      <c r="K106" s="62"/>
      <c r="L106" s="60" t="str">
        <f>Price!A106</f>
        <v>Bočnice C pure, 600mm, nerez</v>
      </c>
      <c r="M106" s="15" t="str">
        <f>Price!B106</f>
        <v>770C6002I</v>
      </c>
      <c r="N106" s="15" t="str">
        <f>Price!C106</f>
        <v>Inox</v>
      </c>
      <c r="O106" s="537" t="str">
        <f>Price!D106</f>
        <v>!</v>
      </c>
      <c r="P106" s="16"/>
      <c r="Q106" s="17">
        <f>Price!F106</f>
        <v>70.338440000000006</v>
      </c>
      <c r="R106" s="323"/>
      <c r="S106" s="323"/>
      <c r="T106" s="12">
        <f>Price!G106</f>
        <v>9843329</v>
      </c>
      <c r="U106" s="257">
        <f>Price!H106</f>
        <v>227524</v>
      </c>
      <c r="V106" s="13"/>
      <c r="W106" s="13"/>
      <c r="X106" s="19"/>
      <c r="Y106" s="19"/>
    </row>
    <row r="107" spans="1:25" ht="15" thickBot="1" x14ac:dyDescent="0.4">
      <c r="A107" s="85" t="str">
        <f>IF($C$2=1,L107,IF($C$2=2,L108,IF($C$2=3,L109,IF($C$2=4,L110,"  chyba"))))</f>
        <v>Bočnice C pure, 650mm, Orion šedé</v>
      </c>
      <c r="B107" s="86" t="str">
        <f>IF($C$2=1,M107,IF($C$2=2,M108,IF($C$2=3,M109,IF($C$2=4,M110,"  chyba"))))</f>
        <v>770C6502S</v>
      </c>
      <c r="C107" s="86" t="str">
        <f>IF($C$2=1,N107,IF($C$2=2,N108,IF($C$2=3,N109,IF($C$2=4,N110,"  chyba"))))</f>
        <v>OG-M</v>
      </c>
      <c r="D107" s="86">
        <f>IF($C$2=1,O107,IF($C$2=2,O108,IF($C$2=3,O109,IF($C$2=4,O110,"  chyba"))))</f>
        <v>0</v>
      </c>
      <c r="E107" s="87"/>
      <c r="F107" s="88">
        <f>IF($C$2=1,Q107,IF($C$2=2,Q108,IF($C$2=3,Q109,IF($C$2=4,Q110,0))))*(100-$F$6)/100</f>
        <v>36.783200000000001</v>
      </c>
      <c r="G107" s="64"/>
      <c r="H107" s="64"/>
      <c r="I107" s="171">
        <f>IF($C$2=1,T107,IF($C$2=2,T108,IF($C$2=3,T109,IF($C$2=4,T110,"  chyba"))))</f>
        <v>7790076</v>
      </c>
      <c r="J107" s="171">
        <f>IF($C$2=1,U107,IF($C$2=2,U108,IF($C$2=3,U109,IF($C$2=4,U110,"  chyba"))))</f>
        <v>256458</v>
      </c>
      <c r="K107" s="62"/>
      <c r="L107" s="60" t="str">
        <f>Price!A107</f>
        <v>Bočnice C pure, 650mm, Orion šedé</v>
      </c>
      <c r="M107" s="15" t="str">
        <f>Price!B107</f>
        <v>770C6502S</v>
      </c>
      <c r="N107" s="15" t="str">
        <f>Price!C107</f>
        <v>OG-M</v>
      </c>
      <c r="O107" s="537">
        <f>Price!D107</f>
        <v>0</v>
      </c>
      <c r="P107" s="16"/>
      <c r="Q107" s="17">
        <f>Price!F107</f>
        <v>36.783200000000001</v>
      </c>
      <c r="R107" s="323"/>
      <c r="S107" s="323"/>
      <c r="T107" s="12">
        <f>Price!G107</f>
        <v>7790076</v>
      </c>
      <c r="U107" s="257">
        <f>Price!H107</f>
        <v>256458</v>
      </c>
      <c r="V107" s="13"/>
      <c r="W107" s="13"/>
      <c r="X107" s="19"/>
      <c r="Y107" s="19"/>
    </row>
    <row r="108" spans="1:25" x14ac:dyDescent="0.35">
      <c r="A108" s="80"/>
      <c r="B108" s="162"/>
      <c r="C108" s="162"/>
      <c r="D108" s="540"/>
      <c r="E108" s="77"/>
      <c r="F108" s="64"/>
      <c r="G108" s="64"/>
      <c r="H108" s="64"/>
      <c r="I108" s="64"/>
      <c r="J108" s="64"/>
      <c r="K108" s="62"/>
      <c r="L108" s="60" t="str">
        <f>Price!A108</f>
        <v>Bočnice C pure, 650mm, hedvábně bílé</v>
      </c>
      <c r="M108" s="15" t="str">
        <f>Price!B108</f>
        <v>770C6502S</v>
      </c>
      <c r="N108" s="15" t="str">
        <f>Price!C108</f>
        <v>SW-M</v>
      </c>
      <c r="O108" s="537">
        <f>Price!D108</f>
        <v>0</v>
      </c>
      <c r="P108" s="16"/>
      <c r="Q108" s="17">
        <f>Price!F108</f>
        <v>36.783200000000001</v>
      </c>
      <c r="R108" s="323"/>
      <c r="S108" s="323"/>
      <c r="T108" s="12">
        <f>Price!G108</f>
        <v>9944409</v>
      </c>
      <c r="U108" s="257">
        <f>Price!H108</f>
        <v>256457</v>
      </c>
      <c r="V108" s="13"/>
      <c r="W108" s="13"/>
      <c r="X108" s="19"/>
      <c r="Y108" s="19"/>
    </row>
    <row r="109" spans="1:25" x14ac:dyDescent="0.35">
      <c r="A109" s="80"/>
      <c r="B109" s="162"/>
      <c r="C109" s="162"/>
      <c r="D109" s="540"/>
      <c r="E109" s="77"/>
      <c r="F109" s="64"/>
      <c r="G109" s="64"/>
      <c r="H109" s="64"/>
      <c r="I109" s="64"/>
      <c r="J109" s="64"/>
      <c r="K109" s="62"/>
      <c r="L109" s="60" t="str">
        <f>Price!A109</f>
        <v>Bočnice C pure, 650mm, černé Terra</v>
      </c>
      <c r="M109" s="15" t="str">
        <f>Price!B109</f>
        <v>770C6502S</v>
      </c>
      <c r="N109" s="15" t="str">
        <f>Price!C109</f>
        <v>TS-M</v>
      </c>
      <c r="O109" s="537">
        <f>Price!D109</f>
        <v>0</v>
      </c>
      <c r="P109" s="16"/>
      <c r="Q109" s="17">
        <f>Price!F109</f>
        <v>36.783200000000001</v>
      </c>
      <c r="R109" s="323"/>
      <c r="S109" s="323"/>
      <c r="T109" s="12">
        <f>Price!G109</f>
        <v>8859975</v>
      </c>
      <c r="U109" s="257">
        <f>Price!H109</f>
        <v>256459</v>
      </c>
      <c r="V109" s="13"/>
      <c r="W109" s="13"/>
      <c r="X109" s="19"/>
      <c r="Y109" s="19"/>
    </row>
    <row r="110" spans="1:25" x14ac:dyDescent="0.35">
      <c r="A110" s="80"/>
      <c r="B110" s="162"/>
      <c r="C110" s="162"/>
      <c r="D110" s="540"/>
      <c r="E110" s="77"/>
      <c r="F110" s="64"/>
      <c r="G110" s="64"/>
      <c r="H110" s="64"/>
      <c r="I110" s="64"/>
      <c r="J110" s="64"/>
      <c r="K110" s="62"/>
      <c r="L110" s="60" t="str">
        <f>Price!A110</f>
        <v>Bočnice C pure, 650mm, nerez</v>
      </c>
      <c r="M110" s="15" t="str">
        <f>Price!B110</f>
        <v>770C6502I</v>
      </c>
      <c r="N110" s="15" t="str">
        <f>Price!C110</f>
        <v>Inox</v>
      </c>
      <c r="O110" s="537" t="str">
        <f>Price!D110</f>
        <v>!</v>
      </c>
      <c r="P110" s="16"/>
      <c r="Q110" s="17">
        <f>Price!F110</f>
        <v>74.342429999999993</v>
      </c>
      <c r="R110" s="323"/>
      <c r="S110" s="323"/>
      <c r="T110" s="12">
        <f>Price!G110</f>
        <v>5885172</v>
      </c>
      <c r="U110" s="257">
        <f>Price!H110</f>
        <v>256460</v>
      </c>
      <c r="V110" s="13"/>
      <c r="W110" s="13"/>
      <c r="X110" s="19"/>
      <c r="Y110" s="19"/>
    </row>
    <row r="111" spans="1:25" ht="15" thickBot="1" x14ac:dyDescent="0.4">
      <c r="A111" s="85">
        <f>IF($C$2=1,L111,IF($C$2=2,L112,IF($C$2=3,L113,IF($C$2=4,L114,"  chyba"))))</f>
        <v>0</v>
      </c>
      <c r="B111" s="86">
        <f>IF($C$2=1,M111,IF($C$2=2,M112,IF($C$2=3,M113,IF($C$2=4,M114,"  chyba"))))</f>
        <v>0</v>
      </c>
      <c r="C111" s="86">
        <f>IF($C$2=1,N111,IF($C$2=2,N112,IF($C$2=3,N113,IF($C$2=4,N114,"  chyba"))))</f>
        <v>0</v>
      </c>
      <c r="D111" s="86">
        <f>IF($C$2=1,O111,IF($C$2=2,O112,IF($C$2=3,O113,IF($C$2=4,O114,"  chyba"))))</f>
        <v>0</v>
      </c>
      <c r="E111" s="87"/>
      <c r="F111" s="88">
        <f>IF($C$2=1,Q111,IF($C$2=2,Q112,IF($C$2=3,Q113,IF($C$2=4,Q114,0))))*(100-$F$6)/100</f>
        <v>0</v>
      </c>
      <c r="G111" s="64"/>
      <c r="H111" s="64"/>
      <c r="I111" s="171">
        <f>IF($C$2=1,T111,IF($C$2=2,T112,IF($C$2=3,T113,IF($C$2=4,T114,"  chyba"))))</f>
        <v>0</v>
      </c>
      <c r="J111" s="171">
        <f>IF($C$2=1,U111,IF($C$2=2,U112,IF($C$2=3,U113,IF($C$2=4,U114,"  chyba"))))</f>
        <v>0</v>
      </c>
      <c r="K111" s="62"/>
      <c r="L111" s="60">
        <f>Price!A111</f>
        <v>0</v>
      </c>
      <c r="M111" s="15">
        <f>Price!B111</f>
        <v>0</v>
      </c>
      <c r="N111" s="15">
        <f>Price!C111</f>
        <v>0</v>
      </c>
      <c r="O111" s="537">
        <f>Price!D111</f>
        <v>0</v>
      </c>
      <c r="P111" s="16"/>
      <c r="Q111" s="17">
        <f>Price!F111</f>
        <v>0</v>
      </c>
      <c r="R111" s="323"/>
      <c r="S111" s="323"/>
      <c r="T111" s="12">
        <f>Price!G111</f>
        <v>0</v>
      </c>
      <c r="U111" s="257">
        <f>Price!H111</f>
        <v>0</v>
      </c>
      <c r="V111" s="13"/>
      <c r="W111" s="13"/>
      <c r="X111" s="19"/>
      <c r="Y111" s="19"/>
    </row>
    <row r="112" spans="1:25" x14ac:dyDescent="0.35">
      <c r="A112" s="80"/>
      <c r="B112" s="162"/>
      <c r="C112" s="162"/>
      <c r="D112" s="540"/>
      <c r="E112" s="77"/>
      <c r="F112" s="64"/>
      <c r="G112" s="64"/>
      <c r="H112" s="64"/>
      <c r="I112" s="64"/>
      <c r="J112" s="64"/>
      <c r="K112" s="62"/>
      <c r="L112" s="60">
        <f>Price!A112</f>
        <v>0</v>
      </c>
      <c r="M112" s="15">
        <f>Price!B112</f>
        <v>0</v>
      </c>
      <c r="N112" s="15">
        <f>Price!C112</f>
        <v>0</v>
      </c>
      <c r="O112" s="537">
        <f>Price!D112</f>
        <v>0</v>
      </c>
      <c r="P112" s="16"/>
      <c r="Q112" s="17">
        <f>Price!F112</f>
        <v>0</v>
      </c>
      <c r="R112" s="323"/>
      <c r="S112" s="323"/>
      <c r="T112" s="12">
        <f>Price!G112</f>
        <v>0</v>
      </c>
      <c r="U112" s="257">
        <f>Price!H112</f>
        <v>0</v>
      </c>
      <c r="V112" s="13"/>
      <c r="W112" s="13"/>
      <c r="X112" s="19"/>
      <c r="Y112" s="19"/>
    </row>
    <row r="113" spans="1:25" x14ac:dyDescent="0.35">
      <c r="A113" s="80"/>
      <c r="B113" s="162"/>
      <c r="C113" s="162"/>
      <c r="D113" s="540"/>
      <c r="E113" s="77"/>
      <c r="F113" s="64"/>
      <c r="G113" s="64"/>
      <c r="H113" s="64"/>
      <c r="I113" s="64"/>
      <c r="J113" s="64"/>
      <c r="K113" s="62"/>
      <c r="L113" s="60">
        <f>Price!A113</f>
        <v>0</v>
      </c>
      <c r="M113" s="15">
        <f>Price!B113</f>
        <v>0</v>
      </c>
      <c r="N113" s="15">
        <f>Price!C113</f>
        <v>0</v>
      </c>
      <c r="O113" s="537">
        <f>Price!D113</f>
        <v>0</v>
      </c>
      <c r="P113" s="16"/>
      <c r="Q113" s="17">
        <f>Price!F113</f>
        <v>0</v>
      </c>
      <c r="R113" s="323"/>
      <c r="S113" s="323"/>
      <c r="T113" s="12">
        <f>Price!G113</f>
        <v>0</v>
      </c>
      <c r="U113" s="257">
        <f>Price!H113</f>
        <v>0</v>
      </c>
      <c r="V113" s="13"/>
      <c r="W113" s="13"/>
      <c r="X113" s="19"/>
      <c r="Y113" s="19"/>
    </row>
    <row r="114" spans="1:25" x14ac:dyDescent="0.35">
      <c r="A114" s="80"/>
      <c r="B114" s="162"/>
      <c r="C114" s="162"/>
      <c r="D114" s="540"/>
      <c r="E114" s="77"/>
      <c r="F114" s="64"/>
      <c r="G114" s="64"/>
      <c r="H114" s="64"/>
      <c r="I114" s="64"/>
      <c r="J114" s="64"/>
      <c r="K114" s="62"/>
      <c r="L114" s="60">
        <f>Price!A114</f>
        <v>0</v>
      </c>
      <c r="M114" s="15">
        <f>Price!B114</f>
        <v>0</v>
      </c>
      <c r="N114" s="15">
        <f>Price!C114</f>
        <v>0</v>
      </c>
      <c r="O114" s="537">
        <f>Price!D114</f>
        <v>0</v>
      </c>
      <c r="P114" s="16"/>
      <c r="Q114" s="17">
        <f>Price!F114</f>
        <v>0</v>
      </c>
      <c r="R114" s="323"/>
      <c r="S114" s="323"/>
      <c r="T114" s="12">
        <f>Price!G114</f>
        <v>0</v>
      </c>
      <c r="U114" s="257">
        <f>Price!H114</f>
        <v>0</v>
      </c>
      <c r="V114" s="13"/>
      <c r="W114" s="13"/>
      <c r="X114" s="19"/>
      <c r="Y114" s="19"/>
    </row>
    <row r="115" spans="1:25" ht="15" thickBot="1" x14ac:dyDescent="0.4">
      <c r="A115" s="85">
        <f>IF($C$2=1,L115,IF($C$2=2,L116,IF($C$2=3,L117,IF($C$2=4,L118,"  chyba"))))</f>
        <v>0</v>
      </c>
      <c r="B115" s="86">
        <f>IF($C$2=1,M115,IF($C$2=2,M116,IF($C$2=3,M117,IF($C$2=4,M118,"  chyba"))))</f>
        <v>0</v>
      </c>
      <c r="C115" s="86">
        <f>IF($C$2=1,N115,IF($C$2=2,N116,IF($C$2=3,N117,IF($C$2=4,N118,"  chyba"))))</f>
        <v>0</v>
      </c>
      <c r="D115" s="86">
        <f>IF($C$2=1,O115,IF($C$2=2,O116,IF($C$2=3,O117,IF($C$2=4,O118,"  chyba"))))</f>
        <v>0</v>
      </c>
      <c r="E115" s="87"/>
      <c r="F115" s="88">
        <f>IF($C$2=1,Q115,IF($C$2=2,Q116,IF($C$2=3,Q117,IF($C$2=4,Q118,0))))*(100-$F$6)/100</f>
        <v>0</v>
      </c>
      <c r="G115" s="64"/>
      <c r="H115" s="64"/>
      <c r="I115" s="171">
        <f>IF($C$2=1,T115,IF($C$2=2,T116,IF($C$2=3,T117,IF($C$2=4,T118,"  chyba"))))</f>
        <v>0</v>
      </c>
      <c r="J115" s="171">
        <f>IF($C$2=1,U115,IF($C$2=2,U116,IF($C$2=3,U117,IF($C$2=4,U118,"  chyba"))))</f>
        <v>0</v>
      </c>
      <c r="K115" s="20"/>
      <c r="L115" s="60">
        <f>Price!A115</f>
        <v>0</v>
      </c>
      <c r="M115" s="15">
        <f>Price!B115</f>
        <v>0</v>
      </c>
      <c r="N115" s="15">
        <f>Price!C115</f>
        <v>0</v>
      </c>
      <c r="O115" s="537">
        <f>Price!D115</f>
        <v>0</v>
      </c>
      <c r="P115" s="16"/>
      <c r="Q115" s="17">
        <f>Price!F115</f>
        <v>0</v>
      </c>
      <c r="R115" s="323"/>
      <c r="S115" s="323"/>
      <c r="T115" s="12">
        <f>Price!G115</f>
        <v>0</v>
      </c>
      <c r="U115" s="257">
        <f>Price!H115</f>
        <v>0</v>
      </c>
      <c r="V115" s="13"/>
      <c r="W115" s="13"/>
      <c r="X115" s="19"/>
      <c r="Y115" s="19"/>
    </row>
    <row r="116" spans="1:25" x14ac:dyDescent="0.35">
      <c r="A116" s="80"/>
      <c r="B116" s="162"/>
      <c r="C116" s="162"/>
      <c r="D116" s="540"/>
      <c r="E116" s="77"/>
      <c r="F116" s="64"/>
      <c r="G116" s="64"/>
      <c r="H116" s="64"/>
      <c r="I116" s="64"/>
      <c r="J116" s="64"/>
      <c r="K116" s="20"/>
      <c r="L116" s="60">
        <f>Price!A116</f>
        <v>0</v>
      </c>
      <c r="M116" s="15">
        <f>Price!B116</f>
        <v>0</v>
      </c>
      <c r="N116" s="15">
        <f>Price!C116</f>
        <v>0</v>
      </c>
      <c r="O116" s="537">
        <f>Price!D116</f>
        <v>0</v>
      </c>
      <c r="P116" s="16"/>
      <c r="Q116" s="17">
        <f>Price!F116</f>
        <v>0</v>
      </c>
      <c r="R116" s="323"/>
      <c r="S116" s="323"/>
      <c r="T116" s="12">
        <f>Price!G116</f>
        <v>0</v>
      </c>
      <c r="U116" s="257">
        <f>Price!H116</f>
        <v>0</v>
      </c>
      <c r="V116" s="13"/>
      <c r="W116" s="13"/>
      <c r="X116" s="19"/>
      <c r="Y116" s="19"/>
    </row>
    <row r="117" spans="1:25" x14ac:dyDescent="0.35">
      <c r="A117" s="80"/>
      <c r="B117" s="162"/>
      <c r="C117" s="162"/>
      <c r="D117" s="540"/>
      <c r="E117" s="77"/>
      <c r="F117" s="64"/>
      <c r="G117" s="64"/>
      <c r="H117" s="64"/>
      <c r="I117" s="64"/>
      <c r="J117" s="64"/>
      <c r="K117" s="20"/>
      <c r="L117" s="60">
        <f>Price!A117</f>
        <v>0</v>
      </c>
      <c r="M117" s="15">
        <f>Price!B117</f>
        <v>0</v>
      </c>
      <c r="N117" s="15">
        <f>Price!C117</f>
        <v>0</v>
      </c>
      <c r="O117" s="537">
        <f>Price!D117</f>
        <v>0</v>
      </c>
      <c r="P117" s="16"/>
      <c r="Q117" s="17">
        <f>Price!F117</f>
        <v>0</v>
      </c>
      <c r="R117" s="323"/>
      <c r="S117" s="323"/>
      <c r="T117" s="12">
        <f>Price!G117</f>
        <v>0</v>
      </c>
      <c r="U117" s="257">
        <f>Price!H117</f>
        <v>0</v>
      </c>
      <c r="V117" s="13"/>
      <c r="W117" s="13"/>
      <c r="X117" s="19"/>
      <c r="Y117" s="19"/>
    </row>
    <row r="118" spans="1:25" x14ac:dyDescent="0.35">
      <c r="A118" s="80"/>
      <c r="B118" s="162"/>
      <c r="C118" s="162"/>
      <c r="D118" s="540"/>
      <c r="E118" s="77"/>
      <c r="F118" s="64"/>
      <c r="G118" s="64"/>
      <c r="H118" s="64"/>
      <c r="I118" s="64"/>
      <c r="J118" s="64"/>
      <c r="K118" s="61"/>
      <c r="L118" s="60">
        <f>Price!A118</f>
        <v>0</v>
      </c>
      <c r="M118" s="15">
        <f>Price!B118</f>
        <v>0</v>
      </c>
      <c r="N118" s="15">
        <f>Price!C118</f>
        <v>0</v>
      </c>
      <c r="O118" s="537">
        <f>Price!D118</f>
        <v>0</v>
      </c>
      <c r="P118" s="16"/>
      <c r="Q118" s="17">
        <f>Price!F118</f>
        <v>0</v>
      </c>
      <c r="R118" s="323"/>
      <c r="S118" s="323"/>
      <c r="T118" s="12">
        <f>Price!G118</f>
        <v>0</v>
      </c>
      <c r="U118" s="257">
        <f>Price!H118</f>
        <v>0</v>
      </c>
      <c r="V118" s="13"/>
      <c r="W118" s="13"/>
      <c r="X118" s="19"/>
      <c r="Y118" s="19"/>
    </row>
    <row r="119" spans="1:25" ht="15" thickBot="1" x14ac:dyDescent="0.4">
      <c r="A119" s="85" t="str">
        <f>IF($C$2=1,L119,IF($C$2=2,L120,IF($C$2=3,L121,IF($C$2=4,L122,"  chyba"))))</f>
        <v>Bočnice C free, 350mm, Orion šedé</v>
      </c>
      <c r="B119" s="86" t="str">
        <f>IF($C$2=1,M119,IF($C$2=2,M120,IF($C$2=3,M121,IF($C$2=4,M122,"  chyba"))))</f>
        <v>780C3502S</v>
      </c>
      <c r="C119" s="86" t="str">
        <f>IF($C$2=1,N119,IF($C$2=2,N120,IF($C$2=3,N121,IF($C$2=4,N122,"  chyba"))))</f>
        <v>OG-M</v>
      </c>
      <c r="D119" s="86">
        <f>IF($C$2=1,O119,IF($C$2=2,O120,IF($C$2=3,O121,IF($C$2=4,O122,"  chyba"))))</f>
        <v>0</v>
      </c>
      <c r="E119" s="87"/>
      <c r="F119" s="88">
        <f>IF($C$2=1,Q119,IF($C$2=2,Q120,IF($C$2=3,Q121,IF($C$2=4,Q122,0))))*(100-$F$6)/100</f>
        <v>30.157519999999998</v>
      </c>
      <c r="G119" s="64"/>
      <c r="H119" s="64"/>
      <c r="I119" s="171">
        <f>IF($C$2=1,T119,IF($C$2=2,T120,IF($C$2=3,T121,IF($C$2=4,T122,"  chyba"))))</f>
        <v>3099055</v>
      </c>
      <c r="J119" s="171">
        <f>IF($C$2=1,U119,IF($C$2=2,U120,IF($C$2=3,U121,IF($C$2=4,U122,"  chyba"))))</f>
        <v>256471</v>
      </c>
      <c r="K119" s="20"/>
      <c r="L119" s="60" t="str">
        <f>Price!A119</f>
        <v>Bočnice C free, 350mm, Orion šedé</v>
      </c>
      <c r="M119" s="15" t="str">
        <f>Price!B119</f>
        <v>780C3502S</v>
      </c>
      <c r="N119" s="15" t="str">
        <f>Price!C119</f>
        <v>OG-M</v>
      </c>
      <c r="O119" s="537">
        <f>Price!D119</f>
        <v>0</v>
      </c>
      <c r="P119" s="16"/>
      <c r="Q119" s="17">
        <f>Price!F119</f>
        <v>30.157520000000002</v>
      </c>
      <c r="R119" s="323"/>
      <c r="S119" s="323"/>
      <c r="T119" s="12">
        <f>Price!G119</f>
        <v>3099055</v>
      </c>
      <c r="U119" s="257">
        <f>Price!H119</f>
        <v>256471</v>
      </c>
      <c r="V119" s="13"/>
      <c r="W119" s="13"/>
      <c r="X119" s="19"/>
      <c r="Y119" s="19"/>
    </row>
    <row r="120" spans="1:25" x14ac:dyDescent="0.35">
      <c r="A120" s="80"/>
      <c r="B120" s="162"/>
      <c r="C120" s="162"/>
      <c r="D120" s="540"/>
      <c r="E120" s="77"/>
      <c r="F120" s="64"/>
      <c r="G120" s="64"/>
      <c r="H120" s="64"/>
      <c r="I120" s="64"/>
      <c r="J120" s="64"/>
      <c r="K120" s="20"/>
      <c r="L120" s="60" t="str">
        <f>Price!A120</f>
        <v>Bočnice C free, 350mm, hedvábně bílé</v>
      </c>
      <c r="M120" s="15" t="str">
        <f>Price!B120</f>
        <v>780C3502S</v>
      </c>
      <c r="N120" s="15" t="str">
        <f>Price!C120</f>
        <v>SW-M</v>
      </c>
      <c r="O120" s="537">
        <f>Price!D120</f>
        <v>0</v>
      </c>
      <c r="P120" s="16"/>
      <c r="Q120" s="17">
        <f>Price!F120</f>
        <v>30.157520000000002</v>
      </c>
      <c r="R120" s="323"/>
      <c r="S120" s="323"/>
      <c r="T120" s="12">
        <f>Price!G120</f>
        <v>3655321</v>
      </c>
      <c r="U120" s="257">
        <f>Price!H120</f>
        <v>256470</v>
      </c>
      <c r="V120" s="13"/>
      <c r="W120" s="13"/>
      <c r="X120" s="19"/>
      <c r="Y120" s="19"/>
    </row>
    <row r="121" spans="1:25" x14ac:dyDescent="0.35">
      <c r="A121" s="80"/>
      <c r="B121" s="162"/>
      <c r="C121" s="162"/>
      <c r="D121" s="540"/>
      <c r="E121" s="77"/>
      <c r="F121" s="64"/>
      <c r="G121" s="64"/>
      <c r="H121" s="64"/>
      <c r="I121" s="64"/>
      <c r="J121" s="64"/>
      <c r="K121" s="20"/>
      <c r="L121" s="60" t="str">
        <f>Price!A121</f>
        <v>Bočnice C free, 350mm, černé Terra</v>
      </c>
      <c r="M121" s="15" t="str">
        <f>Price!B121</f>
        <v>780C3502S</v>
      </c>
      <c r="N121" s="15" t="str">
        <f>Price!C121</f>
        <v>TS-M</v>
      </c>
      <c r="O121" s="537">
        <f>Price!D121</f>
        <v>0</v>
      </c>
      <c r="P121" s="16"/>
      <c r="Q121" s="17">
        <f>Price!F121</f>
        <v>30.157520000000002</v>
      </c>
      <c r="R121" s="323"/>
      <c r="S121" s="323"/>
      <c r="T121" s="12">
        <f>Price!G121</f>
        <v>3792680</v>
      </c>
      <c r="U121" s="257">
        <f>Price!H121</f>
        <v>256472</v>
      </c>
      <c r="V121" s="13"/>
      <c r="W121" s="13"/>
      <c r="X121" s="19"/>
      <c r="Y121" s="19"/>
    </row>
    <row r="122" spans="1:25" x14ac:dyDescent="0.35">
      <c r="A122" s="80"/>
      <c r="B122" s="162"/>
      <c r="C122" s="162"/>
      <c r="D122" s="540"/>
      <c r="E122" s="77"/>
      <c r="F122" s="64"/>
      <c r="G122" s="64"/>
      <c r="H122" s="64"/>
      <c r="I122" s="64"/>
      <c r="J122" s="64"/>
      <c r="K122" s="61"/>
      <c r="L122" s="60" t="str">
        <f>Price!A122</f>
        <v>Bočnice C free, 350mm, nerez</v>
      </c>
      <c r="M122" s="15" t="str">
        <f>Price!B122</f>
        <v>780C3502I</v>
      </c>
      <c r="N122" s="15" t="str">
        <f>Price!C122</f>
        <v>Inox</v>
      </c>
      <c r="O122" s="537" t="str">
        <f>Price!D122</f>
        <v>!</v>
      </c>
      <c r="P122" s="16"/>
      <c r="Q122" s="17">
        <f>Price!F122</f>
        <v>57.057200000000002</v>
      </c>
      <c r="R122" s="323"/>
      <c r="S122" s="323"/>
      <c r="T122" s="12">
        <f>Price!G122</f>
        <v>3924789</v>
      </c>
      <c r="U122" s="257">
        <f>Price!H122</f>
        <v>256473</v>
      </c>
      <c r="V122" s="13"/>
      <c r="W122" s="13"/>
      <c r="X122" s="19"/>
      <c r="Y122" s="19"/>
    </row>
    <row r="123" spans="1:25" ht="15" thickBot="1" x14ac:dyDescent="0.4">
      <c r="A123" s="85" t="str">
        <f>IF($C$2=1,L123,IF($C$2=2,L124,IF($C$2=3,L125,IF($C$2=4,L126,"  chyba"))))</f>
        <v>Bočnice C free, 400mm, Orion šedé</v>
      </c>
      <c r="B123" s="86" t="str">
        <f>IF($C$2=1,M123,IF($C$2=2,M124,IF($C$2=3,M125,IF($C$2=4,M126,"  chyba"))))</f>
        <v>780C4002S</v>
      </c>
      <c r="C123" s="86" t="str">
        <f>IF($C$2=1,N123,IF($C$2=2,N124,IF($C$2=3,N125,IF($C$2=4,N126,"  chyba"))))</f>
        <v>OG-M</v>
      </c>
      <c r="D123" s="86">
        <f>IF($C$2=1,O123,IF($C$2=2,O124,IF($C$2=3,O125,IF($C$2=4,O126,"  chyba"))))</f>
        <v>0</v>
      </c>
      <c r="E123" s="87"/>
      <c r="F123" s="88">
        <f>IF($C$2=1,Q123,IF($C$2=2,Q124,IF($C$2=3,Q125,IF($C$2=4,Q126,0))))*(100-$F$6)/100</f>
        <v>30.37988</v>
      </c>
      <c r="G123" s="64"/>
      <c r="H123" s="64"/>
      <c r="I123" s="171">
        <f>IF($C$2=1,T123,IF($C$2=2,T124,IF($C$2=3,T125,IF($C$2=4,T126,"  chyba"))))</f>
        <v>4025444</v>
      </c>
      <c r="J123" s="171">
        <f>IF($C$2=1,U123,IF($C$2=2,U124,IF($C$2=3,U125,IF($C$2=4,U126,"  chyba"))))</f>
        <v>256475</v>
      </c>
      <c r="K123" s="20"/>
      <c r="L123" s="60" t="str">
        <f>Price!A123</f>
        <v>Bočnice C free, 400mm, Orion šedé</v>
      </c>
      <c r="M123" s="15" t="str">
        <f>Price!B123</f>
        <v>780C4002S</v>
      </c>
      <c r="N123" s="15" t="str">
        <f>Price!C123</f>
        <v>OG-M</v>
      </c>
      <c r="O123" s="537">
        <f>Price!D123</f>
        <v>0</v>
      </c>
      <c r="P123" s="16"/>
      <c r="Q123" s="17">
        <f>Price!F123</f>
        <v>30.37988</v>
      </c>
      <c r="R123" s="323"/>
      <c r="S123" s="323"/>
      <c r="T123" s="12">
        <f>Price!G123</f>
        <v>4025444</v>
      </c>
      <c r="U123" s="257">
        <f>Price!H123</f>
        <v>256475</v>
      </c>
      <c r="V123" s="13"/>
      <c r="W123" s="13"/>
      <c r="X123" s="19"/>
      <c r="Y123" s="19"/>
    </row>
    <row r="124" spans="1:25" x14ac:dyDescent="0.35">
      <c r="A124" s="80"/>
      <c r="B124" s="162"/>
      <c r="C124" s="162"/>
      <c r="D124" s="540"/>
      <c r="E124" s="77"/>
      <c r="F124" s="64"/>
      <c r="G124" s="64"/>
      <c r="H124" s="64"/>
      <c r="I124" s="64"/>
      <c r="J124" s="64"/>
      <c r="K124" s="20"/>
      <c r="L124" s="60" t="str">
        <f>Price!A124</f>
        <v>Bočnice C free, 400mm, hedvábně bílé</v>
      </c>
      <c r="M124" s="15" t="str">
        <f>Price!B124</f>
        <v>780C4002S</v>
      </c>
      <c r="N124" s="15" t="str">
        <f>Price!C124</f>
        <v>SW-M</v>
      </c>
      <c r="O124" s="537">
        <f>Price!D124</f>
        <v>0</v>
      </c>
      <c r="P124" s="16"/>
      <c r="Q124" s="17">
        <f>Price!F124</f>
        <v>30.37988</v>
      </c>
      <c r="R124" s="323"/>
      <c r="S124" s="323"/>
      <c r="T124" s="12">
        <f>Price!G124</f>
        <v>4154009</v>
      </c>
      <c r="U124" s="257">
        <f>Price!H124</f>
        <v>256474</v>
      </c>
      <c r="V124" s="13"/>
      <c r="W124" s="13"/>
      <c r="X124" s="19"/>
      <c r="Y124" s="19"/>
    </row>
    <row r="125" spans="1:25" x14ac:dyDescent="0.35">
      <c r="A125" s="80"/>
      <c r="B125" s="162"/>
      <c r="C125" s="162"/>
      <c r="D125" s="540"/>
      <c r="E125" s="77"/>
      <c r="F125" s="64"/>
      <c r="G125" s="64"/>
      <c r="H125" s="64"/>
      <c r="I125" s="64"/>
      <c r="J125" s="64"/>
      <c r="K125" s="20"/>
      <c r="L125" s="60" t="str">
        <f>Price!A125</f>
        <v>Bočnice C free, 400mm, černé Terra</v>
      </c>
      <c r="M125" s="15" t="str">
        <f>Price!B125</f>
        <v>780C4002S</v>
      </c>
      <c r="N125" s="15" t="str">
        <f>Price!C125</f>
        <v>TS-M</v>
      </c>
      <c r="O125" s="537">
        <f>Price!D125</f>
        <v>0</v>
      </c>
      <c r="P125" s="16"/>
      <c r="Q125" s="17">
        <f>Price!F125</f>
        <v>30.37988</v>
      </c>
      <c r="R125" s="323"/>
      <c r="S125" s="323"/>
      <c r="T125" s="12">
        <f>Price!G125</f>
        <v>4156714</v>
      </c>
      <c r="U125" s="257">
        <f>Price!H125</f>
        <v>256476</v>
      </c>
      <c r="V125" s="13"/>
      <c r="W125" s="13"/>
      <c r="X125" s="19"/>
      <c r="Y125" s="19"/>
    </row>
    <row r="126" spans="1:25" x14ac:dyDescent="0.35">
      <c r="A126" s="80"/>
      <c r="B126" s="162"/>
      <c r="C126" s="162"/>
      <c r="D126" s="540"/>
      <c r="E126" s="77"/>
      <c r="F126" s="64"/>
      <c r="G126" s="64"/>
      <c r="H126" s="64"/>
      <c r="I126" s="64"/>
      <c r="J126" s="64"/>
      <c r="K126" s="61"/>
      <c r="L126" s="60" t="str">
        <f>Price!A126</f>
        <v>Bočnice C free, 400mm, nerez</v>
      </c>
      <c r="M126" s="15" t="str">
        <f>Price!B126</f>
        <v>780C4002I</v>
      </c>
      <c r="N126" s="15" t="str">
        <f>Price!C126</f>
        <v>Inox</v>
      </c>
      <c r="O126" s="537" t="str">
        <f>Price!D126</f>
        <v>!</v>
      </c>
      <c r="P126" s="16"/>
      <c r="Q126" s="17">
        <f>Price!F126</f>
        <v>57.835929999999998</v>
      </c>
      <c r="R126" s="323"/>
      <c r="S126" s="323"/>
      <c r="T126" s="12">
        <f>Price!G126</f>
        <v>4182057</v>
      </c>
      <c r="U126" s="257">
        <f>Price!H126</f>
        <v>256477</v>
      </c>
      <c r="V126" s="13"/>
      <c r="W126" s="13"/>
      <c r="X126" s="19"/>
      <c r="Y126" s="19"/>
    </row>
    <row r="127" spans="1:25" ht="15" thickBot="1" x14ac:dyDescent="0.4">
      <c r="A127" s="85" t="str">
        <f>IF($C$2=1,L127,IF($C$2=2,L128,IF($C$2=3,L129,IF($C$2=4,L130,"  chyba"))))</f>
        <v>Bočnice C free, 450mm, Orion šedé</v>
      </c>
      <c r="B127" s="86" t="str">
        <f>IF($C$2=1,M127,IF($C$2=2,M128,IF($C$2=3,M129,IF($C$2=4,M130,"  chyba"))))</f>
        <v>780C4502S</v>
      </c>
      <c r="C127" s="86" t="str">
        <f>IF($C$2=1,N127,IF($C$2=2,N128,IF($C$2=3,N129,IF($C$2=4,N130,"  chyba"))))</f>
        <v>OG-M</v>
      </c>
      <c r="D127" s="86">
        <f>IF($C$2=1,O127,IF($C$2=2,O128,IF($C$2=3,O129,IF($C$2=4,O130,"  chyba"))))</f>
        <v>0</v>
      </c>
      <c r="E127" s="87"/>
      <c r="F127" s="88">
        <f>IF($C$2=1,Q127,IF($C$2=2,Q128,IF($C$2=3,Q129,IF($C$2=4,Q130,0))))*(100-$F$6)/100</f>
        <v>30.602429999999998</v>
      </c>
      <c r="G127" s="64"/>
      <c r="H127" s="64"/>
      <c r="I127" s="171">
        <f>IF($C$2=1,T127,IF($C$2=2,T128,IF($C$2=3,T129,IF($C$2=4,T130,"  chyba"))))</f>
        <v>4205596</v>
      </c>
      <c r="J127" s="171">
        <f>IF($C$2=1,U127,IF($C$2=2,U128,IF($C$2=3,U129,IF($C$2=4,U130,"  chyba"))))</f>
        <v>256479</v>
      </c>
      <c r="K127" s="20"/>
      <c r="L127" s="60" t="str">
        <f>Price!A127</f>
        <v>Bočnice C free, 450mm, Orion šedé</v>
      </c>
      <c r="M127" s="15" t="str">
        <f>Price!B127</f>
        <v>780C4502S</v>
      </c>
      <c r="N127" s="15" t="str">
        <f>Price!C127</f>
        <v>OG-M</v>
      </c>
      <c r="O127" s="537">
        <f>Price!D127</f>
        <v>0</v>
      </c>
      <c r="P127" s="16"/>
      <c r="Q127" s="17">
        <f>Price!F127</f>
        <v>30.602429999999998</v>
      </c>
      <c r="R127" s="323"/>
      <c r="S127" s="323"/>
      <c r="T127" s="12">
        <f>Price!G127</f>
        <v>4205596</v>
      </c>
      <c r="U127" s="257">
        <f>Price!H127</f>
        <v>256479</v>
      </c>
      <c r="V127" s="13"/>
      <c r="W127" s="13"/>
      <c r="X127" s="19"/>
      <c r="Y127" s="19"/>
    </row>
    <row r="128" spans="1:25" x14ac:dyDescent="0.35">
      <c r="A128" s="80"/>
      <c r="B128" s="162"/>
      <c r="C128" s="162"/>
      <c r="D128" s="540"/>
      <c r="E128" s="77"/>
      <c r="F128" s="64"/>
      <c r="G128" s="64"/>
      <c r="H128" s="64"/>
      <c r="I128" s="64"/>
      <c r="J128" s="64"/>
      <c r="K128" s="20"/>
      <c r="L128" s="60" t="str">
        <f>Price!A128</f>
        <v>Bočnice C free, 450mm, hedvábně bílé</v>
      </c>
      <c r="M128" s="15" t="str">
        <f>Price!B128</f>
        <v>780C4502S</v>
      </c>
      <c r="N128" s="15" t="str">
        <f>Price!C128</f>
        <v>SW-M</v>
      </c>
      <c r="O128" s="537">
        <f>Price!D128</f>
        <v>0</v>
      </c>
      <c r="P128" s="16"/>
      <c r="Q128" s="17">
        <f>Price!F128</f>
        <v>30.602429999999998</v>
      </c>
      <c r="R128" s="323"/>
      <c r="S128" s="323"/>
      <c r="T128" s="12">
        <f>Price!G128</f>
        <v>4274411</v>
      </c>
      <c r="U128" s="257">
        <f>Price!H128</f>
        <v>256478</v>
      </c>
      <c r="V128" s="13"/>
      <c r="W128" s="13"/>
      <c r="X128" s="19"/>
      <c r="Y128" s="19"/>
    </row>
    <row r="129" spans="1:25" x14ac:dyDescent="0.35">
      <c r="A129" s="80"/>
      <c r="B129" s="162"/>
      <c r="C129" s="162"/>
      <c r="D129" s="540"/>
      <c r="E129" s="77"/>
      <c r="F129" s="64"/>
      <c r="G129" s="64"/>
      <c r="H129" s="64"/>
      <c r="I129" s="64"/>
      <c r="J129" s="64"/>
      <c r="K129" s="20"/>
      <c r="L129" s="60" t="str">
        <f>Price!A129</f>
        <v>Bočnice C free, 450mm, černé Terra</v>
      </c>
      <c r="M129" s="15" t="str">
        <f>Price!B129</f>
        <v>780C4502S</v>
      </c>
      <c r="N129" s="15" t="str">
        <f>Price!C129</f>
        <v>TS-M</v>
      </c>
      <c r="O129" s="537">
        <f>Price!D129</f>
        <v>0</v>
      </c>
      <c r="P129" s="16"/>
      <c r="Q129" s="17">
        <f>Price!F129</f>
        <v>30.602429999999998</v>
      </c>
      <c r="R129" s="323"/>
      <c r="S129" s="323"/>
      <c r="T129" s="12">
        <f>Price!G129</f>
        <v>4883795</v>
      </c>
      <c r="U129" s="257">
        <f>Price!H129</f>
        <v>256480</v>
      </c>
      <c r="V129" s="13"/>
      <c r="W129" s="13"/>
      <c r="X129" s="19"/>
      <c r="Y129" s="19"/>
    </row>
    <row r="130" spans="1:25" x14ac:dyDescent="0.35">
      <c r="A130" s="80"/>
      <c r="B130" s="162"/>
      <c r="C130" s="162"/>
      <c r="D130" s="540"/>
      <c r="E130" s="77"/>
      <c r="F130" s="64"/>
      <c r="G130" s="64"/>
      <c r="H130" s="64"/>
      <c r="I130" s="64"/>
      <c r="J130" s="64"/>
      <c r="K130" s="61"/>
      <c r="L130" s="60" t="str">
        <f>Price!A130</f>
        <v>Bočnice C free, 450mm, nerez</v>
      </c>
      <c r="M130" s="15" t="str">
        <f>Price!B130</f>
        <v>780C4502I</v>
      </c>
      <c r="N130" s="15" t="str">
        <f>Price!C130</f>
        <v>Inox</v>
      </c>
      <c r="O130" s="537" t="str">
        <f>Price!D130</f>
        <v>!</v>
      </c>
      <c r="P130" s="16"/>
      <c r="Q130" s="17">
        <f>Price!F130</f>
        <v>58.614649999999997</v>
      </c>
      <c r="R130" s="323"/>
      <c r="S130" s="323"/>
      <c r="T130" s="12">
        <f>Price!G130</f>
        <v>4964668</v>
      </c>
      <c r="U130" s="257">
        <f>Price!H130</f>
        <v>256481</v>
      </c>
      <c r="V130" s="13"/>
      <c r="W130" s="13"/>
      <c r="X130" s="19"/>
      <c r="Y130" s="19"/>
    </row>
    <row r="131" spans="1:25" ht="15" thickBot="1" x14ac:dyDescent="0.4">
      <c r="A131" s="85" t="str">
        <f>IF($C$2=1,L131,IF($C$2=2,L132,IF($C$2=3,L133,IF($C$2=4,L134,"  chyba"))))</f>
        <v>Bočnice C free, 500mm, Orion šedé</v>
      </c>
      <c r="B131" s="86" t="str">
        <f>IF($C$2=1,M131,IF($C$2=2,M132,IF($C$2=3,M133,IF($C$2=4,M134,"  chyba"))))</f>
        <v>780C5002S</v>
      </c>
      <c r="C131" s="86" t="str">
        <f>IF($C$2=1,N131,IF($C$2=2,N132,IF($C$2=3,N133,IF($C$2=4,N134,"  chyba"))))</f>
        <v>OG-M</v>
      </c>
      <c r="D131" s="86">
        <f>IF($C$2=1,O131,IF($C$2=2,O132,IF($C$2=3,O133,IF($C$2=4,O134,"  chyba"))))</f>
        <v>0</v>
      </c>
      <c r="E131" s="87"/>
      <c r="F131" s="88">
        <f>IF($C$2=1,Q131,IF($C$2=2,Q132,IF($C$2=3,Q133,IF($C$2=4,Q134,0))))*(100-$F$6)/100</f>
        <v>30.824969999999997</v>
      </c>
      <c r="G131" s="64"/>
      <c r="H131" s="64"/>
      <c r="I131" s="171">
        <f>IF($C$2=1,T131,IF($C$2=2,T132,IF($C$2=3,T133,IF($C$2=4,T134,"  chyba"))))</f>
        <v>5095220</v>
      </c>
      <c r="J131" s="171">
        <f>IF($C$2=1,U131,IF($C$2=2,U132,IF($C$2=3,U133,IF($C$2=4,U134,"  chyba"))))</f>
        <v>256483</v>
      </c>
      <c r="K131" s="20"/>
      <c r="L131" s="60" t="str">
        <f>Price!A131</f>
        <v>Bočnice C free, 500mm, Orion šedé</v>
      </c>
      <c r="M131" s="15" t="str">
        <f>Price!B131</f>
        <v>780C5002S</v>
      </c>
      <c r="N131" s="15" t="str">
        <f>Price!C131</f>
        <v>OG-M</v>
      </c>
      <c r="O131" s="537">
        <f>Price!D131</f>
        <v>0</v>
      </c>
      <c r="P131" s="16"/>
      <c r="Q131" s="17">
        <f>Price!F131</f>
        <v>30.82497</v>
      </c>
      <c r="R131" s="323"/>
      <c r="S131" s="323"/>
      <c r="T131" s="12">
        <f>Price!G131</f>
        <v>5095220</v>
      </c>
      <c r="U131" s="257">
        <f>Price!H131</f>
        <v>256483</v>
      </c>
      <c r="V131" s="13"/>
      <c r="W131" s="13"/>
      <c r="X131" s="19"/>
      <c r="Y131" s="19"/>
    </row>
    <row r="132" spans="1:25" x14ac:dyDescent="0.35">
      <c r="A132" s="80"/>
      <c r="B132" s="162"/>
      <c r="C132" s="162"/>
      <c r="D132" s="540"/>
      <c r="E132" s="77"/>
      <c r="F132" s="64"/>
      <c r="G132" s="64"/>
      <c r="H132" s="64"/>
      <c r="I132" s="64"/>
      <c r="J132" s="64"/>
      <c r="K132" s="20"/>
      <c r="L132" s="60" t="str">
        <f>Price!A132</f>
        <v>Bočnice C free, 500mm, hedvábně bílé</v>
      </c>
      <c r="M132" s="15" t="str">
        <f>Price!B132</f>
        <v>780C5002S</v>
      </c>
      <c r="N132" s="15" t="str">
        <f>Price!C132</f>
        <v>SW-M</v>
      </c>
      <c r="O132" s="537">
        <f>Price!D132</f>
        <v>0</v>
      </c>
      <c r="P132" s="16"/>
      <c r="Q132" s="17">
        <f>Price!F132</f>
        <v>30.82497</v>
      </c>
      <c r="R132" s="323"/>
      <c r="S132" s="323"/>
      <c r="T132" s="12">
        <f>Price!G132</f>
        <v>5222798</v>
      </c>
      <c r="U132" s="257">
        <f>Price!H132</f>
        <v>256482</v>
      </c>
      <c r="V132" s="13"/>
      <c r="W132" s="13"/>
      <c r="X132" s="19"/>
      <c r="Y132" s="19"/>
    </row>
    <row r="133" spans="1:25" x14ac:dyDescent="0.35">
      <c r="A133" s="80"/>
      <c r="B133" s="162"/>
      <c r="C133" s="162"/>
      <c r="D133" s="540"/>
      <c r="E133" s="77"/>
      <c r="F133" s="64"/>
      <c r="G133" s="64"/>
      <c r="H133" s="64"/>
      <c r="I133" s="64"/>
      <c r="J133" s="64"/>
      <c r="K133" s="61"/>
      <c r="L133" s="60" t="str">
        <f>Price!A133</f>
        <v>Bočnice C free, 500mm, černé Terra</v>
      </c>
      <c r="M133" s="15" t="str">
        <f>Price!B133</f>
        <v>780C5002S</v>
      </c>
      <c r="N133" s="15" t="str">
        <f>Price!C133</f>
        <v>TS-M</v>
      </c>
      <c r="O133" s="537">
        <f>Price!D133</f>
        <v>0</v>
      </c>
      <c r="P133" s="16"/>
      <c r="Q133" s="17">
        <f>Price!F133</f>
        <v>30.82497</v>
      </c>
      <c r="R133" s="323"/>
      <c r="S133" s="323"/>
      <c r="T133" s="12">
        <f>Price!G133</f>
        <v>5286912</v>
      </c>
      <c r="U133" s="257">
        <f>Price!H133</f>
        <v>256484</v>
      </c>
      <c r="V133" s="13"/>
      <c r="W133" s="13"/>
      <c r="X133" s="19"/>
      <c r="Y133" s="19"/>
    </row>
    <row r="134" spans="1:25" x14ac:dyDescent="0.35">
      <c r="A134" s="80"/>
      <c r="B134" s="162"/>
      <c r="C134" s="162"/>
      <c r="D134" s="540"/>
      <c r="E134" s="77"/>
      <c r="F134" s="64"/>
      <c r="G134" s="64"/>
      <c r="H134" s="64"/>
      <c r="I134" s="64"/>
      <c r="J134" s="64"/>
      <c r="K134" s="20"/>
      <c r="L134" s="60" t="str">
        <f>Price!A134</f>
        <v>Bočnice C free, 500mm, nerez</v>
      </c>
      <c r="M134" s="15" t="str">
        <f>Price!B134</f>
        <v>780C5002I</v>
      </c>
      <c r="N134" s="15" t="str">
        <f>Price!C134</f>
        <v>Inox</v>
      </c>
      <c r="O134" s="537" t="str">
        <f>Price!D134</f>
        <v>!</v>
      </c>
      <c r="P134" s="16"/>
      <c r="Q134" s="17">
        <f>Price!F134</f>
        <v>59.393369999999997</v>
      </c>
      <c r="R134" s="323"/>
      <c r="S134" s="323"/>
      <c r="T134" s="12">
        <f>Price!G134</f>
        <v>5605893</v>
      </c>
      <c r="U134" s="257">
        <f>Price!H134</f>
        <v>256485</v>
      </c>
      <c r="V134" s="13"/>
      <c r="W134" s="13"/>
      <c r="X134" s="19"/>
      <c r="Y134" s="19"/>
    </row>
    <row r="135" spans="1:25" ht="15" thickBot="1" x14ac:dyDescent="0.4">
      <c r="A135" s="85" t="str">
        <f>IF($C$2=1,L135,IF($C$2=2,L136,IF($C$2=3,L137,IF($C$2=4,L138,"  chyba"))))</f>
        <v>Bočnice C free, 550mm, Orion šedé</v>
      </c>
      <c r="B135" s="86" t="str">
        <f>IF($C$2=1,M135,IF($C$2=2,M136,IF($C$2=3,M137,IF($C$2=4,M138,"  chyba"))))</f>
        <v>780C5502S</v>
      </c>
      <c r="C135" s="86" t="str">
        <f>IF($C$2=1,N135,IF($C$2=2,N136,IF($C$2=3,N137,IF($C$2=4,N138,"  chyba"))))</f>
        <v>OG-M</v>
      </c>
      <c r="D135" s="86">
        <f>IF($C$2=1,O135,IF($C$2=2,O136,IF($C$2=3,O137,IF($C$2=4,O138,"  chyba"))))</f>
        <v>0</v>
      </c>
      <c r="E135" s="87"/>
      <c r="F135" s="88">
        <f>IF($C$2=1,Q135,IF($C$2=2,Q136,IF($C$2=3,Q137,IF($C$2=4,Q138,0))))*(100-$F$6)/100</f>
        <v>32.604779999999998</v>
      </c>
      <c r="G135" s="64"/>
      <c r="H135" s="64"/>
      <c r="I135" s="171">
        <f>IF($C$2=1,T135,IF($C$2=2,T136,IF($C$2=3,T137,IF($C$2=4,T138,"  chyba"))))</f>
        <v>7038294</v>
      </c>
      <c r="J135" s="171">
        <f>IF($C$2=1,U135,IF($C$2=2,U136,IF($C$2=3,U137,IF($C$2=4,U138,"  chyba"))))</f>
        <v>256486</v>
      </c>
      <c r="K135" s="20"/>
      <c r="L135" s="60" t="str">
        <f>Price!A135</f>
        <v>Bočnice C free, 550mm, Orion šedé</v>
      </c>
      <c r="M135" s="15" t="str">
        <f>Price!B135</f>
        <v>780C5502S</v>
      </c>
      <c r="N135" s="15" t="str">
        <f>Price!C135</f>
        <v>OG-M</v>
      </c>
      <c r="O135" s="537">
        <f>Price!D135</f>
        <v>0</v>
      </c>
      <c r="P135" s="16"/>
      <c r="Q135" s="17">
        <f>Price!F135</f>
        <v>32.604779999999998</v>
      </c>
      <c r="R135" s="323"/>
      <c r="S135" s="323"/>
      <c r="T135" s="12">
        <f>Price!G135</f>
        <v>7038294</v>
      </c>
      <c r="U135" s="257">
        <f>Price!H135</f>
        <v>256486</v>
      </c>
      <c r="V135" s="13"/>
      <c r="W135" s="13"/>
      <c r="X135" s="19"/>
      <c r="Y135" s="19"/>
    </row>
    <row r="136" spans="1:25" x14ac:dyDescent="0.35">
      <c r="A136" s="80"/>
      <c r="B136" s="162"/>
      <c r="C136" s="162"/>
      <c r="D136" s="540"/>
      <c r="E136" s="77"/>
      <c r="F136" s="64"/>
      <c r="G136" s="64"/>
      <c r="H136" s="64"/>
      <c r="I136" s="64"/>
      <c r="J136" s="64"/>
      <c r="K136" s="61"/>
      <c r="L136" s="60" t="str">
        <f>Price!A136</f>
        <v>Bočnice C free, 550mm, hedvábně bílé</v>
      </c>
      <c r="M136" s="15" t="str">
        <f>Price!B136</f>
        <v>780C5502S</v>
      </c>
      <c r="N136" s="15" t="str">
        <f>Price!C136</f>
        <v>SW-M</v>
      </c>
      <c r="O136" s="537">
        <f>Price!D136</f>
        <v>0</v>
      </c>
      <c r="P136" s="16"/>
      <c r="Q136" s="17">
        <f>Price!F136</f>
        <v>32.604779999999998</v>
      </c>
      <c r="R136" s="323"/>
      <c r="S136" s="323"/>
      <c r="T136" s="12">
        <f>Price!G136</f>
        <v>7222585</v>
      </c>
      <c r="U136" s="257">
        <f>Price!H136</f>
        <v>256487</v>
      </c>
      <c r="V136" s="13"/>
      <c r="W136" s="13"/>
      <c r="X136" s="19"/>
      <c r="Y136" s="19"/>
    </row>
    <row r="137" spans="1:25" x14ac:dyDescent="0.35">
      <c r="A137" s="80"/>
      <c r="B137" s="162"/>
      <c r="C137" s="162"/>
      <c r="D137" s="540"/>
      <c r="E137" s="77"/>
      <c r="F137" s="64"/>
      <c r="G137" s="64"/>
      <c r="H137" s="64"/>
      <c r="I137" s="64"/>
      <c r="J137" s="64"/>
      <c r="K137" s="62"/>
      <c r="L137" s="60" t="str">
        <f>Price!A137</f>
        <v>Bočnice C free, 550mm, černé Terra</v>
      </c>
      <c r="M137" s="15" t="str">
        <f>Price!B137</f>
        <v>780C5502S</v>
      </c>
      <c r="N137" s="15" t="str">
        <f>Price!C137</f>
        <v>TS-M</v>
      </c>
      <c r="O137" s="537">
        <f>Price!D137</f>
        <v>0</v>
      </c>
      <c r="P137" s="16"/>
      <c r="Q137" s="17">
        <f>Price!F137</f>
        <v>32.604779999999998</v>
      </c>
      <c r="R137" s="323"/>
      <c r="S137" s="323"/>
      <c r="T137" s="12">
        <f>Price!G137</f>
        <v>7307946</v>
      </c>
      <c r="U137" s="257">
        <f>Price!H137</f>
        <v>256488</v>
      </c>
      <c r="V137" s="13"/>
      <c r="W137" s="13"/>
      <c r="X137" s="19"/>
      <c r="Y137" s="19"/>
    </row>
    <row r="138" spans="1:25" x14ac:dyDescent="0.35">
      <c r="A138" s="80"/>
      <c r="B138" s="162"/>
      <c r="C138" s="162"/>
      <c r="D138" s="540"/>
      <c r="E138" s="77"/>
      <c r="F138" s="64"/>
      <c r="G138" s="64"/>
      <c r="H138" s="64"/>
      <c r="I138" s="64"/>
      <c r="J138" s="64"/>
      <c r="K138" s="20"/>
      <c r="L138" s="60" t="str">
        <f>Price!A138</f>
        <v>Bočnice C free, 550mm, nerez</v>
      </c>
      <c r="M138" s="15" t="str">
        <f>Price!B138</f>
        <v>780C5502I</v>
      </c>
      <c r="N138" s="15" t="str">
        <f>Price!C138</f>
        <v>Inox</v>
      </c>
      <c r="O138" s="537" t="str">
        <f>Price!D138</f>
        <v>!</v>
      </c>
      <c r="P138" s="16"/>
      <c r="Q138" s="17">
        <f>Price!F138</f>
        <v>61.58446</v>
      </c>
      <c r="R138" s="323"/>
      <c r="S138" s="323"/>
      <c r="T138" s="12">
        <f>Price!G138</f>
        <v>7427442</v>
      </c>
      <c r="U138" s="257">
        <f>Price!H138</f>
        <v>256489</v>
      </c>
      <c r="V138" s="13"/>
      <c r="W138" s="13"/>
      <c r="X138" s="19"/>
      <c r="Y138" s="19"/>
    </row>
    <row r="139" spans="1:25" ht="15" thickBot="1" x14ac:dyDescent="0.4">
      <c r="A139" s="85" t="str">
        <f>IF($C$2=1,L139,IF($C$2=2,L140,IF($C$2=3,L141,IF($C$2=4,L142,"  chyba"))))</f>
        <v>Bočnice C free, 600mm, Orion šedé</v>
      </c>
      <c r="B139" s="86" t="str">
        <f>IF($C$2=1,M139,IF($C$2=2,M140,IF($C$2=3,M141,IF($C$2=4,M142,"  chyba"))))</f>
        <v>780C6002S</v>
      </c>
      <c r="C139" s="86" t="str">
        <f>IF($C$2=1,N139,IF($C$2=2,N140,IF($C$2=3,N141,IF($C$2=4,N142,"  chyba"))))</f>
        <v>OG-M</v>
      </c>
      <c r="D139" s="86">
        <f>IF($C$2=1,O139,IF($C$2=2,O140,IF($C$2=3,O141,IF($C$2=4,O142,"  chyba"))))</f>
        <v>0</v>
      </c>
      <c r="E139" s="87"/>
      <c r="F139" s="88">
        <f>IF($C$2=1,Q139,IF($C$2=2,Q140,IF($C$2=3,Q141,IF($C$2=4,Q142,0))))*(100-$F$6)/100</f>
        <v>35.385860000000001</v>
      </c>
      <c r="G139" s="64"/>
      <c r="H139" s="64"/>
      <c r="I139" s="171">
        <f>IF($C$2=1,T139,IF($C$2=2,T140,IF($C$2=3,T141,IF($C$2=4,T142,"  chyba"))))</f>
        <v>8044415</v>
      </c>
      <c r="J139" s="171">
        <f>IF($C$2=1,U139,IF($C$2=2,U140,IF($C$2=3,U141,IF($C$2=4,U142,"  chyba"))))</f>
        <v>256491</v>
      </c>
      <c r="K139" s="20"/>
      <c r="L139" s="60" t="str">
        <f>Price!A139</f>
        <v>Bočnice C free, 600mm, Orion šedé</v>
      </c>
      <c r="M139" s="15" t="str">
        <f>Price!B139</f>
        <v>780C6002S</v>
      </c>
      <c r="N139" s="15" t="str">
        <f>Price!C139</f>
        <v>OG-M</v>
      </c>
      <c r="O139" s="537">
        <f>Price!D139</f>
        <v>0</v>
      </c>
      <c r="P139" s="16"/>
      <c r="Q139" s="17">
        <f>Price!F139</f>
        <v>35.385860000000001</v>
      </c>
      <c r="R139" s="323"/>
      <c r="S139" s="323"/>
      <c r="T139" s="12">
        <f>Price!G139</f>
        <v>8044415</v>
      </c>
      <c r="U139" s="257">
        <f>Price!H139</f>
        <v>256491</v>
      </c>
      <c r="V139" s="13"/>
      <c r="W139" s="13"/>
      <c r="X139" s="19"/>
      <c r="Y139" s="19"/>
    </row>
    <row r="140" spans="1:25" x14ac:dyDescent="0.35">
      <c r="A140" s="80"/>
      <c r="B140" s="162"/>
      <c r="C140" s="162"/>
      <c r="D140" s="540"/>
      <c r="E140" s="77"/>
      <c r="F140" s="64"/>
      <c r="G140" s="64"/>
      <c r="H140" s="64"/>
      <c r="I140" s="64"/>
      <c r="J140" s="64"/>
      <c r="K140" s="61"/>
      <c r="L140" s="60" t="str">
        <f>Price!A140</f>
        <v>Bočnice C free, 600mm, hedvábně bílé</v>
      </c>
      <c r="M140" s="15" t="str">
        <f>Price!B140</f>
        <v>780C6002S</v>
      </c>
      <c r="N140" s="15" t="str">
        <f>Price!C140</f>
        <v>SW-M</v>
      </c>
      <c r="O140" s="537">
        <f>Price!D140</f>
        <v>0</v>
      </c>
      <c r="P140" s="16"/>
      <c r="Q140" s="17">
        <f>Price!F140</f>
        <v>35.385860000000001</v>
      </c>
      <c r="R140" s="323"/>
      <c r="S140" s="323"/>
      <c r="T140" s="12">
        <f>Price!G140</f>
        <v>8285646</v>
      </c>
      <c r="U140" s="257">
        <f>Price!H140</f>
        <v>256490</v>
      </c>
      <c r="V140" s="13"/>
      <c r="W140" s="13"/>
      <c r="X140" s="19"/>
      <c r="Y140" s="19"/>
    </row>
    <row r="141" spans="1:25" x14ac:dyDescent="0.35">
      <c r="A141" s="80"/>
      <c r="B141" s="162"/>
      <c r="C141" s="162"/>
      <c r="D141" s="540"/>
      <c r="E141" s="77"/>
      <c r="F141" s="64"/>
      <c r="G141" s="64"/>
      <c r="H141" s="64"/>
      <c r="I141" s="64"/>
      <c r="J141" s="64"/>
      <c r="K141" s="62"/>
      <c r="L141" s="60" t="str">
        <f>Price!A141</f>
        <v>Bočnice C free, 600mm, černé Terra</v>
      </c>
      <c r="M141" s="15" t="str">
        <f>Price!B141</f>
        <v>780C6002S</v>
      </c>
      <c r="N141" s="15" t="str">
        <f>Price!C141</f>
        <v>TS-M</v>
      </c>
      <c r="O141" s="537">
        <f>Price!D141</f>
        <v>0</v>
      </c>
      <c r="P141" s="16"/>
      <c r="Q141" s="17">
        <f>Price!F141</f>
        <v>35.385860000000001</v>
      </c>
      <c r="R141" s="323"/>
      <c r="S141" s="323"/>
      <c r="T141" s="12">
        <f>Price!G141</f>
        <v>8474809</v>
      </c>
      <c r="U141" s="257">
        <f>Price!H141</f>
        <v>256492</v>
      </c>
      <c r="V141" s="13"/>
      <c r="W141" s="13"/>
      <c r="X141" s="19"/>
      <c r="Y141" s="19"/>
    </row>
    <row r="142" spans="1:25" x14ac:dyDescent="0.35">
      <c r="A142" s="80"/>
      <c r="B142" s="162"/>
      <c r="C142" s="162"/>
      <c r="D142" s="540"/>
      <c r="E142" s="77"/>
      <c r="F142" s="64"/>
      <c r="G142" s="64"/>
      <c r="H142" s="64"/>
      <c r="I142" s="64"/>
      <c r="J142" s="64"/>
      <c r="K142" s="62"/>
      <c r="L142" s="60" t="str">
        <f>Price!A142</f>
        <v>Bočnice C free, 600mm, nerez</v>
      </c>
      <c r="M142" s="15" t="str">
        <f>Price!B142</f>
        <v>780C6002I</v>
      </c>
      <c r="N142" s="15" t="str">
        <f>Price!C142</f>
        <v>Inox</v>
      </c>
      <c r="O142" s="537" t="str">
        <f>Price!D142</f>
        <v>!</v>
      </c>
      <c r="P142" s="16"/>
      <c r="Q142" s="17">
        <f>Price!F142</f>
        <v>66.359309999999994</v>
      </c>
      <c r="R142" s="323"/>
      <c r="S142" s="323"/>
      <c r="T142" s="12">
        <f>Price!G142</f>
        <v>7634696</v>
      </c>
      <c r="U142" s="257">
        <f>Price!H142</f>
        <v>256493</v>
      </c>
      <c r="V142" s="13"/>
      <c r="W142" s="13"/>
      <c r="X142" s="19"/>
      <c r="Y142" s="19"/>
    </row>
    <row r="143" spans="1:25" ht="15" thickBot="1" x14ac:dyDescent="0.4">
      <c r="A143" s="85" t="str">
        <f>IF($C$2=1,L143,IF($C$2=2,L144,IF($C$2=3,L145,IF($C$2=4,L146,"  chyba"))))</f>
        <v>Bočnice C free, 650mm, Orion šedé</v>
      </c>
      <c r="B143" s="86" t="str">
        <f>IF($C$2=1,M143,IF($C$2=2,M144,IF($C$2=3,M145,IF($C$2=4,M146,"  chyba"))))</f>
        <v>780C6502S</v>
      </c>
      <c r="C143" s="86" t="str">
        <f>IF($C$2=1,N143,IF($C$2=2,N144,IF($C$2=3,N145,IF($C$2=4,N146,"  chyba"))))</f>
        <v>OG-M</v>
      </c>
      <c r="D143" s="86">
        <f>IF($C$2=1,O143,IF($C$2=2,O144,IF($C$2=3,O145,IF($C$2=4,O146,"  chyba"))))</f>
        <v>0</v>
      </c>
      <c r="E143" s="87"/>
      <c r="F143" s="88">
        <f>IF($C$2=1,Q143,IF($C$2=2,Q144,IF($C$2=3,Q145,IF($C$2=4,Q146,0))))*(100-$F$6)/100</f>
        <v>36.432029999999997</v>
      </c>
      <c r="G143" s="64"/>
      <c r="H143" s="64"/>
      <c r="I143" s="171">
        <f>IF($C$2=1,T143,IF($C$2=2,T144,IF($C$2=3,T145,IF($C$2=4,T146,"  chyba"))))</f>
        <v>9037386</v>
      </c>
      <c r="J143" s="171">
        <f>IF($C$2=1,U143,IF($C$2=2,U144,IF($C$2=3,U145,IF($C$2=4,U146,"  chyba"))))</f>
        <v>256495</v>
      </c>
      <c r="K143" s="62"/>
      <c r="L143" s="60" t="str">
        <f>Price!A143</f>
        <v>Bočnice C free, 650mm, Orion šedé</v>
      </c>
      <c r="M143" s="15" t="str">
        <f>Price!B143</f>
        <v>780C6502S</v>
      </c>
      <c r="N143" s="15" t="str">
        <f>Price!C143</f>
        <v>OG-M</v>
      </c>
      <c r="O143" s="537">
        <f>Price!D143</f>
        <v>0</v>
      </c>
      <c r="P143" s="16"/>
      <c r="Q143" s="17">
        <f>Price!F143</f>
        <v>36.432029999999997</v>
      </c>
      <c r="R143" s="323"/>
      <c r="S143" s="323"/>
      <c r="T143" s="12">
        <f>Price!G143</f>
        <v>9037386</v>
      </c>
      <c r="U143" s="257">
        <f>Price!H143</f>
        <v>256495</v>
      </c>
      <c r="V143" s="13"/>
      <c r="W143" s="13"/>
      <c r="X143" s="19"/>
      <c r="Y143" s="19"/>
    </row>
    <row r="144" spans="1:25" x14ac:dyDescent="0.35">
      <c r="A144" s="80"/>
      <c r="B144" s="162"/>
      <c r="C144" s="162"/>
      <c r="D144" s="540"/>
      <c r="E144" s="77"/>
      <c r="F144" s="64"/>
      <c r="G144" s="64"/>
      <c r="H144" s="64"/>
      <c r="I144" s="64"/>
      <c r="J144" s="64"/>
      <c r="K144" s="62"/>
      <c r="L144" s="60" t="str">
        <f>Price!A144</f>
        <v>Bočnice C free, 650mm, hedvábně bílé</v>
      </c>
      <c r="M144" s="15" t="str">
        <f>Price!B144</f>
        <v>780C6502S</v>
      </c>
      <c r="N144" s="15" t="str">
        <f>Price!C144</f>
        <v>SW-M</v>
      </c>
      <c r="O144" s="537">
        <f>Price!D144</f>
        <v>0</v>
      </c>
      <c r="P144" s="16"/>
      <c r="Q144" s="17">
        <f>Price!F144</f>
        <v>36.432029999999997</v>
      </c>
      <c r="R144" s="323"/>
      <c r="S144" s="323"/>
      <c r="T144" s="12">
        <f>Price!G144</f>
        <v>9076042</v>
      </c>
      <c r="U144" s="257">
        <f>Price!H144</f>
        <v>256494</v>
      </c>
      <c r="V144" s="13"/>
      <c r="W144" s="13"/>
      <c r="X144" s="19"/>
      <c r="Y144" s="19"/>
    </row>
    <row r="145" spans="1:25" x14ac:dyDescent="0.35">
      <c r="A145" s="80"/>
      <c r="B145" s="162"/>
      <c r="C145" s="162"/>
      <c r="D145" s="540"/>
      <c r="E145" s="77"/>
      <c r="F145" s="64"/>
      <c r="G145" s="64"/>
      <c r="H145" s="64"/>
      <c r="I145" s="64"/>
      <c r="J145" s="64"/>
      <c r="K145" s="62"/>
      <c r="L145" s="60" t="str">
        <f>Price!A145</f>
        <v>Bočnice C free, 650mm, černé Terra</v>
      </c>
      <c r="M145" s="15" t="str">
        <f>Price!B145</f>
        <v>780C6502S</v>
      </c>
      <c r="N145" s="15" t="str">
        <f>Price!C145</f>
        <v>TS-M</v>
      </c>
      <c r="O145" s="537">
        <f>Price!D145</f>
        <v>0</v>
      </c>
      <c r="P145" s="16"/>
      <c r="Q145" s="17">
        <f>Price!F145</f>
        <v>36.432029999999997</v>
      </c>
      <c r="R145" s="323"/>
      <c r="S145" s="323"/>
      <c r="T145" s="12">
        <f>Price!G145</f>
        <v>9166830</v>
      </c>
      <c r="U145" s="257">
        <f>Price!H145</f>
        <v>256496</v>
      </c>
      <c r="V145" s="13"/>
      <c r="W145" s="13"/>
      <c r="X145" s="19"/>
      <c r="Y145" s="19"/>
    </row>
    <row r="146" spans="1:25" x14ac:dyDescent="0.35">
      <c r="A146" s="80"/>
      <c r="B146" s="162"/>
      <c r="C146" s="162"/>
      <c r="D146" s="540"/>
      <c r="E146" s="77"/>
      <c r="F146" s="64"/>
      <c r="G146" s="64"/>
      <c r="H146" s="64"/>
      <c r="I146" s="64"/>
      <c r="J146" s="64"/>
      <c r="K146" s="62"/>
      <c r="L146" s="60" t="str">
        <f>Price!A146</f>
        <v>Bočnice C free, 650mm, nerez</v>
      </c>
      <c r="M146" s="15" t="str">
        <f>Price!B146</f>
        <v>780C6502I</v>
      </c>
      <c r="N146" s="15" t="str">
        <f>Price!C146</f>
        <v>Inox</v>
      </c>
      <c r="O146" s="537" t="str">
        <f>Price!D146</f>
        <v>!</v>
      </c>
      <c r="P146" s="16"/>
      <c r="Q146" s="17">
        <f>Price!F146</f>
        <v>68.847359999999995</v>
      </c>
      <c r="R146" s="323"/>
      <c r="S146" s="323"/>
      <c r="T146" s="12">
        <f>Price!G146</f>
        <v>9760720</v>
      </c>
      <c r="U146" s="257">
        <f>Price!H146</f>
        <v>256497</v>
      </c>
      <c r="V146" s="13"/>
      <c r="W146" s="13"/>
      <c r="X146" s="19"/>
      <c r="Y146" s="19"/>
    </row>
    <row r="147" spans="1:25" ht="15" thickBot="1" x14ac:dyDescent="0.4">
      <c r="A147" s="85" t="str">
        <f>IF($C$2=1,L147,IF($C$2=2,L148,IF($C$2=3,L149,IF($C$2=4,L150,"  chyba"))))</f>
        <v>Bočnice F 450mm, Orion šedé</v>
      </c>
      <c r="B147" s="86" t="str">
        <f>IF($C$2=1,M147,IF($C$2=2,M148,IF($C$2=3,M149,IF($C$2=4,M150,"  chyba"))))</f>
        <v>770F4502S</v>
      </c>
      <c r="C147" s="86" t="str">
        <f>IF($C$2=1,N147,IF($C$2=2,N148,IF($C$2=3,N149,IF($C$2=4,N150,"  chyba"))))</f>
        <v>OG-M</v>
      </c>
      <c r="D147" s="86">
        <f>IF($C$2=1,O147,IF($C$2=2,O148,IF($C$2=3,O149,IF($C$2=4,O150,"  chyba"))))</f>
        <v>0</v>
      </c>
      <c r="E147" s="87"/>
      <c r="F147" s="88">
        <f>IF($C$2=1,Q147,IF($C$2=2,Q148,IF($C$2=3,Q149,IF($C$2=4,Q150,0))))*(100-$F$6)/100</f>
        <v>49.551900000000003</v>
      </c>
      <c r="G147" s="64"/>
      <c r="H147" s="64"/>
      <c r="I147" s="171">
        <f>IF($C$2=1,T147,IF($C$2=2,T148,IF($C$2=3,T149,IF($C$2=4,T150,"  chyba"))))</f>
        <v>9096837</v>
      </c>
      <c r="J147" s="171">
        <f>IF($C$2=1,U147,IF($C$2=2,U148,IF($C$2=3,U149,IF($C$2=4,U150,"  chyba"))))</f>
        <v>227526</v>
      </c>
      <c r="K147" s="62"/>
      <c r="L147" s="60" t="str">
        <f>Price!A147</f>
        <v>Bočnice F 450mm, Orion šedé</v>
      </c>
      <c r="M147" s="15" t="str">
        <f>Price!B147</f>
        <v>770F4502S</v>
      </c>
      <c r="N147" s="15" t="str">
        <f>Price!C147</f>
        <v>OG-M</v>
      </c>
      <c r="O147" s="537">
        <f>Price!D147</f>
        <v>0</v>
      </c>
      <c r="P147" s="16"/>
      <c r="Q147" s="17">
        <f>Price!F147</f>
        <v>49.551900000000003</v>
      </c>
      <c r="R147" s="323"/>
      <c r="S147" s="323"/>
      <c r="T147" s="12">
        <f>Price!G147</f>
        <v>9096837</v>
      </c>
      <c r="U147" s="257">
        <f>Price!H147</f>
        <v>227526</v>
      </c>
      <c r="V147" s="13"/>
      <c r="W147" s="13"/>
      <c r="X147" s="19"/>
      <c r="Y147" s="19"/>
    </row>
    <row r="148" spans="1:25" x14ac:dyDescent="0.35">
      <c r="A148" s="80"/>
      <c r="B148" s="162"/>
      <c r="C148" s="162"/>
      <c r="D148" s="540"/>
      <c r="E148" s="77"/>
      <c r="F148" s="64"/>
      <c r="G148" s="64"/>
      <c r="H148" s="64"/>
      <c r="I148" s="64"/>
      <c r="J148" s="64"/>
      <c r="K148" s="20"/>
      <c r="L148" s="60" t="str">
        <f>Price!A148</f>
        <v>Bočnice F 450mm, hedvábně bílé</v>
      </c>
      <c r="M148" s="15" t="str">
        <f>Price!B148</f>
        <v>770F4502S</v>
      </c>
      <c r="N148" s="15" t="str">
        <f>Price!C148</f>
        <v>SW-M</v>
      </c>
      <c r="O148" s="537">
        <f>Price!D148</f>
        <v>0</v>
      </c>
      <c r="P148" s="16"/>
      <c r="Q148" s="17">
        <f>Price!F148</f>
        <v>49.551900000000003</v>
      </c>
      <c r="R148" s="323"/>
      <c r="S148" s="323"/>
      <c r="T148" s="12">
        <f>Price!G148</f>
        <v>9100975</v>
      </c>
      <c r="U148" s="257">
        <f>Price!H148</f>
        <v>227525</v>
      </c>
      <c r="V148" s="13"/>
      <c r="W148" s="13"/>
      <c r="X148" s="19"/>
      <c r="Y148" s="19"/>
    </row>
    <row r="149" spans="1:25" x14ac:dyDescent="0.35">
      <c r="A149" s="80"/>
      <c r="B149" s="162"/>
      <c r="C149" s="162"/>
      <c r="D149" s="540"/>
      <c r="E149" s="77"/>
      <c r="F149" s="64"/>
      <c r="G149" s="64"/>
      <c r="H149" s="64"/>
      <c r="I149" s="64"/>
      <c r="J149" s="64"/>
      <c r="K149" s="20"/>
      <c r="L149" s="60" t="str">
        <f>Price!A149</f>
        <v>Bočnice F 450mm, černé Terra</v>
      </c>
      <c r="M149" s="15" t="str">
        <f>Price!B149</f>
        <v>770F4502S</v>
      </c>
      <c r="N149" s="15" t="str">
        <f>Price!C149</f>
        <v>TS-M</v>
      </c>
      <c r="O149" s="537">
        <f>Price!D149</f>
        <v>0</v>
      </c>
      <c r="P149" s="16"/>
      <c r="Q149" s="17">
        <f>Price!F149</f>
        <v>49.551900000000003</v>
      </c>
      <c r="R149" s="323"/>
      <c r="S149" s="323"/>
      <c r="T149" s="12">
        <f>Price!G149</f>
        <v>9123035</v>
      </c>
      <c r="U149" s="257">
        <f>Price!H149</f>
        <v>227527</v>
      </c>
      <c r="V149" s="13"/>
      <c r="X149" s="19"/>
      <c r="Y149" s="19"/>
    </row>
    <row r="150" spans="1:25" x14ac:dyDescent="0.35">
      <c r="A150" s="80"/>
      <c r="B150" s="162"/>
      <c r="C150" s="162"/>
      <c r="D150" s="540"/>
      <c r="E150" s="77"/>
      <c r="F150" s="64"/>
      <c r="G150" s="64"/>
      <c r="H150" s="64"/>
      <c r="I150" s="64"/>
      <c r="J150" s="64"/>
      <c r="K150" s="20"/>
      <c r="L150" s="60" t="str">
        <f>Price!A150</f>
        <v>Bočnice F 450mm, nerez</v>
      </c>
      <c r="M150" s="15" t="str">
        <f>Price!B150</f>
        <v>770F4502I</v>
      </c>
      <c r="N150" s="15" t="str">
        <f>Price!C150</f>
        <v>Inox</v>
      </c>
      <c r="O150" s="537" t="str">
        <f>Price!D150</f>
        <v>!</v>
      </c>
      <c r="P150" s="16"/>
      <c r="Q150" s="17">
        <f>Price!F150</f>
        <v>83.600710000000007</v>
      </c>
      <c r="R150" s="323"/>
      <c r="S150" s="323"/>
      <c r="T150" s="12">
        <f>Price!G150</f>
        <v>1201651</v>
      </c>
      <c r="U150" s="257">
        <f>Price!H150</f>
        <v>227528</v>
      </c>
      <c r="V150" s="13"/>
      <c r="X150" s="19"/>
      <c r="Y150" s="19"/>
    </row>
    <row r="151" spans="1:25" ht="15" thickBot="1" x14ac:dyDescent="0.4">
      <c r="A151" s="85" t="str">
        <f>IF($C$2=1,L151,IF($C$2=2,L152,IF($C$2=3,L153,IF($C$2=4,L154,"  chyba"))))</f>
        <v>Bočnice F 500mm, Orion šedé</v>
      </c>
      <c r="B151" s="86" t="str">
        <f>IF($C$2=1,M151,IF($C$2=2,M152,IF($C$2=3,M153,IF($C$2=4,M154,"  chyba"))))</f>
        <v>770F5002S</v>
      </c>
      <c r="C151" s="86" t="str">
        <f>IF($C$2=1,N151,IF($C$2=2,N152,IF($C$2=3,N153,IF($C$2=4,N154,"  chyba"))))</f>
        <v>OG-M</v>
      </c>
      <c r="D151" s="86">
        <f>IF($C$2=1,O151,IF($C$2=2,O152,IF($C$2=3,O153,IF($C$2=4,O154,"  chyba"))))</f>
        <v>0</v>
      </c>
      <c r="E151" s="87"/>
      <c r="F151" s="88">
        <f>IF($C$2=1,Q151,IF($C$2=2,Q152,IF($C$2=3,Q153,IF($C$2=4,Q154,0))))*(100-$F$6)/100</f>
        <v>49.984830000000002</v>
      </c>
      <c r="G151" s="64"/>
      <c r="H151" s="64"/>
      <c r="I151" s="171">
        <f>IF($C$2=1,T151,IF($C$2=2,T152,IF($C$2=3,T153,IF($C$2=4,T154,"  chyba"))))</f>
        <v>9153879</v>
      </c>
      <c r="J151" s="171">
        <f>IF($C$2=1,U151,IF($C$2=2,U152,IF($C$2=3,U153,IF($C$2=4,U154,"  chyba"))))</f>
        <v>227530</v>
      </c>
      <c r="K151" s="20"/>
      <c r="L151" s="60" t="str">
        <f>Price!A151</f>
        <v>Bočnice F 500mm, Orion šedé</v>
      </c>
      <c r="M151" s="15" t="str">
        <f>Price!B151</f>
        <v>770F5002S</v>
      </c>
      <c r="N151" s="15" t="str">
        <f>Price!C151</f>
        <v>OG-M</v>
      </c>
      <c r="O151" s="537">
        <f>Price!D151</f>
        <v>0</v>
      </c>
      <c r="P151" s="16"/>
      <c r="Q151" s="17">
        <f>Price!F151</f>
        <v>49.984830000000002</v>
      </c>
      <c r="R151" s="323"/>
      <c r="S151" s="323"/>
      <c r="T151" s="12">
        <f>Price!G151</f>
        <v>9153879</v>
      </c>
      <c r="U151" s="257">
        <f>Price!H151</f>
        <v>227530</v>
      </c>
      <c r="V151" s="13"/>
      <c r="X151" s="19"/>
      <c r="Y151" s="19"/>
    </row>
    <row r="152" spans="1:25" x14ac:dyDescent="0.35">
      <c r="A152" s="80"/>
      <c r="B152" s="162"/>
      <c r="C152" s="162"/>
      <c r="D152" s="540"/>
      <c r="E152" s="77"/>
      <c r="F152" s="64"/>
      <c r="G152" s="64"/>
      <c r="H152" s="64"/>
      <c r="I152" s="64"/>
      <c r="J152" s="64"/>
      <c r="K152" s="20"/>
      <c r="L152" s="60" t="str">
        <f>Price!A152</f>
        <v>Bočnice F 500mm, hedvábně bílé</v>
      </c>
      <c r="M152" s="15" t="str">
        <f>Price!B152</f>
        <v>770F5002S</v>
      </c>
      <c r="N152" s="15" t="str">
        <f>Price!C152</f>
        <v>SW-M</v>
      </c>
      <c r="O152" s="537">
        <f>Price!D152</f>
        <v>0</v>
      </c>
      <c r="P152" s="16"/>
      <c r="Q152" s="17">
        <f>Price!F152</f>
        <v>49.984830000000002</v>
      </c>
      <c r="R152" s="323"/>
      <c r="S152" s="323"/>
      <c r="T152" s="12">
        <f>Price!G152</f>
        <v>9160529</v>
      </c>
      <c r="U152" s="257">
        <f>Price!H152</f>
        <v>227529</v>
      </c>
      <c r="V152" s="13"/>
      <c r="X152" s="19"/>
      <c r="Y152" s="19"/>
    </row>
    <row r="153" spans="1:25" x14ac:dyDescent="0.35">
      <c r="A153" s="80"/>
      <c r="B153" s="162"/>
      <c r="C153" s="162"/>
      <c r="D153" s="540"/>
      <c r="E153" s="77"/>
      <c r="F153" s="64"/>
      <c r="G153" s="64"/>
      <c r="H153" s="64"/>
      <c r="I153" s="64"/>
      <c r="J153" s="64"/>
      <c r="K153" s="20"/>
      <c r="L153" s="60" t="str">
        <f>Price!A153</f>
        <v>Bočnice F 500mm, černé Terra</v>
      </c>
      <c r="M153" s="15" t="str">
        <f>Price!B153</f>
        <v>770F5002S</v>
      </c>
      <c r="N153" s="15" t="str">
        <f>Price!C153</f>
        <v>TS-M</v>
      </c>
      <c r="O153" s="537">
        <f>Price!D153</f>
        <v>0</v>
      </c>
      <c r="P153" s="16"/>
      <c r="Q153" s="17">
        <f>Price!F153</f>
        <v>49.984830000000002</v>
      </c>
      <c r="R153" s="323"/>
      <c r="S153" s="323"/>
      <c r="T153" s="12">
        <f>Price!G153</f>
        <v>9177721</v>
      </c>
      <c r="U153" s="257">
        <f>Price!H153</f>
        <v>227531</v>
      </c>
      <c r="V153" s="13"/>
      <c r="X153" s="19"/>
      <c r="Y153" s="19"/>
    </row>
    <row r="154" spans="1:25" x14ac:dyDescent="0.35">
      <c r="A154" s="80"/>
      <c r="B154" s="162"/>
      <c r="C154" s="162"/>
      <c r="D154" s="540"/>
      <c r="E154" s="77"/>
      <c r="F154" s="64"/>
      <c r="G154" s="64"/>
      <c r="H154" s="64"/>
      <c r="I154" s="64"/>
      <c r="J154" s="64"/>
      <c r="K154" s="20"/>
      <c r="L154" s="60" t="str">
        <f>Price!A154</f>
        <v>Bočnice F 500mm, nerez</v>
      </c>
      <c r="M154" s="15" t="str">
        <f>Price!B154</f>
        <v>770F5002I</v>
      </c>
      <c r="N154" s="15" t="str">
        <f>Price!C154</f>
        <v>Inox</v>
      </c>
      <c r="O154" s="537" t="str">
        <f>Price!D154</f>
        <v>!</v>
      </c>
      <c r="P154" s="16"/>
      <c r="Q154" s="17">
        <f>Price!F154</f>
        <v>84.899659999999997</v>
      </c>
      <c r="R154" s="323"/>
      <c r="S154" s="323"/>
      <c r="T154" s="12">
        <f>Price!G154</f>
        <v>1241241</v>
      </c>
      <c r="U154" s="257">
        <f>Price!H154</f>
        <v>227532</v>
      </c>
      <c r="V154" s="13"/>
      <c r="X154" s="19"/>
      <c r="Y154" s="19"/>
    </row>
    <row r="155" spans="1:25" ht="15" thickBot="1" x14ac:dyDescent="0.4">
      <c r="A155" s="85" t="str">
        <f>IF($C$2=1,L155,IF($C$2=2,L156,IF($C$2=3,L157,IF($C$2=4,L158,"  chyba"))))</f>
        <v>Bočnice F 550mm, Orion šedé</v>
      </c>
      <c r="B155" s="86" t="str">
        <f>IF($C$2=1,M155,IF($C$2=2,M156,IF($C$2=3,M157,IF($C$2=4,M158,"  chyba"))))</f>
        <v>770F5502S</v>
      </c>
      <c r="C155" s="86" t="str">
        <f>IF($C$2=1,N155,IF($C$2=2,N156,IF($C$2=3,N157,IF($C$2=4,N158,"  chyba"))))</f>
        <v>OG-M</v>
      </c>
      <c r="D155" s="86">
        <f>IF($C$2=1,O155,IF($C$2=2,O156,IF($C$2=3,O157,IF($C$2=4,O158,"  chyba"))))</f>
        <v>0</v>
      </c>
      <c r="E155" s="87"/>
      <c r="F155" s="88">
        <f>IF($C$2=1,Q155,IF($C$2=2,Q156,IF($C$2=3,Q157,IF($C$2=4,Q158,0))))*(100-$F$6)/100</f>
        <v>51.93262</v>
      </c>
      <c r="G155" s="64"/>
      <c r="H155" s="64"/>
      <c r="I155" s="171">
        <f>IF($C$2=1,T155,IF($C$2=2,T156,IF($C$2=3,T157,IF($C$2=4,T158,"  chyba"))))</f>
        <v>9249100</v>
      </c>
      <c r="J155" s="171">
        <f>IF($C$2=1,U155,IF($C$2=2,U156,IF($C$2=3,U157,IF($C$2=4,U158,"  chyba"))))</f>
        <v>227534</v>
      </c>
      <c r="K155" s="65"/>
      <c r="L155" s="60" t="str">
        <f>Price!A155</f>
        <v>Bočnice F 550mm, Orion šedé</v>
      </c>
      <c r="M155" s="15" t="str">
        <f>Price!B155</f>
        <v>770F5502S</v>
      </c>
      <c r="N155" s="15" t="str">
        <f>Price!C155</f>
        <v>OG-M</v>
      </c>
      <c r="O155" s="537">
        <f>Price!D155</f>
        <v>0</v>
      </c>
      <c r="P155" s="16"/>
      <c r="Q155" s="17">
        <f>Price!F155</f>
        <v>51.93262</v>
      </c>
      <c r="R155" s="323"/>
      <c r="S155" s="323"/>
      <c r="T155" s="12">
        <f>Price!G155</f>
        <v>9249100</v>
      </c>
      <c r="U155" s="257">
        <f>Price!H155</f>
        <v>227534</v>
      </c>
      <c r="V155" s="13"/>
      <c r="W155" s="13"/>
      <c r="X155" s="19"/>
      <c r="Y155" s="19"/>
    </row>
    <row r="156" spans="1:25" x14ac:dyDescent="0.35">
      <c r="A156" s="80"/>
      <c r="B156" s="162"/>
      <c r="C156" s="162"/>
      <c r="D156" s="540"/>
      <c r="E156" s="77"/>
      <c r="F156" s="64"/>
      <c r="G156" s="64"/>
      <c r="H156" s="64"/>
      <c r="I156" s="64"/>
      <c r="J156" s="64"/>
      <c r="K156" s="62"/>
      <c r="L156" s="60" t="str">
        <f>Price!A156</f>
        <v>Bočnice F 550mm, hedvábně bílé</v>
      </c>
      <c r="M156" s="15" t="str">
        <f>Price!B156</f>
        <v>770F5502S</v>
      </c>
      <c r="N156" s="15" t="str">
        <f>Price!C156</f>
        <v>SW-M</v>
      </c>
      <c r="O156" s="537">
        <f>Price!D156</f>
        <v>0</v>
      </c>
      <c r="P156" s="16"/>
      <c r="Q156" s="17">
        <f>Price!F156</f>
        <v>51.93262</v>
      </c>
      <c r="R156" s="323"/>
      <c r="S156" s="323"/>
      <c r="T156" s="12">
        <f>Price!G156</f>
        <v>9253160</v>
      </c>
      <c r="U156" s="257">
        <f>Price!H156</f>
        <v>227533</v>
      </c>
      <c r="V156" s="13"/>
      <c r="X156" s="19"/>
      <c r="Y156" s="19"/>
    </row>
    <row r="157" spans="1:25" x14ac:dyDescent="0.35">
      <c r="A157" s="80"/>
      <c r="B157" s="162"/>
      <c r="C157" s="162"/>
      <c r="D157" s="540"/>
      <c r="E157" s="77"/>
      <c r="F157" s="64"/>
      <c r="G157" s="64"/>
      <c r="H157" s="64"/>
      <c r="I157" s="64"/>
      <c r="J157" s="64"/>
      <c r="K157" s="62"/>
      <c r="L157" s="60" t="str">
        <f>Price!A157</f>
        <v>Bočnice F 550mm, černé Terra</v>
      </c>
      <c r="M157" s="15" t="str">
        <f>Price!B157</f>
        <v>770F5502S</v>
      </c>
      <c r="N157" s="15" t="str">
        <f>Price!C157</f>
        <v>TS-M</v>
      </c>
      <c r="O157" s="537">
        <f>Price!D157</f>
        <v>0</v>
      </c>
      <c r="P157" s="16"/>
      <c r="Q157" s="17">
        <f>Price!F157</f>
        <v>51.93262</v>
      </c>
      <c r="R157" s="323"/>
      <c r="S157" s="323"/>
      <c r="T157" s="12">
        <f>Price!G157</f>
        <v>9258019</v>
      </c>
      <c r="U157" s="257">
        <f>Price!H157</f>
        <v>227535</v>
      </c>
      <c r="V157" s="13"/>
      <c r="X157" s="19"/>
      <c r="Y157" s="19"/>
    </row>
    <row r="158" spans="1:25" x14ac:dyDescent="0.35">
      <c r="A158" s="80"/>
      <c r="B158" s="162"/>
      <c r="C158" s="162"/>
      <c r="D158" s="540"/>
      <c r="E158" s="77"/>
      <c r="F158" s="64"/>
      <c r="G158" s="64"/>
      <c r="H158" s="64"/>
      <c r="I158" s="64"/>
      <c r="J158" s="64"/>
      <c r="K158" s="20"/>
      <c r="L158" s="60" t="str">
        <f>Price!A158</f>
        <v>Bočnice F 550mm, nerez</v>
      </c>
      <c r="M158" s="15" t="str">
        <f>Price!B158</f>
        <v>770F5502I</v>
      </c>
      <c r="N158" s="15" t="str">
        <f>Price!C158</f>
        <v>Inox</v>
      </c>
      <c r="O158" s="537" t="str">
        <f>Price!D158</f>
        <v>!</v>
      </c>
      <c r="P158" s="16"/>
      <c r="Q158" s="17">
        <f>Price!F158</f>
        <v>88.14658</v>
      </c>
      <c r="R158" s="323"/>
      <c r="S158" s="323"/>
      <c r="T158" s="12">
        <f>Price!G158</f>
        <v>1335726</v>
      </c>
      <c r="U158" s="257">
        <f>Price!H158</f>
        <v>227536</v>
      </c>
      <c r="V158" s="13"/>
      <c r="W158" s="13"/>
      <c r="X158" s="19"/>
      <c r="Y158" s="19"/>
    </row>
    <row r="159" spans="1:25" ht="15" thickBot="1" x14ac:dyDescent="0.4">
      <c r="A159" s="85" t="str">
        <f>IF($C$2=1,L159,IF($C$2=2,L160,IF($C$2=3,L161,IF($C$2=4,L162,"  chyba"))))</f>
        <v>Bočnice F 600mm, Orion šedé</v>
      </c>
      <c r="B159" s="86" t="str">
        <f>IF($C$2=1,M159,IF($C$2=2,M160,IF($C$2=3,M161,IF($C$2=4,M162,"  chyba"))))</f>
        <v>770F6002S</v>
      </c>
      <c r="C159" s="86" t="str">
        <f>IF($C$2=1,N159,IF($C$2=2,N160,IF($C$2=3,N161,IF($C$2=4,N162,"  chyba"))))</f>
        <v>OG-M</v>
      </c>
      <c r="D159" s="86">
        <f>IF($C$2=1,O159,IF($C$2=2,O160,IF($C$2=3,O161,IF($C$2=4,O162,"  chyba"))))</f>
        <v>0</v>
      </c>
      <c r="E159" s="87"/>
      <c r="F159" s="88">
        <f>IF($C$2=1,Q159,IF($C$2=2,Q160,IF($C$2=3,Q161,IF($C$2=4,Q162,0))))*(100-$F$6)/100</f>
        <v>56.477589999999999</v>
      </c>
      <c r="G159" s="64"/>
      <c r="H159" s="64"/>
      <c r="I159" s="171">
        <f>IF($C$2=1,T159,IF($C$2=2,T160,IF($C$2=3,T161,IF($C$2=4,T162,"  chyba"))))</f>
        <v>9299751</v>
      </c>
      <c r="J159" s="171">
        <f>IF($C$2=1,U159,IF($C$2=2,U160,IF($C$2=3,U161,IF($C$2=4,U162,"  chyba"))))</f>
        <v>227538</v>
      </c>
      <c r="K159" s="20"/>
      <c r="L159" s="60" t="str">
        <f>Price!A159</f>
        <v>Bočnice F 600mm, Orion šedé</v>
      </c>
      <c r="M159" s="15" t="str">
        <f>Price!B159</f>
        <v>770F6002S</v>
      </c>
      <c r="N159" s="15" t="str">
        <f>Price!C159</f>
        <v>OG-M</v>
      </c>
      <c r="O159" s="537">
        <f>Price!D159</f>
        <v>0</v>
      </c>
      <c r="P159" s="16"/>
      <c r="Q159" s="17">
        <f>Price!F159</f>
        <v>56.477589999999999</v>
      </c>
      <c r="R159" s="323"/>
      <c r="S159" s="323"/>
      <c r="T159" s="12">
        <f>Price!G159</f>
        <v>9299751</v>
      </c>
      <c r="U159" s="257">
        <f>Price!H159</f>
        <v>227538</v>
      </c>
      <c r="V159" s="13"/>
      <c r="W159" s="13"/>
      <c r="X159" s="19"/>
      <c r="Y159" s="19"/>
    </row>
    <row r="160" spans="1:25" x14ac:dyDescent="0.35">
      <c r="A160" s="80"/>
      <c r="B160" s="162"/>
      <c r="C160" s="162"/>
      <c r="D160" s="540"/>
      <c r="E160" s="77"/>
      <c r="F160" s="64"/>
      <c r="G160" s="64"/>
      <c r="H160" s="64"/>
      <c r="I160" s="64"/>
      <c r="J160" s="64"/>
      <c r="K160" s="61"/>
      <c r="L160" s="60" t="str">
        <f>Price!A160</f>
        <v>Bočnice F 600mm, hedvábně bílé</v>
      </c>
      <c r="M160" s="15" t="str">
        <f>Price!B160</f>
        <v>770F6002S</v>
      </c>
      <c r="N160" s="15" t="str">
        <f>Price!C160</f>
        <v>SW-M</v>
      </c>
      <c r="O160" s="537">
        <f>Price!D160</f>
        <v>0</v>
      </c>
      <c r="P160" s="16"/>
      <c r="Q160" s="17">
        <f>Price!F160</f>
        <v>56.477589999999999</v>
      </c>
      <c r="R160" s="323"/>
      <c r="S160" s="323"/>
      <c r="T160" s="12">
        <f>Price!G160</f>
        <v>9310682</v>
      </c>
      <c r="U160" s="257">
        <f>Price!H160</f>
        <v>227537</v>
      </c>
      <c r="V160" s="13"/>
      <c r="W160" s="13"/>
      <c r="X160" s="19"/>
      <c r="Y160" s="19"/>
    </row>
    <row r="161" spans="1:25" x14ac:dyDescent="0.35">
      <c r="A161" s="80"/>
      <c r="B161" s="162"/>
      <c r="C161" s="162"/>
      <c r="D161" s="540"/>
      <c r="E161" s="77"/>
      <c r="F161" s="64"/>
      <c r="G161" s="64"/>
      <c r="H161" s="64"/>
      <c r="I161" s="64"/>
      <c r="J161" s="64"/>
      <c r="K161" s="20"/>
      <c r="L161" s="60" t="str">
        <f>Price!A161</f>
        <v>Bočnice F 600mm, černé Terra</v>
      </c>
      <c r="M161" s="15" t="str">
        <f>Price!B161</f>
        <v>770F6002S</v>
      </c>
      <c r="N161" s="15" t="str">
        <f>Price!C161</f>
        <v>TS-M</v>
      </c>
      <c r="O161" s="537">
        <f>Price!D161</f>
        <v>0</v>
      </c>
      <c r="P161" s="16"/>
      <c r="Q161" s="17">
        <f>Price!F161</f>
        <v>56.477589999999999</v>
      </c>
      <c r="R161" s="323"/>
      <c r="S161" s="323"/>
      <c r="T161" s="12">
        <f>Price!G161</f>
        <v>9313559</v>
      </c>
      <c r="U161" s="257">
        <f>Price!H161</f>
        <v>227539</v>
      </c>
      <c r="V161" s="13"/>
      <c r="X161" s="19"/>
      <c r="Y161" s="19"/>
    </row>
    <row r="162" spans="1:25" x14ac:dyDescent="0.35">
      <c r="A162" s="80"/>
      <c r="B162" s="162"/>
      <c r="C162" s="162"/>
      <c r="D162" s="540"/>
      <c r="E162" s="77"/>
      <c r="F162" s="64"/>
      <c r="G162" s="64"/>
      <c r="H162" s="64"/>
      <c r="I162" s="64"/>
      <c r="J162" s="64"/>
      <c r="K162" s="20"/>
      <c r="L162" s="60" t="str">
        <f>Price!A162</f>
        <v>Bočnice F 600mm, nerez</v>
      </c>
      <c r="M162" s="15" t="str">
        <f>Price!B162</f>
        <v>770F6002I</v>
      </c>
      <c r="N162" s="15" t="str">
        <f>Price!C162</f>
        <v>Inox</v>
      </c>
      <c r="O162" s="537" t="str">
        <f>Price!D162</f>
        <v>!</v>
      </c>
      <c r="P162" s="16"/>
      <c r="Q162" s="17">
        <f>Price!F162</f>
        <v>97.885360000000006</v>
      </c>
      <c r="R162" s="323"/>
      <c r="S162" s="323"/>
      <c r="T162" s="12">
        <f>Price!G162</f>
        <v>1351203</v>
      </c>
      <c r="U162" s="257">
        <f>Price!H162</f>
        <v>227540</v>
      </c>
      <c r="V162" s="13"/>
      <c r="W162" s="13"/>
      <c r="X162" s="19"/>
      <c r="Y162" s="19"/>
    </row>
    <row r="163" spans="1:25" ht="15" thickBot="1" x14ac:dyDescent="0.4">
      <c r="A163" s="85" t="str">
        <f>IF($C$2=1,L163,IF($C$2=2,L164,IF($C$2=3,L165,IF($C$2=4,L166,"  chyba"))))</f>
        <v>Bočnice F 650mm, Orion šedé</v>
      </c>
      <c r="B163" s="86" t="str">
        <f>IF($C$2=1,M163,IF($C$2=2,M164,IF($C$2=3,M165,IF($C$2=4,M166,"  chyba"))))</f>
        <v>770F6502S</v>
      </c>
      <c r="C163" s="86" t="str">
        <f>IF($C$2=1,N163,IF($C$2=2,N164,IF($C$2=3,N165,IF($C$2=4,N166,"  chyba"))))</f>
        <v>OG-M</v>
      </c>
      <c r="D163" s="86">
        <f>IF($C$2=1,O163,IF($C$2=2,O164,IF($C$2=3,O165,IF($C$2=4,O166,"  chyba"))))</f>
        <v>0</v>
      </c>
      <c r="E163" s="87"/>
      <c r="F163" s="88">
        <f>IF($C$2=1,Q163,IF($C$2=2,Q164,IF($C$2=3,Q165,IF($C$2=4,Q166,0))))*(100-$F$6)/100</f>
        <v>58.03593</v>
      </c>
      <c r="G163" s="64"/>
      <c r="H163" s="64"/>
      <c r="I163" s="171">
        <f>IF($C$2=1,T163,IF($C$2=2,T164,IF($C$2=3,T165,IF($C$2=4,T166,"  chyba"))))</f>
        <v>1876579</v>
      </c>
      <c r="J163" s="171">
        <f>IF($C$2=1,U163,IF($C$2=2,U164,IF($C$2=3,U165,IF($C$2=4,U166,"  chyba"))))</f>
        <v>256462</v>
      </c>
      <c r="K163" s="20"/>
      <c r="L163" s="60" t="str">
        <f>Price!A163</f>
        <v>Bočnice F 650mm, Orion šedé</v>
      </c>
      <c r="M163" s="15" t="str">
        <f>Price!B163</f>
        <v>770F6502S</v>
      </c>
      <c r="N163" s="15" t="str">
        <f>Price!C163</f>
        <v>OG-M</v>
      </c>
      <c r="O163" s="537">
        <f>Price!D163</f>
        <v>0</v>
      </c>
      <c r="P163" s="16"/>
      <c r="Q163" s="17">
        <f>Price!F163</f>
        <v>58.03593</v>
      </c>
      <c r="R163" s="323"/>
      <c r="S163" s="323"/>
      <c r="T163" s="12">
        <f>Price!G163</f>
        <v>1876579</v>
      </c>
      <c r="U163" s="257">
        <f>Price!H163</f>
        <v>256462</v>
      </c>
      <c r="V163" s="13"/>
      <c r="W163" s="13"/>
      <c r="X163" s="19"/>
      <c r="Y163" s="19"/>
    </row>
    <row r="164" spans="1:25" x14ac:dyDescent="0.35">
      <c r="A164" s="80"/>
      <c r="B164" s="162"/>
      <c r="C164" s="162"/>
      <c r="D164" s="540"/>
      <c r="E164" s="77"/>
      <c r="F164" s="64"/>
      <c r="G164" s="64"/>
      <c r="H164" s="64"/>
      <c r="I164" s="64"/>
      <c r="J164" s="64"/>
      <c r="K164" s="20"/>
      <c r="L164" s="60" t="str">
        <f>Price!A164</f>
        <v>Bočnice F 650mm, hedvábně bílé</v>
      </c>
      <c r="M164" s="15" t="str">
        <f>Price!B164</f>
        <v>770F6502S</v>
      </c>
      <c r="N164" s="15" t="str">
        <f>Price!C164</f>
        <v>SW-M</v>
      </c>
      <c r="O164" s="537">
        <f>Price!D164</f>
        <v>0</v>
      </c>
      <c r="P164" s="16"/>
      <c r="Q164" s="17">
        <f>Price!F164</f>
        <v>58.03593</v>
      </c>
      <c r="R164" s="323"/>
      <c r="S164" s="323"/>
      <c r="T164" s="12">
        <f>Price!G164</f>
        <v>4138347</v>
      </c>
      <c r="U164" s="257">
        <f>Price!H164</f>
        <v>256461</v>
      </c>
      <c r="V164" s="13"/>
      <c r="W164" s="13"/>
      <c r="X164" s="19"/>
      <c r="Y164" s="19"/>
    </row>
    <row r="165" spans="1:25" x14ac:dyDescent="0.35">
      <c r="A165" s="80"/>
      <c r="B165" s="162"/>
      <c r="C165" s="162"/>
      <c r="D165" s="540"/>
      <c r="E165" s="77"/>
      <c r="F165" s="64"/>
      <c r="G165" s="64"/>
      <c r="H165" s="64"/>
      <c r="I165" s="64"/>
      <c r="J165" s="64"/>
      <c r="K165" s="20"/>
      <c r="L165" s="60" t="str">
        <f>Price!A165</f>
        <v>Bočnice F 650mm, černé Terra</v>
      </c>
      <c r="M165" s="15" t="str">
        <f>Price!B165</f>
        <v>770F6502S</v>
      </c>
      <c r="N165" s="15" t="str">
        <f>Price!C165</f>
        <v>TS-M</v>
      </c>
      <c r="O165" s="537">
        <f>Price!D165</f>
        <v>0</v>
      </c>
      <c r="P165" s="16"/>
      <c r="Q165" s="17">
        <f>Price!F165</f>
        <v>58.03593</v>
      </c>
      <c r="R165" s="323"/>
      <c r="S165" s="323"/>
      <c r="T165" s="12">
        <f>Price!G165</f>
        <v>6910399</v>
      </c>
      <c r="U165" s="257">
        <f>Price!H165</f>
        <v>256463</v>
      </c>
      <c r="V165" s="13"/>
      <c r="W165" s="13"/>
      <c r="X165" s="19"/>
      <c r="Y165" s="19"/>
    </row>
    <row r="166" spans="1:25" x14ac:dyDescent="0.35">
      <c r="A166" s="80"/>
      <c r="B166" s="162"/>
      <c r="C166" s="162"/>
      <c r="D166" s="540"/>
      <c r="E166" s="77"/>
      <c r="F166" s="64"/>
      <c r="G166" s="64"/>
      <c r="H166" s="64"/>
      <c r="I166" s="64"/>
      <c r="J166" s="64"/>
      <c r="K166" s="20"/>
      <c r="L166" s="60" t="str">
        <f>Price!A166</f>
        <v>Bočnice F 650mm, nerez</v>
      </c>
      <c r="M166" s="15" t="str">
        <f>Price!B166</f>
        <v>770F6502I</v>
      </c>
      <c r="N166" s="15" t="str">
        <f>Price!C166</f>
        <v>Inox</v>
      </c>
      <c r="O166" s="537" t="str">
        <f>Price!D166</f>
        <v>!</v>
      </c>
      <c r="P166" s="16"/>
      <c r="Q166" s="17">
        <f>Price!F166</f>
        <v>102.86324999999999</v>
      </c>
      <c r="R166" s="323"/>
      <c r="S166" s="323"/>
      <c r="T166" s="12">
        <f>Price!G166</f>
        <v>3797708</v>
      </c>
      <c r="U166" s="257">
        <f>Price!H166</f>
        <v>256464</v>
      </c>
      <c r="V166" s="13"/>
      <c r="W166" s="13"/>
      <c r="X166" s="19"/>
      <c r="Y166" s="19"/>
    </row>
    <row r="167" spans="1:25" x14ac:dyDescent="0.35">
      <c r="A167" s="80"/>
      <c r="B167" s="162"/>
      <c r="C167" s="162"/>
      <c r="D167" s="540"/>
      <c r="E167" s="77"/>
      <c r="F167" s="64"/>
      <c r="G167" s="64"/>
      <c r="H167" s="64"/>
      <c r="I167" s="64"/>
      <c r="J167" s="64"/>
      <c r="K167" s="61"/>
      <c r="L167" s="60">
        <f>Price!A167</f>
        <v>0</v>
      </c>
      <c r="M167" s="15">
        <f>Price!B167</f>
        <v>0</v>
      </c>
      <c r="N167" s="15">
        <f>Price!C167</f>
        <v>0</v>
      </c>
      <c r="O167" s="537">
        <f>Price!D167</f>
        <v>0</v>
      </c>
      <c r="P167" s="16"/>
      <c r="Q167" s="17">
        <f>Price!F167</f>
        <v>0</v>
      </c>
      <c r="R167" s="323"/>
      <c r="S167" s="323"/>
      <c r="T167" s="12">
        <f>Price!G167</f>
        <v>0</v>
      </c>
      <c r="U167" s="257">
        <f>Price!H167</f>
        <v>0</v>
      </c>
      <c r="V167" s="13"/>
      <c r="W167" s="13"/>
      <c r="X167" s="19"/>
      <c r="Y167" s="19"/>
    </row>
    <row r="168" spans="1:25" x14ac:dyDescent="0.35">
      <c r="A168" s="89" t="str">
        <f t="shared" ref="A168:A174" si="1">L168</f>
        <v>Boční zásuvné prvky, sklo, pro 350 mm</v>
      </c>
      <c r="B168" s="90" t="str">
        <f t="shared" ref="B168:B174" si="2">M168</f>
        <v>ZE7S238G</v>
      </c>
      <c r="C168" s="90" t="str">
        <f t="shared" ref="C168:C174" si="3">N168</f>
        <v>KLA</v>
      </c>
      <c r="D168" s="90">
        <f t="shared" ref="D168:D174" si="4">O168</f>
        <v>0</v>
      </c>
      <c r="E168" s="91">
        <f t="shared" ref="E168:E174" si="5">P168</f>
        <v>0</v>
      </c>
      <c r="F168" s="17">
        <f t="shared" ref="F168:F174" si="6">Q168*(100-$F$6)/100</f>
        <v>20.738469999999996</v>
      </c>
      <c r="G168" s="64"/>
      <c r="H168" s="64"/>
      <c r="I168" s="172">
        <f t="shared" ref="I168:I174" si="7">T168</f>
        <v>6061082</v>
      </c>
      <c r="J168" s="172">
        <f t="shared" ref="J168:J174" si="8">U168</f>
        <v>256611</v>
      </c>
      <c r="K168" s="20"/>
      <c r="L168" s="60" t="str">
        <f>Price!A168</f>
        <v>Boční zásuvné prvky, sklo, pro 350 mm</v>
      </c>
      <c r="M168" s="15" t="str">
        <f>Price!B168</f>
        <v>ZE7S238G</v>
      </c>
      <c r="N168" s="15" t="str">
        <f>Price!C168</f>
        <v>KLA</v>
      </c>
      <c r="O168" s="537">
        <f>Price!D168</f>
        <v>0</v>
      </c>
      <c r="P168" s="16"/>
      <c r="Q168" s="17">
        <f>Price!F168</f>
        <v>20.73847</v>
      </c>
      <c r="R168" s="323"/>
      <c r="S168" s="323"/>
      <c r="T168" s="12">
        <f>Price!G168</f>
        <v>6061082</v>
      </c>
      <c r="U168" s="257">
        <f>Price!H168</f>
        <v>256611</v>
      </c>
      <c r="V168" s="13"/>
      <c r="W168" s="13"/>
      <c r="X168" s="19"/>
      <c r="Y168" s="19"/>
    </row>
    <row r="169" spans="1:25" x14ac:dyDescent="0.35">
      <c r="A169" s="89" t="str">
        <f t="shared" si="1"/>
        <v>Boční zásuvné prvky, sklo, pro 400 mm</v>
      </c>
      <c r="B169" s="90" t="str">
        <f t="shared" si="2"/>
        <v>ZE7S288G</v>
      </c>
      <c r="C169" s="90" t="str">
        <f t="shared" si="3"/>
        <v>KLA</v>
      </c>
      <c r="D169" s="90">
        <f t="shared" si="4"/>
        <v>0</v>
      </c>
      <c r="E169" s="91">
        <f t="shared" si="5"/>
        <v>0</v>
      </c>
      <c r="F169" s="17">
        <f t="shared" si="6"/>
        <v>21.912770000000002</v>
      </c>
      <c r="G169" s="64"/>
      <c r="H169" s="64"/>
      <c r="I169" s="172">
        <f t="shared" si="7"/>
        <v>3508415</v>
      </c>
      <c r="J169" s="172">
        <f t="shared" si="8"/>
        <v>257252</v>
      </c>
      <c r="K169" s="20"/>
      <c r="L169" s="60" t="str">
        <f>Price!A169</f>
        <v>Boční zásuvné prvky, sklo, pro 400 mm</v>
      </c>
      <c r="M169" s="15" t="str">
        <f>Price!B169</f>
        <v>ZE7S288G</v>
      </c>
      <c r="N169" s="15" t="str">
        <f>Price!C169</f>
        <v>KLA</v>
      </c>
      <c r="O169" s="537">
        <f>Price!D169</f>
        <v>0</v>
      </c>
      <c r="P169" s="16"/>
      <c r="Q169" s="17">
        <f>Price!F169</f>
        <v>21.912769999999998</v>
      </c>
      <c r="R169" s="323"/>
      <c r="S169" s="323"/>
      <c r="T169" s="12">
        <f>Price!G169</f>
        <v>3508415</v>
      </c>
      <c r="U169" s="257">
        <f>Price!H169</f>
        <v>257252</v>
      </c>
      <c r="V169" s="13"/>
      <c r="W169" s="13"/>
      <c r="X169" s="19"/>
      <c r="Y169" s="19"/>
    </row>
    <row r="170" spans="1:25" x14ac:dyDescent="0.35">
      <c r="A170" s="89" t="str">
        <f t="shared" si="1"/>
        <v>Boční zásuvné prvky, sklo, pro 450 mm</v>
      </c>
      <c r="B170" s="90" t="str">
        <f t="shared" si="2"/>
        <v>ZE7S338G</v>
      </c>
      <c r="C170" s="90" t="str">
        <f t="shared" si="3"/>
        <v>KLA</v>
      </c>
      <c r="D170" s="90">
        <f t="shared" si="4"/>
        <v>0</v>
      </c>
      <c r="E170" s="91">
        <f t="shared" si="5"/>
        <v>0</v>
      </c>
      <c r="F170" s="17">
        <f t="shared" si="6"/>
        <v>23.087060000000001</v>
      </c>
      <c r="G170" s="64"/>
      <c r="H170" s="64"/>
      <c r="I170" s="172">
        <f t="shared" si="7"/>
        <v>1507620</v>
      </c>
      <c r="J170" s="172">
        <f t="shared" si="8"/>
        <v>257253</v>
      </c>
      <c r="K170" s="20"/>
      <c r="L170" s="60" t="str">
        <f>Price!A170</f>
        <v>Boční zásuvné prvky, sklo, pro 450 mm</v>
      </c>
      <c r="M170" s="15" t="str">
        <f>Price!B170</f>
        <v>ZE7S338G</v>
      </c>
      <c r="N170" s="15" t="str">
        <f>Price!C170</f>
        <v>KLA</v>
      </c>
      <c r="O170" s="537">
        <f>Price!D170</f>
        <v>0</v>
      </c>
      <c r="P170" s="16"/>
      <c r="Q170" s="17">
        <f>Price!F170</f>
        <v>23.087060000000001</v>
      </c>
      <c r="R170" s="323"/>
      <c r="S170" s="323"/>
      <c r="T170" s="12">
        <f>Price!G170</f>
        <v>1507620</v>
      </c>
      <c r="U170" s="257">
        <f>Price!H170</f>
        <v>257253</v>
      </c>
      <c r="V170" s="13"/>
      <c r="W170" s="13"/>
      <c r="X170" s="19"/>
      <c r="Y170" s="19"/>
    </row>
    <row r="171" spans="1:25" x14ac:dyDescent="0.35">
      <c r="A171" s="89" t="str">
        <f t="shared" si="1"/>
        <v>Boční zásuvné prvky, sklo, pro 500 mm</v>
      </c>
      <c r="B171" s="90" t="str">
        <f t="shared" si="2"/>
        <v>ZE7S388G</v>
      </c>
      <c r="C171" s="90" t="str">
        <f t="shared" si="3"/>
        <v>KLA</v>
      </c>
      <c r="D171" s="90">
        <f t="shared" si="4"/>
        <v>0</v>
      </c>
      <c r="E171" s="91">
        <f t="shared" si="5"/>
        <v>0</v>
      </c>
      <c r="F171" s="17">
        <f t="shared" si="6"/>
        <v>24.26136</v>
      </c>
      <c r="G171" s="64"/>
      <c r="H171" s="64"/>
      <c r="I171" s="172">
        <f t="shared" si="7"/>
        <v>3863908</v>
      </c>
      <c r="J171" s="172">
        <f t="shared" si="8"/>
        <v>257254</v>
      </c>
      <c r="K171" s="20"/>
      <c r="L171" s="60" t="str">
        <f>Price!A171</f>
        <v>Boční zásuvné prvky, sklo, pro 500 mm</v>
      </c>
      <c r="M171" s="15" t="str">
        <f>Price!B171</f>
        <v>ZE7S388G</v>
      </c>
      <c r="N171" s="15" t="str">
        <f>Price!C171</f>
        <v>KLA</v>
      </c>
      <c r="O171" s="537">
        <f>Price!D171</f>
        <v>0</v>
      </c>
      <c r="P171" s="16"/>
      <c r="Q171" s="17">
        <f>Price!F171</f>
        <v>24.26136</v>
      </c>
      <c r="R171" s="323"/>
      <c r="S171" s="323"/>
      <c r="T171" s="12">
        <f>Price!G171</f>
        <v>3863908</v>
      </c>
      <c r="U171" s="257">
        <f>Price!H171</f>
        <v>257254</v>
      </c>
      <c r="V171" s="13"/>
      <c r="W171" s="13"/>
      <c r="X171" s="19"/>
      <c r="Y171" s="19"/>
    </row>
    <row r="172" spans="1:25" x14ac:dyDescent="0.35">
      <c r="A172" s="89" t="str">
        <f t="shared" si="1"/>
        <v>Boční zásuvné prvky, sklo, pro 550 mm</v>
      </c>
      <c r="B172" s="90" t="str">
        <f t="shared" si="2"/>
        <v>ZE7S438G</v>
      </c>
      <c r="C172" s="90" t="str">
        <f t="shared" si="3"/>
        <v>KLA</v>
      </c>
      <c r="D172" s="90">
        <f t="shared" si="4"/>
        <v>0</v>
      </c>
      <c r="E172" s="91">
        <f t="shared" si="5"/>
        <v>0</v>
      </c>
      <c r="F172" s="17">
        <f t="shared" si="6"/>
        <v>26.609179999999995</v>
      </c>
      <c r="G172" s="64"/>
      <c r="H172" s="64"/>
      <c r="I172" s="172">
        <f t="shared" si="7"/>
        <v>3232216</v>
      </c>
      <c r="J172" s="172">
        <f t="shared" si="8"/>
        <v>257255</v>
      </c>
      <c r="K172" s="20"/>
      <c r="L172" s="60" t="str">
        <f>Price!A172</f>
        <v>Boční zásuvné prvky, sklo, pro 550 mm</v>
      </c>
      <c r="M172" s="15" t="str">
        <f>Price!B172</f>
        <v>ZE7S438G</v>
      </c>
      <c r="N172" s="15" t="str">
        <f>Price!C172</f>
        <v>KLA</v>
      </c>
      <c r="O172" s="537">
        <f>Price!D172</f>
        <v>0</v>
      </c>
      <c r="P172" s="16"/>
      <c r="Q172" s="17">
        <f>Price!F172</f>
        <v>26.609179999999999</v>
      </c>
      <c r="R172" s="323"/>
      <c r="S172" s="323"/>
      <c r="T172" s="12">
        <f>Price!G172</f>
        <v>3232216</v>
      </c>
      <c r="U172" s="257">
        <f>Price!H172</f>
        <v>257255</v>
      </c>
      <c r="V172" s="13"/>
      <c r="W172" s="13"/>
      <c r="X172" s="19"/>
      <c r="Y172" s="19"/>
    </row>
    <row r="173" spans="1:25" x14ac:dyDescent="0.35">
      <c r="A173" s="89" t="str">
        <f t="shared" si="1"/>
        <v>Boční zásuvné prvky, sklo, pro 600 mm</v>
      </c>
      <c r="B173" s="90" t="str">
        <f t="shared" si="2"/>
        <v>ZE7S488G</v>
      </c>
      <c r="C173" s="90" t="str">
        <f t="shared" si="3"/>
        <v>KLA</v>
      </c>
      <c r="D173" s="90">
        <f t="shared" si="4"/>
        <v>0</v>
      </c>
      <c r="E173" s="91">
        <f t="shared" si="5"/>
        <v>0</v>
      </c>
      <c r="F173" s="17">
        <f t="shared" si="6"/>
        <v>28.957020000000004</v>
      </c>
      <c r="G173" s="64"/>
      <c r="H173" s="64"/>
      <c r="I173" s="172">
        <f t="shared" si="7"/>
        <v>4637982</v>
      </c>
      <c r="J173" s="172">
        <f t="shared" si="8"/>
        <v>257256</v>
      </c>
      <c r="K173" s="20"/>
      <c r="L173" s="60" t="str">
        <f>Price!A173</f>
        <v>Boční zásuvné prvky, sklo, pro 600 mm</v>
      </c>
      <c r="M173" s="15" t="str">
        <f>Price!B173</f>
        <v>ZE7S488G</v>
      </c>
      <c r="N173" s="15" t="str">
        <f>Price!C173</f>
        <v>KLA</v>
      </c>
      <c r="O173" s="537">
        <f>Price!D173</f>
        <v>0</v>
      </c>
      <c r="P173" s="16"/>
      <c r="Q173" s="17">
        <f>Price!F173</f>
        <v>28.95702</v>
      </c>
      <c r="R173" s="323"/>
      <c r="S173" s="323"/>
      <c r="T173" s="12">
        <f>Price!G173</f>
        <v>4637982</v>
      </c>
      <c r="U173" s="257">
        <f>Price!H173</f>
        <v>257256</v>
      </c>
      <c r="V173" s="13"/>
      <c r="W173" s="13"/>
      <c r="X173" s="19"/>
      <c r="Y173" s="19"/>
    </row>
    <row r="174" spans="1:25" x14ac:dyDescent="0.35">
      <c r="A174" s="89" t="str">
        <f t="shared" si="1"/>
        <v>Boční zásuvné prvky, sklo, pro 650 mm</v>
      </c>
      <c r="B174" s="90" t="str">
        <f t="shared" si="2"/>
        <v>ZE7S538G</v>
      </c>
      <c r="C174" s="90" t="str">
        <f t="shared" si="3"/>
        <v>KLA</v>
      </c>
      <c r="D174" s="90">
        <f t="shared" si="4"/>
        <v>0</v>
      </c>
      <c r="E174" s="91">
        <f t="shared" si="5"/>
        <v>0</v>
      </c>
      <c r="F174" s="17">
        <f t="shared" si="6"/>
        <v>31.304870000000001</v>
      </c>
      <c r="G174" s="64"/>
      <c r="H174" s="64"/>
      <c r="I174" s="172">
        <f t="shared" si="7"/>
        <v>5250952</v>
      </c>
      <c r="J174" s="172">
        <f t="shared" si="8"/>
        <v>257258</v>
      </c>
      <c r="K174" s="20"/>
      <c r="L174" s="60" t="str">
        <f>Price!A174</f>
        <v>Boční zásuvné prvky, sklo, pro 650 mm</v>
      </c>
      <c r="M174" s="15" t="str">
        <f>Price!B174</f>
        <v>ZE7S538G</v>
      </c>
      <c r="N174" s="15" t="str">
        <f>Price!C174</f>
        <v>KLA</v>
      </c>
      <c r="O174" s="537">
        <f>Price!D174</f>
        <v>0</v>
      </c>
      <c r="P174" s="16"/>
      <c r="Q174" s="17">
        <f>Price!F174</f>
        <v>31.304870000000001</v>
      </c>
      <c r="R174" s="323"/>
      <c r="S174" s="323"/>
      <c r="T174" s="12">
        <f>Price!G174</f>
        <v>5250952</v>
      </c>
      <c r="U174" s="257">
        <f>Price!H174</f>
        <v>257258</v>
      </c>
      <c r="V174" s="13"/>
      <c r="W174" s="13"/>
      <c r="X174" s="19"/>
      <c r="Y174" s="19"/>
    </row>
    <row r="175" spans="1:25" x14ac:dyDescent="0.35">
      <c r="A175" s="80"/>
      <c r="B175" s="162"/>
      <c r="C175" s="162"/>
      <c r="D175" s="540"/>
      <c r="E175" s="77"/>
      <c r="F175" s="64"/>
      <c r="G175" s="64"/>
      <c r="H175" s="64"/>
      <c r="I175" s="64"/>
      <c r="J175" s="64"/>
      <c r="K175" s="20"/>
      <c r="L175" s="60">
        <f>Price!A175</f>
        <v>0</v>
      </c>
      <c r="M175" s="15">
        <f>Price!B175</f>
        <v>0</v>
      </c>
      <c r="N175" s="15">
        <f>Price!C175</f>
        <v>0</v>
      </c>
      <c r="O175" s="537">
        <f>Price!D175</f>
        <v>0</v>
      </c>
      <c r="P175" s="16"/>
      <c r="Q175" s="17">
        <f>Price!F175</f>
        <v>0</v>
      </c>
      <c r="R175" s="323"/>
      <c r="S175" s="323"/>
      <c r="T175" s="12">
        <f>Price!G175</f>
        <v>0</v>
      </c>
      <c r="U175" s="257">
        <f>Price!H175</f>
        <v>0</v>
      </c>
      <c r="V175" s="13"/>
      <c r="W175" s="13"/>
      <c r="X175" s="19"/>
      <c r="Y175" s="19"/>
    </row>
    <row r="176" spans="1:25" x14ac:dyDescent="0.35">
      <c r="A176" s="80"/>
      <c r="B176" s="162"/>
      <c r="C176" s="162"/>
      <c r="D176" s="540"/>
      <c r="E176" s="77"/>
      <c r="F176" s="64"/>
      <c r="G176" s="64"/>
      <c r="H176" s="64"/>
      <c r="I176" s="64"/>
      <c r="J176" s="64"/>
      <c r="K176" s="61"/>
      <c r="L176" s="60" t="str">
        <f>Price!A176</f>
        <v xml:space="preserve">   Korpusové lišty BLUMOTION</v>
      </c>
      <c r="M176" s="15">
        <f>Price!B176</f>
        <v>0</v>
      </c>
      <c r="N176" s="15">
        <f>Price!C176</f>
        <v>0</v>
      </c>
      <c r="O176" s="537">
        <f>Price!D176</f>
        <v>0</v>
      </c>
      <c r="P176" s="16"/>
      <c r="Q176" s="17">
        <f>Price!F176</f>
        <v>0</v>
      </c>
      <c r="R176" s="323"/>
      <c r="S176" s="323"/>
      <c r="T176" s="12">
        <f>Price!G176</f>
        <v>0</v>
      </c>
      <c r="U176" s="257">
        <f>Price!H176</f>
        <v>0</v>
      </c>
      <c r="V176" s="13"/>
      <c r="X176" s="19"/>
      <c r="Y176" s="19"/>
    </row>
    <row r="177" spans="1:25" x14ac:dyDescent="0.35">
      <c r="A177" s="89" t="str">
        <f>L177</f>
        <v>Korpusové lišty BLUMOTION, 270mm, 40kg</v>
      </c>
      <c r="B177" s="90" t="str">
        <f>M177</f>
        <v>750.2701B</v>
      </c>
      <c r="C177" s="90" t="str">
        <f>N177</f>
        <v>ZN</v>
      </c>
      <c r="D177" s="90">
        <f>O177</f>
        <v>0</v>
      </c>
      <c r="E177" s="91">
        <f>P177</f>
        <v>0</v>
      </c>
      <c r="F177" s="17">
        <f t="shared" ref="F177:F188" si="9">Q177*(100-$F$6)/100</f>
        <v>21.845690000000001</v>
      </c>
      <c r="G177" s="64"/>
      <c r="H177" s="64"/>
      <c r="I177" s="172">
        <f>T177</f>
        <v>1854191</v>
      </c>
      <c r="J177" s="172">
        <f>U177</f>
        <v>227408</v>
      </c>
      <c r="K177" s="20"/>
      <c r="L177" s="60" t="str">
        <f>Price!A177</f>
        <v>Korpusové lišty BLUMOTION, 270mm, 40kg</v>
      </c>
      <c r="M177" s="15" t="str">
        <f>Price!B177</f>
        <v>750.2701B</v>
      </c>
      <c r="N177" s="15" t="str">
        <f>Price!C177</f>
        <v>ZN</v>
      </c>
      <c r="O177" s="537">
        <f>Price!D177</f>
        <v>0</v>
      </c>
      <c r="P177" s="16"/>
      <c r="Q177" s="17">
        <f>Price!F177</f>
        <v>21.845690000000001</v>
      </c>
      <c r="R177" s="323"/>
      <c r="S177" s="323"/>
      <c r="T177" s="12">
        <f>Price!G177</f>
        <v>1854191</v>
      </c>
      <c r="U177" s="257">
        <f>Price!H177</f>
        <v>227408</v>
      </c>
      <c r="V177" s="13"/>
      <c r="W177" s="13"/>
      <c r="X177" s="19"/>
      <c r="Y177" s="19"/>
    </row>
    <row r="178" spans="1:25" x14ac:dyDescent="0.35">
      <c r="A178" s="89" t="str">
        <f t="shared" ref="A178:A188" si="10">L178</f>
        <v>Korpusové lišty BLUMOTION, 300mm, 40kg</v>
      </c>
      <c r="B178" s="90" t="str">
        <f t="shared" ref="B178:B188" si="11">M178</f>
        <v>750.3001B</v>
      </c>
      <c r="C178" s="90" t="str">
        <f t="shared" ref="C178:D188" si="12">N178</f>
        <v>ZN</v>
      </c>
      <c r="D178" s="90">
        <f t="shared" si="12"/>
        <v>0</v>
      </c>
      <c r="E178" s="91">
        <f t="shared" ref="E178:E188" si="13">P178</f>
        <v>0</v>
      </c>
      <c r="F178" s="17">
        <f t="shared" si="9"/>
        <v>21.925909999999998</v>
      </c>
      <c r="G178" s="64"/>
      <c r="H178" s="64"/>
      <c r="I178" s="172">
        <f t="shared" ref="I178:I188" si="14">T178</f>
        <v>1899809</v>
      </c>
      <c r="J178" s="172">
        <f t="shared" ref="J178:J188" si="15">U178</f>
        <v>227409</v>
      </c>
      <c r="K178" s="20"/>
      <c r="L178" s="60" t="str">
        <f>Price!A178</f>
        <v>Korpusové lišty BLUMOTION, 300mm, 40kg</v>
      </c>
      <c r="M178" s="15" t="str">
        <f>Price!B178</f>
        <v>750.3001B</v>
      </c>
      <c r="N178" s="15" t="str">
        <f>Price!C178</f>
        <v>ZN</v>
      </c>
      <c r="O178" s="537">
        <f>Price!D178</f>
        <v>0</v>
      </c>
      <c r="P178" s="16"/>
      <c r="Q178" s="17">
        <f>Price!F178</f>
        <v>21.925909999999998</v>
      </c>
      <c r="R178" s="323"/>
      <c r="S178" s="323"/>
      <c r="T178" s="12">
        <f>Price!G178</f>
        <v>1899809</v>
      </c>
      <c r="U178" s="257">
        <f>Price!H178</f>
        <v>227409</v>
      </c>
      <c r="V178" s="13"/>
      <c r="W178" s="13"/>
      <c r="X178" s="19"/>
      <c r="Y178" s="19"/>
    </row>
    <row r="179" spans="1:25" x14ac:dyDescent="0.35">
      <c r="A179" s="89" t="str">
        <f t="shared" si="10"/>
        <v>Korpusové lišty BLUMOTION, 350mm, 40kg</v>
      </c>
      <c r="B179" s="90" t="str">
        <f t="shared" si="11"/>
        <v>750.3501B</v>
      </c>
      <c r="C179" s="90" t="str">
        <f t="shared" si="12"/>
        <v>ZN</v>
      </c>
      <c r="D179" s="90">
        <f t="shared" si="12"/>
        <v>0</v>
      </c>
      <c r="E179" s="91">
        <f t="shared" si="13"/>
        <v>0</v>
      </c>
      <c r="F179" s="17">
        <f t="shared" si="9"/>
        <v>21.845690000000001</v>
      </c>
      <c r="G179" s="64"/>
      <c r="H179" s="64"/>
      <c r="I179" s="172">
        <f t="shared" si="14"/>
        <v>2040276</v>
      </c>
      <c r="J179" s="172">
        <f t="shared" si="15"/>
        <v>227410</v>
      </c>
      <c r="K179" s="20"/>
      <c r="L179" s="60" t="str">
        <f>Price!A179</f>
        <v>Korpusové lišty BLUMOTION, 350mm, 40kg</v>
      </c>
      <c r="M179" s="15" t="str">
        <f>Price!B179</f>
        <v>750.3501B</v>
      </c>
      <c r="N179" s="15" t="str">
        <f>Price!C179</f>
        <v>ZN</v>
      </c>
      <c r="O179" s="537">
        <f>Price!D179</f>
        <v>0</v>
      </c>
      <c r="P179" s="16"/>
      <c r="Q179" s="17">
        <f>Price!F179</f>
        <v>21.845690000000001</v>
      </c>
      <c r="R179" s="323"/>
      <c r="S179" s="323"/>
      <c r="T179" s="12">
        <f>Price!G179</f>
        <v>2040276</v>
      </c>
      <c r="U179" s="257">
        <f>Price!H179</f>
        <v>227410</v>
      </c>
      <c r="V179" s="13"/>
      <c r="W179" s="13"/>
      <c r="X179" s="19"/>
      <c r="Y179" s="19"/>
    </row>
    <row r="180" spans="1:25" x14ac:dyDescent="0.35">
      <c r="A180" s="89" t="str">
        <f t="shared" si="10"/>
        <v>Korpusové lišty BLUMOTION, 400mm, 40kg</v>
      </c>
      <c r="B180" s="90" t="str">
        <f t="shared" si="11"/>
        <v>750.4001B</v>
      </c>
      <c r="C180" s="90" t="str">
        <f t="shared" si="12"/>
        <v>ZN</v>
      </c>
      <c r="D180" s="90">
        <f t="shared" si="12"/>
        <v>0</v>
      </c>
      <c r="E180" s="91">
        <f t="shared" si="13"/>
        <v>0</v>
      </c>
      <c r="F180" s="17">
        <f t="shared" si="9"/>
        <v>22.204979999999999</v>
      </c>
      <c r="G180" s="64"/>
      <c r="H180" s="64"/>
      <c r="I180" s="172">
        <f t="shared" si="14"/>
        <v>2191349</v>
      </c>
      <c r="J180" s="172">
        <f t="shared" si="15"/>
        <v>227411</v>
      </c>
      <c r="K180" s="20"/>
      <c r="L180" s="60" t="str">
        <f>Price!A180</f>
        <v>Korpusové lišty BLUMOTION, 400mm, 40kg</v>
      </c>
      <c r="M180" s="15" t="str">
        <f>Price!B180</f>
        <v>750.4001B</v>
      </c>
      <c r="N180" s="15" t="str">
        <f>Price!C180</f>
        <v>ZN</v>
      </c>
      <c r="O180" s="537">
        <f>Price!D180</f>
        <v>0</v>
      </c>
      <c r="P180" s="16"/>
      <c r="Q180" s="17">
        <f>Price!F180</f>
        <v>22.204979999999999</v>
      </c>
      <c r="R180" s="323"/>
      <c r="S180" s="323"/>
      <c r="T180" s="12">
        <f>Price!G180</f>
        <v>2191349</v>
      </c>
      <c r="U180" s="257">
        <f>Price!H180</f>
        <v>227411</v>
      </c>
      <c r="V180" s="13"/>
      <c r="W180" s="13"/>
      <c r="X180" s="19"/>
      <c r="Y180" s="19"/>
    </row>
    <row r="181" spans="1:25" x14ac:dyDescent="0.35">
      <c r="A181" s="89" t="str">
        <f t="shared" si="10"/>
        <v>Korpusové lišty BLUMOTION, 450mm, 40kg</v>
      </c>
      <c r="B181" s="90" t="str">
        <f t="shared" si="11"/>
        <v>750.4501B</v>
      </c>
      <c r="C181" s="90" t="str">
        <f t="shared" si="12"/>
        <v>ZN</v>
      </c>
      <c r="D181" s="90">
        <f t="shared" si="12"/>
        <v>0</v>
      </c>
      <c r="E181" s="91">
        <f t="shared" si="13"/>
        <v>0</v>
      </c>
      <c r="F181" s="17">
        <f t="shared" si="9"/>
        <v>23.667639999999995</v>
      </c>
      <c r="G181" s="64"/>
      <c r="H181" s="64"/>
      <c r="I181" s="172">
        <f t="shared" si="14"/>
        <v>2345608</v>
      </c>
      <c r="J181" s="172">
        <f t="shared" si="15"/>
        <v>227412</v>
      </c>
      <c r="K181" s="20"/>
      <c r="L181" s="60" t="str">
        <f>Price!A181</f>
        <v>Korpusové lišty BLUMOTION, 450mm, 40kg</v>
      </c>
      <c r="M181" s="15" t="str">
        <f>Price!B181</f>
        <v>750.4501B</v>
      </c>
      <c r="N181" s="15" t="str">
        <f>Price!C181</f>
        <v>ZN</v>
      </c>
      <c r="O181" s="537">
        <f>Price!D181</f>
        <v>0</v>
      </c>
      <c r="P181" s="16"/>
      <c r="Q181" s="17">
        <f>Price!F181</f>
        <v>23.667639999999999</v>
      </c>
      <c r="R181" s="323"/>
      <c r="S181" s="323"/>
      <c r="T181" s="12">
        <f>Price!G181</f>
        <v>2345608</v>
      </c>
      <c r="U181" s="257">
        <f>Price!H181</f>
        <v>227412</v>
      </c>
      <c r="V181" s="13"/>
      <c r="W181" s="13"/>
      <c r="X181" s="19"/>
      <c r="Y181" s="19"/>
    </row>
    <row r="182" spans="1:25" x14ac:dyDescent="0.35">
      <c r="A182" s="89" t="str">
        <f t="shared" si="10"/>
        <v>Korpusové lišty BLUMOTION, 450mm, 70kg</v>
      </c>
      <c r="B182" s="90" t="str">
        <f t="shared" si="11"/>
        <v>753.4501B</v>
      </c>
      <c r="C182" s="90" t="str">
        <f t="shared" si="12"/>
        <v>ZN</v>
      </c>
      <c r="D182" s="90">
        <f t="shared" si="12"/>
        <v>0</v>
      </c>
      <c r="E182" s="91">
        <f t="shared" si="13"/>
        <v>0</v>
      </c>
      <c r="F182" s="17">
        <f t="shared" si="9"/>
        <v>27.780560000000001</v>
      </c>
      <c r="G182" s="64"/>
      <c r="H182" s="64"/>
      <c r="I182" s="172">
        <f t="shared" si="14"/>
        <v>3367546</v>
      </c>
      <c r="J182" s="172">
        <f t="shared" si="15"/>
        <v>227416</v>
      </c>
      <c r="K182" s="20"/>
      <c r="L182" s="60" t="str">
        <f>Price!A182</f>
        <v>Korpusové lišty BLUMOTION, 450mm, 70kg</v>
      </c>
      <c r="M182" s="15" t="str">
        <f>Price!B182</f>
        <v>753.4501B</v>
      </c>
      <c r="N182" s="15" t="str">
        <f>Price!C182</f>
        <v>ZN</v>
      </c>
      <c r="O182" s="537">
        <f>Price!D182</f>
        <v>0</v>
      </c>
      <c r="P182" s="16"/>
      <c r="Q182" s="17">
        <f>Price!F182</f>
        <v>27.780560000000001</v>
      </c>
      <c r="R182" s="323"/>
      <c r="S182" s="323"/>
      <c r="T182" s="12">
        <f>Price!G182</f>
        <v>3367546</v>
      </c>
      <c r="U182" s="257">
        <f>Price!H182</f>
        <v>227416</v>
      </c>
      <c r="V182" s="13"/>
      <c r="W182" s="13"/>
      <c r="X182" s="19"/>
      <c r="Y182" s="19"/>
    </row>
    <row r="183" spans="1:25" x14ac:dyDescent="0.35">
      <c r="A183" s="89" t="str">
        <f t="shared" si="10"/>
        <v>Korpusové lišty BLUMOTION, 500mm, 40kg</v>
      </c>
      <c r="B183" s="90" t="str">
        <f t="shared" si="11"/>
        <v>750.5001B</v>
      </c>
      <c r="C183" s="90" t="str">
        <f t="shared" si="12"/>
        <v>ZN</v>
      </c>
      <c r="D183" s="90">
        <f t="shared" si="12"/>
        <v>0</v>
      </c>
      <c r="E183" s="91">
        <f t="shared" si="13"/>
        <v>0</v>
      </c>
      <c r="F183" s="17">
        <f t="shared" si="9"/>
        <v>22.680199999999999</v>
      </c>
      <c r="G183" s="64"/>
      <c r="H183" s="64"/>
      <c r="I183" s="172">
        <f t="shared" si="14"/>
        <v>2719117</v>
      </c>
      <c r="J183" s="172">
        <f t="shared" si="15"/>
        <v>227413</v>
      </c>
      <c r="K183" s="20"/>
      <c r="L183" s="60" t="str">
        <f>Price!A183</f>
        <v>Korpusové lišty BLUMOTION, 500mm, 40kg</v>
      </c>
      <c r="M183" s="15" t="str">
        <f>Price!B183</f>
        <v>750.5001B</v>
      </c>
      <c r="N183" s="15" t="str">
        <f>Price!C183</f>
        <v>ZN</v>
      </c>
      <c r="O183" s="537">
        <f>Price!D183</f>
        <v>0</v>
      </c>
      <c r="P183" s="16"/>
      <c r="Q183" s="17">
        <f>Price!F183</f>
        <v>22.680199999999999</v>
      </c>
      <c r="R183" s="323"/>
      <c r="S183" s="323"/>
      <c r="T183" s="12">
        <f>Price!G183</f>
        <v>2719117</v>
      </c>
      <c r="U183" s="257">
        <f>Price!H183</f>
        <v>227413</v>
      </c>
      <c r="V183" s="13"/>
      <c r="W183" s="13"/>
      <c r="X183" s="19"/>
      <c r="Y183" s="19"/>
    </row>
    <row r="184" spans="1:25" x14ac:dyDescent="0.35">
      <c r="A184" s="89" t="str">
        <f t="shared" si="10"/>
        <v>Korpusové lišty BLUMOTION, 500mm, 70kg</v>
      </c>
      <c r="B184" s="90" t="str">
        <f t="shared" si="11"/>
        <v>753.5001B</v>
      </c>
      <c r="C184" s="90" t="str">
        <f t="shared" si="12"/>
        <v>ZN</v>
      </c>
      <c r="D184" s="90">
        <f t="shared" si="12"/>
        <v>0</v>
      </c>
      <c r="E184" s="91">
        <f t="shared" si="13"/>
        <v>0</v>
      </c>
      <c r="F184" s="17">
        <f t="shared" si="9"/>
        <v>28.059809999999999</v>
      </c>
      <c r="G184" s="64"/>
      <c r="H184" s="64"/>
      <c r="I184" s="172">
        <f t="shared" si="14"/>
        <v>3428699</v>
      </c>
      <c r="J184" s="172">
        <f t="shared" si="15"/>
        <v>227417</v>
      </c>
      <c r="K184" s="20"/>
      <c r="L184" s="60" t="str">
        <f>Price!A184</f>
        <v>Korpusové lišty BLUMOTION, 500mm, 70kg</v>
      </c>
      <c r="M184" s="15" t="str">
        <f>Price!B184</f>
        <v>753.5001B</v>
      </c>
      <c r="N184" s="15" t="str">
        <f>Price!C184</f>
        <v>ZN</v>
      </c>
      <c r="O184" s="537">
        <f>Price!D184</f>
        <v>0</v>
      </c>
      <c r="P184" s="16"/>
      <c r="Q184" s="17">
        <f>Price!F184</f>
        <v>28.059809999999999</v>
      </c>
      <c r="R184" s="323"/>
      <c r="S184" s="323"/>
      <c r="T184" s="12">
        <f>Price!G184</f>
        <v>3428699</v>
      </c>
      <c r="U184" s="257">
        <f>Price!H184</f>
        <v>227417</v>
      </c>
      <c r="V184" s="13"/>
      <c r="W184" s="13"/>
      <c r="X184" s="19"/>
      <c r="Y184" s="19"/>
    </row>
    <row r="185" spans="1:25" x14ac:dyDescent="0.35">
      <c r="A185" s="89" t="str">
        <f t="shared" si="10"/>
        <v>Korpusové lišty BLUMOTION, 550mm, 40kg</v>
      </c>
      <c r="B185" s="90" t="str">
        <f t="shared" si="11"/>
        <v>750.5501B</v>
      </c>
      <c r="C185" s="90" t="str">
        <f t="shared" si="12"/>
        <v>ZN</v>
      </c>
      <c r="D185" s="90">
        <f t="shared" si="12"/>
        <v>0</v>
      </c>
      <c r="E185" s="91">
        <f t="shared" si="13"/>
        <v>0</v>
      </c>
      <c r="F185" s="17">
        <f t="shared" si="9"/>
        <v>24.254210000000004</v>
      </c>
      <c r="G185" s="64"/>
      <c r="H185" s="64"/>
      <c r="I185" s="172">
        <f t="shared" si="14"/>
        <v>3171218</v>
      </c>
      <c r="J185" s="172">
        <f t="shared" si="15"/>
        <v>227414</v>
      </c>
      <c r="K185" s="20"/>
      <c r="L185" s="60" t="str">
        <f>Price!A185</f>
        <v>Korpusové lišty BLUMOTION, 550mm, 40kg</v>
      </c>
      <c r="M185" s="15" t="str">
        <f>Price!B185</f>
        <v>750.5501B</v>
      </c>
      <c r="N185" s="15" t="str">
        <f>Price!C185</f>
        <v>ZN</v>
      </c>
      <c r="O185" s="537">
        <f>Price!D185</f>
        <v>0</v>
      </c>
      <c r="P185" s="16"/>
      <c r="Q185" s="17">
        <f>Price!F185</f>
        <v>24.25421</v>
      </c>
      <c r="R185" s="323"/>
      <c r="S185" s="323"/>
      <c r="T185" s="12">
        <f>Price!G185</f>
        <v>3171218</v>
      </c>
      <c r="U185" s="257">
        <f>Price!H185</f>
        <v>227414</v>
      </c>
      <c r="V185" s="13"/>
      <c r="W185" s="13"/>
      <c r="X185" s="19"/>
      <c r="Y185" s="19"/>
    </row>
    <row r="186" spans="1:25" x14ac:dyDescent="0.35">
      <c r="A186" s="89" t="str">
        <f t="shared" si="10"/>
        <v>Korpusové lišty BLUMOTION, 550mm, 70kg</v>
      </c>
      <c r="B186" s="90" t="str">
        <f t="shared" si="11"/>
        <v>753.5501B</v>
      </c>
      <c r="C186" s="90" t="str">
        <f t="shared" si="12"/>
        <v>ZN</v>
      </c>
      <c r="D186" s="90">
        <f t="shared" si="12"/>
        <v>0</v>
      </c>
      <c r="E186" s="91">
        <f t="shared" si="13"/>
        <v>0</v>
      </c>
      <c r="F186" s="17">
        <f t="shared" si="9"/>
        <v>29.550529999999998</v>
      </c>
      <c r="G186" s="64"/>
      <c r="H186" s="64"/>
      <c r="I186" s="172">
        <f t="shared" si="14"/>
        <v>3574954</v>
      </c>
      <c r="J186" s="172">
        <f t="shared" si="15"/>
        <v>227418</v>
      </c>
      <c r="K186" s="20"/>
      <c r="L186" s="60" t="str">
        <f>Price!A186</f>
        <v>Korpusové lišty BLUMOTION, 550mm, 70kg</v>
      </c>
      <c r="M186" s="15" t="str">
        <f>Price!B186</f>
        <v>753.5501B</v>
      </c>
      <c r="N186" s="15" t="str">
        <f>Price!C186</f>
        <v>ZN</v>
      </c>
      <c r="O186" s="537">
        <f>Price!D186</f>
        <v>0</v>
      </c>
      <c r="P186" s="16"/>
      <c r="Q186" s="17">
        <f>Price!F186</f>
        <v>29.550529999999998</v>
      </c>
      <c r="R186" s="323"/>
      <c r="S186" s="323"/>
      <c r="T186" s="12">
        <f>Price!G186</f>
        <v>3574954</v>
      </c>
      <c r="U186" s="257">
        <f>Price!H186</f>
        <v>227418</v>
      </c>
      <c r="V186" s="13"/>
      <c r="W186" s="13"/>
      <c r="X186" s="19"/>
      <c r="Y186" s="19"/>
    </row>
    <row r="187" spans="1:25" x14ac:dyDescent="0.35">
      <c r="A187" s="89" t="str">
        <f t="shared" si="10"/>
        <v>Korpusové lišty BLUMOTION, 600mm, 40kg</v>
      </c>
      <c r="B187" s="90" t="str">
        <f t="shared" si="11"/>
        <v>750.6001B</v>
      </c>
      <c r="C187" s="90" t="str">
        <f t="shared" si="12"/>
        <v>ZN</v>
      </c>
      <c r="D187" s="90">
        <f t="shared" si="12"/>
        <v>0</v>
      </c>
      <c r="E187" s="91">
        <f t="shared" si="13"/>
        <v>0</v>
      </c>
      <c r="F187" s="17">
        <f t="shared" si="9"/>
        <v>27.259979999999999</v>
      </c>
      <c r="G187" s="64"/>
      <c r="H187" s="64"/>
      <c r="I187" s="172">
        <f t="shared" si="14"/>
        <v>3275653</v>
      </c>
      <c r="J187" s="172">
        <f t="shared" si="15"/>
        <v>227415</v>
      </c>
      <c r="K187" s="61"/>
      <c r="L187" s="60" t="str">
        <f>Price!A187</f>
        <v>Korpusové lišty BLUMOTION, 600mm, 40kg</v>
      </c>
      <c r="M187" s="15" t="str">
        <f>Price!B187</f>
        <v>750.6001B</v>
      </c>
      <c r="N187" s="15" t="str">
        <f>Price!C187</f>
        <v>ZN</v>
      </c>
      <c r="O187" s="537">
        <f>Price!D187</f>
        <v>0</v>
      </c>
      <c r="P187" s="16"/>
      <c r="Q187" s="17">
        <f>Price!F187</f>
        <v>27.259979999999999</v>
      </c>
      <c r="R187" s="323"/>
      <c r="S187" s="323"/>
      <c r="T187" s="12">
        <f>Price!G187</f>
        <v>3275653</v>
      </c>
      <c r="U187" s="257">
        <f>Price!H187</f>
        <v>227415</v>
      </c>
      <c r="V187" s="13"/>
      <c r="W187" s="13"/>
      <c r="X187" s="19"/>
      <c r="Y187" s="19"/>
    </row>
    <row r="188" spans="1:25" x14ac:dyDescent="0.35">
      <c r="A188" s="89" t="str">
        <f t="shared" si="10"/>
        <v>Korpusové lišty BLUMOTION, 600mm, 70kg</v>
      </c>
      <c r="B188" s="90" t="str">
        <f t="shared" si="11"/>
        <v>753.6001B</v>
      </c>
      <c r="C188" s="90" t="str">
        <f t="shared" si="12"/>
        <v>ZN</v>
      </c>
      <c r="D188" s="90">
        <f t="shared" si="12"/>
        <v>0</v>
      </c>
      <c r="E188" s="91">
        <f t="shared" si="13"/>
        <v>0</v>
      </c>
      <c r="F188" s="17">
        <f t="shared" si="9"/>
        <v>32.5563</v>
      </c>
      <c r="G188" s="64"/>
      <c r="H188" s="64"/>
      <c r="I188" s="172">
        <f t="shared" si="14"/>
        <v>3768000</v>
      </c>
      <c r="J188" s="172">
        <f t="shared" si="15"/>
        <v>227419</v>
      </c>
      <c r="K188" s="20"/>
      <c r="L188" s="60" t="str">
        <f>Price!A188</f>
        <v>Korpusové lišty BLUMOTION, 600mm, 70kg</v>
      </c>
      <c r="M188" s="15" t="str">
        <f>Price!B188</f>
        <v>753.6001B</v>
      </c>
      <c r="N188" s="15" t="str">
        <f>Price!C188</f>
        <v>ZN</v>
      </c>
      <c r="O188" s="537">
        <f>Price!D188</f>
        <v>0</v>
      </c>
      <c r="P188" s="16"/>
      <c r="Q188" s="17">
        <f>Price!F188</f>
        <v>32.5563</v>
      </c>
      <c r="R188" s="323"/>
      <c r="S188" s="323"/>
      <c r="T188" s="12">
        <f>Price!G188</f>
        <v>3768000</v>
      </c>
      <c r="U188" s="257">
        <f>Price!H188</f>
        <v>227419</v>
      </c>
      <c r="V188" s="13"/>
      <c r="W188" s="13"/>
      <c r="X188" s="19"/>
      <c r="Y188" s="19"/>
    </row>
    <row r="189" spans="1:25" x14ac:dyDescent="0.35">
      <c r="A189" s="89" t="str">
        <f>L189</f>
        <v>Korpusové lišty BLUMOTION, 650mm, 70kg</v>
      </c>
      <c r="B189" s="90" t="str">
        <f>M189</f>
        <v>753.6501B</v>
      </c>
      <c r="C189" s="90" t="str">
        <f>N189</f>
        <v>ZN</v>
      </c>
      <c r="D189" s="90">
        <f>O189</f>
        <v>0</v>
      </c>
      <c r="E189" s="91">
        <f>P189</f>
        <v>0</v>
      </c>
      <c r="F189" s="17">
        <f>Q189*(100-$F$6)/100</f>
        <v>34.047020000000003</v>
      </c>
      <c r="G189" s="64"/>
      <c r="H189" s="64"/>
      <c r="I189" s="172">
        <f>T189</f>
        <v>3977695</v>
      </c>
      <c r="J189" s="172">
        <f>U189</f>
        <v>253716</v>
      </c>
      <c r="K189" s="20"/>
      <c r="L189" s="60" t="str">
        <f>Price!A189</f>
        <v>Korpusové lišty BLUMOTION, 650mm, 70kg</v>
      </c>
      <c r="M189" s="15" t="str">
        <f>Price!B189</f>
        <v>753.6501B</v>
      </c>
      <c r="N189" s="15" t="str">
        <f>Price!C189</f>
        <v>ZN</v>
      </c>
      <c r="O189" s="537">
        <f>Price!D189</f>
        <v>0</v>
      </c>
      <c r="P189" s="16"/>
      <c r="Q189" s="17">
        <f>Price!F189</f>
        <v>34.047020000000003</v>
      </c>
      <c r="R189" s="323"/>
      <c r="S189" s="323"/>
      <c r="T189" s="12">
        <f>Price!G189</f>
        <v>3977695</v>
      </c>
      <c r="U189" s="257">
        <f>Price!H189</f>
        <v>253716</v>
      </c>
      <c r="V189" s="13"/>
      <c r="W189" s="13"/>
      <c r="X189" s="19"/>
      <c r="Y189" s="19"/>
    </row>
    <row r="190" spans="1:25" x14ac:dyDescent="0.35">
      <c r="A190" s="89"/>
      <c r="B190" s="90"/>
      <c r="C190" s="90"/>
      <c r="D190" s="543"/>
      <c r="E190" s="91"/>
      <c r="F190" s="17"/>
      <c r="G190" s="64"/>
      <c r="H190" s="64"/>
      <c r="I190" s="172"/>
      <c r="J190" s="172"/>
      <c r="K190" s="61"/>
      <c r="L190" s="60">
        <f>Price!A190</f>
        <v>0</v>
      </c>
      <c r="M190" s="15">
        <f>Price!B190</f>
        <v>0</v>
      </c>
      <c r="N190" s="15">
        <f>Price!C190</f>
        <v>0</v>
      </c>
      <c r="O190" s="537">
        <f>Price!D190</f>
        <v>0</v>
      </c>
      <c r="P190" s="16"/>
      <c r="Q190" s="17">
        <f>Price!F190</f>
        <v>0</v>
      </c>
      <c r="R190" s="323"/>
      <c r="S190" s="323"/>
      <c r="T190" s="12">
        <f>Price!G190</f>
        <v>0</v>
      </c>
      <c r="U190" s="257">
        <f>Price!H190</f>
        <v>0</v>
      </c>
      <c r="V190" s="13"/>
      <c r="W190" s="13"/>
      <c r="X190" s="19"/>
      <c r="Y190" s="19"/>
    </row>
    <row r="191" spans="1:25" x14ac:dyDescent="0.35">
      <c r="A191" s="89"/>
      <c r="B191" s="90"/>
      <c r="C191" s="90"/>
      <c r="D191" s="543"/>
      <c r="E191" s="91"/>
      <c r="F191" s="17"/>
      <c r="G191" s="64"/>
      <c r="H191" s="64"/>
      <c r="I191" s="172"/>
      <c r="J191" s="172"/>
      <c r="K191" s="62"/>
      <c r="L191" s="60">
        <f>Price!A191</f>
        <v>0</v>
      </c>
      <c r="M191" s="15">
        <f>Price!B191</f>
        <v>0</v>
      </c>
      <c r="N191" s="15">
        <f>Price!C191</f>
        <v>0</v>
      </c>
      <c r="O191" s="537">
        <f>Price!D191</f>
        <v>0</v>
      </c>
      <c r="P191" s="16"/>
      <c r="Q191" s="17">
        <f>Price!F191</f>
        <v>0</v>
      </c>
      <c r="R191" s="323"/>
      <c r="S191" s="323"/>
      <c r="T191" s="12">
        <f>Price!G191</f>
        <v>0</v>
      </c>
      <c r="U191" s="257">
        <f>Price!H191</f>
        <v>0</v>
      </c>
      <c r="V191" s="13"/>
      <c r="W191" s="13"/>
      <c r="X191" s="19"/>
      <c r="Y191" s="19"/>
    </row>
    <row r="192" spans="1:25" x14ac:dyDescent="0.35">
      <c r="A192" s="89"/>
      <c r="B192" s="90"/>
      <c r="C192" s="90"/>
      <c r="D192" s="543"/>
      <c r="E192" s="91"/>
      <c r="F192" s="17"/>
      <c r="G192" s="64"/>
      <c r="H192" s="64"/>
      <c r="I192" s="172"/>
      <c r="J192" s="172"/>
      <c r="K192" s="62"/>
      <c r="L192" s="60" t="str">
        <f>Price!A192</f>
        <v xml:space="preserve">   Korpusové lišty TIP-ON</v>
      </c>
      <c r="M192" s="15">
        <f>Price!B192</f>
        <v>0</v>
      </c>
      <c r="N192" s="15">
        <f>Price!C192</f>
        <v>0</v>
      </c>
      <c r="O192" s="537">
        <f>Price!D192</f>
        <v>0</v>
      </c>
      <c r="P192" s="16"/>
      <c r="Q192" s="17">
        <f>Price!F192</f>
        <v>0</v>
      </c>
      <c r="R192" s="323"/>
      <c r="S192" s="323"/>
      <c r="T192" s="12">
        <f>Price!G192</f>
        <v>0</v>
      </c>
      <c r="U192" s="257">
        <f>Price!H192</f>
        <v>0</v>
      </c>
      <c r="V192" s="13"/>
      <c r="W192" s="13"/>
      <c r="X192" s="19"/>
      <c r="Y192" s="19"/>
    </row>
    <row r="193" spans="1:25" x14ac:dyDescent="0.35">
      <c r="A193" s="89" t="str">
        <f t="shared" ref="A193:A205" si="16">L193</f>
        <v>Korpusové lišty TIP-ON, 270mm, 40kg</v>
      </c>
      <c r="B193" s="90" t="str">
        <f t="shared" ref="B193:B205" si="17">M193</f>
        <v>750.2701T</v>
      </c>
      <c r="C193" s="90" t="str">
        <f t="shared" ref="C193:C205" si="18">N193</f>
        <v>ZN</v>
      </c>
      <c r="D193" s="90">
        <f t="shared" ref="D193:D205" si="19">O193</f>
        <v>0</v>
      </c>
      <c r="E193" s="91">
        <f t="shared" ref="E193:E205" si="20">P193</f>
        <v>0</v>
      </c>
      <c r="F193" s="17">
        <f t="shared" ref="F193:F204" si="21">Q193*(100-$F$6)/100</f>
        <v>30.366460000000004</v>
      </c>
      <c r="G193" s="64"/>
      <c r="H193" s="64"/>
      <c r="I193" s="172">
        <f t="shared" ref="I193:I205" si="22">T193</f>
        <v>3790819</v>
      </c>
      <c r="J193" s="172">
        <f t="shared" ref="J193:J205" si="23">U193</f>
        <v>227420</v>
      </c>
      <c r="K193" s="62"/>
      <c r="L193" s="60" t="str">
        <f>Price!A193</f>
        <v>Korpusové lišty TIP-ON, 270mm, 40kg</v>
      </c>
      <c r="M193" s="15" t="str">
        <f>Price!B193</f>
        <v>750.2701T</v>
      </c>
      <c r="N193" s="15" t="str">
        <f>Price!C193</f>
        <v>ZN</v>
      </c>
      <c r="O193" s="537">
        <f>Price!D193</f>
        <v>0</v>
      </c>
      <c r="P193" s="16"/>
      <c r="Q193" s="17">
        <f>Price!F193</f>
        <v>30.36646</v>
      </c>
      <c r="R193" s="323"/>
      <c r="S193" s="323"/>
      <c r="T193" s="12">
        <f>Price!G193</f>
        <v>3790819</v>
      </c>
      <c r="U193" s="257">
        <f>Price!H193</f>
        <v>227420</v>
      </c>
      <c r="V193" s="13"/>
      <c r="W193" s="13"/>
      <c r="X193" s="19"/>
      <c r="Y193" s="19"/>
    </row>
    <row r="194" spans="1:25" x14ac:dyDescent="0.35">
      <c r="A194" s="89" t="str">
        <f t="shared" si="16"/>
        <v>Korpusové lišty TIP-ON, 300mm, 40kg</v>
      </c>
      <c r="B194" s="90" t="str">
        <f t="shared" si="17"/>
        <v>750.3001T</v>
      </c>
      <c r="C194" s="90" t="str">
        <f t="shared" si="18"/>
        <v>ZN</v>
      </c>
      <c r="D194" s="90">
        <f t="shared" si="19"/>
        <v>0</v>
      </c>
      <c r="E194" s="91">
        <f t="shared" si="20"/>
        <v>0</v>
      </c>
      <c r="F194" s="17">
        <f t="shared" si="21"/>
        <v>30.366460000000004</v>
      </c>
      <c r="G194" s="64"/>
      <c r="H194" s="64"/>
      <c r="I194" s="172">
        <f t="shared" si="22"/>
        <v>3867722</v>
      </c>
      <c r="J194" s="172">
        <f t="shared" si="23"/>
        <v>227421</v>
      </c>
      <c r="K194" s="20"/>
      <c r="L194" s="60" t="str">
        <f>Price!A194</f>
        <v>Korpusové lišty TIP-ON, 300mm, 40kg</v>
      </c>
      <c r="M194" s="15" t="str">
        <f>Price!B194</f>
        <v>750.3001T</v>
      </c>
      <c r="N194" s="15" t="str">
        <f>Price!C194</f>
        <v>ZN</v>
      </c>
      <c r="O194" s="537">
        <f>Price!D194</f>
        <v>0</v>
      </c>
      <c r="P194" s="16"/>
      <c r="Q194" s="17">
        <f>Price!F194</f>
        <v>30.36646</v>
      </c>
      <c r="R194" s="323"/>
      <c r="S194" s="323"/>
      <c r="T194" s="12">
        <f>Price!G194</f>
        <v>3867722</v>
      </c>
      <c r="U194" s="257">
        <f>Price!H194</f>
        <v>227421</v>
      </c>
      <c r="V194" s="13"/>
      <c r="W194" s="13"/>
      <c r="X194" s="19"/>
      <c r="Y194" s="19"/>
    </row>
    <row r="195" spans="1:25" x14ac:dyDescent="0.35">
      <c r="A195" s="89" t="str">
        <f t="shared" si="16"/>
        <v>Korpusové lišty TIP-ON, 350mm, 40kg</v>
      </c>
      <c r="B195" s="90" t="str">
        <f t="shared" si="17"/>
        <v>750.3501T</v>
      </c>
      <c r="C195" s="90" t="str">
        <f t="shared" si="18"/>
        <v>ZN</v>
      </c>
      <c r="D195" s="90">
        <f t="shared" si="19"/>
        <v>0</v>
      </c>
      <c r="E195" s="91">
        <f t="shared" si="20"/>
        <v>0</v>
      </c>
      <c r="F195" s="17">
        <f t="shared" si="21"/>
        <v>30.366460000000004</v>
      </c>
      <c r="G195" s="64"/>
      <c r="H195" s="64"/>
      <c r="I195" s="172">
        <f t="shared" si="22"/>
        <v>5075795</v>
      </c>
      <c r="J195" s="172">
        <f t="shared" si="23"/>
        <v>227422</v>
      </c>
      <c r="K195" s="20"/>
      <c r="L195" s="60" t="str">
        <f>Price!A195</f>
        <v>Korpusové lišty TIP-ON, 350mm, 40kg</v>
      </c>
      <c r="M195" s="15" t="str">
        <f>Price!B195</f>
        <v>750.3501T</v>
      </c>
      <c r="N195" s="15" t="str">
        <f>Price!C195</f>
        <v>ZN</v>
      </c>
      <c r="O195" s="537">
        <f>Price!D195</f>
        <v>0</v>
      </c>
      <c r="P195" s="16"/>
      <c r="Q195" s="17">
        <f>Price!F195</f>
        <v>30.36646</v>
      </c>
      <c r="R195" s="323"/>
      <c r="S195" s="323"/>
      <c r="T195" s="12">
        <f>Price!G195</f>
        <v>5075795</v>
      </c>
      <c r="U195" s="257">
        <f>Price!H195</f>
        <v>227422</v>
      </c>
      <c r="V195" s="13"/>
      <c r="X195" s="19"/>
      <c r="Y195" s="19"/>
    </row>
    <row r="196" spans="1:25" x14ac:dyDescent="0.35">
      <c r="A196" s="89" t="str">
        <f t="shared" si="16"/>
        <v>Korpusové lišty TIP-ON, 400mm, 40kg</v>
      </c>
      <c r="B196" s="90" t="str">
        <f t="shared" si="17"/>
        <v>750.4001T</v>
      </c>
      <c r="C196" s="90" t="str">
        <f t="shared" si="18"/>
        <v>ZN</v>
      </c>
      <c r="D196" s="90">
        <f t="shared" si="19"/>
        <v>0</v>
      </c>
      <c r="E196" s="91">
        <f t="shared" si="20"/>
        <v>0</v>
      </c>
      <c r="F196" s="17">
        <f t="shared" si="21"/>
        <v>30.645720000000001</v>
      </c>
      <c r="G196" s="64"/>
      <c r="H196" s="64"/>
      <c r="I196" s="172">
        <f t="shared" si="22"/>
        <v>5085127</v>
      </c>
      <c r="J196" s="172">
        <f t="shared" si="23"/>
        <v>227423</v>
      </c>
      <c r="K196" s="61"/>
      <c r="L196" s="60" t="str">
        <f>Price!A196</f>
        <v>Korpusové lišty TIP-ON, 400mm, 40kg</v>
      </c>
      <c r="M196" s="15" t="str">
        <f>Price!B196</f>
        <v>750.4001T</v>
      </c>
      <c r="N196" s="15" t="str">
        <f>Price!C196</f>
        <v>ZN</v>
      </c>
      <c r="O196" s="537">
        <f>Price!D196</f>
        <v>0</v>
      </c>
      <c r="P196" s="16"/>
      <c r="Q196" s="17">
        <f>Price!F196</f>
        <v>30.645720000000001</v>
      </c>
      <c r="R196" s="323"/>
      <c r="S196" s="323"/>
      <c r="T196" s="12">
        <f>Price!G196</f>
        <v>5085127</v>
      </c>
      <c r="U196" s="257">
        <f>Price!H196</f>
        <v>227423</v>
      </c>
      <c r="V196" s="13"/>
      <c r="X196" s="19"/>
      <c r="Y196" s="19"/>
    </row>
    <row r="197" spans="1:25" x14ac:dyDescent="0.35">
      <c r="A197" s="89" t="str">
        <f t="shared" si="16"/>
        <v>Korpusové lišty TIP-ON, 450mm, 40kg</v>
      </c>
      <c r="B197" s="90" t="str">
        <f t="shared" si="17"/>
        <v>750.4501T</v>
      </c>
      <c r="C197" s="90" t="str">
        <f t="shared" si="18"/>
        <v>ZN</v>
      </c>
      <c r="D197" s="90">
        <f t="shared" si="19"/>
        <v>0</v>
      </c>
      <c r="E197" s="91">
        <f t="shared" si="20"/>
        <v>0</v>
      </c>
      <c r="F197" s="17">
        <f t="shared" si="21"/>
        <v>32.552599999999998</v>
      </c>
      <c r="G197" s="64"/>
      <c r="H197" s="64"/>
      <c r="I197" s="172">
        <f t="shared" si="22"/>
        <v>5257996</v>
      </c>
      <c r="J197" s="172">
        <f t="shared" si="23"/>
        <v>227424</v>
      </c>
      <c r="K197" s="62"/>
      <c r="L197" s="60" t="str">
        <f>Price!A197</f>
        <v>Korpusové lišty TIP-ON, 450mm, 40kg</v>
      </c>
      <c r="M197" s="15" t="str">
        <f>Price!B197</f>
        <v>750.4501T</v>
      </c>
      <c r="N197" s="15" t="str">
        <f>Price!C197</f>
        <v>ZN</v>
      </c>
      <c r="O197" s="537">
        <f>Price!D197</f>
        <v>0</v>
      </c>
      <c r="P197" s="16"/>
      <c r="Q197" s="17">
        <f>Price!F197</f>
        <v>32.552599999999998</v>
      </c>
      <c r="R197" s="323"/>
      <c r="S197" s="323"/>
      <c r="T197" s="12">
        <f>Price!G197</f>
        <v>5257996</v>
      </c>
      <c r="U197" s="257">
        <f>Price!H197</f>
        <v>227424</v>
      </c>
      <c r="V197" s="13"/>
      <c r="X197" s="19"/>
      <c r="Y197" s="19"/>
    </row>
    <row r="198" spans="1:25" x14ac:dyDescent="0.35">
      <c r="A198" s="89" t="str">
        <f t="shared" si="16"/>
        <v>Korpusové lišty TIP-ON, 450mm, 70kg</v>
      </c>
      <c r="B198" s="90" t="str">
        <f t="shared" si="17"/>
        <v>753.4501T</v>
      </c>
      <c r="C198" s="90" t="str">
        <f t="shared" si="18"/>
        <v>ZN</v>
      </c>
      <c r="D198" s="90">
        <f t="shared" si="19"/>
        <v>0</v>
      </c>
      <c r="E198" s="91">
        <f t="shared" si="20"/>
        <v>0</v>
      </c>
      <c r="F198" s="17">
        <f t="shared" si="21"/>
        <v>36.006259999999997</v>
      </c>
      <c r="G198" s="64"/>
      <c r="H198" s="64"/>
      <c r="I198" s="172">
        <f t="shared" si="22"/>
        <v>5767239</v>
      </c>
      <c r="J198" s="172">
        <f t="shared" si="23"/>
        <v>227428</v>
      </c>
      <c r="K198" s="62"/>
      <c r="L198" s="60" t="str">
        <f>Price!A198</f>
        <v>Korpusové lišty TIP-ON, 450mm, 70kg</v>
      </c>
      <c r="M198" s="15" t="str">
        <f>Price!B198</f>
        <v>753.4501T</v>
      </c>
      <c r="N198" s="15" t="str">
        <f>Price!C198</f>
        <v>ZN</v>
      </c>
      <c r="O198" s="537">
        <f>Price!D198</f>
        <v>0</v>
      </c>
      <c r="P198" s="16"/>
      <c r="Q198" s="17">
        <f>Price!F198</f>
        <v>36.006259999999997</v>
      </c>
      <c r="R198" s="323"/>
      <c r="S198" s="323"/>
      <c r="T198" s="12">
        <f>Price!G198</f>
        <v>5767239</v>
      </c>
      <c r="U198" s="257">
        <f>Price!H198</f>
        <v>227428</v>
      </c>
      <c r="V198" s="13"/>
      <c r="X198" s="19"/>
      <c r="Y198" s="19"/>
    </row>
    <row r="199" spans="1:25" x14ac:dyDescent="0.35">
      <c r="A199" s="89" t="str">
        <f t="shared" si="16"/>
        <v>Korpusové lišty TIP-ON, 500mm, 40kg</v>
      </c>
      <c r="B199" s="90" t="str">
        <f t="shared" si="17"/>
        <v>750.5001T</v>
      </c>
      <c r="C199" s="90" t="str">
        <f t="shared" si="18"/>
        <v>ZN</v>
      </c>
      <c r="D199" s="90">
        <f t="shared" si="19"/>
        <v>0</v>
      </c>
      <c r="E199" s="91">
        <f t="shared" si="20"/>
        <v>0</v>
      </c>
      <c r="F199" s="17">
        <f t="shared" si="21"/>
        <v>32.846359999999997</v>
      </c>
      <c r="G199" s="64"/>
      <c r="H199" s="64"/>
      <c r="I199" s="172">
        <f t="shared" si="22"/>
        <v>5372007</v>
      </c>
      <c r="J199" s="172">
        <f t="shared" si="23"/>
        <v>227425</v>
      </c>
      <c r="K199" s="62"/>
      <c r="L199" s="60" t="str">
        <f>Price!A199</f>
        <v>Korpusové lišty TIP-ON, 500mm, 40kg</v>
      </c>
      <c r="M199" s="15" t="str">
        <f>Price!B199</f>
        <v>750.5001T</v>
      </c>
      <c r="N199" s="15" t="str">
        <f>Price!C199</f>
        <v>ZN</v>
      </c>
      <c r="O199" s="537">
        <f>Price!D199</f>
        <v>0</v>
      </c>
      <c r="P199" s="16"/>
      <c r="Q199" s="17">
        <f>Price!F199</f>
        <v>32.846359999999997</v>
      </c>
      <c r="R199" s="323"/>
      <c r="S199" s="323"/>
      <c r="T199" s="12">
        <f>Price!G199</f>
        <v>5372007</v>
      </c>
      <c r="U199" s="257">
        <f>Price!H199</f>
        <v>227425</v>
      </c>
      <c r="V199" s="13"/>
      <c r="X199" s="19"/>
      <c r="Y199" s="19"/>
    </row>
    <row r="200" spans="1:25" x14ac:dyDescent="0.35">
      <c r="A200" s="89" t="str">
        <f t="shared" si="16"/>
        <v>Korpusové lišty TIP-ON, 500mm, 70kg</v>
      </c>
      <c r="B200" s="90" t="str">
        <f t="shared" si="17"/>
        <v>753.5001T</v>
      </c>
      <c r="C200" s="90" t="str">
        <f t="shared" si="18"/>
        <v>ZN</v>
      </c>
      <c r="D200" s="90">
        <f t="shared" si="19"/>
        <v>0</v>
      </c>
      <c r="E200" s="91">
        <f t="shared" si="20"/>
        <v>0</v>
      </c>
      <c r="F200" s="17">
        <f t="shared" si="21"/>
        <v>36.285339999999998</v>
      </c>
      <c r="G200" s="64"/>
      <c r="H200" s="64"/>
      <c r="I200" s="172">
        <f t="shared" si="22"/>
        <v>5817679</v>
      </c>
      <c r="J200" s="172">
        <f t="shared" si="23"/>
        <v>227429</v>
      </c>
      <c r="K200" s="62"/>
      <c r="L200" s="60" t="str">
        <f>Price!A200</f>
        <v>Korpusové lišty TIP-ON, 500mm, 70kg</v>
      </c>
      <c r="M200" s="15" t="str">
        <f>Price!B200</f>
        <v>753.5001T</v>
      </c>
      <c r="N200" s="15" t="str">
        <f>Price!C200</f>
        <v>ZN</v>
      </c>
      <c r="O200" s="537">
        <f>Price!D200</f>
        <v>0</v>
      </c>
      <c r="P200" s="16"/>
      <c r="Q200" s="17">
        <f>Price!F200</f>
        <v>36.285339999999998</v>
      </c>
      <c r="R200" s="323"/>
      <c r="S200" s="323"/>
      <c r="T200" s="12">
        <f>Price!G200</f>
        <v>5817679</v>
      </c>
      <c r="U200" s="257">
        <f>Price!H200</f>
        <v>227429</v>
      </c>
      <c r="V200" s="13"/>
      <c r="W200" s="13"/>
      <c r="X200" s="19"/>
      <c r="Y200" s="19"/>
    </row>
    <row r="201" spans="1:25" x14ac:dyDescent="0.35">
      <c r="A201" s="89" t="str">
        <f t="shared" si="16"/>
        <v>Korpusové lišty TIP-ON, 550mm, 40kg</v>
      </c>
      <c r="B201" s="90" t="str">
        <f t="shared" si="17"/>
        <v>750.5501T</v>
      </c>
      <c r="C201" s="90" t="str">
        <f t="shared" si="18"/>
        <v>ZN</v>
      </c>
      <c r="D201" s="90">
        <f t="shared" si="19"/>
        <v>0</v>
      </c>
      <c r="E201" s="91">
        <f t="shared" si="20"/>
        <v>0</v>
      </c>
      <c r="F201" s="17">
        <f t="shared" si="21"/>
        <v>32.694760000000002</v>
      </c>
      <c r="G201" s="64"/>
      <c r="H201" s="64"/>
      <c r="I201" s="172">
        <f t="shared" si="22"/>
        <v>5385115</v>
      </c>
      <c r="J201" s="172">
        <f t="shared" si="23"/>
        <v>227426</v>
      </c>
      <c r="K201" s="20"/>
      <c r="L201" s="60" t="str">
        <f>Price!A201</f>
        <v>Korpusové lišty TIP-ON, 550mm, 40kg</v>
      </c>
      <c r="M201" s="15" t="str">
        <f>Price!B201</f>
        <v>750.5501T</v>
      </c>
      <c r="N201" s="15" t="str">
        <f>Price!C201</f>
        <v>ZN</v>
      </c>
      <c r="O201" s="537">
        <f>Price!D201</f>
        <v>0</v>
      </c>
      <c r="P201" s="16"/>
      <c r="Q201" s="17">
        <f>Price!F201</f>
        <v>32.694760000000002</v>
      </c>
      <c r="R201" s="323"/>
      <c r="S201" s="323"/>
      <c r="T201" s="12">
        <f>Price!G201</f>
        <v>5385115</v>
      </c>
      <c r="U201" s="257">
        <f>Price!H201</f>
        <v>227426</v>
      </c>
      <c r="V201" s="13"/>
      <c r="W201" s="13"/>
      <c r="X201" s="19"/>
      <c r="Y201" s="19"/>
    </row>
    <row r="202" spans="1:25" x14ac:dyDescent="0.35">
      <c r="A202" s="89" t="str">
        <f t="shared" si="16"/>
        <v>Korpusové lišty TIP-ON, 550mm, 70kg</v>
      </c>
      <c r="B202" s="90" t="str">
        <f t="shared" si="17"/>
        <v>753.5501T</v>
      </c>
      <c r="C202" s="90" t="str">
        <f t="shared" si="18"/>
        <v>ZN</v>
      </c>
      <c r="D202" s="90">
        <f t="shared" si="19"/>
        <v>0</v>
      </c>
      <c r="E202" s="91">
        <f t="shared" si="20"/>
        <v>0</v>
      </c>
      <c r="F202" s="17">
        <f t="shared" si="21"/>
        <v>37.776060000000001</v>
      </c>
      <c r="G202" s="64"/>
      <c r="H202" s="64"/>
      <c r="I202" s="172">
        <f t="shared" si="22"/>
        <v>6134281</v>
      </c>
      <c r="J202" s="172">
        <f t="shared" si="23"/>
        <v>227430</v>
      </c>
      <c r="K202" s="20"/>
      <c r="L202" s="60" t="str">
        <f>Price!A202</f>
        <v>Korpusové lišty TIP-ON, 550mm, 70kg</v>
      </c>
      <c r="M202" s="15" t="str">
        <f>Price!B202</f>
        <v>753.5501T</v>
      </c>
      <c r="N202" s="15" t="str">
        <f>Price!C202</f>
        <v>ZN</v>
      </c>
      <c r="O202" s="537">
        <f>Price!D202</f>
        <v>0</v>
      </c>
      <c r="P202" s="16"/>
      <c r="Q202" s="17">
        <f>Price!F202</f>
        <v>37.776060000000001</v>
      </c>
      <c r="R202" s="323"/>
      <c r="S202" s="323"/>
      <c r="T202" s="12">
        <f>Price!G202</f>
        <v>6134281</v>
      </c>
      <c r="U202" s="257">
        <f>Price!H202</f>
        <v>227430</v>
      </c>
      <c r="V202" s="13"/>
      <c r="W202" s="13"/>
      <c r="X202" s="19"/>
      <c r="Y202" s="19"/>
    </row>
    <row r="203" spans="1:25" x14ac:dyDescent="0.35">
      <c r="A203" s="89" t="str">
        <f t="shared" si="16"/>
        <v>Korpusové lišty TIP-ON, 600mm, 40kg</v>
      </c>
      <c r="B203" s="90" t="str">
        <f t="shared" si="17"/>
        <v>750.6001T</v>
      </c>
      <c r="C203" s="90" t="str">
        <f t="shared" si="18"/>
        <v>ZN</v>
      </c>
      <c r="D203" s="90">
        <f t="shared" si="19"/>
        <v>0</v>
      </c>
      <c r="E203" s="91">
        <f t="shared" si="20"/>
        <v>0</v>
      </c>
      <c r="F203" s="17">
        <f t="shared" si="21"/>
        <v>35.700530000000001</v>
      </c>
      <c r="G203" s="64"/>
      <c r="H203" s="64"/>
      <c r="I203" s="172">
        <f t="shared" si="22"/>
        <v>5743471</v>
      </c>
      <c r="J203" s="172">
        <f t="shared" si="23"/>
        <v>227427</v>
      </c>
      <c r="K203" s="61"/>
      <c r="L203" s="60" t="str">
        <f>Price!A203</f>
        <v>Korpusové lišty TIP-ON, 600mm, 40kg</v>
      </c>
      <c r="M203" s="15" t="str">
        <f>Price!B203</f>
        <v>750.6001T</v>
      </c>
      <c r="N203" s="15" t="str">
        <f>Price!C203</f>
        <v>ZN</v>
      </c>
      <c r="O203" s="537">
        <f>Price!D203</f>
        <v>0</v>
      </c>
      <c r="P203" s="16"/>
      <c r="Q203" s="17">
        <f>Price!F203</f>
        <v>35.700530000000001</v>
      </c>
      <c r="R203" s="323"/>
      <c r="S203" s="323"/>
      <c r="T203" s="12">
        <f>Price!G203</f>
        <v>5743471</v>
      </c>
      <c r="U203" s="257">
        <f>Price!H203</f>
        <v>227427</v>
      </c>
      <c r="V203" s="13"/>
      <c r="W203" s="13"/>
      <c r="X203" s="19"/>
      <c r="Y203" s="19"/>
    </row>
    <row r="204" spans="1:25" x14ac:dyDescent="0.35">
      <c r="A204" s="89" t="str">
        <f t="shared" si="16"/>
        <v>Korpusové lišty TIP-ON, 600mm, 70kg</v>
      </c>
      <c r="B204" s="90" t="str">
        <f t="shared" si="17"/>
        <v>753.6001T</v>
      </c>
      <c r="C204" s="90" t="str">
        <f t="shared" si="18"/>
        <v>ZN</v>
      </c>
      <c r="D204" s="90">
        <f t="shared" si="19"/>
        <v>0</v>
      </c>
      <c r="E204" s="91">
        <f t="shared" si="20"/>
        <v>0</v>
      </c>
      <c r="F204" s="17">
        <f t="shared" si="21"/>
        <v>40.781829999999999</v>
      </c>
      <c r="G204" s="64"/>
      <c r="H204" s="64"/>
      <c r="I204" s="172">
        <f t="shared" si="22"/>
        <v>6459880</v>
      </c>
      <c r="J204" s="172">
        <f t="shared" si="23"/>
        <v>227431</v>
      </c>
      <c r="K204" s="20"/>
      <c r="L204" s="60" t="str">
        <f>Price!A204</f>
        <v>Korpusové lišty TIP-ON, 600mm, 70kg</v>
      </c>
      <c r="M204" s="15" t="str">
        <f>Price!B204</f>
        <v>753.6001T</v>
      </c>
      <c r="N204" s="15" t="str">
        <f>Price!C204</f>
        <v>ZN</v>
      </c>
      <c r="O204" s="537">
        <f>Price!D204</f>
        <v>0</v>
      </c>
      <c r="P204" s="16"/>
      <c r="Q204" s="17">
        <f>Price!F204</f>
        <v>40.781829999999999</v>
      </c>
      <c r="R204" s="323"/>
      <c r="S204" s="323"/>
      <c r="T204" s="12">
        <f>Price!G204</f>
        <v>6459880</v>
      </c>
      <c r="U204" s="257">
        <f>Price!H204</f>
        <v>227431</v>
      </c>
      <c r="V204" s="13"/>
      <c r="W204" s="13"/>
      <c r="X204" s="19"/>
      <c r="Y204" s="19"/>
    </row>
    <row r="205" spans="1:25" x14ac:dyDescent="0.35">
      <c r="A205" s="89" t="str">
        <f t="shared" si="16"/>
        <v>Korpusové lišty TIP-ON, 650mm, 70kg</v>
      </c>
      <c r="B205" s="90" t="str">
        <f t="shared" si="17"/>
        <v>753.6501T</v>
      </c>
      <c r="C205" s="90" t="str">
        <f t="shared" si="18"/>
        <v>ZN</v>
      </c>
      <c r="D205" s="90">
        <f t="shared" si="19"/>
        <v>0</v>
      </c>
      <c r="E205" s="91">
        <f t="shared" si="20"/>
        <v>0</v>
      </c>
      <c r="F205" s="17">
        <f>Q205*(100-$F$6)/100</f>
        <v>42.272550000000003</v>
      </c>
      <c r="G205" s="64"/>
      <c r="H205" s="64"/>
      <c r="I205" s="172">
        <f t="shared" si="22"/>
        <v>1661174</v>
      </c>
      <c r="J205" s="172">
        <f t="shared" si="23"/>
        <v>253717</v>
      </c>
      <c r="K205" s="20"/>
      <c r="L205" s="60" t="str">
        <f>Price!A205</f>
        <v>Korpusové lišty TIP-ON, 650mm, 70kg</v>
      </c>
      <c r="M205" s="15" t="str">
        <f>Price!B205</f>
        <v>753.6501T</v>
      </c>
      <c r="N205" s="15" t="str">
        <f>Price!C205</f>
        <v>ZN</v>
      </c>
      <c r="O205" s="537">
        <f>Price!D205</f>
        <v>0</v>
      </c>
      <c r="P205" s="16"/>
      <c r="Q205" s="17">
        <f>Price!F205</f>
        <v>42.272550000000003</v>
      </c>
      <c r="R205" s="323"/>
      <c r="S205" s="323"/>
      <c r="T205" s="12">
        <f>Price!G205</f>
        <v>1661174</v>
      </c>
      <c r="U205" s="257">
        <f>Price!H205</f>
        <v>253717</v>
      </c>
      <c r="V205" s="13"/>
      <c r="W205" s="13"/>
      <c r="X205" s="19"/>
      <c r="Y205" s="19"/>
    </row>
    <row r="206" spans="1:25" x14ac:dyDescent="0.35">
      <c r="A206" s="89"/>
      <c r="B206" s="90"/>
      <c r="C206" s="90"/>
      <c r="D206" s="543"/>
      <c r="E206" s="91"/>
      <c r="F206" s="17"/>
      <c r="G206" s="64"/>
      <c r="H206" s="64"/>
      <c r="I206" s="172"/>
      <c r="J206" s="172"/>
      <c r="K206" s="20"/>
      <c r="L206" s="60">
        <f>Price!A206</f>
        <v>0</v>
      </c>
      <c r="M206" s="15">
        <f>Price!B206</f>
        <v>0</v>
      </c>
      <c r="N206" s="15">
        <f>Price!C206</f>
        <v>0</v>
      </c>
      <c r="O206" s="537">
        <f>Price!D206</f>
        <v>0</v>
      </c>
      <c r="P206" s="16"/>
      <c r="Q206" s="17">
        <f>Price!F206</f>
        <v>0</v>
      </c>
      <c r="R206" s="323"/>
      <c r="S206" s="323"/>
      <c r="T206" s="12">
        <f>Price!G206</f>
        <v>0</v>
      </c>
      <c r="U206" s="257">
        <f>Price!H206</f>
        <v>0</v>
      </c>
      <c r="V206" s="13"/>
      <c r="W206" s="13"/>
      <c r="X206" s="19"/>
      <c r="Y206" s="19"/>
    </row>
    <row r="207" spans="1:25" x14ac:dyDescent="0.35">
      <c r="A207" s="89"/>
      <c r="B207" s="90"/>
      <c r="C207" s="90"/>
      <c r="D207" s="543"/>
      <c r="E207" s="91"/>
      <c r="F207" s="17"/>
      <c r="G207" s="64"/>
      <c r="H207" s="64"/>
      <c r="I207" s="172"/>
      <c r="J207" s="172"/>
      <c r="K207" s="20"/>
      <c r="L207" s="60">
        <f>Price!A207</f>
        <v>0</v>
      </c>
      <c r="M207" s="15">
        <f>Price!B207</f>
        <v>0</v>
      </c>
      <c r="N207" s="15">
        <f>Price!C207</f>
        <v>0</v>
      </c>
      <c r="O207" s="537">
        <f>Price!D207</f>
        <v>0</v>
      </c>
      <c r="P207" s="16"/>
      <c r="Q207" s="17">
        <f>Price!F207</f>
        <v>0</v>
      </c>
      <c r="R207" s="323"/>
      <c r="S207" s="323"/>
      <c r="T207" s="12">
        <f>Price!G207</f>
        <v>0</v>
      </c>
      <c r="U207" s="257">
        <f>Price!H207</f>
        <v>0</v>
      </c>
      <c r="V207" s="13"/>
      <c r="W207" s="13"/>
      <c r="X207" s="19"/>
      <c r="Y207" s="19"/>
    </row>
    <row r="208" spans="1:25" x14ac:dyDescent="0.35">
      <c r="A208" s="89"/>
      <c r="B208" s="90"/>
      <c r="C208" s="90"/>
      <c r="D208" s="543"/>
      <c r="E208" s="91"/>
      <c r="F208" s="17"/>
      <c r="G208" s="64"/>
      <c r="H208" s="64"/>
      <c r="I208" s="172"/>
      <c r="J208" s="172"/>
      <c r="K208" s="20"/>
      <c r="L208" s="60" t="str">
        <f>Price!A208</f>
        <v xml:space="preserve">   Korpusové lišty TIP-ON BLUMOTION</v>
      </c>
      <c r="M208" s="15">
        <f>Price!B208</f>
        <v>0</v>
      </c>
      <c r="N208" s="15">
        <f>Price!C208</f>
        <v>0</v>
      </c>
      <c r="O208" s="537">
        <f>Price!D208</f>
        <v>0</v>
      </c>
      <c r="P208" s="16"/>
      <c r="Q208" s="17">
        <f>Price!F208</f>
        <v>0</v>
      </c>
      <c r="R208" s="323"/>
      <c r="S208" s="323"/>
      <c r="T208" s="12">
        <f>Price!G208</f>
        <v>0</v>
      </c>
      <c r="U208" s="257">
        <f>Price!H208</f>
        <v>0</v>
      </c>
      <c r="V208" s="13"/>
      <c r="W208" s="13"/>
      <c r="X208" s="19"/>
      <c r="Y208" s="19"/>
    </row>
    <row r="209" spans="1:25" x14ac:dyDescent="0.35">
      <c r="A209" s="89" t="str">
        <f>L209</f>
        <v>Korpusové lišty TIP-ON BLUMOTION, 270mm, 40kg</v>
      </c>
      <c r="B209" s="90" t="str">
        <f>M209</f>
        <v>750.2700M</v>
      </c>
      <c r="C209" s="90" t="str">
        <f>N209</f>
        <v>ZN</v>
      </c>
      <c r="D209" s="90">
        <f>O209</f>
        <v>0</v>
      </c>
      <c r="E209" s="91">
        <f>P209</f>
        <v>0</v>
      </c>
      <c r="F209" s="17">
        <f>Q209*(100-$F$6)/100</f>
        <v>21.925909999999998</v>
      </c>
      <c r="G209" s="64"/>
      <c r="H209" s="64"/>
      <c r="I209" s="172">
        <f>T209</f>
        <v>8589412</v>
      </c>
      <c r="J209" s="172">
        <f>U209</f>
        <v>275330</v>
      </c>
      <c r="K209" s="20"/>
      <c r="L209" s="60" t="str">
        <f>Price!A209</f>
        <v>Korpusové lišty TIP-ON BLUMOTION, 270mm, 40kg</v>
      </c>
      <c r="M209" s="15" t="str">
        <f>Price!B209</f>
        <v>750.2700M</v>
      </c>
      <c r="N209" s="15" t="str">
        <f>Price!C209</f>
        <v>ZN</v>
      </c>
      <c r="O209" s="537">
        <f>Price!D209</f>
        <v>0</v>
      </c>
      <c r="P209" s="16"/>
      <c r="Q209" s="17">
        <f>Price!F209</f>
        <v>21.925909999999998</v>
      </c>
      <c r="R209" s="323"/>
      <c r="S209" s="323"/>
      <c r="T209" s="12">
        <f>Price!G209</f>
        <v>8589412</v>
      </c>
      <c r="U209" s="257">
        <f>Price!H209</f>
        <v>275330</v>
      </c>
      <c r="V209" s="13"/>
      <c r="W209" s="13"/>
      <c r="X209" s="19"/>
      <c r="Y209" s="19"/>
    </row>
    <row r="210" spans="1:25" x14ac:dyDescent="0.35">
      <c r="A210" s="89" t="str">
        <f t="shared" ref="A210:A226" si="24">L210</f>
        <v>Korpusové lišty TIP-ON BLUMOTION, 300mm, 40kg</v>
      </c>
      <c r="B210" s="90" t="str">
        <f t="shared" ref="B210:B226" si="25">M210</f>
        <v>750.3001M</v>
      </c>
      <c r="C210" s="90" t="str">
        <f t="shared" ref="C210:C226" si="26">N210</f>
        <v>ZN</v>
      </c>
      <c r="D210" s="90">
        <f t="shared" ref="D210:D226" si="27">O210</f>
        <v>0</v>
      </c>
      <c r="E210" s="91">
        <f t="shared" ref="E210:E226" si="28">P210</f>
        <v>0</v>
      </c>
      <c r="F210" s="17">
        <f t="shared" ref="F210:F226" si="29">Q210*(100-$F$6)/100</f>
        <v>21.925909999999998</v>
      </c>
      <c r="G210" s="64"/>
      <c r="H210" s="64"/>
      <c r="I210" s="172">
        <f t="shared" ref="I210:I226" si="30">T210</f>
        <v>5663406</v>
      </c>
      <c r="J210" s="172">
        <f t="shared" ref="J210:J226" si="31">U210</f>
        <v>275331</v>
      </c>
      <c r="K210" s="20"/>
      <c r="L210" s="60" t="str">
        <f>Price!A210</f>
        <v>Korpusové lišty TIP-ON BLUMOTION, 300mm, 40kg</v>
      </c>
      <c r="M210" s="15" t="str">
        <f>Price!B210</f>
        <v>750.3001M</v>
      </c>
      <c r="N210" s="15" t="str">
        <f>Price!C210</f>
        <v>ZN</v>
      </c>
      <c r="O210" s="537">
        <f>Price!D210</f>
        <v>0</v>
      </c>
      <c r="P210" s="16"/>
      <c r="Q210" s="17">
        <f>Price!F210</f>
        <v>21.925909999999998</v>
      </c>
      <c r="R210" s="323"/>
      <c r="S210" s="323"/>
      <c r="T210" s="12">
        <f>Price!G210</f>
        <v>5663406</v>
      </c>
      <c r="U210" s="257">
        <f>Price!H210</f>
        <v>275331</v>
      </c>
      <c r="V210" s="13"/>
      <c r="W210" s="13"/>
      <c r="X210" s="19"/>
      <c r="Y210" s="19"/>
    </row>
    <row r="211" spans="1:25" x14ac:dyDescent="0.35">
      <c r="A211" s="89" t="str">
        <f t="shared" si="24"/>
        <v>Korpusové lišty TIP-ON BLUMOTION, 350mm, 40kg</v>
      </c>
      <c r="B211" s="90" t="str">
        <f t="shared" si="25"/>
        <v>750.3501M</v>
      </c>
      <c r="C211" s="90" t="str">
        <f t="shared" si="26"/>
        <v>ZN</v>
      </c>
      <c r="D211" s="90">
        <f t="shared" si="27"/>
        <v>0</v>
      </c>
      <c r="E211" s="91">
        <f t="shared" si="28"/>
        <v>0</v>
      </c>
      <c r="F211" s="17">
        <f t="shared" si="29"/>
        <v>21.925909999999998</v>
      </c>
      <c r="G211" s="64"/>
      <c r="H211" s="64"/>
      <c r="I211" s="172">
        <f t="shared" si="30"/>
        <v>4538135</v>
      </c>
      <c r="J211" s="172">
        <f t="shared" si="31"/>
        <v>275332</v>
      </c>
      <c r="K211" s="20"/>
      <c r="L211" s="60" t="str">
        <f>Price!A211</f>
        <v>Korpusové lišty TIP-ON BLUMOTION, 350mm, 40kg</v>
      </c>
      <c r="M211" s="15" t="str">
        <f>Price!B211</f>
        <v>750.3501M</v>
      </c>
      <c r="N211" s="15" t="str">
        <f>Price!C211</f>
        <v>ZN</v>
      </c>
      <c r="O211" s="537">
        <f>Price!D211</f>
        <v>0</v>
      </c>
      <c r="P211" s="16"/>
      <c r="Q211" s="17">
        <f>Price!F211</f>
        <v>21.925909999999998</v>
      </c>
      <c r="R211" s="323"/>
      <c r="S211" s="323"/>
      <c r="T211" s="12">
        <f>Price!G211</f>
        <v>4538135</v>
      </c>
      <c r="U211" s="257">
        <f>Price!H211</f>
        <v>275332</v>
      </c>
      <c r="V211" s="13"/>
      <c r="W211" s="13"/>
      <c r="X211" s="19"/>
      <c r="Y211" s="19"/>
    </row>
    <row r="212" spans="1:25" x14ac:dyDescent="0.35">
      <c r="A212" s="89" t="str">
        <f t="shared" si="24"/>
        <v>Korpusové lišty TIP-ON BLUMOTION, 400mm, 40kg</v>
      </c>
      <c r="B212" s="90" t="str">
        <f t="shared" si="25"/>
        <v>750.4001M</v>
      </c>
      <c r="C212" s="90" t="str">
        <f t="shared" si="26"/>
        <v>ZN</v>
      </c>
      <c r="D212" s="90">
        <f t="shared" si="27"/>
        <v>0</v>
      </c>
      <c r="E212" s="91">
        <f t="shared" si="28"/>
        <v>0</v>
      </c>
      <c r="F212" s="17">
        <f t="shared" si="29"/>
        <v>22.204979999999999</v>
      </c>
      <c r="G212" s="64"/>
      <c r="H212" s="64"/>
      <c r="I212" s="172">
        <f t="shared" si="30"/>
        <v>2346429</v>
      </c>
      <c r="J212" s="172">
        <f t="shared" si="31"/>
        <v>275333</v>
      </c>
      <c r="K212" s="20"/>
      <c r="L212" s="60" t="str">
        <f>Price!A212</f>
        <v>Korpusové lišty TIP-ON BLUMOTION, 400mm, 40kg</v>
      </c>
      <c r="M212" s="15" t="str">
        <f>Price!B212</f>
        <v>750.4001M</v>
      </c>
      <c r="N212" s="15" t="str">
        <f>Price!C212</f>
        <v>ZN</v>
      </c>
      <c r="O212" s="537">
        <f>Price!D212</f>
        <v>0</v>
      </c>
      <c r="P212" s="16"/>
      <c r="Q212" s="17">
        <f>Price!F212</f>
        <v>22.204979999999999</v>
      </c>
      <c r="R212" s="323"/>
      <c r="S212" s="323"/>
      <c r="T212" s="12">
        <f>Price!G212</f>
        <v>2346429</v>
      </c>
      <c r="U212" s="257">
        <f>Price!H212</f>
        <v>275333</v>
      </c>
      <c r="V212" s="13"/>
      <c r="W212" s="13"/>
      <c r="X212" s="19"/>
      <c r="Y212" s="19"/>
    </row>
    <row r="213" spans="1:25" x14ac:dyDescent="0.35">
      <c r="A213" s="89" t="str">
        <f t="shared" si="24"/>
        <v>Korpusové lišty TIP-ON BLUMOTION, 450mm, 40kg</v>
      </c>
      <c r="B213" s="90" t="str">
        <f t="shared" si="25"/>
        <v>750.4501M</v>
      </c>
      <c r="C213" s="90" t="str">
        <f t="shared" si="26"/>
        <v>ZN</v>
      </c>
      <c r="D213" s="90">
        <f t="shared" si="27"/>
        <v>0</v>
      </c>
      <c r="E213" s="91">
        <f t="shared" si="28"/>
        <v>0</v>
      </c>
      <c r="F213" s="17">
        <f t="shared" si="29"/>
        <v>23.667639999999995</v>
      </c>
      <c r="G213" s="64"/>
      <c r="H213" s="64"/>
      <c r="I213" s="172">
        <f t="shared" si="30"/>
        <v>2508131</v>
      </c>
      <c r="J213" s="172">
        <f t="shared" si="31"/>
        <v>275334</v>
      </c>
      <c r="K213" s="20"/>
      <c r="L213" s="60" t="str">
        <f>Price!A213</f>
        <v>Korpusové lišty TIP-ON BLUMOTION, 450mm, 40kg</v>
      </c>
      <c r="M213" s="15" t="str">
        <f>Price!B213</f>
        <v>750.4501M</v>
      </c>
      <c r="N213" s="15" t="str">
        <f>Price!C213</f>
        <v>ZN</v>
      </c>
      <c r="O213" s="537">
        <f>Price!D213</f>
        <v>0</v>
      </c>
      <c r="P213" s="16"/>
      <c r="Q213" s="17">
        <f>Price!F213</f>
        <v>23.667639999999999</v>
      </c>
      <c r="R213" s="323"/>
      <c r="S213" s="323"/>
      <c r="T213" s="12">
        <f>Price!G213</f>
        <v>2508131</v>
      </c>
      <c r="U213" s="257">
        <f>Price!H213</f>
        <v>275334</v>
      </c>
      <c r="V213" s="13"/>
      <c r="W213" s="13"/>
      <c r="X213" s="19"/>
      <c r="Y213" s="19"/>
    </row>
    <row r="214" spans="1:25" x14ac:dyDescent="0.35">
      <c r="A214" s="89" t="str">
        <f t="shared" si="24"/>
        <v>Korpusové lišty TIP-ON BLUMOTION, 450mm, 70kg</v>
      </c>
      <c r="B214" s="90" t="str">
        <f t="shared" si="25"/>
        <v>753.4501M</v>
      </c>
      <c r="C214" s="90" t="str">
        <f t="shared" si="26"/>
        <v>ZN</v>
      </c>
      <c r="D214" s="90">
        <f t="shared" si="27"/>
        <v>0</v>
      </c>
      <c r="E214" s="91">
        <f t="shared" si="28"/>
        <v>0</v>
      </c>
      <c r="F214" s="17">
        <f t="shared" si="29"/>
        <v>27.780560000000001</v>
      </c>
      <c r="G214" s="64"/>
      <c r="H214" s="64"/>
      <c r="I214" s="172">
        <f t="shared" si="30"/>
        <v>4419145</v>
      </c>
      <c r="J214" s="172">
        <f t="shared" si="31"/>
        <v>275338</v>
      </c>
      <c r="K214" s="20"/>
      <c r="L214" s="60" t="str">
        <f>Price!A214</f>
        <v>Korpusové lišty TIP-ON BLUMOTION, 450mm, 70kg</v>
      </c>
      <c r="M214" s="15" t="str">
        <f>Price!B214</f>
        <v>753.4501M</v>
      </c>
      <c r="N214" s="15" t="str">
        <f>Price!C214</f>
        <v>ZN</v>
      </c>
      <c r="O214" s="537">
        <f>Price!D214</f>
        <v>0</v>
      </c>
      <c r="P214" s="16"/>
      <c r="Q214" s="17">
        <f>Price!F214</f>
        <v>27.780560000000001</v>
      </c>
      <c r="R214" s="323"/>
      <c r="S214" s="323"/>
      <c r="T214" s="12">
        <f>Price!G214</f>
        <v>4419145</v>
      </c>
      <c r="U214" s="257">
        <f>Price!H214</f>
        <v>275338</v>
      </c>
      <c r="V214" s="13"/>
      <c r="W214" s="13"/>
      <c r="X214" s="19"/>
      <c r="Y214" s="19"/>
    </row>
    <row r="215" spans="1:25" x14ac:dyDescent="0.35">
      <c r="A215" s="89" t="str">
        <f t="shared" si="24"/>
        <v>Korpusové lišty TIP-ON BLUMOTION, 500mm, 40kg</v>
      </c>
      <c r="B215" s="90" t="str">
        <f t="shared" si="25"/>
        <v>750.5001M</v>
      </c>
      <c r="C215" s="90" t="str">
        <f t="shared" si="26"/>
        <v>ZN</v>
      </c>
      <c r="D215" s="90">
        <f t="shared" si="27"/>
        <v>0</v>
      </c>
      <c r="E215" s="91">
        <f t="shared" si="28"/>
        <v>0</v>
      </c>
      <c r="F215" s="17">
        <f t="shared" si="29"/>
        <v>23.961559999999999</v>
      </c>
      <c r="G215" s="64"/>
      <c r="H215" s="64"/>
      <c r="I215" s="172">
        <f t="shared" si="30"/>
        <v>9554467</v>
      </c>
      <c r="J215" s="172">
        <f t="shared" si="31"/>
        <v>275335</v>
      </c>
      <c r="K215" s="20"/>
      <c r="L215" s="60" t="str">
        <f>Price!A215</f>
        <v>Korpusové lišty TIP-ON BLUMOTION, 500mm, 40kg</v>
      </c>
      <c r="M215" s="15" t="str">
        <f>Price!B215</f>
        <v>750.5001M</v>
      </c>
      <c r="N215" s="15" t="str">
        <f>Price!C215</f>
        <v>ZN</v>
      </c>
      <c r="O215" s="537">
        <f>Price!D215</f>
        <v>0</v>
      </c>
      <c r="P215" s="16"/>
      <c r="Q215" s="17">
        <f>Price!F215</f>
        <v>23.961559999999999</v>
      </c>
      <c r="R215" s="323"/>
      <c r="S215" s="323"/>
      <c r="T215" s="12">
        <f>Price!G215</f>
        <v>9554467</v>
      </c>
      <c r="U215" s="257">
        <f>Price!H215</f>
        <v>275335</v>
      </c>
      <c r="V215" s="13"/>
      <c r="W215" s="13"/>
      <c r="X215" s="19"/>
      <c r="Y215" s="19"/>
    </row>
    <row r="216" spans="1:25" x14ac:dyDescent="0.35">
      <c r="A216" s="89" t="str">
        <f t="shared" si="24"/>
        <v>Korpusové lišty TIP-ON BLUMOTION, 500mm, 70kg</v>
      </c>
      <c r="B216" s="90" t="str">
        <f t="shared" si="25"/>
        <v>753.5001M</v>
      </c>
      <c r="C216" s="90" t="str">
        <f t="shared" si="26"/>
        <v>ZN</v>
      </c>
      <c r="D216" s="90">
        <f t="shared" si="27"/>
        <v>0</v>
      </c>
      <c r="E216" s="91">
        <f t="shared" si="28"/>
        <v>0</v>
      </c>
      <c r="F216" s="17">
        <f t="shared" si="29"/>
        <v>28.059809999999999</v>
      </c>
      <c r="G216" s="64"/>
      <c r="H216" s="64"/>
      <c r="I216" s="172">
        <f t="shared" si="30"/>
        <v>5699464</v>
      </c>
      <c r="J216" s="172">
        <f t="shared" si="31"/>
        <v>275339</v>
      </c>
      <c r="K216" s="20"/>
      <c r="L216" s="60" t="str">
        <f>Price!A216</f>
        <v>Korpusové lišty TIP-ON BLUMOTION, 500mm, 70kg</v>
      </c>
      <c r="M216" s="15" t="str">
        <f>Price!B216</f>
        <v>753.5001M</v>
      </c>
      <c r="N216" s="15" t="str">
        <f>Price!C216</f>
        <v>ZN</v>
      </c>
      <c r="O216" s="537">
        <f>Price!D216</f>
        <v>0</v>
      </c>
      <c r="P216" s="16"/>
      <c r="Q216" s="17">
        <f>Price!F216</f>
        <v>28.059809999999999</v>
      </c>
      <c r="R216" s="323"/>
      <c r="S216" s="323"/>
      <c r="T216" s="12">
        <f>Price!G216</f>
        <v>5699464</v>
      </c>
      <c r="U216" s="257">
        <f>Price!H216</f>
        <v>275339</v>
      </c>
      <c r="V216" s="13"/>
      <c r="W216" s="13"/>
      <c r="X216" s="19"/>
      <c r="Y216" s="19"/>
    </row>
    <row r="217" spans="1:25" x14ac:dyDescent="0.35">
      <c r="A217" s="89" t="str">
        <f t="shared" si="24"/>
        <v>Korpusové lišty TIP-ON BLUMOTION, 550mm, 40kg</v>
      </c>
      <c r="B217" s="90" t="str">
        <f t="shared" si="25"/>
        <v>750.5501M</v>
      </c>
      <c r="C217" s="90" t="str">
        <f t="shared" si="26"/>
        <v>ZN</v>
      </c>
      <c r="D217" s="90">
        <f t="shared" si="27"/>
        <v>0</v>
      </c>
      <c r="E217" s="91">
        <f t="shared" si="28"/>
        <v>0</v>
      </c>
      <c r="F217" s="17">
        <f t="shared" si="29"/>
        <v>24.254210000000004</v>
      </c>
      <c r="G217" s="64"/>
      <c r="H217" s="64"/>
      <c r="I217" s="172">
        <f t="shared" si="30"/>
        <v>1309911</v>
      </c>
      <c r="J217" s="172">
        <f t="shared" si="31"/>
        <v>275336</v>
      </c>
      <c r="K217" s="20"/>
      <c r="L217" s="60" t="str">
        <f>Price!A217</f>
        <v>Korpusové lišty TIP-ON BLUMOTION, 550mm, 40kg</v>
      </c>
      <c r="M217" s="15" t="str">
        <f>Price!B217</f>
        <v>750.5501M</v>
      </c>
      <c r="N217" s="15" t="str">
        <f>Price!C217</f>
        <v>ZN</v>
      </c>
      <c r="O217" s="537">
        <f>Price!D217</f>
        <v>0</v>
      </c>
      <c r="P217" s="16"/>
      <c r="Q217" s="17">
        <f>Price!F217</f>
        <v>24.25421</v>
      </c>
      <c r="R217" s="323"/>
      <c r="S217" s="323"/>
      <c r="T217" s="12">
        <f>Price!G217</f>
        <v>1309911</v>
      </c>
      <c r="U217" s="257">
        <f>Price!H217</f>
        <v>275336</v>
      </c>
      <c r="V217" s="13"/>
      <c r="W217" s="13"/>
      <c r="X217" s="19"/>
      <c r="Y217" s="19"/>
    </row>
    <row r="218" spans="1:25" x14ac:dyDescent="0.35">
      <c r="A218" s="89" t="str">
        <f t="shared" si="24"/>
        <v>Korpusové lišty TIP-ON BLUMOTION, 550mm, 70kg</v>
      </c>
      <c r="B218" s="90" t="str">
        <f t="shared" si="25"/>
        <v>753.5501M</v>
      </c>
      <c r="C218" s="90" t="str">
        <f t="shared" si="26"/>
        <v>ZN</v>
      </c>
      <c r="D218" s="90">
        <f t="shared" si="27"/>
        <v>0</v>
      </c>
      <c r="E218" s="91">
        <f t="shared" si="28"/>
        <v>0</v>
      </c>
      <c r="F218" s="17">
        <f t="shared" si="29"/>
        <v>29.550529999999998</v>
      </c>
      <c r="G218" s="64"/>
      <c r="H218" s="64"/>
      <c r="I218" s="172">
        <f t="shared" si="30"/>
        <v>6306480</v>
      </c>
      <c r="J218" s="172">
        <f t="shared" si="31"/>
        <v>275340</v>
      </c>
      <c r="K218" s="20"/>
      <c r="L218" s="60" t="str">
        <f>Price!A218</f>
        <v>Korpusové lišty TIP-ON BLUMOTION, 550mm, 70kg</v>
      </c>
      <c r="M218" s="15" t="str">
        <f>Price!B218</f>
        <v>753.5501M</v>
      </c>
      <c r="N218" s="15" t="str">
        <f>Price!C218</f>
        <v>ZN</v>
      </c>
      <c r="O218" s="537">
        <f>Price!D218</f>
        <v>0</v>
      </c>
      <c r="P218" s="16"/>
      <c r="Q218" s="17">
        <f>Price!F218</f>
        <v>29.550529999999998</v>
      </c>
      <c r="R218" s="323"/>
      <c r="S218" s="323"/>
      <c r="T218" s="12">
        <f>Price!G218</f>
        <v>6306480</v>
      </c>
      <c r="U218" s="257">
        <f>Price!H218</f>
        <v>275340</v>
      </c>
      <c r="V218" s="13"/>
      <c r="W218" s="13"/>
      <c r="X218" s="19"/>
      <c r="Y218" s="19"/>
    </row>
    <row r="219" spans="1:25" x14ac:dyDescent="0.35">
      <c r="A219" s="89" t="str">
        <f t="shared" si="24"/>
        <v>Korpusové lišty TIP-ON BLUMOTION, 600mm, 40kg</v>
      </c>
      <c r="B219" s="90" t="str">
        <f t="shared" si="25"/>
        <v>750.6001M</v>
      </c>
      <c r="C219" s="90" t="str">
        <f t="shared" si="26"/>
        <v>ZN</v>
      </c>
      <c r="D219" s="90">
        <f t="shared" si="27"/>
        <v>0</v>
      </c>
      <c r="E219" s="91">
        <f t="shared" si="28"/>
        <v>0</v>
      </c>
      <c r="F219" s="17">
        <f t="shared" si="29"/>
        <v>27.259979999999999</v>
      </c>
      <c r="G219" s="64"/>
      <c r="H219" s="64"/>
      <c r="I219" s="172">
        <f t="shared" si="30"/>
        <v>9677262</v>
      </c>
      <c r="J219" s="172">
        <f t="shared" si="31"/>
        <v>275337</v>
      </c>
      <c r="K219" s="20"/>
      <c r="L219" s="60" t="str">
        <f>Price!A219</f>
        <v>Korpusové lišty TIP-ON BLUMOTION, 600mm, 40kg</v>
      </c>
      <c r="M219" s="15" t="str">
        <f>Price!B219</f>
        <v>750.6001M</v>
      </c>
      <c r="N219" s="15" t="str">
        <f>Price!C219</f>
        <v>ZN</v>
      </c>
      <c r="O219" s="537">
        <f>Price!D219</f>
        <v>0</v>
      </c>
      <c r="P219" s="16"/>
      <c r="Q219" s="17">
        <f>Price!F219</f>
        <v>27.259979999999999</v>
      </c>
      <c r="R219" s="323"/>
      <c r="S219" s="323"/>
      <c r="T219" s="12">
        <f>Price!G219</f>
        <v>9677262</v>
      </c>
      <c r="U219" s="257">
        <f>Price!H219</f>
        <v>275337</v>
      </c>
      <c r="V219" s="13"/>
      <c r="W219" s="13"/>
      <c r="X219" s="19"/>
      <c r="Y219" s="19"/>
    </row>
    <row r="220" spans="1:25" x14ac:dyDescent="0.35">
      <c r="A220" s="89" t="str">
        <f t="shared" si="24"/>
        <v>Korpusové lišty TIP-ON BLUMOTION, 600mm, 70kg</v>
      </c>
      <c r="B220" s="90" t="str">
        <f t="shared" si="25"/>
        <v>753.6001M</v>
      </c>
      <c r="C220" s="90" t="str">
        <f t="shared" si="26"/>
        <v>ZN</v>
      </c>
      <c r="D220" s="90">
        <f t="shared" si="27"/>
        <v>0</v>
      </c>
      <c r="E220" s="91">
        <f t="shared" si="28"/>
        <v>0</v>
      </c>
      <c r="F220" s="17">
        <f t="shared" si="29"/>
        <v>32.5563</v>
      </c>
      <c r="G220" s="64"/>
      <c r="H220" s="64"/>
      <c r="I220" s="172">
        <f t="shared" si="30"/>
        <v>8301756</v>
      </c>
      <c r="J220" s="172">
        <f t="shared" si="31"/>
        <v>275341</v>
      </c>
      <c r="K220" s="20"/>
      <c r="L220" s="60" t="str">
        <f>Price!A220</f>
        <v>Korpusové lišty TIP-ON BLUMOTION, 600mm, 70kg</v>
      </c>
      <c r="M220" s="15" t="str">
        <f>Price!B220</f>
        <v>753.6001M</v>
      </c>
      <c r="N220" s="15" t="str">
        <f>Price!C220</f>
        <v>ZN</v>
      </c>
      <c r="O220" s="537">
        <f>Price!D220</f>
        <v>0</v>
      </c>
      <c r="P220" s="16"/>
      <c r="Q220" s="17">
        <f>Price!F220</f>
        <v>32.5563</v>
      </c>
      <c r="R220" s="323"/>
      <c r="S220" s="323"/>
      <c r="T220" s="12">
        <f>Price!G220</f>
        <v>8301756</v>
      </c>
      <c r="U220" s="257">
        <f>Price!H220</f>
        <v>275341</v>
      </c>
      <c r="V220" s="13"/>
      <c r="W220" s="13"/>
      <c r="X220" s="19"/>
      <c r="Y220" s="19"/>
    </row>
    <row r="221" spans="1:25" x14ac:dyDescent="0.35">
      <c r="A221" s="89" t="str">
        <f t="shared" si="24"/>
        <v>Korpusové lišty TIP-ON BLUMOTION, 650mm, 70kg</v>
      </c>
      <c r="B221" s="90" t="str">
        <f t="shared" si="25"/>
        <v>753.6501M</v>
      </c>
      <c r="C221" s="90" t="str">
        <f t="shared" si="26"/>
        <v>ZN</v>
      </c>
      <c r="D221" s="90">
        <f t="shared" si="27"/>
        <v>0</v>
      </c>
      <c r="E221" s="91">
        <f t="shared" si="28"/>
        <v>0</v>
      </c>
      <c r="F221" s="17">
        <f t="shared" si="29"/>
        <v>34.047020000000003</v>
      </c>
      <c r="G221" s="64"/>
      <c r="H221" s="64"/>
      <c r="I221" s="172">
        <f t="shared" si="30"/>
        <v>9722794</v>
      </c>
      <c r="J221" s="172">
        <f t="shared" si="31"/>
        <v>275342</v>
      </c>
      <c r="K221" s="20"/>
      <c r="L221" s="60" t="str">
        <f>Price!A221</f>
        <v>Korpusové lišty TIP-ON BLUMOTION, 650mm, 70kg</v>
      </c>
      <c r="M221" s="15" t="str">
        <f>Price!B221</f>
        <v>753.6501M</v>
      </c>
      <c r="N221" s="15" t="str">
        <f>Price!C221</f>
        <v>ZN</v>
      </c>
      <c r="O221" s="537">
        <f>Price!D221</f>
        <v>0</v>
      </c>
      <c r="P221" s="16"/>
      <c r="Q221" s="17">
        <f>Price!F221</f>
        <v>34.047020000000003</v>
      </c>
      <c r="R221" s="323"/>
      <c r="S221" s="323"/>
      <c r="T221" s="12">
        <f>Price!G221</f>
        <v>9722794</v>
      </c>
      <c r="U221" s="257">
        <f>Price!H221</f>
        <v>275342</v>
      </c>
      <c r="V221" s="13"/>
      <c r="W221" s="13"/>
      <c r="X221" s="19"/>
      <c r="Y221" s="19"/>
    </row>
    <row r="222" spans="1:25" x14ac:dyDescent="0.35">
      <c r="A222" s="89"/>
      <c r="B222" s="90"/>
      <c r="C222" s="90"/>
      <c r="D222" s="90"/>
      <c r="E222" s="91"/>
      <c r="F222" s="17"/>
      <c r="G222" s="64"/>
      <c r="H222" s="64"/>
      <c r="I222" s="172"/>
      <c r="J222" s="172"/>
      <c r="K222" s="20"/>
      <c r="L222" s="60">
        <f>Price!A222</f>
        <v>0</v>
      </c>
      <c r="M222" s="15">
        <f>Price!B222</f>
        <v>0</v>
      </c>
      <c r="N222" s="15">
        <f>Price!C222</f>
        <v>0</v>
      </c>
      <c r="O222" s="537">
        <f>Price!D222</f>
        <v>0</v>
      </c>
      <c r="P222" s="16"/>
      <c r="Q222" s="17">
        <f>Price!F222</f>
        <v>0</v>
      </c>
      <c r="R222" s="323"/>
      <c r="S222" s="323"/>
      <c r="T222" s="12">
        <f>Price!G222</f>
        <v>0</v>
      </c>
      <c r="U222" s="257">
        <f>Price!H222</f>
        <v>0</v>
      </c>
      <c r="V222" s="13"/>
      <c r="W222" s="13"/>
      <c r="X222" s="19"/>
      <c r="Y222" s="19"/>
    </row>
    <row r="223" spans="1:25" x14ac:dyDescent="0.35">
      <c r="A223" s="89" t="str">
        <f t="shared" si="24"/>
        <v>Sada jednotek TIP-ON BLUMOTION, S1</v>
      </c>
      <c r="B223" s="90" t="str">
        <f t="shared" si="25"/>
        <v>T60L7140</v>
      </c>
      <c r="C223" s="90" t="str">
        <f t="shared" si="26"/>
        <v>ZN</v>
      </c>
      <c r="D223" s="90">
        <f t="shared" si="27"/>
        <v>0</v>
      </c>
      <c r="E223" s="91">
        <f t="shared" si="28"/>
        <v>0</v>
      </c>
      <c r="F223" s="17">
        <f t="shared" si="29"/>
        <v>15.883479999999999</v>
      </c>
      <c r="G223" s="64"/>
      <c r="H223" s="64"/>
      <c r="I223" s="172">
        <f t="shared" si="30"/>
        <v>3451357</v>
      </c>
      <c r="J223" s="172">
        <f t="shared" si="31"/>
        <v>275343</v>
      </c>
      <c r="K223" s="20"/>
      <c r="L223" s="60" t="str">
        <f>Price!A223</f>
        <v>Sada jednotek TIP-ON BLUMOTION, S1</v>
      </c>
      <c r="M223" s="15" t="str">
        <f>Price!B223</f>
        <v>T60L7140</v>
      </c>
      <c r="N223" s="15" t="str">
        <f>Price!C223</f>
        <v>ZN</v>
      </c>
      <c r="O223" s="537">
        <f>Price!D223</f>
        <v>0</v>
      </c>
      <c r="P223" s="16"/>
      <c r="Q223" s="17">
        <f>Price!F223</f>
        <v>15.88348</v>
      </c>
      <c r="R223" s="323"/>
      <c r="S223" s="323"/>
      <c r="T223" s="12">
        <f>Price!G223</f>
        <v>3451357</v>
      </c>
      <c r="U223" s="257">
        <f>Price!H223</f>
        <v>275343</v>
      </c>
      <c r="V223" s="13"/>
      <c r="W223" s="13"/>
      <c r="X223" s="19"/>
      <c r="Y223" s="19"/>
    </row>
    <row r="224" spans="1:25" x14ac:dyDescent="0.35">
      <c r="A224" s="89" t="str">
        <f t="shared" si="24"/>
        <v>Sada jednotek TIP-ON BLUMOTION, L1</v>
      </c>
      <c r="B224" s="90" t="str">
        <f t="shared" si="25"/>
        <v>T60L7340</v>
      </c>
      <c r="C224" s="90" t="str">
        <f t="shared" si="26"/>
        <v>ZN</v>
      </c>
      <c r="D224" s="90">
        <f t="shared" si="27"/>
        <v>0</v>
      </c>
      <c r="E224" s="91">
        <f t="shared" si="28"/>
        <v>0</v>
      </c>
      <c r="F224" s="17">
        <f t="shared" si="29"/>
        <v>15.883479999999999</v>
      </c>
      <c r="G224" s="64"/>
      <c r="H224" s="64"/>
      <c r="I224" s="172">
        <f t="shared" si="30"/>
        <v>2234802</v>
      </c>
      <c r="J224" s="172">
        <f t="shared" si="31"/>
        <v>275344</v>
      </c>
      <c r="K224" s="20"/>
      <c r="L224" s="60" t="str">
        <f>Price!A224</f>
        <v>Sada jednotek TIP-ON BLUMOTION, L1</v>
      </c>
      <c r="M224" s="15" t="str">
        <f>Price!B224</f>
        <v>T60L7340</v>
      </c>
      <c r="N224" s="15" t="str">
        <f>Price!C224</f>
        <v>ZN</v>
      </c>
      <c r="O224" s="537">
        <f>Price!D224</f>
        <v>0</v>
      </c>
      <c r="P224" s="16"/>
      <c r="Q224" s="17">
        <f>Price!F224</f>
        <v>15.88348</v>
      </c>
      <c r="R224" s="323"/>
      <c r="S224" s="323"/>
      <c r="T224" s="12">
        <f>Price!G224</f>
        <v>2234802</v>
      </c>
      <c r="U224" s="257">
        <f>Price!H224</f>
        <v>275344</v>
      </c>
      <c r="V224" s="13"/>
      <c r="W224" s="13"/>
      <c r="X224" s="19"/>
      <c r="Y224" s="19"/>
    </row>
    <row r="225" spans="1:25" x14ac:dyDescent="0.35">
      <c r="A225" s="89" t="str">
        <f t="shared" si="24"/>
        <v>Sada jednotek TIP-ON BLUMOTION, L3</v>
      </c>
      <c r="B225" s="90" t="str">
        <f t="shared" si="25"/>
        <v>T60L7540</v>
      </c>
      <c r="C225" s="90" t="str">
        <f t="shared" si="26"/>
        <v>ZN</v>
      </c>
      <c r="D225" s="90">
        <f t="shared" si="27"/>
        <v>0</v>
      </c>
      <c r="E225" s="91">
        <f t="shared" si="28"/>
        <v>0</v>
      </c>
      <c r="F225" s="17">
        <f t="shared" si="29"/>
        <v>15.883479999999999</v>
      </c>
      <c r="G225" s="64"/>
      <c r="H225" s="64"/>
      <c r="I225" s="172">
        <f t="shared" si="30"/>
        <v>1365128</v>
      </c>
      <c r="J225" s="172">
        <f t="shared" si="31"/>
        <v>275345</v>
      </c>
      <c r="K225" s="20"/>
      <c r="L225" s="60" t="str">
        <f>Price!A225</f>
        <v>Sada jednotek TIP-ON BLUMOTION, L3</v>
      </c>
      <c r="M225" s="15" t="str">
        <f>Price!B225</f>
        <v>T60L7540</v>
      </c>
      <c r="N225" s="15" t="str">
        <f>Price!C225</f>
        <v>ZN</v>
      </c>
      <c r="O225" s="537">
        <f>Price!D225</f>
        <v>0</v>
      </c>
      <c r="P225" s="16"/>
      <c r="Q225" s="17">
        <f>Price!F225</f>
        <v>15.88348</v>
      </c>
      <c r="R225" s="323"/>
      <c r="S225" s="323"/>
      <c r="T225" s="12">
        <f>Price!G225</f>
        <v>1365128</v>
      </c>
      <c r="U225" s="257">
        <f>Price!H225</f>
        <v>275345</v>
      </c>
      <c r="V225" s="13"/>
      <c r="W225" s="13"/>
      <c r="X225" s="19"/>
      <c r="Y225" s="19"/>
    </row>
    <row r="226" spans="1:25" x14ac:dyDescent="0.35">
      <c r="A226" s="89" t="str">
        <f t="shared" si="24"/>
        <v>Sada jednotek TIP-ON BLUMOTION, L5</v>
      </c>
      <c r="B226" s="90" t="str">
        <f t="shared" si="25"/>
        <v>T60L7570</v>
      </c>
      <c r="C226" s="90" t="str">
        <f t="shared" si="26"/>
        <v>ZN</v>
      </c>
      <c r="D226" s="90">
        <f t="shared" si="27"/>
        <v>0</v>
      </c>
      <c r="E226" s="91">
        <f t="shared" si="28"/>
        <v>0</v>
      </c>
      <c r="F226" s="17">
        <f t="shared" si="29"/>
        <v>15.883479999999999</v>
      </c>
      <c r="G226" s="64"/>
      <c r="H226" s="64"/>
      <c r="I226" s="172">
        <f t="shared" si="30"/>
        <v>9133117</v>
      </c>
      <c r="J226" s="172">
        <f t="shared" si="31"/>
        <v>275347</v>
      </c>
      <c r="K226" s="20"/>
      <c r="L226" s="60" t="str">
        <f>Price!A226</f>
        <v>Sada jednotek TIP-ON BLUMOTION, L5</v>
      </c>
      <c r="M226" s="15" t="str">
        <f>Price!B226</f>
        <v>T60L7570</v>
      </c>
      <c r="N226" s="15" t="str">
        <f>Price!C226</f>
        <v>ZN</v>
      </c>
      <c r="O226" s="537">
        <f>Price!D226</f>
        <v>0</v>
      </c>
      <c r="P226" s="16"/>
      <c r="Q226" s="17">
        <f>Price!F226</f>
        <v>15.88348</v>
      </c>
      <c r="R226" s="323"/>
      <c r="S226" s="323"/>
      <c r="T226" s="12">
        <f>Price!G226</f>
        <v>9133117</v>
      </c>
      <c r="U226" s="257">
        <f>Price!H226</f>
        <v>275347</v>
      </c>
      <c r="V226" s="13"/>
      <c r="W226" s="13"/>
      <c r="X226" s="19"/>
      <c r="Y226" s="19"/>
    </row>
    <row r="227" spans="1:25" x14ac:dyDescent="0.35">
      <c r="A227" s="89"/>
      <c r="B227" s="90"/>
      <c r="C227" s="90"/>
      <c r="D227" s="543"/>
      <c r="E227" s="91"/>
      <c r="F227" s="17"/>
      <c r="G227" s="64"/>
      <c r="H227" s="64"/>
      <c r="I227" s="172"/>
      <c r="J227" s="172"/>
      <c r="K227" s="20"/>
      <c r="L227" s="60">
        <f>Price!A227</f>
        <v>0</v>
      </c>
      <c r="M227" s="15">
        <f>Price!B227</f>
        <v>0</v>
      </c>
      <c r="N227" s="15">
        <f>Price!C227</f>
        <v>0</v>
      </c>
      <c r="O227" s="537">
        <f>Price!D227</f>
        <v>0</v>
      </c>
      <c r="P227" s="16"/>
      <c r="Q227" s="17">
        <f>Price!F227</f>
        <v>0</v>
      </c>
      <c r="R227" s="323"/>
      <c r="S227" s="323"/>
      <c r="T227" s="12">
        <f>Price!G227</f>
        <v>0</v>
      </c>
      <c r="U227" s="257">
        <f>Price!H227</f>
        <v>0</v>
      </c>
      <c r="V227" s="13"/>
      <c r="W227" s="13"/>
      <c r="X227" s="19"/>
      <c r="Y227" s="19"/>
    </row>
    <row r="228" spans="1:25" x14ac:dyDescent="0.35">
      <c r="A228" s="89"/>
      <c r="B228" s="90"/>
      <c r="C228" s="90"/>
      <c r="D228" s="543"/>
      <c r="E228" s="91"/>
      <c r="F228" s="17"/>
      <c r="G228" s="64"/>
      <c r="H228" s="64"/>
      <c r="I228" s="172"/>
      <c r="J228" s="172"/>
      <c r="K228" s="20"/>
      <c r="L228" s="60">
        <f>Price!A228</f>
        <v>0</v>
      </c>
      <c r="M228" s="15">
        <f>Price!B228</f>
        <v>0</v>
      </c>
      <c r="N228" s="15">
        <f>Price!C228</f>
        <v>0</v>
      </c>
      <c r="O228" s="537">
        <f>Price!D228</f>
        <v>0</v>
      </c>
      <c r="P228" s="16"/>
      <c r="Q228" s="17">
        <f>Price!F228</f>
        <v>0</v>
      </c>
      <c r="R228" s="323"/>
      <c r="S228" s="323"/>
      <c r="T228" s="12">
        <f>Price!G228</f>
        <v>0</v>
      </c>
      <c r="U228" s="257">
        <f>Price!H228</f>
        <v>0</v>
      </c>
      <c r="V228" s="13"/>
      <c r="W228" s="13"/>
      <c r="X228" s="19"/>
      <c r="Y228" s="19"/>
    </row>
    <row r="229" spans="1:25" x14ac:dyDescent="0.35">
      <c r="A229" s="89"/>
      <c r="B229" s="90"/>
      <c r="C229" s="90"/>
      <c r="D229" s="543"/>
      <c r="E229" s="91"/>
      <c r="F229" s="17"/>
      <c r="G229" s="64"/>
      <c r="H229" s="64"/>
      <c r="I229" s="172"/>
      <c r="J229" s="172"/>
      <c r="K229" s="61"/>
      <c r="L229" s="60" t="str">
        <f>Price!A229</f>
        <v xml:space="preserve">   Synchronizace TIP-ON</v>
      </c>
      <c r="M229" s="15">
        <f>Price!B229</f>
        <v>0</v>
      </c>
      <c r="N229" s="15">
        <f>Price!C229</f>
        <v>0</v>
      </c>
      <c r="O229" s="537">
        <f>Price!D229</f>
        <v>0</v>
      </c>
      <c r="P229" s="16"/>
      <c r="Q229" s="17">
        <f>Price!F229</f>
        <v>0</v>
      </c>
      <c r="R229" s="323"/>
      <c r="S229" s="323"/>
      <c r="T229" s="12">
        <f>Price!G229</f>
        <v>0</v>
      </c>
      <c r="U229" s="257">
        <f>Price!H229</f>
        <v>0</v>
      </c>
      <c r="V229" s="13"/>
      <c r="W229" s="13"/>
      <c r="X229" s="19"/>
      <c r="Y229" s="19"/>
    </row>
    <row r="230" spans="1:25" x14ac:dyDescent="0.35">
      <c r="A230" s="89" t="str">
        <f t="shared" ref="A230:E231" si="32">L230</f>
        <v>TIP-ON synchronizace, sada pastorků</v>
      </c>
      <c r="B230" s="90" t="str">
        <f t="shared" si="32"/>
        <v>T57.7400.01</v>
      </c>
      <c r="C230" s="90" t="str">
        <f t="shared" si="32"/>
        <v>R737</v>
      </c>
      <c r="D230" s="90">
        <f t="shared" si="32"/>
        <v>0</v>
      </c>
      <c r="E230" s="91">
        <f t="shared" si="32"/>
        <v>0</v>
      </c>
      <c r="F230" s="17">
        <f>Q230*(100-$F$6)/100</f>
        <v>6.60684</v>
      </c>
      <c r="G230" s="64"/>
      <c r="H230" s="64"/>
      <c r="I230" s="172">
        <f>T230</f>
        <v>1605111</v>
      </c>
      <c r="J230" s="172">
        <f>U230</f>
        <v>227606</v>
      </c>
      <c r="K230" s="62"/>
      <c r="L230" s="60" t="str">
        <f>Price!A230</f>
        <v>TIP-ON synchronizace, sada pastorků</v>
      </c>
      <c r="M230" s="15" t="str">
        <f>Price!B230</f>
        <v>T57.7400.01</v>
      </c>
      <c r="N230" s="15" t="str">
        <f>Price!C230</f>
        <v>R737</v>
      </c>
      <c r="O230" s="537">
        <f>Price!D230</f>
        <v>0</v>
      </c>
      <c r="P230" s="16"/>
      <c r="Q230" s="17">
        <f>Price!F230</f>
        <v>6.60684</v>
      </c>
      <c r="R230" s="323"/>
      <c r="S230" s="323"/>
      <c r="T230" s="12">
        <f>Price!G230</f>
        <v>1605111</v>
      </c>
      <c r="U230" s="257">
        <f>Price!H230</f>
        <v>227606</v>
      </c>
      <c r="V230" s="13"/>
      <c r="W230" s="13"/>
      <c r="X230" s="19"/>
      <c r="Y230" s="19"/>
    </row>
    <row r="231" spans="1:25" x14ac:dyDescent="0.35">
      <c r="A231" s="89" t="str">
        <f t="shared" si="32"/>
        <v>TIP-ON synchronizace, tyč ke zkrácení</v>
      </c>
      <c r="B231" s="90" t="str">
        <f t="shared" si="32"/>
        <v>ZST.1160W</v>
      </c>
      <c r="C231" s="90" t="str">
        <f t="shared" si="32"/>
        <v>ROH</v>
      </c>
      <c r="D231" s="90">
        <f t="shared" si="32"/>
        <v>0</v>
      </c>
      <c r="E231" s="91">
        <f t="shared" si="32"/>
        <v>0</v>
      </c>
      <c r="F231" s="17">
        <f>Q231*(100-$F$6)/100</f>
        <v>3.6422699999999999</v>
      </c>
      <c r="G231" s="64"/>
      <c r="H231" s="64"/>
      <c r="I231" s="172">
        <f>T231</f>
        <v>5075934</v>
      </c>
      <c r="J231" s="172">
        <f>U231</f>
        <v>227607</v>
      </c>
      <c r="K231" s="62"/>
      <c r="L231" s="60" t="str">
        <f>Price!A231</f>
        <v>TIP-ON synchronizace, tyč ke zkrácení</v>
      </c>
      <c r="M231" s="15" t="str">
        <f>Price!B231</f>
        <v>ZST.1160W</v>
      </c>
      <c r="N231" s="15" t="str">
        <f>Price!C231</f>
        <v>ROH</v>
      </c>
      <c r="O231" s="537">
        <f>Price!D231</f>
        <v>0</v>
      </c>
      <c r="P231" s="16"/>
      <c r="Q231" s="17">
        <f>Price!F231</f>
        <v>3.6422699999999999</v>
      </c>
      <c r="R231" s="323"/>
      <c r="S231" s="323"/>
      <c r="T231" s="12">
        <f>Price!G231</f>
        <v>5075934</v>
      </c>
      <c r="U231" s="257">
        <f>Price!H231</f>
        <v>227607</v>
      </c>
      <c r="V231" s="13"/>
      <c r="W231" s="13"/>
      <c r="X231" s="19"/>
      <c r="Y231" s="19"/>
    </row>
    <row r="232" spans="1:25" x14ac:dyDescent="0.35">
      <c r="A232" s="89"/>
      <c r="B232" s="90"/>
      <c r="C232" s="90"/>
      <c r="D232" s="543"/>
      <c r="E232" s="91"/>
      <c r="F232" s="17"/>
      <c r="G232" s="64"/>
      <c r="H232" s="64"/>
      <c r="I232" s="172"/>
      <c r="J232" s="172"/>
      <c r="K232" s="62"/>
      <c r="L232" s="60">
        <f>Price!A232</f>
        <v>0</v>
      </c>
      <c r="M232" s="15">
        <f>Price!B232</f>
        <v>0</v>
      </c>
      <c r="N232" s="15">
        <f>Price!C232</f>
        <v>0</v>
      </c>
      <c r="O232" s="537">
        <f>Price!D232</f>
        <v>0</v>
      </c>
      <c r="P232" s="16"/>
      <c r="Q232" s="17">
        <f>Price!F232</f>
        <v>0</v>
      </c>
      <c r="R232" s="323"/>
      <c r="S232" s="323"/>
      <c r="T232" s="12">
        <f>Price!G232</f>
        <v>0</v>
      </c>
      <c r="U232" s="257">
        <f>Price!H232</f>
        <v>0</v>
      </c>
      <c r="V232" s="13"/>
      <c r="W232" s="13"/>
      <c r="X232" s="19"/>
      <c r="Y232" s="19"/>
    </row>
    <row r="233" spans="1:25" x14ac:dyDescent="0.35">
      <c r="A233" s="89"/>
      <c r="B233" s="90"/>
      <c r="C233" s="90"/>
      <c r="D233" s="543"/>
      <c r="E233" s="91"/>
      <c r="F233" s="17"/>
      <c r="G233" s="64"/>
      <c r="H233" s="64"/>
      <c r="I233" s="172"/>
      <c r="J233" s="172"/>
      <c r="K233" s="62"/>
      <c r="L233" s="60" t="str">
        <f>Price!A233</f>
        <v xml:space="preserve">   Boční stabilizace</v>
      </c>
      <c r="M233" s="15">
        <f>Price!B233</f>
        <v>0</v>
      </c>
      <c r="N233" s="15">
        <f>Price!C233</f>
        <v>0</v>
      </c>
      <c r="O233" s="537">
        <f>Price!D233</f>
        <v>0</v>
      </c>
      <c r="P233" s="16"/>
      <c r="Q233" s="17">
        <f>Price!F233</f>
        <v>0</v>
      </c>
      <c r="R233" s="323"/>
      <c r="S233" s="323"/>
      <c r="T233" s="12">
        <f>Price!G233</f>
        <v>0</v>
      </c>
      <c r="U233" s="257">
        <f>Price!H233</f>
        <v>0</v>
      </c>
      <c r="V233" s="13"/>
      <c r="W233" s="13"/>
      <c r="X233" s="19"/>
      <c r="Y233" s="19"/>
    </row>
    <row r="234" spans="1:25" x14ac:dyDescent="0.35">
      <c r="A234" s="89" t="str">
        <f t="shared" ref="A234:D235" si="33">L234</f>
        <v>Boční stabilizace, sada NL 250-400mm</v>
      </c>
      <c r="B234" s="90" t="str">
        <f t="shared" si="33"/>
        <v>ZS7.400LU</v>
      </c>
      <c r="C234" s="90" t="str">
        <f t="shared" si="33"/>
        <v>R737</v>
      </c>
      <c r="D234" s="90">
        <f t="shared" si="33"/>
        <v>0</v>
      </c>
      <c r="E234" s="91">
        <f>P234</f>
        <v>0</v>
      </c>
      <c r="F234" s="17">
        <f>Q234*(100-$F$6)/100</f>
        <v>0</v>
      </c>
      <c r="G234" s="64"/>
      <c r="H234" s="64"/>
      <c r="I234" s="172">
        <f>T234</f>
        <v>8483933</v>
      </c>
      <c r="J234" s="172" t="str">
        <f>U234</f>
        <v>-</v>
      </c>
      <c r="K234" s="20"/>
      <c r="L234" s="60" t="str">
        <f>Price!A234</f>
        <v>Boční stabilizace, sada NL 250-400mm</v>
      </c>
      <c r="M234" s="15" t="str">
        <f>Price!B234</f>
        <v>ZS7.400LU</v>
      </c>
      <c r="N234" s="15" t="str">
        <f>Price!C234</f>
        <v>R737</v>
      </c>
      <c r="O234" s="537">
        <f>Price!D234</f>
        <v>0</v>
      </c>
      <c r="P234" s="16"/>
      <c r="Q234" s="17">
        <f>Price!F234</f>
        <v>0</v>
      </c>
      <c r="R234" s="323"/>
      <c r="S234" s="323"/>
      <c r="T234" s="12">
        <f>Price!G234</f>
        <v>8483933</v>
      </c>
      <c r="U234" s="257" t="str">
        <f>Price!H234</f>
        <v>-</v>
      </c>
      <c r="V234" s="13"/>
      <c r="W234" s="13"/>
      <c r="X234" s="19"/>
      <c r="Y234" s="19"/>
    </row>
    <row r="235" spans="1:25" x14ac:dyDescent="0.35">
      <c r="A235" s="89" t="str">
        <f t="shared" si="33"/>
        <v>Boční stabilizace, sada NL 450-600mm</v>
      </c>
      <c r="B235" s="90" t="str">
        <f t="shared" si="33"/>
        <v>ZS7.650LU</v>
      </c>
      <c r="C235" s="90" t="str">
        <f t="shared" si="33"/>
        <v>R737</v>
      </c>
      <c r="D235" s="90">
        <f t="shared" si="33"/>
        <v>0</v>
      </c>
      <c r="E235" s="91">
        <f>P235</f>
        <v>0</v>
      </c>
      <c r="F235" s="17">
        <f>Q235*(100-$F$6)/100</f>
        <v>0</v>
      </c>
      <c r="G235" s="64"/>
      <c r="H235" s="64"/>
      <c r="I235" s="172">
        <f>T235</f>
        <v>3658072</v>
      </c>
      <c r="J235" s="172" t="str">
        <f>U235</f>
        <v>-</v>
      </c>
      <c r="K235" s="20"/>
      <c r="L235" s="60" t="str">
        <f>Price!A235</f>
        <v>Boční stabilizace, sada NL 450-600mm</v>
      </c>
      <c r="M235" s="15" t="str">
        <f>Price!B235</f>
        <v>ZS7.650LU</v>
      </c>
      <c r="N235" s="15" t="str">
        <f>Price!C235</f>
        <v>R737</v>
      </c>
      <c r="O235" s="537">
        <f>Price!D235</f>
        <v>0</v>
      </c>
      <c r="P235" s="16"/>
      <c r="Q235" s="17">
        <f>Price!F235</f>
        <v>0</v>
      </c>
      <c r="R235" s="323"/>
      <c r="S235" s="323"/>
      <c r="T235" s="12">
        <f>Price!G235</f>
        <v>3658072</v>
      </c>
      <c r="U235" s="257" t="str">
        <f>Price!H235</f>
        <v>-</v>
      </c>
      <c r="V235" s="13"/>
      <c r="W235" s="13"/>
      <c r="X235" s="19"/>
      <c r="Y235" s="19"/>
    </row>
    <row r="236" spans="1:25" x14ac:dyDescent="0.35">
      <c r="A236" s="57"/>
      <c r="B236" s="162"/>
      <c r="C236" s="162"/>
      <c r="D236" s="540"/>
      <c r="E236" s="77"/>
      <c r="F236" s="64"/>
      <c r="G236" s="64"/>
      <c r="H236" s="64"/>
      <c r="I236" s="64"/>
      <c r="J236" s="64"/>
      <c r="K236" s="61"/>
      <c r="L236" s="60">
        <f>Price!A236</f>
        <v>0</v>
      </c>
      <c r="M236" s="15">
        <f>Price!B236</f>
        <v>0</v>
      </c>
      <c r="N236" s="15">
        <f>Price!C236</f>
        <v>0</v>
      </c>
      <c r="O236" s="537">
        <f>Price!D236</f>
        <v>0</v>
      </c>
      <c r="P236" s="16"/>
      <c r="Q236" s="17">
        <f>Price!F236</f>
        <v>0</v>
      </c>
      <c r="R236" s="323"/>
      <c r="S236" s="323"/>
      <c r="T236" s="12">
        <f>Price!G236</f>
        <v>0</v>
      </c>
      <c r="U236" s="257">
        <f>Price!H236</f>
        <v>0</v>
      </c>
      <c r="V236" s="13"/>
      <c r="W236" s="13"/>
      <c r="X236" s="19"/>
      <c r="Y236" s="19"/>
    </row>
    <row r="237" spans="1:25" x14ac:dyDescent="0.35">
      <c r="A237" s="57"/>
      <c r="B237" s="162"/>
      <c r="C237" s="162"/>
      <c r="D237" s="540"/>
      <c r="E237" s="77"/>
      <c r="F237" s="64"/>
      <c r="G237" s="64"/>
      <c r="H237" s="64"/>
      <c r="I237" s="64"/>
      <c r="J237" s="64"/>
      <c r="K237" s="20"/>
      <c r="L237" s="60">
        <f>Price!A237</f>
        <v>0</v>
      </c>
      <c r="M237" s="15">
        <f>Price!B237</f>
        <v>0</v>
      </c>
      <c r="N237" s="15">
        <f>Price!C237</f>
        <v>0</v>
      </c>
      <c r="O237" s="537">
        <f>Price!D237</f>
        <v>0</v>
      </c>
      <c r="P237" s="16"/>
      <c r="Q237" s="17">
        <f>Price!F237</f>
        <v>0</v>
      </c>
      <c r="R237" s="323"/>
      <c r="S237" s="323"/>
      <c r="T237" s="12">
        <f>Price!G237</f>
        <v>0</v>
      </c>
      <c r="U237" s="257">
        <f>Price!H237</f>
        <v>0</v>
      </c>
      <c r="V237" s="13"/>
      <c r="W237" s="13"/>
      <c r="X237" s="19"/>
      <c r="Y237" s="19"/>
    </row>
    <row r="238" spans="1:25" x14ac:dyDescent="0.35">
      <c r="A238" s="57"/>
      <c r="B238" s="162"/>
      <c r="C238" s="162"/>
      <c r="D238" s="540"/>
      <c r="E238" s="77"/>
      <c r="F238" s="64"/>
      <c r="G238" s="64"/>
      <c r="H238" s="64"/>
      <c r="I238" s="64"/>
      <c r="J238" s="64"/>
      <c r="K238" s="20"/>
      <c r="L238" s="60" t="str">
        <f>Price!A238</f>
        <v xml:space="preserve">   Synchronizace TIP-ON BLUMOTION</v>
      </c>
      <c r="M238" s="15">
        <f>Price!B238</f>
        <v>0</v>
      </c>
      <c r="N238" s="15">
        <f>Price!C238</f>
        <v>0</v>
      </c>
      <c r="O238" s="537">
        <f>Price!D238</f>
        <v>0</v>
      </c>
      <c r="P238" s="16"/>
      <c r="Q238" s="17">
        <f>Price!F238</f>
        <v>0</v>
      </c>
      <c r="R238" s="323"/>
      <c r="S238" s="323"/>
      <c r="T238" s="12">
        <f>Price!G238</f>
        <v>0</v>
      </c>
      <c r="U238" s="257">
        <f>Price!H238</f>
        <v>0</v>
      </c>
      <c r="V238" s="13"/>
      <c r="W238" s="13"/>
      <c r="X238" s="19"/>
      <c r="Y238" s="19"/>
    </row>
    <row r="239" spans="1:25" x14ac:dyDescent="0.35">
      <c r="A239" s="89" t="str">
        <f t="shared" ref="A239:E240" si="34">L239</f>
        <v>TIP-ON BLM synchronizační adaptér</v>
      </c>
      <c r="B239" s="90" t="str">
        <f t="shared" si="34"/>
        <v>T60.000D</v>
      </c>
      <c r="C239" s="90" t="str">
        <f t="shared" si="34"/>
        <v>R736</v>
      </c>
      <c r="D239" s="90">
        <f t="shared" si="34"/>
        <v>0</v>
      </c>
      <c r="E239" s="91">
        <f t="shared" si="34"/>
        <v>0</v>
      </c>
      <c r="F239" s="17">
        <f>Q239*(100-$F$6)/100</f>
        <v>0.22786000000000001</v>
      </c>
      <c r="G239" s="64"/>
      <c r="H239" s="64"/>
      <c r="I239" s="172">
        <f>T239</f>
        <v>1512005</v>
      </c>
      <c r="J239" s="172">
        <f>U239</f>
        <v>275348</v>
      </c>
      <c r="K239" s="61"/>
      <c r="L239" s="60" t="str">
        <f>Price!A239</f>
        <v>TIP-ON BLM synchronizační adaptér</v>
      </c>
      <c r="M239" s="15" t="str">
        <f>Price!B239</f>
        <v>T60.000D</v>
      </c>
      <c r="N239" s="15" t="str">
        <f>Price!C239</f>
        <v>R736</v>
      </c>
      <c r="O239" s="537">
        <f>Price!D239</f>
        <v>0</v>
      </c>
      <c r="P239" s="16"/>
      <c r="Q239" s="17">
        <f>Price!F239</f>
        <v>0.22786000000000001</v>
      </c>
      <c r="R239" s="323"/>
      <c r="S239" s="323"/>
      <c r="T239" s="12">
        <f>Price!G239</f>
        <v>1512005</v>
      </c>
      <c r="U239" s="257">
        <f>Price!H239</f>
        <v>275348</v>
      </c>
      <c r="V239" s="13"/>
      <c r="W239" s="13"/>
      <c r="X239" s="19"/>
      <c r="Y239" s="19"/>
    </row>
    <row r="240" spans="1:25" x14ac:dyDescent="0.35">
      <c r="A240" s="89" t="str">
        <f t="shared" si="34"/>
        <v>TIP-ON BLM hřídel synchronizace, ke zkrácení</v>
      </c>
      <c r="B240" s="90" t="str">
        <f t="shared" si="34"/>
        <v>T60L1125W</v>
      </c>
      <c r="C240" s="90" t="str">
        <f t="shared" si="34"/>
        <v>S</v>
      </c>
      <c r="D240" s="90">
        <f t="shared" si="34"/>
        <v>0</v>
      </c>
      <c r="E240" s="91">
        <f t="shared" si="34"/>
        <v>0</v>
      </c>
      <c r="F240" s="17">
        <f>Q240*(100-$F$6)/100</f>
        <v>3.7524400000000004</v>
      </c>
      <c r="G240" s="64"/>
      <c r="H240" s="64"/>
      <c r="I240" s="172">
        <f>T240</f>
        <v>2101757</v>
      </c>
      <c r="J240" s="172">
        <f>U240</f>
        <v>282277</v>
      </c>
      <c r="K240" s="20"/>
      <c r="L240" s="60" t="str">
        <f>Price!A240</f>
        <v>TIP-ON BLM hřídel synchronizace, ke zkrácení</v>
      </c>
      <c r="M240" s="15" t="str">
        <f>Price!B240</f>
        <v>T60L1125W</v>
      </c>
      <c r="N240" s="15" t="str">
        <f>Price!C240</f>
        <v>S</v>
      </c>
      <c r="O240" s="537">
        <f>Price!D240</f>
        <v>0</v>
      </c>
      <c r="P240" s="16"/>
      <c r="Q240" s="17">
        <f>Price!F240</f>
        <v>3.75244</v>
      </c>
      <c r="R240" s="323"/>
      <c r="S240" s="323"/>
      <c r="T240" s="12">
        <f>Price!G240</f>
        <v>2101757</v>
      </c>
      <c r="U240" s="257">
        <f>Price!H240</f>
        <v>282277</v>
      </c>
      <c r="V240" s="13"/>
      <c r="W240" s="13"/>
      <c r="X240" s="19"/>
      <c r="Y240" s="19"/>
    </row>
    <row r="241" spans="1:25" x14ac:dyDescent="0.35">
      <c r="A241" s="57"/>
      <c r="B241" s="162"/>
      <c r="C241" s="162"/>
      <c r="D241" s="540"/>
      <c r="E241" s="77"/>
      <c r="F241" s="64"/>
      <c r="G241" s="64"/>
      <c r="H241" s="64"/>
      <c r="I241" s="64"/>
      <c r="J241" s="64"/>
      <c r="K241" s="20"/>
      <c r="L241" s="60">
        <f>Price!A241</f>
        <v>0</v>
      </c>
      <c r="M241" s="15">
        <f>Price!B241</f>
        <v>0</v>
      </c>
      <c r="N241" s="15">
        <f>Price!C241</f>
        <v>0</v>
      </c>
      <c r="O241" s="537">
        <f>Price!D241</f>
        <v>0</v>
      </c>
      <c r="P241" s="16"/>
      <c r="Q241" s="17">
        <f>Price!F241</f>
        <v>0</v>
      </c>
      <c r="R241" s="323"/>
      <c r="S241" s="323"/>
      <c r="T241" s="12">
        <f>Price!G241</f>
        <v>0</v>
      </c>
      <c r="U241" s="257">
        <f>Price!H241</f>
        <v>0</v>
      </c>
      <c r="V241" s="13"/>
      <c r="W241" s="13"/>
      <c r="X241" s="19"/>
      <c r="Y241" s="19"/>
    </row>
    <row r="242" spans="1:25" x14ac:dyDescent="0.35">
      <c r="A242" s="57"/>
      <c r="B242" s="162"/>
      <c r="C242" s="162"/>
      <c r="D242" s="540"/>
      <c r="E242" s="77"/>
      <c r="F242" s="64"/>
      <c r="G242" s="64"/>
      <c r="H242" s="64"/>
      <c r="I242" s="64"/>
      <c r="J242" s="64"/>
      <c r="K242" s="61"/>
      <c r="L242" s="60">
        <f>Price!A242</f>
        <v>0</v>
      </c>
      <c r="M242" s="15">
        <f>Price!B242</f>
        <v>0</v>
      </c>
      <c r="N242" s="15">
        <f>Price!C242</f>
        <v>0</v>
      </c>
      <c r="O242" s="537">
        <f>Price!D242</f>
        <v>0</v>
      </c>
      <c r="P242" s="16"/>
      <c r="Q242" s="17">
        <f>Price!F242</f>
        <v>0</v>
      </c>
      <c r="R242" s="323"/>
      <c r="S242" s="323"/>
      <c r="T242" s="12">
        <f>Price!G242</f>
        <v>0</v>
      </c>
      <c r="U242" s="257">
        <f>Price!H242</f>
        <v>0</v>
      </c>
      <c r="V242" s="13"/>
      <c r="W242" s="13"/>
      <c r="X242" s="19"/>
      <c r="Y242" s="19"/>
    </row>
    <row r="243" spans="1:25" x14ac:dyDescent="0.35">
      <c r="A243" s="57"/>
      <c r="B243" s="162"/>
      <c r="C243" s="162"/>
      <c r="D243" s="540"/>
      <c r="E243" s="77"/>
      <c r="F243" s="64"/>
      <c r="G243" s="64"/>
      <c r="H243" s="64"/>
      <c r="I243" s="64"/>
      <c r="J243" s="64"/>
      <c r="K243" s="20"/>
      <c r="L243" s="60">
        <f>Price!A243</f>
        <v>0</v>
      </c>
      <c r="M243" s="15">
        <f>Price!B243</f>
        <v>0</v>
      </c>
      <c r="N243" s="15">
        <f>Price!C243</f>
        <v>0</v>
      </c>
      <c r="O243" s="537">
        <f>Price!D243</f>
        <v>0</v>
      </c>
      <c r="P243" s="16"/>
      <c r="Q243" s="17">
        <f>Price!F243</f>
        <v>0</v>
      </c>
      <c r="R243" s="323"/>
      <c r="S243" s="323"/>
      <c r="T243" s="12">
        <f>Price!G243</f>
        <v>0</v>
      </c>
      <c r="U243" s="257">
        <f>Price!H243</f>
        <v>0</v>
      </c>
      <c r="V243" s="13"/>
      <c r="W243" s="13"/>
      <c r="X243" s="19"/>
      <c r="Y243" s="19"/>
    </row>
    <row r="244" spans="1:25" x14ac:dyDescent="0.35">
      <c r="A244" s="57"/>
      <c r="B244" s="162"/>
      <c r="C244" s="162"/>
      <c r="D244" s="540"/>
      <c r="E244" s="77"/>
      <c r="F244" s="64"/>
      <c r="G244" s="64"/>
      <c r="H244" s="64"/>
      <c r="I244" s="64"/>
      <c r="J244" s="64"/>
      <c r="K244" s="20"/>
      <c r="L244" s="60">
        <f>Price!A244</f>
        <v>0</v>
      </c>
      <c r="M244" s="15">
        <f>Price!B244</f>
        <v>0</v>
      </c>
      <c r="N244" s="15">
        <f>Price!C244</f>
        <v>0</v>
      </c>
      <c r="O244" s="537">
        <f>Price!D244</f>
        <v>0</v>
      </c>
      <c r="P244" s="16"/>
      <c r="Q244" s="17">
        <f>Price!F244</f>
        <v>0</v>
      </c>
      <c r="R244" s="323"/>
      <c r="S244" s="323"/>
      <c r="T244" s="12">
        <f>Price!G244</f>
        <v>0</v>
      </c>
      <c r="U244" s="257">
        <f>Price!H244</f>
        <v>0</v>
      </c>
      <c r="V244" s="13"/>
      <c r="W244" s="13"/>
      <c r="X244" s="19"/>
      <c r="Y244" s="19"/>
    </row>
    <row r="245" spans="1:25" x14ac:dyDescent="0.35">
      <c r="A245" s="57"/>
      <c r="B245" s="162"/>
      <c r="C245" s="162"/>
      <c r="D245" s="540"/>
      <c r="E245" s="77"/>
      <c r="F245" s="64"/>
      <c r="G245" s="64"/>
      <c r="H245" s="64"/>
      <c r="I245" s="64"/>
      <c r="J245" s="64"/>
      <c r="K245" s="20"/>
      <c r="L245" s="60">
        <f>Price!A245</f>
        <v>0</v>
      </c>
      <c r="M245" s="15">
        <f>Price!B245</f>
        <v>0</v>
      </c>
      <c r="N245" s="15">
        <f>Price!C245</f>
        <v>0</v>
      </c>
      <c r="O245" s="537">
        <f>Price!D245</f>
        <v>0</v>
      </c>
      <c r="P245" s="16"/>
      <c r="Q245" s="17">
        <f>Price!F245</f>
        <v>0</v>
      </c>
      <c r="R245" s="323"/>
      <c r="S245" s="323"/>
      <c r="T245" s="12">
        <f>Price!G245</f>
        <v>0</v>
      </c>
      <c r="U245" s="257">
        <f>Price!H245</f>
        <v>0</v>
      </c>
      <c r="V245" s="13"/>
      <c r="W245" s="13"/>
      <c r="X245" s="19"/>
      <c r="Y245" s="19"/>
    </row>
    <row r="246" spans="1:25" x14ac:dyDescent="0.35">
      <c r="A246" s="57"/>
      <c r="B246" s="162"/>
      <c r="C246" s="162"/>
      <c r="D246" s="540"/>
      <c r="E246" s="77"/>
      <c r="F246" s="64"/>
      <c r="G246" s="64"/>
      <c r="H246" s="64"/>
      <c r="I246" s="64"/>
      <c r="J246" s="64"/>
      <c r="K246" s="20"/>
      <c r="L246" s="60" t="str">
        <f>Price!A246</f>
        <v xml:space="preserve">   Držáky zadní stěny</v>
      </c>
      <c r="M246" s="15">
        <f>Price!B246</f>
        <v>0</v>
      </c>
      <c r="N246" s="15">
        <f>Price!C246</f>
        <v>0</v>
      </c>
      <c r="O246" s="537">
        <f>Price!D246</f>
        <v>0</v>
      </c>
      <c r="P246" s="16"/>
      <c r="Q246" s="17">
        <f>Price!F246</f>
        <v>0</v>
      </c>
      <c r="R246" s="323"/>
      <c r="S246" s="323"/>
      <c r="T246" s="12">
        <f>Price!G246</f>
        <v>0</v>
      </c>
      <c r="U246" s="257">
        <f>Price!H246</f>
        <v>0</v>
      </c>
      <c r="V246" s="13"/>
      <c r="W246" s="13"/>
      <c r="X246" s="19"/>
      <c r="Y246" s="19"/>
    </row>
    <row r="247" spans="1:25" ht="15" thickBot="1" x14ac:dyDescent="0.4">
      <c r="A247" s="85" t="str">
        <f>IF($C$2=1,L247,IF($C$2=2,L248,IF($C$2=3,L249,IF($C$2=4,L250,"  chyba"))))</f>
        <v>Držáky zadní stěny N, Orion šedé</v>
      </c>
      <c r="B247" s="86" t="str">
        <f>IF($C$2=1,M247,IF($C$2=2,M248,IF($C$2=3,M249,IF($C$2=4,M250,"  chyba"))))</f>
        <v>ZB7N000S</v>
      </c>
      <c r="C247" s="86" t="str">
        <f>IF($C$2=1,N247,IF($C$2=2,N248,IF($C$2=3,N249,IF($C$2=4,N250,"  chyba"))))</f>
        <v>OG-M</v>
      </c>
      <c r="D247" s="86">
        <f>IF($C$2=1,O247,IF($C$2=2,O248,IF($C$2=3,O249,IF($C$2=4,O250,"  chyba"))))</f>
        <v>0</v>
      </c>
      <c r="E247" s="87"/>
      <c r="F247" s="88">
        <f>IF($C$2=1,Q247,IF($C$2=2,Q248,IF($C$2=3,Q249,IF($C$2=4,Q250,0))))*(100-$F$6)/100</f>
        <v>1.20011</v>
      </c>
      <c r="G247" s="64"/>
      <c r="H247" s="64"/>
      <c r="I247" s="171">
        <f>IF($C$2=1,T247,IF($C$2=2,T248,IF($C$2=3,T249,IF($C$2=4,T250,"  chyba"))))</f>
        <v>2948763</v>
      </c>
      <c r="J247" s="171">
        <f>IF($C$2=1,U247,IF($C$2=2,U248,IF($C$2=3,U249,IF($C$2=4,U250,"  chyba"))))</f>
        <v>227550</v>
      </c>
      <c r="K247" s="61"/>
      <c r="L247" s="60" t="str">
        <f>Price!A247</f>
        <v>Držáky zadní stěny N, Orion šedé</v>
      </c>
      <c r="M247" s="15" t="str">
        <f>Price!B247</f>
        <v>ZB7N000S</v>
      </c>
      <c r="N247" s="15" t="str">
        <f>Price!C247</f>
        <v>OG-M</v>
      </c>
      <c r="O247" s="537">
        <f>Price!D247</f>
        <v>0</v>
      </c>
      <c r="P247" s="16"/>
      <c r="Q247" s="17">
        <f>Price!F247</f>
        <v>1.20011</v>
      </c>
      <c r="R247" s="323"/>
      <c r="S247" s="323"/>
      <c r="T247" s="12">
        <f>Price!G247</f>
        <v>2948763</v>
      </c>
      <c r="U247" s="257">
        <f>Price!H247</f>
        <v>227550</v>
      </c>
      <c r="V247" s="13"/>
      <c r="W247" s="13"/>
      <c r="X247" s="19"/>
      <c r="Y247" s="19"/>
    </row>
    <row r="248" spans="1:25" x14ac:dyDescent="0.35">
      <c r="A248" s="80"/>
      <c r="B248" s="162"/>
      <c r="C248" s="162"/>
      <c r="D248" s="540"/>
      <c r="E248" s="82"/>
      <c r="F248" s="64"/>
      <c r="G248" s="64"/>
      <c r="H248" s="64"/>
      <c r="I248" s="162"/>
      <c r="J248" s="162"/>
      <c r="K248" s="62"/>
      <c r="L248" s="60" t="str">
        <f>Price!A248</f>
        <v>Držáky zadní stěny N, hedvábně bílé</v>
      </c>
      <c r="M248" s="15" t="str">
        <f>Price!B248</f>
        <v>ZB7N000S</v>
      </c>
      <c r="N248" s="15" t="str">
        <f>Price!C248</f>
        <v>SW-M</v>
      </c>
      <c r="O248" s="537">
        <f>Price!D248</f>
        <v>0</v>
      </c>
      <c r="P248" s="16"/>
      <c r="Q248" s="17">
        <f>Price!F248</f>
        <v>1.20011</v>
      </c>
      <c r="R248" s="323"/>
      <c r="S248" s="323"/>
      <c r="T248" s="12">
        <f>Price!G248</f>
        <v>2454505</v>
      </c>
      <c r="U248" s="257">
        <f>Price!H248</f>
        <v>227549</v>
      </c>
      <c r="V248" s="13"/>
      <c r="W248" s="13"/>
      <c r="X248" s="19"/>
      <c r="Y248" s="19"/>
    </row>
    <row r="249" spans="1:25" x14ac:dyDescent="0.35">
      <c r="A249" s="57"/>
      <c r="B249" s="162"/>
      <c r="C249" s="162"/>
      <c r="D249" s="540"/>
      <c r="E249" s="82"/>
      <c r="F249" s="64"/>
      <c r="G249" s="64"/>
      <c r="H249" s="64"/>
      <c r="I249" s="162"/>
      <c r="J249" s="162"/>
      <c r="K249" s="62"/>
      <c r="L249" s="60" t="str">
        <f>Price!A249</f>
        <v>Držáky zadní stěny N, černé Terra</v>
      </c>
      <c r="M249" s="15" t="str">
        <f>Price!B249</f>
        <v>ZB7N000S</v>
      </c>
      <c r="N249" s="15" t="str">
        <f>Price!C249</f>
        <v>TS-M</v>
      </c>
      <c r="O249" s="537">
        <f>Price!D249</f>
        <v>0</v>
      </c>
      <c r="P249" s="16"/>
      <c r="Q249" s="17">
        <f>Price!F249</f>
        <v>1.20011</v>
      </c>
      <c r="R249" s="323"/>
      <c r="S249" s="323"/>
      <c r="T249" s="12">
        <f>Price!G249</f>
        <v>1308438</v>
      </c>
      <c r="U249" s="257">
        <f>Price!H249</f>
        <v>227551</v>
      </c>
      <c r="V249" s="13"/>
      <c r="W249" s="13"/>
      <c r="X249" s="19"/>
      <c r="Y249" s="19"/>
    </row>
    <row r="250" spans="1:25" x14ac:dyDescent="0.35">
      <c r="A250" s="57"/>
      <c r="B250" s="162"/>
      <c r="C250" s="162"/>
      <c r="D250" s="540"/>
      <c r="E250" s="82"/>
      <c r="F250" s="64"/>
      <c r="G250" s="64"/>
      <c r="H250" s="64"/>
      <c r="I250" s="162"/>
      <c r="J250" s="162"/>
      <c r="K250" s="62"/>
      <c r="L250" s="60" t="str">
        <f>Price!A250</f>
        <v>Držáky zadní stěny N, niklované</v>
      </c>
      <c r="M250" s="15" t="str">
        <f>Price!B250</f>
        <v>ZB7N000S</v>
      </c>
      <c r="N250" s="15" t="str">
        <f>Price!C250</f>
        <v>NI</v>
      </c>
      <c r="O250" s="537" t="str">
        <f>Price!D250</f>
        <v>!</v>
      </c>
      <c r="P250" s="16"/>
      <c r="Q250" s="17">
        <f>Price!F250</f>
        <v>2.3028499999999998</v>
      </c>
      <c r="R250" s="323"/>
      <c r="S250" s="323"/>
      <c r="T250" s="12">
        <f>Price!G250</f>
        <v>3134862</v>
      </c>
      <c r="U250" s="257">
        <f>Price!H250</f>
        <v>227552</v>
      </c>
      <c r="V250" s="13"/>
      <c r="W250" s="13"/>
      <c r="X250" s="19"/>
      <c r="Y250" s="19"/>
    </row>
    <row r="251" spans="1:25" ht="15" thickBot="1" x14ac:dyDescent="0.4">
      <c r="A251" s="85" t="str">
        <f>IF($C$2=1,L251,IF($C$2=2,L252,IF($C$2=3,L253,IF($C$2=4,L254,"  chyba"))))</f>
        <v>Držáky zadní stěny M, Orion šedé</v>
      </c>
      <c r="B251" s="86" t="str">
        <f>IF($C$2=1,M251,IF($C$2=2,M252,IF($C$2=3,M253,IF($C$2=4,M254,"  chyba"))))</f>
        <v>ZB7M000S</v>
      </c>
      <c r="C251" s="86" t="str">
        <f>IF($C$2=1,N251,IF($C$2=2,N252,IF($C$2=3,N253,IF($C$2=4,N254,"  chyba"))))</f>
        <v>OG-M</v>
      </c>
      <c r="D251" s="86">
        <f>IF($C$2=1,O251,IF($C$2=2,O252,IF($C$2=3,O253,IF($C$2=4,O254,"  chyba"))))</f>
        <v>0</v>
      </c>
      <c r="E251" s="87"/>
      <c r="F251" s="88">
        <f>IF($C$2=1,Q251,IF($C$2=2,Q252,IF($C$2=3,Q253,IF($C$2=4,Q254,0))))*(100-$F$6)/100</f>
        <v>1.20011</v>
      </c>
      <c r="G251" s="64"/>
      <c r="H251" s="64"/>
      <c r="I251" s="171">
        <f>IF($C$2=1,T251,IF($C$2=2,T252,IF($C$2=3,T253,IF($C$2=4,T254,"  chyba"))))</f>
        <v>6440820</v>
      </c>
      <c r="J251" s="171">
        <f>IF($C$2=1,U251,IF($C$2=2,U252,IF($C$2=3,U253,IF($C$2=4,U254,"  chyba"))))</f>
        <v>227554</v>
      </c>
      <c r="K251" s="62"/>
      <c r="L251" s="60" t="str">
        <f>Price!A251</f>
        <v>Držáky zadní stěny M, Orion šedé</v>
      </c>
      <c r="M251" s="15" t="str">
        <f>Price!B251</f>
        <v>ZB7M000S</v>
      </c>
      <c r="N251" s="15" t="str">
        <f>Price!C251</f>
        <v>OG-M</v>
      </c>
      <c r="O251" s="537">
        <f>Price!D251</f>
        <v>0</v>
      </c>
      <c r="P251" s="16"/>
      <c r="Q251" s="17">
        <f>Price!F251</f>
        <v>1.20011</v>
      </c>
      <c r="R251" s="323"/>
      <c r="S251" s="323"/>
      <c r="T251" s="12">
        <f>Price!G251</f>
        <v>6440820</v>
      </c>
      <c r="U251" s="257">
        <f>Price!H251</f>
        <v>227554</v>
      </c>
      <c r="V251" s="13"/>
      <c r="W251" s="13"/>
      <c r="X251" s="19"/>
      <c r="Y251" s="19"/>
    </row>
    <row r="252" spans="1:25" x14ac:dyDescent="0.35">
      <c r="A252" s="78"/>
      <c r="B252" s="163"/>
      <c r="C252" s="163"/>
      <c r="D252" s="541"/>
      <c r="E252" s="77"/>
      <c r="F252" s="66"/>
      <c r="G252" s="66"/>
      <c r="H252" s="66"/>
      <c r="I252" s="163"/>
      <c r="J252" s="163"/>
      <c r="K252" s="62"/>
      <c r="L252" s="60" t="str">
        <f>Price!A252</f>
        <v>Držáky zadní stěny M, hedvábně bílé</v>
      </c>
      <c r="M252" s="15" t="str">
        <f>Price!B252</f>
        <v>ZB7M000S</v>
      </c>
      <c r="N252" s="15" t="str">
        <f>Price!C252</f>
        <v>SW-M</v>
      </c>
      <c r="O252" s="537">
        <f>Price!D252</f>
        <v>0</v>
      </c>
      <c r="P252" s="16"/>
      <c r="Q252" s="17">
        <f>Price!F252</f>
        <v>1.1359300000000001</v>
      </c>
      <c r="R252" s="323"/>
      <c r="S252" s="323"/>
      <c r="T252" s="12">
        <f>Price!G252</f>
        <v>5456308</v>
      </c>
      <c r="U252" s="257">
        <f>Price!H252</f>
        <v>227553</v>
      </c>
      <c r="V252" s="13"/>
      <c r="W252" s="13"/>
      <c r="X252" s="19"/>
      <c r="Y252" s="19"/>
    </row>
    <row r="253" spans="1:25" x14ac:dyDescent="0.35">
      <c r="A253" s="57"/>
      <c r="B253" s="162"/>
      <c r="C253" s="162"/>
      <c r="D253" s="540"/>
      <c r="E253" s="82"/>
      <c r="F253" s="64"/>
      <c r="G253" s="64"/>
      <c r="H253" s="64"/>
      <c r="I253" s="162"/>
      <c r="J253" s="162"/>
      <c r="K253" s="62"/>
      <c r="L253" s="60" t="str">
        <f>Price!A253</f>
        <v>Držáky zadní stěny M, černé Terra</v>
      </c>
      <c r="M253" s="15" t="str">
        <f>Price!B253</f>
        <v>ZB7M000S</v>
      </c>
      <c r="N253" s="15" t="str">
        <f>Price!C253</f>
        <v>TS-M</v>
      </c>
      <c r="O253" s="537">
        <f>Price!D253</f>
        <v>0</v>
      </c>
      <c r="P253" s="16"/>
      <c r="Q253" s="17">
        <f>Price!F253</f>
        <v>1.20011</v>
      </c>
      <c r="R253" s="323"/>
      <c r="S253" s="323"/>
      <c r="T253" s="12">
        <f>Price!G253</f>
        <v>5453480</v>
      </c>
      <c r="U253" s="257">
        <f>Price!H253</f>
        <v>227555</v>
      </c>
      <c r="V253" s="13"/>
      <c r="W253" s="13"/>
      <c r="X253" s="19"/>
      <c r="Y253" s="19"/>
    </row>
    <row r="254" spans="1:25" x14ac:dyDescent="0.35">
      <c r="A254" s="57"/>
      <c r="B254" s="162"/>
      <c r="C254" s="162"/>
      <c r="D254" s="540"/>
      <c r="E254" s="82"/>
      <c r="F254" s="64"/>
      <c r="G254" s="64"/>
      <c r="H254" s="64"/>
      <c r="I254" s="162"/>
      <c r="J254" s="162"/>
      <c r="K254" s="62"/>
      <c r="L254" s="60" t="str">
        <f>Price!A254</f>
        <v>Držáky zadní stěny M, niklované</v>
      </c>
      <c r="M254" s="15" t="str">
        <f>Price!B254</f>
        <v>ZB7M000S</v>
      </c>
      <c r="N254" s="15" t="str">
        <f>Price!C254</f>
        <v>NI</v>
      </c>
      <c r="O254" s="537" t="str">
        <f>Price!D254</f>
        <v>!</v>
      </c>
      <c r="P254" s="16"/>
      <c r="Q254" s="17">
        <f>Price!F254</f>
        <v>2.3028499999999998</v>
      </c>
      <c r="R254" s="323"/>
      <c r="S254" s="323"/>
      <c r="T254" s="12">
        <f>Price!G254</f>
        <v>3272102</v>
      </c>
      <c r="U254" s="257">
        <f>Price!H254</f>
        <v>227556</v>
      </c>
      <c r="V254" s="13"/>
      <c r="W254" s="13"/>
      <c r="X254" s="19"/>
      <c r="Y254" s="19"/>
    </row>
    <row r="255" spans="1:25" ht="15" thickBot="1" x14ac:dyDescent="0.4">
      <c r="A255" s="85" t="str">
        <f>IF($C$2=1,L255,IF($C$2=2,L256,IF($C$2=3,L257,IF($C$2=4,L258,"  chyba"))))</f>
        <v>Držáky zadní stěny K, Orion šedé</v>
      </c>
      <c r="B255" s="86" t="str">
        <f>IF($C$2=1,M255,IF($C$2=2,M256,IF($C$2=3,M257,IF($C$2=4,M258,"  chyba"))))</f>
        <v>ZB7K000S</v>
      </c>
      <c r="C255" s="86" t="str">
        <f>IF($C$2=1,N255,IF($C$2=2,N256,IF($C$2=3,N257,IF($C$2=4,N258,"  chyba"))))</f>
        <v>OG-M</v>
      </c>
      <c r="D255" s="86">
        <f>IF($C$2=1,O255,IF($C$2=2,O256,IF($C$2=3,O257,IF($C$2=4,O258,"  chyba"))))</f>
        <v>0</v>
      </c>
      <c r="E255" s="87"/>
      <c r="F255" s="88">
        <f>IF($C$2=1,Q255,IF($C$2=2,Q256,IF($C$2=3,Q257,IF($C$2=4,Q258,0))))*(100-$F$6)/100</f>
        <v>1.4279500000000001</v>
      </c>
      <c r="G255" s="64"/>
      <c r="H255" s="64"/>
      <c r="I255" s="171">
        <f>IF($C$2=1,T255,IF($C$2=2,T256,IF($C$2=3,T257,IF($C$2=4,T258,"  chyba"))))</f>
        <v>1537116</v>
      </c>
      <c r="J255" s="171">
        <f>IF($C$2=1,U255,IF($C$2=2,U256,IF($C$2=3,U257,IF($C$2=4,U258,"  chyba"))))</f>
        <v>227558</v>
      </c>
      <c r="K255" s="62"/>
      <c r="L255" s="60" t="str">
        <f>Price!A255</f>
        <v>Držáky zadní stěny K, Orion šedé</v>
      </c>
      <c r="M255" s="15" t="str">
        <f>Price!B255</f>
        <v>ZB7K000S</v>
      </c>
      <c r="N255" s="15" t="str">
        <f>Price!C255</f>
        <v>OG-M</v>
      </c>
      <c r="O255" s="537">
        <f>Price!D255</f>
        <v>0</v>
      </c>
      <c r="P255" s="16"/>
      <c r="Q255" s="17">
        <f>Price!F255</f>
        <v>1.4279500000000001</v>
      </c>
      <c r="R255" s="323"/>
      <c r="S255" s="323"/>
      <c r="T255" s="12">
        <f>Price!G255</f>
        <v>1537116</v>
      </c>
      <c r="U255" s="257">
        <f>Price!H255</f>
        <v>227558</v>
      </c>
      <c r="V255" s="13"/>
      <c r="W255" s="13"/>
      <c r="X255" s="19"/>
      <c r="Y255" s="19"/>
    </row>
    <row r="256" spans="1:25" x14ac:dyDescent="0.35">
      <c r="A256" s="78"/>
      <c r="B256" s="163"/>
      <c r="C256" s="163"/>
      <c r="D256" s="541"/>
      <c r="E256" s="77"/>
      <c r="F256" s="66"/>
      <c r="G256" s="66"/>
      <c r="H256" s="66"/>
      <c r="I256" s="163"/>
      <c r="J256" s="163"/>
      <c r="K256" s="67"/>
      <c r="L256" s="60" t="str">
        <f>Price!A256</f>
        <v>Držáky zadní stěny K, hedvábně bílé</v>
      </c>
      <c r="M256" s="15" t="str">
        <f>Price!B256</f>
        <v>ZB7K000S</v>
      </c>
      <c r="N256" s="15" t="str">
        <f>Price!C256</f>
        <v>SW-M</v>
      </c>
      <c r="O256" s="537">
        <f>Price!D256</f>
        <v>0</v>
      </c>
      <c r="P256" s="16"/>
      <c r="Q256" s="17">
        <f>Price!F256</f>
        <v>1.4279500000000001</v>
      </c>
      <c r="R256" s="323"/>
      <c r="S256" s="323"/>
      <c r="T256" s="12">
        <f>Price!G256</f>
        <v>4507006</v>
      </c>
      <c r="U256" s="257">
        <f>Price!H256</f>
        <v>227557</v>
      </c>
      <c r="V256" s="13"/>
      <c r="W256" s="13"/>
      <c r="X256" s="19"/>
      <c r="Y256" s="19"/>
    </row>
    <row r="257" spans="1:25" x14ac:dyDescent="0.35">
      <c r="A257" s="57"/>
      <c r="B257" s="162"/>
      <c r="C257" s="162"/>
      <c r="D257" s="540"/>
      <c r="E257" s="82"/>
      <c r="F257" s="64"/>
      <c r="G257" s="64"/>
      <c r="H257" s="64"/>
      <c r="I257" s="162"/>
      <c r="J257" s="162"/>
      <c r="K257" s="67"/>
      <c r="L257" s="60" t="str">
        <f>Price!A257</f>
        <v>Držáky zadní stěny K, černé Terra</v>
      </c>
      <c r="M257" s="15" t="str">
        <f>Price!B257</f>
        <v>ZB7K000S</v>
      </c>
      <c r="N257" s="15" t="str">
        <f>Price!C257</f>
        <v>TS-M</v>
      </c>
      <c r="O257" s="537">
        <f>Price!D257</f>
        <v>0</v>
      </c>
      <c r="P257" s="16"/>
      <c r="Q257" s="17">
        <f>Price!F257</f>
        <v>1.4279500000000001</v>
      </c>
      <c r="R257" s="323"/>
      <c r="S257" s="323"/>
      <c r="T257" s="12">
        <f>Price!G257</f>
        <v>8793091</v>
      </c>
      <c r="U257" s="257">
        <f>Price!H257</f>
        <v>227559</v>
      </c>
      <c r="V257" s="13"/>
      <c r="W257" s="13"/>
      <c r="X257" s="19"/>
      <c r="Y257" s="19"/>
    </row>
    <row r="258" spans="1:25" x14ac:dyDescent="0.35">
      <c r="A258" s="57"/>
      <c r="B258" s="162"/>
      <c r="C258" s="162"/>
      <c r="D258" s="540"/>
      <c r="E258" s="82"/>
      <c r="F258" s="64"/>
      <c r="G258" s="64"/>
      <c r="H258" s="64"/>
      <c r="I258" s="162"/>
      <c r="J258" s="162"/>
      <c r="K258" s="67"/>
      <c r="L258" s="60" t="str">
        <f>Price!A258</f>
        <v>Držáky zadní stěny K, niklované</v>
      </c>
      <c r="M258" s="15" t="str">
        <f>Price!B258</f>
        <v>ZB7K000S</v>
      </c>
      <c r="N258" s="15" t="str">
        <f>Price!C258</f>
        <v>NI</v>
      </c>
      <c r="O258" s="537" t="str">
        <f>Price!D258</f>
        <v>!</v>
      </c>
      <c r="P258" s="16"/>
      <c r="Q258" s="17">
        <f>Price!F258</f>
        <v>4.1139999999999999</v>
      </c>
      <c r="R258" s="323"/>
      <c r="S258" s="323"/>
      <c r="T258" s="12">
        <f>Price!G258</f>
        <v>4599324</v>
      </c>
      <c r="U258" s="257">
        <f>Price!H258</f>
        <v>227560</v>
      </c>
      <c r="V258" s="13"/>
      <c r="W258" s="13"/>
      <c r="X258" s="19"/>
      <c r="Y258" s="19"/>
    </row>
    <row r="259" spans="1:25" ht="15" thickBot="1" x14ac:dyDescent="0.4">
      <c r="A259" s="85" t="str">
        <f>IF($C$2=1,L259,IF($C$2=2,L260,IF($C$2=3,L261,IF($C$2=4,L262,"  chyba"))))</f>
        <v>Držáky zadní stěny C, Orion šedé</v>
      </c>
      <c r="B259" s="86" t="str">
        <f>IF($C$2=1,M259,IF($C$2=2,M260,IF($C$2=3,M261,IF($C$2=4,M262,"  chyba"))))</f>
        <v>ZB7C000S</v>
      </c>
      <c r="C259" s="86" t="str">
        <f>IF($C$2=1,N259,IF($C$2=2,N260,IF($C$2=3,N261,IF($C$2=4,N262,"  chyba"))))</f>
        <v>OG-M</v>
      </c>
      <c r="D259" s="86">
        <f>IF($C$2=1,O259,IF($C$2=2,O260,IF($C$2=3,O261,IF($C$2=4,O262,"  chyba"))))</f>
        <v>0</v>
      </c>
      <c r="E259" s="87"/>
      <c r="F259" s="88">
        <f>IF($C$2=1,Q259,IF($C$2=2,Q260,IF($C$2=3,Q261,IF($C$2=4,Q262,0))))*(100-$F$6)/100</f>
        <v>1.59894</v>
      </c>
      <c r="G259" s="64"/>
      <c r="H259" s="64"/>
      <c r="I259" s="171">
        <f>IF($C$2=1,T259,IF($C$2=2,T260,IF($C$2=3,T261,IF($C$2=4,T262,"  chyba"))))</f>
        <v>4160461</v>
      </c>
      <c r="J259" s="171">
        <f>IF($C$2=1,U259,IF($C$2=2,U260,IF($C$2=3,U261,IF($C$2=4,U262,"  chyba"))))</f>
        <v>227562</v>
      </c>
      <c r="K259" s="67"/>
      <c r="L259" s="60" t="str">
        <f>Price!A259</f>
        <v>Držáky zadní stěny C, Orion šedé</v>
      </c>
      <c r="M259" s="15" t="str">
        <f>Price!B259</f>
        <v>ZB7C000S</v>
      </c>
      <c r="N259" s="15" t="str">
        <f>Price!C259</f>
        <v>OG-M</v>
      </c>
      <c r="O259" s="537">
        <f>Price!D259</f>
        <v>0</v>
      </c>
      <c r="P259" s="16"/>
      <c r="Q259" s="17">
        <f>Price!F259</f>
        <v>1.59894</v>
      </c>
      <c r="R259" s="323"/>
      <c r="S259" s="323"/>
      <c r="T259" s="12">
        <f>Price!G259</f>
        <v>4160461</v>
      </c>
      <c r="U259" s="257">
        <f>Price!H259</f>
        <v>227562</v>
      </c>
      <c r="V259" s="13"/>
      <c r="W259" s="13"/>
      <c r="X259" s="19"/>
      <c r="Y259" s="19"/>
    </row>
    <row r="260" spans="1:25" x14ac:dyDescent="0.35">
      <c r="A260" s="78"/>
      <c r="B260" s="163"/>
      <c r="C260" s="163"/>
      <c r="D260" s="541"/>
      <c r="E260" s="77"/>
      <c r="F260" s="66"/>
      <c r="G260" s="66"/>
      <c r="H260" s="66"/>
      <c r="I260" s="163"/>
      <c r="J260" s="163"/>
      <c r="K260" s="62"/>
      <c r="L260" s="60" t="str">
        <f>Price!A260</f>
        <v>Držáky zadní stěny C, hedvábně bílé</v>
      </c>
      <c r="M260" s="15" t="str">
        <f>Price!B260</f>
        <v>ZB7C000S</v>
      </c>
      <c r="N260" s="15" t="str">
        <f>Price!C260</f>
        <v>SW-M</v>
      </c>
      <c r="O260" s="537">
        <f>Price!D260</f>
        <v>0</v>
      </c>
      <c r="P260" s="16"/>
      <c r="Q260" s="17">
        <f>Price!F260</f>
        <v>1.5134399999999999</v>
      </c>
      <c r="R260" s="323"/>
      <c r="S260" s="323"/>
      <c r="T260" s="12">
        <f>Price!G260</f>
        <v>9078516</v>
      </c>
      <c r="U260" s="257">
        <f>Price!H260</f>
        <v>227561</v>
      </c>
      <c r="V260" s="13"/>
      <c r="W260" s="13"/>
      <c r="X260" s="19"/>
      <c r="Y260" s="19"/>
    </row>
    <row r="261" spans="1:25" x14ac:dyDescent="0.35">
      <c r="A261" s="57"/>
      <c r="B261" s="162"/>
      <c r="C261" s="162"/>
      <c r="D261" s="540"/>
      <c r="E261" s="82"/>
      <c r="F261" s="64"/>
      <c r="G261" s="64"/>
      <c r="H261" s="64"/>
      <c r="I261" s="162"/>
      <c r="J261" s="162"/>
      <c r="K261" s="68"/>
      <c r="L261" s="60" t="str">
        <f>Price!A261</f>
        <v>Držáky zadní stěny C, černé Terra</v>
      </c>
      <c r="M261" s="15" t="str">
        <f>Price!B261</f>
        <v>ZB7C000S</v>
      </c>
      <c r="N261" s="15" t="str">
        <f>Price!C261</f>
        <v>TS-M</v>
      </c>
      <c r="O261" s="537">
        <f>Price!D261</f>
        <v>0</v>
      </c>
      <c r="P261" s="16"/>
      <c r="Q261" s="17">
        <f>Price!F261</f>
        <v>1.59894</v>
      </c>
      <c r="R261" s="323"/>
      <c r="S261" s="323"/>
      <c r="T261" s="12">
        <f>Price!G261</f>
        <v>9976616</v>
      </c>
      <c r="U261" s="257">
        <f>Price!H261</f>
        <v>227563</v>
      </c>
      <c r="V261" s="13"/>
      <c r="W261" s="13"/>
      <c r="X261" s="19"/>
      <c r="Y261" s="19"/>
    </row>
    <row r="262" spans="1:25" x14ac:dyDescent="0.35">
      <c r="A262" s="57"/>
      <c r="B262" s="162"/>
      <c r="C262" s="162"/>
      <c r="D262" s="540"/>
      <c r="E262" s="82"/>
      <c r="F262" s="64"/>
      <c r="G262" s="64"/>
      <c r="H262" s="64"/>
      <c r="I262" s="162"/>
      <c r="J262" s="162"/>
      <c r="K262" s="68"/>
      <c r="L262" s="60" t="str">
        <f>Price!A262</f>
        <v>Držáky zadní stěny C, niklované</v>
      </c>
      <c r="M262" s="15" t="str">
        <f>Price!B262</f>
        <v>ZB7C000S</v>
      </c>
      <c r="N262" s="15" t="str">
        <f>Price!C262</f>
        <v>NI</v>
      </c>
      <c r="O262" s="537" t="str">
        <f>Price!D262</f>
        <v>!</v>
      </c>
      <c r="P262" s="16"/>
      <c r="Q262" s="17">
        <f>Price!F262</f>
        <v>4.6631099999999996</v>
      </c>
      <c r="R262" s="323"/>
      <c r="S262" s="323"/>
      <c r="T262" s="12">
        <f>Price!G262</f>
        <v>1955343</v>
      </c>
      <c r="U262" s="257">
        <f>Price!H262</f>
        <v>227564</v>
      </c>
      <c r="V262" s="13"/>
      <c r="W262" s="13"/>
      <c r="X262" s="19"/>
      <c r="Y262" s="19"/>
    </row>
    <row r="263" spans="1:25" ht="15" thickBot="1" x14ac:dyDescent="0.4">
      <c r="A263" s="85" t="str">
        <f>IF($C$2=1,L263,IF($C$2=2,L264,IF($C$2=3,L265,IF($C$2=4,L266,"  chyba"))))</f>
        <v>Držáky zadní stěny F, Orion šedé</v>
      </c>
      <c r="B263" s="86" t="str">
        <f>IF($C$2=1,M263,IF($C$2=2,M264,IF($C$2=3,M265,IF($C$2=4,M266,"  chyba"))))</f>
        <v>ZB7F000S</v>
      </c>
      <c r="C263" s="86" t="str">
        <f>IF($C$2=1,N263,IF($C$2=2,N264,IF($C$2=3,N265,IF($C$2=4,N266,"  chyba"))))</f>
        <v>OG-M</v>
      </c>
      <c r="D263" s="86">
        <f>IF($C$2=1,O263,IF($C$2=2,O264,IF($C$2=3,O265,IF($C$2=4,O266,"  chyba"))))</f>
        <v>0</v>
      </c>
      <c r="E263" s="87"/>
      <c r="F263" s="88">
        <f>IF($C$2=1,Q263,IF($C$2=2,Q264,IF($C$2=3,Q265,IF($C$2=4,Q266,0))))*(100-$F$6)/100</f>
        <v>3.3417300000000001</v>
      </c>
      <c r="G263" s="64"/>
      <c r="H263" s="64"/>
      <c r="I263" s="171">
        <f>IF($C$2=1,T263,IF($C$2=2,T264,IF($C$2=3,T265,IF($C$2=4,T266,"  chyba"))))</f>
        <v>7246986</v>
      </c>
      <c r="J263" s="171">
        <f>IF($C$2=1,U263,IF($C$2=2,U264,IF($C$2=3,U265,IF($C$2=4,U266,"  chyba"))))</f>
        <v>227566</v>
      </c>
      <c r="K263" s="68"/>
      <c r="L263" s="60" t="str">
        <f>Price!A263</f>
        <v>Držáky zadní stěny F, Orion šedé</v>
      </c>
      <c r="M263" s="15" t="str">
        <f>Price!B263</f>
        <v>ZB7F000S</v>
      </c>
      <c r="N263" s="15" t="str">
        <f>Price!C263</f>
        <v>OG-M</v>
      </c>
      <c r="O263" s="537">
        <f>Price!D263</f>
        <v>0</v>
      </c>
      <c r="P263" s="16"/>
      <c r="Q263" s="17">
        <f>Price!F263</f>
        <v>3.3417300000000001</v>
      </c>
      <c r="R263" s="323"/>
      <c r="S263" s="323"/>
      <c r="T263" s="12">
        <f>Price!G263</f>
        <v>7246986</v>
      </c>
      <c r="U263" s="257">
        <f>Price!H263</f>
        <v>227566</v>
      </c>
      <c r="V263" s="13"/>
      <c r="W263" s="13"/>
      <c r="X263" s="19"/>
      <c r="Y263" s="19"/>
    </row>
    <row r="264" spans="1:25" x14ac:dyDescent="0.35">
      <c r="A264" s="78"/>
      <c r="B264" s="163"/>
      <c r="C264" s="163"/>
      <c r="D264" s="541"/>
      <c r="E264" s="77"/>
      <c r="F264" s="66"/>
      <c r="G264" s="66"/>
      <c r="H264" s="66"/>
      <c r="I264" s="163"/>
      <c r="J264" s="163"/>
      <c r="K264" s="68"/>
      <c r="L264" s="60" t="str">
        <f>Price!A264</f>
        <v>Držáky zadní stěny F, hedvábně bílé</v>
      </c>
      <c r="M264" s="15" t="str">
        <f>Price!B264</f>
        <v>ZB7F000S</v>
      </c>
      <c r="N264" s="15" t="str">
        <f>Price!C264</f>
        <v>SW-M</v>
      </c>
      <c r="O264" s="537">
        <f>Price!D264</f>
        <v>0</v>
      </c>
      <c r="P264" s="16"/>
      <c r="Q264" s="17">
        <f>Price!F264</f>
        <v>3.3417300000000001</v>
      </c>
      <c r="R264" s="323"/>
      <c r="S264" s="323"/>
      <c r="T264" s="12">
        <f>Price!G264</f>
        <v>6274922</v>
      </c>
      <c r="U264" s="257">
        <f>Price!H264</f>
        <v>227565</v>
      </c>
      <c r="V264" s="13"/>
      <c r="W264" s="13"/>
      <c r="X264" s="19"/>
      <c r="Y264" s="19"/>
    </row>
    <row r="265" spans="1:25" x14ac:dyDescent="0.35">
      <c r="A265" s="57"/>
      <c r="B265" s="162"/>
      <c r="C265" s="162"/>
      <c r="D265" s="540"/>
      <c r="E265" s="82"/>
      <c r="F265" s="64"/>
      <c r="G265" s="64"/>
      <c r="H265" s="64"/>
      <c r="I265" s="162"/>
      <c r="J265" s="162"/>
      <c r="K265" s="68"/>
      <c r="L265" s="60" t="str">
        <f>Price!A265</f>
        <v>Držáky zadní stěny F, černé Terra</v>
      </c>
      <c r="M265" s="15" t="str">
        <f>Price!B265</f>
        <v>ZB7F000S</v>
      </c>
      <c r="N265" s="15" t="str">
        <f>Price!C265</f>
        <v>TS-M</v>
      </c>
      <c r="O265" s="537">
        <f>Price!D265</f>
        <v>0</v>
      </c>
      <c r="P265" s="16"/>
      <c r="Q265" s="17">
        <f>Price!F265</f>
        <v>3.3417300000000001</v>
      </c>
      <c r="R265" s="323"/>
      <c r="S265" s="323"/>
      <c r="T265" s="12">
        <f>Price!G265</f>
        <v>8016671</v>
      </c>
      <c r="U265" s="257">
        <f>Price!H265</f>
        <v>227567</v>
      </c>
      <c r="V265" s="13"/>
      <c r="W265" s="13"/>
      <c r="X265" s="19"/>
      <c r="Y265" s="19"/>
    </row>
    <row r="266" spans="1:25" x14ac:dyDescent="0.35">
      <c r="A266" s="76"/>
      <c r="B266" s="162"/>
      <c r="C266" s="162"/>
      <c r="D266" s="540"/>
      <c r="E266" s="77"/>
      <c r="F266" s="64"/>
      <c r="G266" s="64"/>
      <c r="H266" s="64"/>
      <c r="I266" s="175"/>
      <c r="J266" s="175"/>
      <c r="K266" s="61"/>
      <c r="L266" s="60" t="str">
        <f>Price!A266</f>
        <v>Držáky zadní stěny F, niklované</v>
      </c>
      <c r="M266" s="15" t="str">
        <f>Price!B266</f>
        <v>ZB7F000S</v>
      </c>
      <c r="N266" s="15" t="str">
        <f>Price!C266</f>
        <v>NI</v>
      </c>
      <c r="O266" s="537" t="str">
        <f>Price!D266</f>
        <v>!</v>
      </c>
      <c r="P266" s="16"/>
      <c r="Q266" s="17">
        <f>Price!F266</f>
        <v>6.8045600000000004</v>
      </c>
      <c r="R266" s="323"/>
      <c r="S266" s="323"/>
      <c r="T266" s="12">
        <f>Price!G266</f>
        <v>1665209</v>
      </c>
      <c r="U266" s="257">
        <f>Price!H266</f>
        <v>227568</v>
      </c>
      <c r="V266" s="13"/>
      <c r="W266" s="13"/>
      <c r="X266" s="19"/>
      <c r="Y266" s="19"/>
    </row>
    <row r="267" spans="1:25" x14ac:dyDescent="0.35">
      <c r="A267" s="78"/>
      <c r="B267" s="163"/>
      <c r="C267" s="163"/>
      <c r="D267" s="541"/>
      <c r="E267" s="77"/>
      <c r="F267" s="66"/>
      <c r="G267" s="66"/>
      <c r="H267" s="66"/>
      <c r="I267" s="163"/>
      <c r="J267" s="163"/>
      <c r="K267" s="68"/>
      <c r="L267" s="60">
        <f>Price!A267</f>
        <v>0</v>
      </c>
      <c r="M267" s="15">
        <f>Price!B267</f>
        <v>0</v>
      </c>
      <c r="N267" s="15">
        <f>Price!C267</f>
        <v>0</v>
      </c>
      <c r="O267" s="537">
        <f>Price!D267</f>
        <v>0</v>
      </c>
      <c r="P267" s="16"/>
      <c r="Q267" s="17">
        <f>Price!F267</f>
        <v>0</v>
      </c>
      <c r="R267" s="323"/>
      <c r="S267" s="323"/>
      <c r="T267" s="12">
        <f>Price!G267</f>
        <v>0</v>
      </c>
      <c r="U267" s="257">
        <f>Price!H267</f>
        <v>0</v>
      </c>
      <c r="V267" s="13"/>
      <c r="W267" s="13"/>
      <c r="X267" s="19"/>
      <c r="Y267" s="19"/>
    </row>
    <row r="268" spans="1:25" x14ac:dyDescent="0.35">
      <c r="A268" s="57"/>
      <c r="B268" s="162"/>
      <c r="C268" s="162"/>
      <c r="D268" s="540"/>
      <c r="E268" s="82"/>
      <c r="F268" s="64"/>
      <c r="G268" s="64"/>
      <c r="H268" s="64"/>
      <c r="I268" s="162"/>
      <c r="J268" s="162"/>
      <c r="K268" s="68"/>
      <c r="L268" s="60">
        <f>Price!A268</f>
        <v>0</v>
      </c>
      <c r="M268" s="15">
        <f>Price!B268</f>
        <v>0</v>
      </c>
      <c r="N268" s="15">
        <f>Price!C268</f>
        <v>0</v>
      </c>
      <c r="O268" s="537">
        <f>Price!D268</f>
        <v>0</v>
      </c>
      <c r="P268" s="16"/>
      <c r="Q268" s="17">
        <f>Price!F268</f>
        <v>0</v>
      </c>
      <c r="R268" s="323"/>
      <c r="S268" s="323"/>
      <c r="T268" s="12">
        <f>Price!G268</f>
        <v>0</v>
      </c>
      <c r="U268" s="257">
        <f>Price!H268</f>
        <v>0</v>
      </c>
      <c r="V268" s="13"/>
      <c r="W268" s="13"/>
      <c r="X268" s="19"/>
      <c r="Y268" s="19"/>
    </row>
    <row r="269" spans="1:25" x14ac:dyDescent="0.35">
      <c r="A269" s="57"/>
      <c r="B269" s="163"/>
      <c r="C269" s="163"/>
      <c r="D269" s="541"/>
      <c r="E269" s="82"/>
      <c r="F269" s="64"/>
      <c r="G269" s="64"/>
      <c r="H269" s="64"/>
      <c r="I269" s="163"/>
      <c r="J269" s="163"/>
      <c r="K269" s="61"/>
      <c r="L269" s="60">
        <f>Price!A269</f>
        <v>0</v>
      </c>
      <c r="M269" s="15">
        <f>Price!B269</f>
        <v>0</v>
      </c>
      <c r="N269" s="15">
        <f>Price!C269</f>
        <v>0</v>
      </c>
      <c r="O269" s="537">
        <f>Price!D269</f>
        <v>0</v>
      </c>
      <c r="P269" s="16"/>
      <c r="Q269" s="17">
        <f>Price!F269</f>
        <v>0</v>
      </c>
      <c r="R269" s="323"/>
      <c r="S269" s="323"/>
      <c r="T269" s="12">
        <f>Price!G269</f>
        <v>0</v>
      </c>
      <c r="U269" s="257">
        <f>Price!H269</f>
        <v>0</v>
      </c>
      <c r="V269" s="13"/>
      <c r="W269" s="13"/>
      <c r="X269" s="19"/>
      <c r="Y269" s="19"/>
    </row>
    <row r="270" spans="1:25" x14ac:dyDescent="0.35">
      <c r="A270" s="76"/>
      <c r="B270" s="162"/>
      <c r="C270" s="162"/>
      <c r="D270" s="540"/>
      <c r="E270" s="77"/>
      <c r="F270" s="64"/>
      <c r="G270" s="64"/>
      <c r="H270" s="64"/>
      <c r="I270" s="175"/>
      <c r="J270" s="175"/>
      <c r="K270" s="20"/>
      <c r="L270" s="60">
        <f>Price!A270</f>
        <v>0</v>
      </c>
      <c r="M270" s="15">
        <f>Price!B270</f>
        <v>0</v>
      </c>
      <c r="N270" s="15">
        <f>Price!C270</f>
        <v>0</v>
      </c>
      <c r="O270" s="537">
        <f>Price!D270</f>
        <v>0</v>
      </c>
      <c r="P270" s="16"/>
      <c r="Q270" s="17">
        <f>Price!F270</f>
        <v>0</v>
      </c>
      <c r="R270" s="323"/>
      <c r="S270" s="323"/>
      <c r="T270" s="12">
        <f>Price!G270</f>
        <v>0</v>
      </c>
      <c r="U270" s="257">
        <f>Price!H270</f>
        <v>0</v>
      </c>
      <c r="V270" s="13"/>
      <c r="W270" s="13"/>
      <c r="X270" s="19"/>
      <c r="Y270" s="19"/>
    </row>
    <row r="271" spans="1:25" x14ac:dyDescent="0.35">
      <c r="A271" s="57"/>
      <c r="B271" s="163"/>
      <c r="C271" s="163"/>
      <c r="D271" s="541"/>
      <c r="E271" s="82"/>
      <c r="F271" s="64"/>
      <c r="G271" s="64"/>
      <c r="H271" s="64"/>
      <c r="I271" s="64"/>
      <c r="J271" s="64"/>
      <c r="K271" s="20"/>
      <c r="L271" s="60" t="str">
        <f>Price!A271</f>
        <v xml:space="preserve">   Čelní kování</v>
      </c>
      <c r="M271" s="15">
        <f>Price!B271</f>
        <v>0</v>
      </c>
      <c r="N271" s="15">
        <f>Price!C271</f>
        <v>0</v>
      </c>
      <c r="O271" s="537">
        <f>Price!D271</f>
        <v>0</v>
      </c>
      <c r="P271" s="16"/>
      <c r="Q271" s="17">
        <f>Price!F271</f>
        <v>0</v>
      </c>
      <c r="R271" s="323"/>
      <c r="S271" s="323"/>
      <c r="T271" s="12">
        <f>Price!G271</f>
        <v>0</v>
      </c>
      <c r="U271" s="257">
        <f>Price!H271</f>
        <v>0</v>
      </c>
      <c r="V271" s="13"/>
      <c r="X271" s="19"/>
      <c r="Y271" s="19"/>
    </row>
    <row r="272" spans="1:25" ht="15" thickBot="1" x14ac:dyDescent="0.4">
      <c r="A272" s="93" t="str">
        <f>IF($C$4=1,L272,IF($C$4=2,L273,"  chyba"))</f>
        <v>Čelní kování N, EXPANDO</v>
      </c>
      <c r="B272" s="96" t="str">
        <f>IF($C$4=1,M272,IF($C$4=2,M273,"  chyba"))</f>
        <v>ZF7N70E2</v>
      </c>
      <c r="C272" s="96" t="str">
        <f>IF($C$4=1,N272,IF($C$4=2,N273,"  chyba"))</f>
        <v>BL</v>
      </c>
      <c r="D272" s="96">
        <f>IF($C$4=1,O272,IF($C$4=2,O273,"  chyba"))</f>
        <v>0</v>
      </c>
      <c r="E272" s="94">
        <f>IF($C$4=1,P272,IF($C$4=2,P273,"  chyba"))</f>
        <v>0</v>
      </c>
      <c r="F272" s="95">
        <f>IF($C$4=1,Q272,IF($C$4=2,Q273,0))*(100-$F$6)/100</f>
        <v>0.76114999999999999</v>
      </c>
      <c r="G272" s="170"/>
      <c r="H272" s="170"/>
      <c r="I272" s="173">
        <f>IF($C$4=1,T272,IF($C$4=2,T273,"  chyba"))</f>
        <v>4745381</v>
      </c>
      <c r="J272" s="173">
        <f>IF($C$4=1,U272,IF($C$4=2,U273,"  chyba"))</f>
        <v>227542</v>
      </c>
      <c r="K272" s="20"/>
      <c r="L272" s="60" t="str">
        <f>Price!A272</f>
        <v>Čelní kování N, na vruty</v>
      </c>
      <c r="M272" s="15" t="str">
        <f>Price!B272</f>
        <v>ZF7N7002</v>
      </c>
      <c r="N272" s="15" t="str">
        <f>Price!C272</f>
        <v>BL</v>
      </c>
      <c r="O272" s="537">
        <f>Price!D272</f>
        <v>0</v>
      </c>
      <c r="P272" s="16"/>
      <c r="Q272" s="17">
        <f>Price!F272</f>
        <v>0.67</v>
      </c>
      <c r="R272" s="323"/>
      <c r="S272" s="323"/>
      <c r="T272" s="12">
        <f>Price!G272</f>
        <v>4476127</v>
      </c>
      <c r="U272" s="257">
        <f>Price!H272</f>
        <v>227541</v>
      </c>
      <c r="V272" s="13"/>
      <c r="W272" s="13"/>
      <c r="X272" s="19"/>
      <c r="Y272" s="19"/>
    </row>
    <row r="273" spans="1:25" x14ac:dyDescent="0.35">
      <c r="A273" s="57"/>
      <c r="B273" s="57"/>
      <c r="C273" s="57"/>
      <c r="D273" s="176"/>
      <c r="E273" s="82"/>
      <c r="F273" s="64"/>
      <c r="G273" s="64"/>
      <c r="H273" s="64"/>
      <c r="I273" s="57"/>
      <c r="J273" s="176"/>
      <c r="K273" s="61"/>
      <c r="L273" s="60" t="str">
        <f>Price!A273</f>
        <v>Čelní kování N, EXPANDO</v>
      </c>
      <c r="M273" s="15" t="str">
        <f>Price!B273</f>
        <v>ZF7N70E2</v>
      </c>
      <c r="N273" s="15" t="str">
        <f>Price!C273</f>
        <v>BL</v>
      </c>
      <c r="O273" s="537">
        <f>Price!D273</f>
        <v>0</v>
      </c>
      <c r="P273" s="16"/>
      <c r="Q273" s="17">
        <f>Price!F273</f>
        <v>0.76114999999999999</v>
      </c>
      <c r="R273" s="323"/>
      <c r="S273" s="323"/>
      <c r="T273" s="12">
        <f>Price!G273</f>
        <v>4745381</v>
      </c>
      <c r="U273" s="257">
        <f>Price!H273</f>
        <v>227542</v>
      </c>
      <c r="V273" s="13"/>
      <c r="W273" s="13"/>
      <c r="X273" s="19"/>
      <c r="Y273" s="19"/>
    </row>
    <row r="274" spans="1:25" ht="15" thickBot="1" x14ac:dyDescent="0.4">
      <c r="A274" s="93" t="str">
        <f>IF($C$4=1,L274,IF($C$4=2,L275,"  chyba"))</f>
        <v>Čelní kování M, EXPANDO</v>
      </c>
      <c r="B274" s="96" t="str">
        <f>IF($C$4=1,M274,IF($C$4=2,M275,"  chyba"))</f>
        <v>ZF7M70E2</v>
      </c>
      <c r="C274" s="96" t="str">
        <f>IF($C$4=1,N274,IF($C$4=2,N275,"  chyba"))</f>
        <v>BL</v>
      </c>
      <c r="D274" s="96">
        <f>IF($C$4=1,O274,IF($C$4=2,O275,"  chyba"))</f>
        <v>0</v>
      </c>
      <c r="E274" s="94">
        <f>IF($C$4=1,P274,IF($C$4=2,P275,"  chyba"))</f>
        <v>0</v>
      </c>
      <c r="F274" s="95">
        <f>IF($C$4=1,Q274,IF($C$4=2,Q275,0))*(100-$F$6)/100</f>
        <v>0.35138999999999998</v>
      </c>
      <c r="G274" s="170"/>
      <c r="H274" s="170"/>
      <c r="I274" s="173">
        <f>IF($C$4=1,T274,IF($C$4=2,T275,"  chyba"))</f>
        <v>7054881</v>
      </c>
      <c r="J274" s="173">
        <f>IF($C$4=1,U274,IF($C$4=2,U275,"  chyba"))</f>
        <v>227544</v>
      </c>
      <c r="K274" s="20"/>
      <c r="L274" s="60" t="str">
        <f>Price!A274</f>
        <v>Čelní kování M, na vruty</v>
      </c>
      <c r="M274" s="15" t="str">
        <f>Price!B274</f>
        <v>ZF7M7002</v>
      </c>
      <c r="N274" s="15" t="str">
        <f>Price!C274</f>
        <v>BL</v>
      </c>
      <c r="O274" s="537">
        <f>Price!D274</f>
        <v>0</v>
      </c>
      <c r="P274" s="16"/>
      <c r="Q274" s="17">
        <f>Price!F274</f>
        <v>0.24632999999999999</v>
      </c>
      <c r="R274" s="323"/>
      <c r="S274" s="323"/>
      <c r="T274" s="12">
        <f>Price!G274</f>
        <v>9105005</v>
      </c>
      <c r="U274" s="257">
        <f>Price!H274</f>
        <v>227543</v>
      </c>
      <c r="V274" s="13"/>
      <c r="W274" s="13"/>
      <c r="X274" s="19"/>
      <c r="Y274" s="19"/>
    </row>
    <row r="275" spans="1:25" x14ac:dyDescent="0.35">
      <c r="A275" s="57"/>
      <c r="B275" s="163"/>
      <c r="C275" s="163"/>
      <c r="D275" s="541"/>
      <c r="E275" s="82"/>
      <c r="F275" s="64"/>
      <c r="G275" s="64"/>
      <c r="H275" s="64"/>
      <c r="I275" s="64"/>
      <c r="J275" s="64"/>
      <c r="K275" s="20"/>
      <c r="L275" s="60" t="str">
        <f>Price!A275</f>
        <v>Čelní kování M, EXPANDO</v>
      </c>
      <c r="M275" s="15" t="str">
        <f>Price!B275</f>
        <v>ZF7M70E2</v>
      </c>
      <c r="N275" s="15" t="str">
        <f>Price!C275</f>
        <v>BL</v>
      </c>
      <c r="O275" s="537">
        <f>Price!D275</f>
        <v>0</v>
      </c>
      <c r="P275" s="16"/>
      <c r="Q275" s="17">
        <f>Price!F275</f>
        <v>0.35138999999999998</v>
      </c>
      <c r="R275" s="323"/>
      <c r="S275" s="323"/>
      <c r="T275" s="12">
        <f>Price!G275</f>
        <v>7054881</v>
      </c>
      <c r="U275" s="257">
        <f>Price!H275</f>
        <v>227544</v>
      </c>
      <c r="V275" s="13"/>
      <c r="W275" s="13"/>
      <c r="X275" s="19"/>
      <c r="Y275" s="19"/>
    </row>
    <row r="276" spans="1:25" ht="15" thickBot="1" x14ac:dyDescent="0.4">
      <c r="A276" s="93" t="str">
        <f>IF($C$4=1,L276,IF($C$4=2,L277,"  chyba"))</f>
        <v>Čelní kování K, EXPANDO</v>
      </c>
      <c r="B276" s="96" t="str">
        <f>IF($C$4=1,M276,IF($C$4=2,M277,"  chyba"))</f>
        <v>ZF7K70E2</v>
      </c>
      <c r="C276" s="96" t="str">
        <f>IF($C$4=1,N276,IF($C$4=2,N277,"  chyba"))</f>
        <v>BL</v>
      </c>
      <c r="D276" s="96">
        <f>IF($C$4=1,O276,IF($C$4=2,O277,"  chyba"))</f>
        <v>0</v>
      </c>
      <c r="E276" s="94">
        <f>IF($C$4=1,P276,IF($C$4=2,P277,"  chyba"))</f>
        <v>0</v>
      </c>
      <c r="F276" s="95">
        <f>IF($C$4=1,Q276,IF($C$4=2,Q277,0))*(100-$F$6)/100</f>
        <v>0.59467999999999999</v>
      </c>
      <c r="G276" s="170"/>
      <c r="H276" s="170"/>
      <c r="I276" s="173">
        <f>IF($C$4=1,T276,IF($C$4=2,T277,"  chyba"))</f>
        <v>4314617</v>
      </c>
      <c r="J276" s="173">
        <f>IF($C$4=1,U276,IF($C$4=2,U277,"  chyba"))</f>
        <v>227546</v>
      </c>
      <c r="K276" s="20"/>
      <c r="L276" s="60" t="str">
        <f>Price!A276</f>
        <v>Čelní kování K, na vruty</v>
      </c>
      <c r="M276" s="15" t="str">
        <f>Price!B276</f>
        <v>ZF7K7002</v>
      </c>
      <c r="N276" s="15" t="str">
        <f>Price!C276</f>
        <v>BL</v>
      </c>
      <c r="O276" s="537">
        <f>Price!D276</f>
        <v>0</v>
      </c>
      <c r="P276" s="16"/>
      <c r="Q276" s="17">
        <f>Price!F276</f>
        <v>0.50353000000000003</v>
      </c>
      <c r="R276" s="323"/>
      <c r="S276" s="323"/>
      <c r="T276" s="12">
        <f>Price!G276</f>
        <v>3949406</v>
      </c>
      <c r="U276" s="257">
        <f>Price!H276</f>
        <v>227545</v>
      </c>
      <c r="V276" s="13"/>
      <c r="W276" s="13"/>
      <c r="X276" s="19"/>
      <c r="Y276" s="19"/>
    </row>
    <row r="277" spans="1:25" x14ac:dyDescent="0.35">
      <c r="A277" s="57"/>
      <c r="B277" s="163"/>
      <c r="C277" s="163"/>
      <c r="D277" s="541"/>
      <c r="E277" s="82"/>
      <c r="F277" s="64"/>
      <c r="G277" s="64"/>
      <c r="H277" s="64"/>
      <c r="I277" s="64"/>
      <c r="J277" s="64"/>
      <c r="K277" s="20"/>
      <c r="L277" s="60" t="str">
        <f>Price!A277</f>
        <v>Čelní kování K, EXPANDO</v>
      </c>
      <c r="M277" s="15" t="str">
        <f>Price!B277</f>
        <v>ZF7K70E2</v>
      </c>
      <c r="N277" s="15" t="str">
        <f>Price!C277</f>
        <v>BL</v>
      </c>
      <c r="O277" s="537">
        <f>Price!D277</f>
        <v>0</v>
      </c>
      <c r="P277" s="16"/>
      <c r="Q277" s="17">
        <f>Price!F277</f>
        <v>0.59467999999999999</v>
      </c>
      <c r="R277" s="323"/>
      <c r="S277" s="323"/>
      <c r="T277" s="12">
        <f>Price!G277</f>
        <v>4314617</v>
      </c>
      <c r="U277" s="257">
        <f>Price!H277</f>
        <v>227546</v>
      </c>
      <c r="V277" s="13"/>
      <c r="X277" s="19"/>
      <c r="Y277" s="19"/>
    </row>
    <row r="278" spans="1:25" ht="15" thickBot="1" x14ac:dyDescent="0.4">
      <c r="A278" s="93" t="str">
        <f>IF($C$4=1,L278,IF($C$4=2,L279,"  chyba"))</f>
        <v>Čelní kování C, EXPANDO</v>
      </c>
      <c r="B278" s="96" t="str">
        <f>IF($C$4=1,M278,IF($C$4=2,M279,"  chyba"))</f>
        <v>ZF7C70E2</v>
      </c>
      <c r="C278" s="96" t="str">
        <f>IF($C$4=1,N278,IF($C$4=2,N279,"  chyba"))</f>
        <v>BL</v>
      </c>
      <c r="D278" s="96">
        <f>IF($C$4=1,O278,IF($C$4=2,O279,"  chyba"))</f>
        <v>0</v>
      </c>
      <c r="E278" s="94">
        <f>IF($C$4=1,P278,IF($C$4=2,P279,"  chyba"))</f>
        <v>0</v>
      </c>
      <c r="F278" s="95">
        <f>IF($C$4=1,Q278,IF($C$4=2,Q279,0))*(100-$F$6)/100</f>
        <v>0.76134999999999986</v>
      </c>
      <c r="G278" s="170"/>
      <c r="H278" s="170"/>
      <c r="I278" s="173">
        <f>IF($C$4=1,T278,IF($C$4=2,T279,"  chyba"))</f>
        <v>6997079</v>
      </c>
      <c r="J278" s="173">
        <f>IF($C$4=1,U278,IF($C$4=2,U279,"  chyba"))</f>
        <v>227548</v>
      </c>
      <c r="K278" s="20"/>
      <c r="L278" s="60" t="str">
        <f>Price!A278</f>
        <v>Čelní kování C, na vruty</v>
      </c>
      <c r="M278" s="15" t="str">
        <f>Price!B278</f>
        <v>ZF7C7002</v>
      </c>
      <c r="N278" s="15" t="str">
        <f>Price!C278</f>
        <v>BL</v>
      </c>
      <c r="O278" s="537">
        <f>Price!D278</f>
        <v>0</v>
      </c>
      <c r="P278" s="16"/>
      <c r="Q278" s="17">
        <f>Price!F278</f>
        <v>0.59104000000000001</v>
      </c>
      <c r="R278" s="323"/>
      <c r="S278" s="323"/>
      <c r="T278" s="12">
        <f>Price!G278</f>
        <v>8850350</v>
      </c>
      <c r="U278" s="257">
        <f>Price!H278</f>
        <v>227547</v>
      </c>
      <c r="V278" s="13"/>
      <c r="W278" s="13"/>
      <c r="X278" s="19"/>
      <c r="Y278" s="19"/>
    </row>
    <row r="279" spans="1:25" x14ac:dyDescent="0.35">
      <c r="A279" s="57"/>
      <c r="B279" s="163"/>
      <c r="C279" s="163"/>
      <c r="D279" s="541"/>
      <c r="E279" s="82"/>
      <c r="F279" s="64"/>
      <c r="G279" s="64"/>
      <c r="H279" s="64"/>
      <c r="I279" s="64"/>
      <c r="J279" s="64"/>
      <c r="K279" s="20"/>
      <c r="L279" s="60" t="str">
        <f>Price!A279</f>
        <v>Čelní kování C, EXPANDO</v>
      </c>
      <c r="M279" s="15" t="str">
        <f>Price!B279</f>
        <v>ZF7C70E2</v>
      </c>
      <c r="N279" s="15" t="str">
        <f>Price!C279</f>
        <v>BL</v>
      </c>
      <c r="O279" s="537">
        <f>Price!D279</f>
        <v>0</v>
      </c>
      <c r="P279" s="16"/>
      <c r="Q279" s="17">
        <f>Price!F279</f>
        <v>0.76134999999999997</v>
      </c>
      <c r="R279" s="323"/>
      <c r="S279" s="323"/>
      <c r="T279" s="12">
        <f>Price!G279</f>
        <v>6997079</v>
      </c>
      <c r="U279" s="257">
        <f>Price!H279</f>
        <v>227548</v>
      </c>
      <c r="V279" s="13"/>
      <c r="W279" s="13"/>
      <c r="X279" s="19"/>
      <c r="Y279" s="19"/>
    </row>
    <row r="280" spans="1:25" x14ac:dyDescent="0.35">
      <c r="A280" s="57"/>
      <c r="B280" s="163"/>
      <c r="C280" s="163"/>
      <c r="D280" s="541"/>
      <c r="E280" s="82"/>
      <c r="F280" s="64"/>
      <c r="G280" s="64"/>
      <c r="H280" s="64"/>
      <c r="I280" s="64"/>
      <c r="J280" s="64"/>
      <c r="K280" s="61"/>
      <c r="L280" s="60">
        <f>Price!A280</f>
        <v>0</v>
      </c>
      <c r="M280" s="15">
        <f>Price!B280</f>
        <v>0</v>
      </c>
      <c r="N280" s="15">
        <f>Price!C280</f>
        <v>0</v>
      </c>
      <c r="O280" s="537">
        <f>Price!D280</f>
        <v>0</v>
      </c>
      <c r="P280" s="16"/>
      <c r="Q280" s="17">
        <f>Price!F280</f>
        <v>0</v>
      </c>
      <c r="R280" s="323"/>
      <c r="S280" s="323"/>
      <c r="T280" s="12">
        <f>Price!G280</f>
        <v>0</v>
      </c>
      <c r="U280" s="257">
        <f>Price!H280</f>
        <v>0</v>
      </c>
      <c r="V280" s="13"/>
      <c r="W280" s="13"/>
      <c r="X280" s="19"/>
      <c r="Y280" s="19"/>
    </row>
    <row r="281" spans="1:25" x14ac:dyDescent="0.35">
      <c r="A281" s="78"/>
      <c r="B281" s="162"/>
      <c r="C281" s="162"/>
      <c r="D281" s="540"/>
      <c r="E281" s="82"/>
      <c r="F281" s="66"/>
      <c r="G281" s="66"/>
      <c r="H281" s="66"/>
      <c r="I281" s="66"/>
      <c r="J281" s="66"/>
      <c r="K281" s="20"/>
      <c r="L281" s="60">
        <f>Price!A281</f>
        <v>0</v>
      </c>
      <c r="M281" s="15">
        <f>Price!B281</f>
        <v>0</v>
      </c>
      <c r="N281" s="15">
        <f>Price!C281</f>
        <v>0</v>
      </c>
      <c r="O281" s="537">
        <f>Price!D281</f>
        <v>0</v>
      </c>
      <c r="P281" s="16"/>
      <c r="Q281" s="17">
        <f>Price!F281</f>
        <v>0</v>
      </c>
      <c r="R281" s="323"/>
      <c r="S281" s="323"/>
      <c r="T281" s="12">
        <f>Price!G281</f>
        <v>0</v>
      </c>
      <c r="U281" s="257">
        <f>Price!H281</f>
        <v>0</v>
      </c>
      <c r="V281" s="13"/>
      <c r="W281" s="13"/>
      <c r="X281" s="19"/>
      <c r="Y281" s="19"/>
    </row>
    <row r="282" spans="1:25" x14ac:dyDescent="0.35">
      <c r="A282" s="76"/>
      <c r="B282" s="162"/>
      <c r="C282" s="162"/>
      <c r="D282" s="540"/>
      <c r="E282" s="77"/>
      <c r="F282" s="64"/>
      <c r="G282" s="64"/>
      <c r="H282" s="64"/>
      <c r="I282" s="175"/>
      <c r="J282" s="175"/>
      <c r="K282" s="20"/>
      <c r="L282" s="60">
        <f>Price!A282</f>
        <v>0</v>
      </c>
      <c r="M282" s="15">
        <f>Price!B282</f>
        <v>0</v>
      </c>
      <c r="N282" s="15">
        <f>Price!C282</f>
        <v>0</v>
      </c>
      <c r="O282" s="537">
        <f>Price!D282</f>
        <v>0</v>
      </c>
      <c r="P282" s="16"/>
      <c r="Q282" s="17">
        <f>Price!F282</f>
        <v>0</v>
      </c>
      <c r="R282" s="323"/>
      <c r="S282" s="323"/>
      <c r="T282" s="12">
        <f>Price!G282</f>
        <v>0</v>
      </c>
      <c r="U282" s="257">
        <f>Price!H282</f>
        <v>0</v>
      </c>
      <c r="V282" s="13"/>
      <c r="W282" s="13"/>
      <c r="X282" s="19"/>
      <c r="Y282" s="19"/>
    </row>
    <row r="283" spans="1:25" x14ac:dyDescent="0.35">
      <c r="A283" s="324"/>
      <c r="B283" s="163"/>
      <c r="C283" s="163"/>
      <c r="D283" s="541"/>
      <c r="E283" s="82"/>
      <c r="F283" s="64"/>
      <c r="G283" s="64"/>
      <c r="H283" s="64"/>
      <c r="I283" s="174"/>
      <c r="J283" s="174"/>
      <c r="K283" s="20"/>
      <c r="L283" s="60">
        <f>Price!A283</f>
        <v>0</v>
      </c>
      <c r="M283" s="15">
        <f>Price!B283</f>
        <v>0</v>
      </c>
      <c r="N283" s="15">
        <f>Price!C283</f>
        <v>0</v>
      </c>
      <c r="O283" s="537">
        <f>Price!D283</f>
        <v>0</v>
      </c>
      <c r="P283" s="16"/>
      <c r="Q283" s="17">
        <f>Price!F283</f>
        <v>0</v>
      </c>
      <c r="R283" s="323"/>
      <c r="S283" s="323"/>
      <c r="T283" s="12">
        <f>Price!G283</f>
        <v>0</v>
      </c>
      <c r="U283" s="257">
        <f>Price!H283</f>
        <v>0</v>
      </c>
      <c r="V283" s="13"/>
      <c r="W283" s="13"/>
      <c r="X283" s="19"/>
      <c r="Y283" s="19"/>
    </row>
    <row r="284" spans="1:25" x14ac:dyDescent="0.35">
      <c r="A284" s="76"/>
      <c r="B284" s="162"/>
      <c r="C284" s="162"/>
      <c r="D284" s="540"/>
      <c r="E284" s="82"/>
      <c r="F284" s="64"/>
      <c r="G284" s="64"/>
      <c r="H284" s="64"/>
      <c r="I284" s="175"/>
      <c r="J284" s="175"/>
      <c r="K284" s="61"/>
      <c r="L284" s="60" t="str">
        <f>Price!A284</f>
        <v xml:space="preserve">   Vnitřní výsuvy</v>
      </c>
      <c r="M284" s="15">
        <f>Price!B284</f>
        <v>0</v>
      </c>
      <c r="N284" s="15">
        <f>Price!C284</f>
        <v>0</v>
      </c>
      <c r="O284" s="537">
        <f>Price!D284</f>
        <v>0</v>
      </c>
      <c r="P284" s="16"/>
      <c r="Q284" s="17">
        <f>Price!F284</f>
        <v>0</v>
      </c>
      <c r="R284" s="323"/>
      <c r="S284" s="323"/>
      <c r="T284" s="12">
        <f>Price!G284</f>
        <v>0</v>
      </c>
      <c r="U284" s="257">
        <f>Price!H284</f>
        <v>0</v>
      </c>
      <c r="V284" s="13"/>
      <c r="W284" s="13"/>
      <c r="X284" s="19"/>
      <c r="Y284" s="19"/>
    </row>
    <row r="285" spans="1:25" ht="15" thickBot="1" x14ac:dyDescent="0.4">
      <c r="A285" s="85" t="str">
        <f>IF($C$2=1,L285,IF($C$2=2,L286,IF($C$2=3,L287,IF($C$2=4,L288,"  chyba"))))</f>
        <v>Sada kování vnitřní zásuvky M, Orion šedá</v>
      </c>
      <c r="B285" s="86" t="str">
        <f>IF($C$2=1,M285,IF($C$2=2,M286,IF($C$2=3,M287,IF($C$2=4,M288,"  chyba"))))</f>
        <v>ZI7.0MS0</v>
      </c>
      <c r="C285" s="86" t="str">
        <f>IF($C$2=1,N285,IF($C$2=2,N286,IF($C$2=3,N287,IF($C$2=4,N288,"  chyba"))))</f>
        <v>OG-M</v>
      </c>
      <c r="D285" s="86">
        <f>IF($C$2=1,O285,IF($C$2=2,O286,IF($C$2=3,O287,IF($C$2=4,O288,"  chyba"))))</f>
        <v>0</v>
      </c>
      <c r="E285" s="87"/>
      <c r="F285" s="88">
        <f>IF($C$2=1,Q285,IF($C$2=2,Q286,IF($C$2=3,Q287,IF($C$2=4,Q288,0))))*(100-$F$6)/100</f>
        <v>13.714750000000002</v>
      </c>
      <c r="G285" s="64"/>
      <c r="H285" s="64"/>
      <c r="I285" s="171">
        <f>IF($C$2=1,T285,IF($C$2=2,T286,IF($C$2=3,T287,IF($C$2=4,T288,"  chyba"))))</f>
        <v>5156741</v>
      </c>
      <c r="J285" s="171">
        <f>IF($C$2=1,U285,IF($C$2=2,U286,IF($C$2=3,U287,IF($C$2=4,U288,"  chyba"))))</f>
        <v>227571</v>
      </c>
      <c r="K285" s="20"/>
      <c r="L285" s="60" t="str">
        <f>Price!A285</f>
        <v>Sada kování vnitřní zásuvky M, Orion šedá</v>
      </c>
      <c r="M285" s="15" t="str">
        <f>Price!B285</f>
        <v>ZI7.0MS0</v>
      </c>
      <c r="N285" s="15" t="str">
        <f>Price!C285</f>
        <v>OG-M</v>
      </c>
      <c r="O285" s="537">
        <f>Price!D285</f>
        <v>0</v>
      </c>
      <c r="P285" s="16"/>
      <c r="Q285" s="17">
        <f>Price!F285</f>
        <v>13.71475</v>
      </c>
      <c r="R285" s="323"/>
      <c r="S285" s="323"/>
      <c r="T285" s="12">
        <f>Price!G285</f>
        <v>5156741</v>
      </c>
      <c r="U285" s="257">
        <f>Price!H285</f>
        <v>227571</v>
      </c>
      <c r="V285" s="13"/>
      <c r="W285" s="13"/>
      <c r="X285" s="19"/>
      <c r="Y285" s="19"/>
    </row>
    <row r="286" spans="1:25" x14ac:dyDescent="0.35">
      <c r="A286" s="76"/>
      <c r="B286" s="162"/>
      <c r="C286" s="162"/>
      <c r="D286" s="540"/>
      <c r="E286" s="77"/>
      <c r="F286" s="64"/>
      <c r="G286" s="64"/>
      <c r="H286" s="64"/>
      <c r="I286" s="175"/>
      <c r="J286" s="175"/>
      <c r="K286" s="20"/>
      <c r="L286" s="60" t="str">
        <f>Price!A286</f>
        <v>Sada kování vnitřní zásuvky M, hedvábně bílá</v>
      </c>
      <c r="M286" s="15" t="str">
        <f>Price!B286</f>
        <v>ZI7.0MS0</v>
      </c>
      <c r="N286" s="15" t="str">
        <f>Price!C286</f>
        <v>SW-M</v>
      </c>
      <c r="O286" s="537">
        <f>Price!D286</f>
        <v>0</v>
      </c>
      <c r="P286" s="16"/>
      <c r="Q286" s="17">
        <f>Price!F286</f>
        <v>12.981339999999999</v>
      </c>
      <c r="R286" s="323"/>
      <c r="S286" s="323"/>
      <c r="T286" s="12">
        <f>Price!G286</f>
        <v>1777320</v>
      </c>
      <c r="U286" s="257">
        <f>Price!H286</f>
        <v>227570</v>
      </c>
      <c r="V286" s="13"/>
      <c r="W286" s="13"/>
      <c r="X286" s="19"/>
      <c r="Y286" s="19"/>
    </row>
    <row r="287" spans="1:25" x14ac:dyDescent="0.35">
      <c r="A287" s="76"/>
      <c r="B287" s="162"/>
      <c r="C287" s="162"/>
      <c r="D287" s="540"/>
      <c r="E287" s="82"/>
      <c r="F287" s="83"/>
      <c r="G287" s="83"/>
      <c r="H287" s="83"/>
      <c r="I287" s="175"/>
      <c r="J287" s="175"/>
      <c r="K287" s="61"/>
      <c r="L287" s="60" t="str">
        <f>Price!A287</f>
        <v>Sada kování vnitřní zásuvky M, černá Terra</v>
      </c>
      <c r="M287" s="15" t="str">
        <f>Price!B287</f>
        <v>ZI7.0MS0</v>
      </c>
      <c r="N287" s="15" t="str">
        <f>Price!C287</f>
        <v>TS-M</v>
      </c>
      <c r="O287" s="537">
        <f>Price!D287</f>
        <v>0</v>
      </c>
      <c r="P287" s="16"/>
      <c r="Q287" s="17">
        <f>Price!F287</f>
        <v>13.71475</v>
      </c>
      <c r="R287" s="323"/>
      <c r="S287" s="323"/>
      <c r="T287" s="12">
        <f>Price!G287</f>
        <v>8239496</v>
      </c>
      <c r="U287" s="257">
        <f>Price!H287</f>
        <v>227572</v>
      </c>
      <c r="V287" s="13"/>
      <c r="W287" s="13"/>
      <c r="X287" s="19"/>
      <c r="Y287" s="19"/>
    </row>
    <row r="288" spans="1:25" x14ac:dyDescent="0.35">
      <c r="A288" s="27"/>
      <c r="B288" s="27"/>
      <c r="C288" s="27"/>
      <c r="D288" s="544"/>
      <c r="E288" s="27"/>
      <c r="F288" s="27"/>
      <c r="G288" s="27"/>
      <c r="H288" s="27"/>
      <c r="I288" s="27"/>
      <c r="J288" s="27"/>
      <c r="K288" s="20"/>
      <c r="L288" s="60" t="str">
        <f>Price!A288</f>
        <v>Sada kování vnitřní zásuvky M, nerez</v>
      </c>
      <c r="M288" s="15" t="str">
        <f>Price!B288</f>
        <v>ZI7.0MI0</v>
      </c>
      <c r="N288" s="15" t="str">
        <f>Price!C288</f>
        <v>Inox</v>
      </c>
      <c r="O288" s="537" t="str">
        <f>Price!D288</f>
        <v>!</v>
      </c>
      <c r="P288" s="16"/>
      <c r="Q288" s="17">
        <f>Price!F288</f>
        <v>19.182289999999998</v>
      </c>
      <c r="R288" s="323"/>
      <c r="S288" s="323"/>
      <c r="T288" s="12">
        <f>Price!G288</f>
        <v>5016984</v>
      </c>
      <c r="U288" s="257">
        <f>Price!H288</f>
        <v>227573</v>
      </c>
      <c r="V288" s="13"/>
      <c r="W288" s="13"/>
      <c r="X288" s="19"/>
      <c r="Y288" s="19"/>
    </row>
    <row r="289" spans="1:25" x14ac:dyDescent="0.35">
      <c r="A289" s="78"/>
      <c r="B289" s="163"/>
      <c r="C289" s="163"/>
      <c r="D289" s="541"/>
      <c r="E289" s="77"/>
      <c r="F289" s="66"/>
      <c r="G289" s="66"/>
      <c r="H289" s="66"/>
      <c r="I289" s="174"/>
      <c r="J289" s="174"/>
      <c r="K289" s="20"/>
      <c r="L289" s="60">
        <f>Price!A289</f>
        <v>0</v>
      </c>
      <c r="M289" s="15">
        <f>Price!B289</f>
        <v>0</v>
      </c>
      <c r="N289" s="15">
        <f>Price!C289</f>
        <v>0</v>
      </c>
      <c r="O289" s="537">
        <f>Price!D289</f>
        <v>0</v>
      </c>
      <c r="P289" s="16"/>
      <c r="Q289" s="17">
        <f>Price!F289</f>
        <v>0</v>
      </c>
      <c r="R289" s="323"/>
      <c r="S289" s="323"/>
      <c r="T289" s="12">
        <f>Price!G289</f>
        <v>0</v>
      </c>
      <c r="U289" s="257">
        <f>Price!H289</f>
        <v>0</v>
      </c>
      <c r="V289" s="13"/>
      <c r="W289" s="13"/>
      <c r="X289" s="19"/>
      <c r="Y289" s="19"/>
    </row>
    <row r="290" spans="1:25" x14ac:dyDescent="0.35">
      <c r="A290" s="76"/>
      <c r="B290" s="162"/>
      <c r="C290" s="162"/>
      <c r="D290" s="540"/>
      <c r="E290" s="77"/>
      <c r="F290" s="64"/>
      <c r="G290" s="64"/>
      <c r="H290" s="64"/>
      <c r="I290" s="175"/>
      <c r="J290" s="175"/>
      <c r="K290" s="20"/>
      <c r="L290" s="60">
        <f>Price!A290</f>
        <v>0</v>
      </c>
      <c r="M290" s="15">
        <f>Price!B290</f>
        <v>0</v>
      </c>
      <c r="N290" s="15">
        <f>Price!C290</f>
        <v>0</v>
      </c>
      <c r="O290" s="537">
        <f>Price!D290</f>
        <v>0</v>
      </c>
      <c r="P290" s="16"/>
      <c r="Q290" s="17">
        <f>Price!F290</f>
        <v>0</v>
      </c>
      <c r="R290" s="323"/>
      <c r="S290" s="323"/>
      <c r="T290" s="12">
        <f>Price!G290</f>
        <v>0</v>
      </c>
      <c r="U290" s="257">
        <f>Price!H290</f>
        <v>0</v>
      </c>
      <c r="V290" s="13"/>
      <c r="W290" s="13"/>
      <c r="X290" s="19"/>
      <c r="Y290" s="19"/>
    </row>
    <row r="291" spans="1:25" x14ac:dyDescent="0.35">
      <c r="A291" s="78"/>
      <c r="B291" s="163"/>
      <c r="C291" s="163"/>
      <c r="D291" s="541"/>
      <c r="E291" s="77"/>
      <c r="F291" s="66"/>
      <c r="G291" s="66"/>
      <c r="H291" s="66"/>
      <c r="I291" s="174"/>
      <c r="J291" s="174"/>
      <c r="K291" s="20"/>
      <c r="L291" s="60">
        <f>Price!A291</f>
        <v>0</v>
      </c>
      <c r="M291" s="15">
        <f>Price!B291</f>
        <v>0</v>
      </c>
      <c r="N291" s="15">
        <f>Price!C291</f>
        <v>0</v>
      </c>
      <c r="O291" s="537">
        <f>Price!D291</f>
        <v>0</v>
      </c>
      <c r="P291" s="16"/>
      <c r="Q291" s="17">
        <f>Price!F291</f>
        <v>0</v>
      </c>
      <c r="R291" s="323"/>
      <c r="S291" s="323"/>
      <c r="T291" s="12">
        <f>Price!G291</f>
        <v>0</v>
      </c>
      <c r="U291" s="257">
        <f>Price!H291</f>
        <v>0</v>
      </c>
      <c r="V291" s="13"/>
      <c r="W291" s="13"/>
      <c r="X291" s="19"/>
      <c r="Y291" s="19"/>
    </row>
    <row r="292" spans="1:25" x14ac:dyDescent="0.35">
      <c r="A292" s="76"/>
      <c r="B292" s="162"/>
      <c r="C292" s="162"/>
      <c r="D292" s="540"/>
      <c r="E292" s="82"/>
      <c r="F292" s="83"/>
      <c r="G292" s="83"/>
      <c r="H292" s="83"/>
      <c r="I292" s="175"/>
      <c r="J292" s="175"/>
      <c r="K292" s="61"/>
      <c r="L292" s="60">
        <f>Price!A292</f>
        <v>0</v>
      </c>
      <c r="M292" s="15">
        <f>Price!B292</f>
        <v>0</v>
      </c>
      <c r="N292" s="15">
        <f>Price!C292</f>
        <v>0</v>
      </c>
      <c r="O292" s="537">
        <f>Price!D292</f>
        <v>0</v>
      </c>
      <c r="P292" s="16"/>
      <c r="Q292" s="17">
        <f>Price!F292</f>
        <v>0</v>
      </c>
      <c r="R292" s="323"/>
      <c r="S292" s="323"/>
      <c r="T292" s="12">
        <f>Price!G292</f>
        <v>0</v>
      </c>
      <c r="U292" s="257">
        <f>Price!H292</f>
        <v>0</v>
      </c>
      <c r="V292" s="13"/>
      <c r="W292" s="13"/>
      <c r="X292" s="19"/>
      <c r="Y292" s="19"/>
    </row>
    <row r="293" spans="1:25" ht="15" thickBot="1" x14ac:dyDescent="0.4">
      <c r="A293" s="85" t="str">
        <f>IF($C$2=1,L293,IF($C$2=2,L294,IF($C$2=3,L295,IF($C$2=4,L296,"  chyba"))))</f>
        <v>Sada kování vnitř.výs. C, se zás.prvkem, Orion šedá</v>
      </c>
      <c r="B293" s="86" t="str">
        <f>IF($C$2=1,M293,IF($C$2=2,M294,IF($C$2=3,M295,IF($C$2=4,M296,"  chyba"))))</f>
        <v>ZI7.2CS0</v>
      </c>
      <c r="C293" s="86" t="str">
        <f>IF($C$2=1,N293,IF($C$2=2,N294,IF($C$2=3,N295,IF($C$2=4,N296,"  chyba"))))</f>
        <v>OG-M</v>
      </c>
      <c r="D293" s="86">
        <f>IF($C$2=1,O293,IF($C$2=2,O294,IF($C$2=3,O295,IF($C$2=4,O296,"  chyba"))))</f>
        <v>0</v>
      </c>
      <c r="E293" s="87"/>
      <c r="F293" s="88">
        <f>IF($C$2=1,Q293,IF($C$2=2,Q294,IF($C$2=3,Q295,IF($C$2=4,Q296,0))))*(100-$F$6)/100</f>
        <v>19.402619999999999</v>
      </c>
      <c r="G293" s="64"/>
      <c r="H293" s="64"/>
      <c r="I293" s="171">
        <f>IF($C$2=1,T293,IF($C$2=2,T294,IF($C$2=3,T295,IF($C$2=4,T296,"  chyba"))))</f>
        <v>4529568</v>
      </c>
      <c r="J293" s="171">
        <f>IF($C$2=1,U293,IF($C$2=2,U294,IF($C$2=3,U295,IF($C$2=4,U296,"  chyba"))))</f>
        <v>227575</v>
      </c>
      <c r="K293" s="20"/>
      <c r="L293" s="60" t="str">
        <f>Price!A293</f>
        <v>Sada kování vnitř.výs. C, se zás.prvkem, Orion šedá</v>
      </c>
      <c r="M293" s="15" t="str">
        <f>Price!B293</f>
        <v>ZI7.2CS0</v>
      </c>
      <c r="N293" s="15" t="str">
        <f>Price!C293</f>
        <v>OG-M</v>
      </c>
      <c r="O293" s="537">
        <f>Price!D293</f>
        <v>0</v>
      </c>
      <c r="P293" s="16"/>
      <c r="Q293" s="17">
        <f>Price!F293</f>
        <v>19.402619999999999</v>
      </c>
      <c r="R293" s="323"/>
      <c r="S293" s="323"/>
      <c r="T293" s="12">
        <f>Price!G293</f>
        <v>4529568</v>
      </c>
      <c r="U293" s="257">
        <f>Price!H293</f>
        <v>227575</v>
      </c>
      <c r="V293" s="13"/>
      <c r="W293" s="13"/>
      <c r="X293" s="19"/>
      <c r="Y293" s="19"/>
    </row>
    <row r="294" spans="1:25" x14ac:dyDescent="0.35">
      <c r="A294" s="76"/>
      <c r="B294" s="162"/>
      <c r="C294" s="162"/>
      <c r="D294" s="540"/>
      <c r="E294" s="77"/>
      <c r="F294" s="64"/>
      <c r="G294" s="64"/>
      <c r="H294" s="64"/>
      <c r="I294" s="175"/>
      <c r="J294" s="175"/>
      <c r="K294" s="20"/>
      <c r="L294" s="60" t="str">
        <f>Price!A294</f>
        <v>Sada kování vnitř.výs. C, se zás.prvkem, hedv.bílá</v>
      </c>
      <c r="M294" s="15" t="str">
        <f>Price!B294</f>
        <v>ZI7.2CS0</v>
      </c>
      <c r="N294" s="15" t="str">
        <f>Price!C294</f>
        <v>SW-M</v>
      </c>
      <c r="O294" s="537">
        <f>Price!D294</f>
        <v>0</v>
      </c>
      <c r="P294" s="16"/>
      <c r="Q294" s="17">
        <f>Price!F294</f>
        <v>19.402619999999999</v>
      </c>
      <c r="R294" s="323"/>
      <c r="S294" s="323"/>
      <c r="T294" s="12">
        <f>Price!G294</f>
        <v>4967635</v>
      </c>
      <c r="U294" s="257">
        <f>Price!H294</f>
        <v>227574</v>
      </c>
      <c r="V294" s="13"/>
      <c r="W294" s="13"/>
      <c r="X294" s="19"/>
      <c r="Y294" s="19"/>
    </row>
    <row r="295" spans="1:25" x14ac:dyDescent="0.35">
      <c r="A295" s="76"/>
      <c r="B295" s="163"/>
      <c r="C295" s="163"/>
      <c r="D295" s="541"/>
      <c r="E295" s="82"/>
      <c r="F295" s="83"/>
      <c r="G295" s="83"/>
      <c r="H295" s="83"/>
      <c r="I295" s="174"/>
      <c r="J295" s="174"/>
      <c r="K295" s="61"/>
      <c r="L295" s="60" t="str">
        <f>Price!A295</f>
        <v>Sada kování vnitř.výs. C, se zás.prvkem, černá Terra</v>
      </c>
      <c r="M295" s="15" t="str">
        <f>Price!B295</f>
        <v>ZI7.2CS0</v>
      </c>
      <c r="N295" s="15" t="str">
        <f>Price!C295</f>
        <v>TS-M</v>
      </c>
      <c r="O295" s="537">
        <f>Price!D295</f>
        <v>0</v>
      </c>
      <c r="P295" s="16"/>
      <c r="Q295" s="17">
        <f>Price!F295</f>
        <v>19.402619999999999</v>
      </c>
      <c r="R295" s="323"/>
      <c r="S295" s="323"/>
      <c r="T295" s="12">
        <f>Price!G295</f>
        <v>2910052</v>
      </c>
      <c r="U295" s="257">
        <f>Price!H295</f>
        <v>227576</v>
      </c>
      <c r="V295" s="13"/>
      <c r="W295" s="13"/>
      <c r="X295" s="19"/>
      <c r="Y295" s="19"/>
    </row>
    <row r="296" spans="1:25" x14ac:dyDescent="0.35">
      <c r="A296" s="76"/>
      <c r="B296" s="163"/>
      <c r="C296" s="163"/>
      <c r="D296" s="541"/>
      <c r="E296" s="82"/>
      <c r="F296" s="83"/>
      <c r="G296" s="83"/>
      <c r="H296" s="83"/>
      <c r="I296" s="174"/>
      <c r="J296" s="174"/>
      <c r="K296" s="62"/>
      <c r="L296" s="60" t="str">
        <f>Price!A296</f>
        <v>Sada kování vnitř.výs. C, se zás.prvkem, nerez</v>
      </c>
      <c r="M296" s="15" t="str">
        <f>Price!B296</f>
        <v>ZI7.2CI0</v>
      </c>
      <c r="N296" s="15" t="str">
        <f>Price!C296</f>
        <v>Inox</v>
      </c>
      <c r="O296" s="537" t="str">
        <f>Price!D296</f>
        <v>!</v>
      </c>
      <c r="P296" s="16"/>
      <c r="Q296" s="17">
        <f>Price!F296</f>
        <v>30.793610000000001</v>
      </c>
      <c r="R296" s="323"/>
      <c r="S296" s="323"/>
      <c r="T296" s="12">
        <f>Price!G296</f>
        <v>3793148</v>
      </c>
      <c r="U296" s="257">
        <f>Price!H296</f>
        <v>227577</v>
      </c>
      <c r="V296" s="13"/>
      <c r="W296" s="13"/>
      <c r="X296" s="19"/>
      <c r="Y296" s="19"/>
    </row>
    <row r="297" spans="1:25" ht="15" thickBot="1" x14ac:dyDescent="0.4">
      <c r="A297" s="85" t="str">
        <f>IF($C$2=1,L297,IF($C$2=2,L298,IF($C$2=3,L299,IF($C$2=4,L300,"  chyba"))))</f>
        <v>Sada kování vnitř.výs. C, s relingem, Orion šedá</v>
      </c>
      <c r="B297" s="86" t="str">
        <f>IF($C$2=1,M297,IF($C$2=2,M298,IF($C$2=3,M299,IF($C$2=4,M300,"  chyba"))))</f>
        <v>ZI7.3CS0</v>
      </c>
      <c r="C297" s="86" t="str">
        <f>IF($C$2=1,N297,IF($C$2=2,N298,IF($C$2=3,N299,IF($C$2=4,N300,"  chyba"))))</f>
        <v>OG-M</v>
      </c>
      <c r="D297" s="86">
        <f>IF($C$2=1,O297,IF($C$2=2,O298,IF($C$2=3,O299,IF($C$2=4,O300,"  chyba"))))</f>
        <v>0</v>
      </c>
      <c r="E297" s="87"/>
      <c r="F297" s="88">
        <f>IF($C$2=1,Q297,IF($C$2=2,Q298,IF($C$2=3,Q299,IF($C$2=4,Q300,0))))*(100-$F$6)/100</f>
        <v>18.150179999999999</v>
      </c>
      <c r="G297" s="64"/>
      <c r="H297" s="64"/>
      <c r="I297" s="171">
        <f>IF($C$2=1,T297,IF($C$2=2,T298,IF($C$2=3,T299,IF($C$2=4,T300,"  chyba"))))</f>
        <v>3868654</v>
      </c>
      <c r="J297" s="171">
        <f>IF($C$2=1,U297,IF($C$2=2,U298,IF($C$2=3,U299,IF($C$2=4,U300,"  chyba"))))</f>
        <v>236547</v>
      </c>
      <c r="K297" s="62"/>
      <c r="L297" s="60" t="str">
        <f>Price!A297</f>
        <v>Sada kování vnitř.výs. C, s relingem, Orion šedá</v>
      </c>
      <c r="M297" s="15" t="str">
        <f>Price!B297</f>
        <v>ZI7.3CS0</v>
      </c>
      <c r="N297" s="15" t="str">
        <f>Price!C297</f>
        <v>OG-M</v>
      </c>
      <c r="O297" s="537">
        <f>Price!D297</f>
        <v>0</v>
      </c>
      <c r="P297" s="16"/>
      <c r="Q297" s="17">
        <f>Price!F297</f>
        <v>18.150179999999999</v>
      </c>
      <c r="R297" s="323"/>
      <c r="S297" s="323"/>
      <c r="T297" s="12">
        <f>Price!G297</f>
        <v>3868654</v>
      </c>
      <c r="U297" s="257">
        <f>Price!H297</f>
        <v>236547</v>
      </c>
      <c r="V297" s="13"/>
      <c r="X297" s="19"/>
      <c r="Y297" s="19"/>
    </row>
    <row r="298" spans="1:25" x14ac:dyDescent="0.35">
      <c r="A298" s="76"/>
      <c r="B298" s="163"/>
      <c r="C298" s="163"/>
      <c r="D298" s="541"/>
      <c r="E298" s="82"/>
      <c r="F298" s="83"/>
      <c r="G298" s="83"/>
      <c r="H298" s="83"/>
      <c r="I298" s="174"/>
      <c r="J298" s="174"/>
      <c r="K298" s="62"/>
      <c r="L298" s="60" t="str">
        <f>Price!A298</f>
        <v>Sada kování vnitř.výs. C, s relingem, hedv.bílá</v>
      </c>
      <c r="M298" s="15" t="str">
        <f>Price!B298</f>
        <v>ZI7.3CS0</v>
      </c>
      <c r="N298" s="15" t="str">
        <f>Price!C298</f>
        <v>SW-M</v>
      </c>
      <c r="O298" s="537">
        <f>Price!D298</f>
        <v>0</v>
      </c>
      <c r="P298" s="16"/>
      <c r="Q298" s="17">
        <f>Price!F298</f>
        <v>18.150179999999999</v>
      </c>
      <c r="R298" s="323"/>
      <c r="S298" s="323"/>
      <c r="T298" s="12">
        <f>Price!G298</f>
        <v>9103721</v>
      </c>
      <c r="U298" s="257">
        <f>Price!H298</f>
        <v>236546</v>
      </c>
      <c r="V298" s="13"/>
      <c r="W298" s="13"/>
      <c r="X298" s="19"/>
      <c r="Y298" s="19"/>
    </row>
    <row r="299" spans="1:25" x14ac:dyDescent="0.35">
      <c r="A299" s="76"/>
      <c r="B299" s="163"/>
      <c r="C299" s="163"/>
      <c r="D299" s="541"/>
      <c r="E299" s="82"/>
      <c r="F299" s="83"/>
      <c r="G299" s="83"/>
      <c r="H299" s="83"/>
      <c r="I299" s="174"/>
      <c r="J299" s="174"/>
      <c r="K299" s="62"/>
      <c r="L299" s="60" t="str">
        <f>Price!A299</f>
        <v>Sada kování vnitř.výs. C, s relingem, černá Terra</v>
      </c>
      <c r="M299" s="15" t="str">
        <f>Price!B299</f>
        <v>ZI7.3CS0</v>
      </c>
      <c r="N299" s="15" t="str">
        <f>Price!C299</f>
        <v>TS-M</v>
      </c>
      <c r="O299" s="537">
        <f>Price!D299</f>
        <v>0</v>
      </c>
      <c r="P299" s="16"/>
      <c r="Q299" s="17">
        <f>Price!F299</f>
        <v>18.150179999999999</v>
      </c>
      <c r="R299" s="323"/>
      <c r="S299" s="323"/>
      <c r="T299" s="12">
        <f>Price!G299</f>
        <v>6724341</v>
      </c>
      <c r="U299" s="257">
        <f>Price!H299</f>
        <v>236548</v>
      </c>
      <c r="V299" s="13"/>
      <c r="W299" s="13"/>
      <c r="X299" s="19"/>
      <c r="Y299" s="19"/>
    </row>
    <row r="300" spans="1:25" x14ac:dyDescent="0.35">
      <c r="A300" s="76"/>
      <c r="B300" s="163"/>
      <c r="C300" s="163"/>
      <c r="D300" s="541"/>
      <c r="E300" s="82"/>
      <c r="F300" s="83"/>
      <c r="G300" s="83"/>
      <c r="H300" s="83"/>
      <c r="I300" s="174"/>
      <c r="J300" s="174"/>
      <c r="K300" s="62"/>
      <c r="L300" s="60" t="str">
        <f>Price!A300</f>
        <v>Sada kování vnitř.výs. C, s relingem, nerez</v>
      </c>
      <c r="M300" s="15" t="str">
        <f>Price!B300</f>
        <v>ZI7.3CI0</v>
      </c>
      <c r="N300" s="15" t="str">
        <f>Price!C300</f>
        <v>Inox</v>
      </c>
      <c r="O300" s="537" t="str">
        <f>Price!D300</f>
        <v>!</v>
      </c>
      <c r="P300" s="16"/>
      <c r="Q300" s="17">
        <f>Price!F300</f>
        <v>29.540990000000001</v>
      </c>
      <c r="R300" s="323"/>
      <c r="S300" s="323"/>
      <c r="T300" s="12">
        <f>Price!G300</f>
        <v>9439314</v>
      </c>
      <c r="U300" s="257">
        <f>Price!H300</f>
        <v>236549</v>
      </c>
      <c r="V300" s="13"/>
      <c r="W300" s="13"/>
      <c r="X300" s="19"/>
      <c r="Y300" s="19"/>
    </row>
    <row r="301" spans="1:25" x14ac:dyDescent="0.35">
      <c r="A301" s="76"/>
      <c r="B301" s="163"/>
      <c r="C301" s="163"/>
      <c r="D301" s="541"/>
      <c r="E301" s="82"/>
      <c r="F301" s="83"/>
      <c r="G301" s="83"/>
      <c r="H301" s="83"/>
      <c r="I301" s="174"/>
      <c r="J301" s="174"/>
      <c r="K301" s="20"/>
      <c r="L301" s="60">
        <f>Price!A301</f>
        <v>0</v>
      </c>
      <c r="M301" s="15">
        <f>Price!B301</f>
        <v>0</v>
      </c>
      <c r="N301" s="15">
        <f>Price!C301</f>
        <v>0</v>
      </c>
      <c r="O301" s="537">
        <f>Price!D301</f>
        <v>0</v>
      </c>
      <c r="P301" s="16"/>
      <c r="Q301" s="17">
        <f>Price!F301</f>
        <v>0</v>
      </c>
      <c r="R301" s="323"/>
      <c r="S301" s="323"/>
      <c r="T301" s="12">
        <f>Price!G301</f>
        <v>0</v>
      </c>
      <c r="U301" s="257">
        <f>Price!H301</f>
        <v>0</v>
      </c>
      <c r="V301" s="13"/>
      <c r="W301" s="13"/>
      <c r="X301" s="19"/>
      <c r="Y301" s="19"/>
    </row>
    <row r="302" spans="1:25" x14ac:dyDescent="0.35">
      <c r="A302" s="76"/>
      <c r="B302" s="162"/>
      <c r="C302" s="162"/>
      <c r="D302" s="540"/>
      <c r="E302" s="77"/>
      <c r="F302" s="64"/>
      <c r="G302" s="64"/>
      <c r="H302" s="64"/>
      <c r="I302" s="175"/>
      <c r="J302" s="175"/>
      <c r="K302" s="20"/>
      <c r="L302" s="60">
        <f>Price!A302</f>
        <v>0</v>
      </c>
      <c r="M302" s="15">
        <f>Price!B302</f>
        <v>0</v>
      </c>
      <c r="N302" s="15">
        <f>Price!C302</f>
        <v>0</v>
      </c>
      <c r="O302" s="537">
        <f>Price!D302</f>
        <v>0</v>
      </c>
      <c r="P302" s="16"/>
      <c r="Q302" s="17">
        <f>Price!F302</f>
        <v>0</v>
      </c>
      <c r="R302" s="323"/>
      <c r="S302" s="323"/>
      <c r="T302" s="12">
        <f>Price!G302</f>
        <v>0</v>
      </c>
      <c r="U302" s="257">
        <f>Price!H302</f>
        <v>0</v>
      </c>
      <c r="V302" s="13"/>
      <c r="W302" s="13"/>
      <c r="X302" s="19"/>
      <c r="Y302" s="19"/>
    </row>
    <row r="303" spans="1:25" x14ac:dyDescent="0.35">
      <c r="A303" s="76"/>
      <c r="B303" s="163"/>
      <c r="C303" s="163"/>
      <c r="D303" s="541"/>
      <c r="E303" s="82"/>
      <c r="F303" s="64"/>
      <c r="G303" s="64"/>
      <c r="H303" s="64"/>
      <c r="I303" s="174"/>
      <c r="J303" s="174"/>
      <c r="K303" s="61"/>
      <c r="L303" s="60">
        <f>Price!A303</f>
        <v>0</v>
      </c>
      <c r="M303" s="15">
        <f>Price!B303</f>
        <v>0</v>
      </c>
      <c r="N303" s="15">
        <f>Price!C303</f>
        <v>0</v>
      </c>
      <c r="O303" s="537">
        <f>Price!D303</f>
        <v>0</v>
      </c>
      <c r="P303" s="16"/>
      <c r="Q303" s="17">
        <f>Price!F303</f>
        <v>0</v>
      </c>
      <c r="R303" s="323"/>
      <c r="S303" s="323"/>
      <c r="T303" s="12">
        <f>Price!G303</f>
        <v>0</v>
      </c>
      <c r="U303" s="257">
        <f>Price!H303</f>
        <v>0</v>
      </c>
      <c r="V303" s="13"/>
      <c r="W303" s="13"/>
      <c r="X303" s="19"/>
      <c r="Y303" s="19"/>
    </row>
    <row r="304" spans="1:25" x14ac:dyDescent="0.35">
      <c r="A304" s="76"/>
      <c r="B304" s="162"/>
      <c r="C304" s="162"/>
      <c r="D304" s="540"/>
      <c r="E304" s="82"/>
      <c r="F304" s="64"/>
      <c r="G304" s="64"/>
      <c r="H304" s="64"/>
      <c r="I304" s="175"/>
      <c r="J304" s="175"/>
      <c r="K304" s="61"/>
      <c r="L304" s="60">
        <f>Price!A304</f>
        <v>0</v>
      </c>
      <c r="M304" s="15">
        <f>Price!B304</f>
        <v>0</v>
      </c>
      <c r="N304" s="15">
        <f>Price!C304</f>
        <v>0</v>
      </c>
      <c r="O304" s="537">
        <f>Price!D304</f>
        <v>0</v>
      </c>
      <c r="P304" s="16"/>
      <c r="Q304" s="17">
        <f>Price!F304</f>
        <v>0</v>
      </c>
      <c r="R304" s="323"/>
      <c r="S304" s="323"/>
      <c r="T304" s="12">
        <f>Price!G304</f>
        <v>0</v>
      </c>
      <c r="U304" s="257">
        <f>Price!H304</f>
        <v>0</v>
      </c>
      <c r="V304" s="13"/>
      <c r="W304" s="13"/>
      <c r="X304" s="19"/>
      <c r="Y304" s="19"/>
    </row>
    <row r="305" spans="1:25" x14ac:dyDescent="0.35">
      <c r="A305" s="78"/>
      <c r="B305" s="163"/>
      <c r="C305" s="163"/>
      <c r="D305" s="541"/>
      <c r="E305" s="77"/>
      <c r="F305" s="66"/>
      <c r="G305" s="66"/>
      <c r="H305" s="66"/>
      <c r="I305" s="174"/>
      <c r="J305" s="174"/>
      <c r="K305" s="61"/>
      <c r="L305" s="60">
        <f>Price!A305</f>
        <v>0</v>
      </c>
      <c r="M305" s="15">
        <f>Price!B305</f>
        <v>0</v>
      </c>
      <c r="N305" s="15">
        <f>Price!C305</f>
        <v>0</v>
      </c>
      <c r="O305" s="537">
        <f>Price!D305</f>
        <v>0</v>
      </c>
      <c r="P305" s="16"/>
      <c r="Q305" s="17">
        <f>Price!F305</f>
        <v>0</v>
      </c>
      <c r="R305" s="323"/>
      <c r="S305" s="323"/>
      <c r="T305" s="12">
        <f>Price!G305</f>
        <v>0</v>
      </c>
      <c r="U305" s="257">
        <f>Price!H305</f>
        <v>0</v>
      </c>
      <c r="V305" s="13"/>
      <c r="W305" s="13"/>
      <c r="X305" s="19"/>
      <c r="Y305" s="19"/>
    </row>
    <row r="306" spans="1:25" ht="15" thickBot="1" x14ac:dyDescent="0.4">
      <c r="A306" s="85" t="str">
        <f>IF($C$2=1,L306,IF($C$2=2,L307,IF($C$2=3,L308,IF($C$2=4,L309,"  chyba"))))</f>
        <v>Přední díl vnitřní zásuvky, s drážkou, Orion šedý</v>
      </c>
      <c r="B306" s="86" t="str">
        <f>IF($C$2=1,M306,IF($C$2=2,M307,IF($C$2=3,M308,IF($C$2=4,M309,"  chyba"))))</f>
        <v>ZV7.1043MN1</v>
      </c>
      <c r="C306" s="86" t="str">
        <f>IF($C$2=1,N306,IF($C$2=2,N307,IF($C$2=3,N308,IF($C$2=4,N309,"  chyba"))))</f>
        <v>OG-M</v>
      </c>
      <c r="D306" s="86">
        <f>IF($C$2=1,O306,IF($C$2=2,O307,IF($C$2=3,O308,IF($C$2=4,O309,"  chyba"))))</f>
        <v>0</v>
      </c>
      <c r="E306" s="87"/>
      <c r="F306" s="88">
        <f>IF($C$2=1,Q306,IF($C$2=2,Q307,IF($C$2=3,Q308,IF($C$2=4,Q309,0))))*(100-$F$6)/100</f>
        <v>14.808439999999997</v>
      </c>
      <c r="G306" s="64"/>
      <c r="H306" s="64"/>
      <c r="I306" s="171">
        <f>IF($C$2=1,T306,IF($C$2=2,T307,IF($C$2=3,T308,IF($C$2=4,T309,"  chyba"))))</f>
        <v>1302013</v>
      </c>
      <c r="J306" s="171">
        <f>IF($C$2=1,U306,IF($C$2=2,U307,IF($C$2=3,U308,IF($C$2=4,U309,"  chyba"))))</f>
        <v>227583</v>
      </c>
      <c r="K306" s="61"/>
      <c r="L306" s="60" t="str">
        <f>Price!A306</f>
        <v>Přední díl vnitřní zásuvky, s drážkou, Orion šedý</v>
      </c>
      <c r="M306" s="15" t="str">
        <f>Price!B306</f>
        <v>ZV7.1043MN1</v>
      </c>
      <c r="N306" s="15" t="str">
        <f>Price!C306</f>
        <v>OG-M</v>
      </c>
      <c r="O306" s="537">
        <f>Price!D306</f>
        <v>0</v>
      </c>
      <c r="P306" s="16"/>
      <c r="Q306" s="17">
        <f>Price!F306</f>
        <v>14.808439999999999</v>
      </c>
      <c r="R306" s="323"/>
      <c r="S306" s="323"/>
      <c r="T306" s="12">
        <f>Price!G306</f>
        <v>1302013</v>
      </c>
      <c r="U306" s="257">
        <f>Price!H306</f>
        <v>227583</v>
      </c>
      <c r="V306" s="13"/>
      <c r="W306" s="13"/>
      <c r="X306" s="19"/>
      <c r="Y306" s="19"/>
    </row>
    <row r="307" spans="1:25" x14ac:dyDescent="0.35">
      <c r="A307" s="76"/>
      <c r="B307" s="163"/>
      <c r="C307" s="163"/>
      <c r="D307" s="541"/>
      <c r="E307" s="82"/>
      <c r="F307" s="64"/>
      <c r="G307" s="64"/>
      <c r="H307" s="64"/>
      <c r="I307" s="174"/>
      <c r="J307" s="174"/>
      <c r="K307" s="20"/>
      <c r="L307" s="60" t="str">
        <f>Price!A307</f>
        <v>Přední díl vnitřní zásuvky, s drážkou, hedvábně bílý</v>
      </c>
      <c r="M307" s="15" t="str">
        <f>Price!B307</f>
        <v>ZV7.1043MN1</v>
      </c>
      <c r="N307" s="15" t="str">
        <f>Price!C307</f>
        <v>SW-M</v>
      </c>
      <c r="O307" s="537">
        <f>Price!D307</f>
        <v>0</v>
      </c>
      <c r="P307" s="16"/>
      <c r="Q307" s="17">
        <f>Price!F307</f>
        <v>14.808439999999999</v>
      </c>
      <c r="R307" s="323"/>
      <c r="S307" s="323"/>
      <c r="T307" s="12">
        <f>Price!G307</f>
        <v>8063022</v>
      </c>
      <c r="U307" s="257">
        <f>Price!H307</f>
        <v>227582</v>
      </c>
      <c r="V307" s="13"/>
      <c r="W307" s="13"/>
      <c r="X307" s="19"/>
      <c r="Y307" s="19"/>
    </row>
    <row r="308" spans="1:25" x14ac:dyDescent="0.35">
      <c r="A308" s="76"/>
      <c r="B308" s="162"/>
      <c r="C308" s="162"/>
      <c r="D308" s="540"/>
      <c r="E308" s="82"/>
      <c r="F308" s="64"/>
      <c r="G308" s="64"/>
      <c r="H308" s="64"/>
      <c r="I308" s="175"/>
      <c r="J308" s="175"/>
      <c r="K308" s="62"/>
      <c r="L308" s="60" t="str">
        <f>Price!A308</f>
        <v>Přední díl vnitřní zásuvky, s drážkou, černý Terra</v>
      </c>
      <c r="M308" s="15" t="str">
        <f>Price!B308</f>
        <v>ZV7.1043MN1</v>
      </c>
      <c r="N308" s="15" t="str">
        <f>Price!C308</f>
        <v>TS-M</v>
      </c>
      <c r="O308" s="537">
        <f>Price!D308</f>
        <v>0</v>
      </c>
      <c r="P308" s="16"/>
      <c r="Q308" s="17">
        <f>Price!F308</f>
        <v>14.808439999999999</v>
      </c>
      <c r="R308" s="323"/>
      <c r="S308" s="323"/>
      <c r="T308" s="12">
        <f>Price!G308</f>
        <v>8107316</v>
      </c>
      <c r="U308" s="257">
        <f>Price!H308</f>
        <v>227584</v>
      </c>
      <c r="V308" s="13"/>
      <c r="W308" s="13"/>
      <c r="X308" s="19"/>
      <c r="Y308" s="19"/>
    </row>
    <row r="309" spans="1:25" x14ac:dyDescent="0.35">
      <c r="A309" s="76"/>
      <c r="B309" s="163"/>
      <c r="C309" s="163"/>
      <c r="D309" s="541"/>
      <c r="E309" s="82"/>
      <c r="F309" s="64"/>
      <c r="G309" s="64"/>
      <c r="H309" s="64"/>
      <c r="I309" s="174"/>
      <c r="J309" s="174"/>
      <c r="K309" s="61"/>
      <c r="L309" s="60" t="str">
        <f>Price!A309</f>
        <v>Přední díl vnitřní zásuvky, s drážkou, matný nikl</v>
      </c>
      <c r="M309" s="15" t="str">
        <f>Price!B309</f>
        <v>ZV7.1043MN1</v>
      </c>
      <c r="N309" s="15" t="str">
        <f>Price!C309</f>
        <v>NI-M</v>
      </c>
      <c r="O309" s="537" t="str">
        <f>Price!D309</f>
        <v>!</v>
      </c>
      <c r="P309" s="16"/>
      <c r="Q309" s="17">
        <f>Price!F309</f>
        <v>30.983229999999999</v>
      </c>
      <c r="R309" s="323"/>
      <c r="S309" s="323"/>
      <c r="T309" s="12">
        <f>Price!G309</f>
        <v>6242793</v>
      </c>
      <c r="U309" s="257">
        <f>Price!H309</f>
        <v>227585</v>
      </c>
      <c r="V309" s="13"/>
      <c r="W309" s="13"/>
      <c r="X309" s="19"/>
      <c r="Y309" s="19"/>
    </row>
    <row r="310" spans="1:25" ht="15" thickBot="1" x14ac:dyDescent="0.4">
      <c r="A310" s="85" t="str">
        <f>IF($C$2=1,L310,IF($C$2=2,L311,IF($C$2=3,L312,IF($C$2=4,L313,"  chyba"))))</f>
        <v>Přední díl vnitřní zásuvky, bez drážky, Orion šedý</v>
      </c>
      <c r="B310" s="86" t="str">
        <f>IF($C$2=1,M310,IF($C$2=2,M311,IF($C$2=3,M312,IF($C$2=4,M313,"  chyba"))))</f>
        <v>ZV7.1043C01</v>
      </c>
      <c r="C310" s="86" t="str">
        <f>IF($C$2=1,N310,IF($C$2=2,N311,IF($C$2=3,N312,IF($C$2=4,N313,"  chyba"))))</f>
        <v>OG-M</v>
      </c>
      <c r="D310" s="86">
        <f>IF($C$2=1,O310,IF($C$2=2,O311,IF($C$2=3,O312,IF($C$2=4,O313,"  chyba"))))</f>
        <v>0</v>
      </c>
      <c r="E310" s="87"/>
      <c r="F310" s="88">
        <f>IF($C$2=1,Q310,IF($C$2=2,Q311,IF($C$2=3,Q312,IF($C$2=4,Q313,0))))*(100-$F$6)/100</f>
        <v>15.491620000000001</v>
      </c>
      <c r="G310" s="64"/>
      <c r="H310" s="64"/>
      <c r="I310" s="171">
        <f>IF($C$2=1,T310,IF($C$2=2,T311,IF($C$2=3,T312,IF($C$2=4,T313,"  chyba"))))</f>
        <v>5897587</v>
      </c>
      <c r="J310" s="171">
        <f>IF($C$2=1,U310,IF($C$2=2,U311,IF($C$2=3,U312,IF($C$2=4,U313,"  chyba"))))</f>
        <v>227579</v>
      </c>
      <c r="K310" s="61"/>
      <c r="L310" s="60" t="str">
        <f>Price!A310</f>
        <v>Přední díl vnitřní zásuvky, bez drážky, Orion šedý</v>
      </c>
      <c r="M310" s="15" t="str">
        <f>Price!B310</f>
        <v>ZV7.1043C01</v>
      </c>
      <c r="N310" s="15" t="str">
        <f>Price!C310</f>
        <v>OG-M</v>
      </c>
      <c r="O310" s="537">
        <f>Price!D310</f>
        <v>0</v>
      </c>
      <c r="P310" s="16"/>
      <c r="Q310" s="17">
        <f>Price!F310</f>
        <v>15.491619999999999</v>
      </c>
      <c r="R310" s="323"/>
      <c r="S310" s="323"/>
      <c r="T310" s="12">
        <f>Price!G310</f>
        <v>5897587</v>
      </c>
      <c r="U310" s="257">
        <f>Price!H310</f>
        <v>227579</v>
      </c>
      <c r="V310" s="13"/>
      <c r="W310" s="13"/>
      <c r="X310" s="19"/>
      <c r="Y310" s="19"/>
    </row>
    <row r="311" spans="1:25" x14ac:dyDescent="0.35">
      <c r="A311" s="76"/>
      <c r="B311" s="162"/>
      <c r="C311" s="162"/>
      <c r="D311" s="540"/>
      <c r="E311" s="77"/>
      <c r="F311" s="64"/>
      <c r="G311" s="64"/>
      <c r="H311" s="64"/>
      <c r="I311" s="175"/>
      <c r="J311" s="175"/>
      <c r="K311" s="61"/>
      <c r="L311" s="60" t="str">
        <f>Price!A311</f>
        <v>Přední díl vnitřní zásuvky, bez drážky, hedvábně bílý</v>
      </c>
      <c r="M311" s="15" t="str">
        <f>Price!B311</f>
        <v>ZV7.1043C01</v>
      </c>
      <c r="N311" s="15" t="str">
        <f>Price!C311</f>
        <v>SW-M</v>
      </c>
      <c r="O311" s="537">
        <f>Price!D311</f>
        <v>0</v>
      </c>
      <c r="P311" s="16"/>
      <c r="Q311" s="17">
        <f>Price!F311</f>
        <v>14.66319</v>
      </c>
      <c r="R311" s="323"/>
      <c r="S311" s="323"/>
      <c r="T311" s="12">
        <f>Price!G311</f>
        <v>7731476</v>
      </c>
      <c r="U311" s="257">
        <f>Price!H311</f>
        <v>227578</v>
      </c>
      <c r="V311" s="13"/>
      <c r="W311" s="13"/>
      <c r="X311" s="19"/>
      <c r="Y311" s="19"/>
    </row>
    <row r="312" spans="1:25" x14ac:dyDescent="0.35">
      <c r="A312" s="76"/>
      <c r="B312" s="162"/>
      <c r="C312" s="162"/>
      <c r="D312" s="540"/>
      <c r="E312" s="77"/>
      <c r="F312" s="64"/>
      <c r="G312" s="64"/>
      <c r="H312" s="64"/>
      <c r="I312" s="175"/>
      <c r="J312" s="175"/>
      <c r="K312" s="61"/>
      <c r="L312" s="60" t="str">
        <f>Price!A312</f>
        <v>Přední díl vnitřní zásuvky, bez drážky, černý Terra</v>
      </c>
      <c r="M312" s="15" t="str">
        <f>Price!B312</f>
        <v>ZV7.1043C01</v>
      </c>
      <c r="N312" s="15" t="str">
        <f>Price!C312</f>
        <v>TS-M</v>
      </c>
      <c r="O312" s="537">
        <f>Price!D312</f>
        <v>0</v>
      </c>
      <c r="P312" s="16"/>
      <c r="Q312" s="17">
        <f>Price!F312</f>
        <v>15.491619999999999</v>
      </c>
      <c r="R312" s="323"/>
      <c r="S312" s="323"/>
      <c r="T312" s="12">
        <f>Price!G312</f>
        <v>9425225</v>
      </c>
      <c r="U312" s="257">
        <f>Price!H312</f>
        <v>227580</v>
      </c>
      <c r="V312" s="13"/>
      <c r="W312" s="13"/>
      <c r="X312" s="19"/>
      <c r="Y312" s="19"/>
    </row>
    <row r="313" spans="1:25" x14ac:dyDescent="0.35">
      <c r="A313" s="76"/>
      <c r="B313" s="162"/>
      <c r="C313" s="162"/>
      <c r="D313" s="540"/>
      <c r="E313" s="77"/>
      <c r="F313" s="64"/>
      <c r="G313" s="64"/>
      <c r="H313" s="64"/>
      <c r="I313" s="175"/>
      <c r="J313" s="175"/>
      <c r="K313" s="61"/>
      <c r="L313" s="60" t="str">
        <f>Price!A313</f>
        <v>Přední díl vnitřní zásuvky, bez drážky, matný nikl</v>
      </c>
      <c r="M313" s="15" t="str">
        <f>Price!B313</f>
        <v>ZV7.1043C01</v>
      </c>
      <c r="N313" s="15" t="str">
        <f>Price!C313</f>
        <v>NI-M</v>
      </c>
      <c r="O313" s="537" t="str">
        <f>Price!D313</f>
        <v>!</v>
      </c>
      <c r="P313" s="16"/>
      <c r="Q313" s="17">
        <f>Price!F313</f>
        <v>37.134369999999997</v>
      </c>
      <c r="R313" s="323"/>
      <c r="S313" s="323"/>
      <c r="T313" s="12">
        <f>Price!G313</f>
        <v>8937075</v>
      </c>
      <c r="U313" s="257">
        <f>Price!H313</f>
        <v>227581</v>
      </c>
      <c r="V313" s="13"/>
      <c r="W313" s="13"/>
      <c r="X313" s="19"/>
      <c r="Y313" s="19"/>
    </row>
    <row r="314" spans="1:25" x14ac:dyDescent="0.35">
      <c r="A314" s="76"/>
      <c r="B314" s="162"/>
      <c r="C314" s="162"/>
      <c r="D314" s="540"/>
      <c r="E314" s="77"/>
      <c r="F314" s="64"/>
      <c r="G314" s="64"/>
      <c r="H314" s="64"/>
      <c r="I314" s="175"/>
      <c r="J314" s="175"/>
      <c r="K314" s="61"/>
      <c r="L314" s="60">
        <f>Price!A314</f>
        <v>0</v>
      </c>
      <c r="M314" s="15">
        <f>Price!B314</f>
        <v>0</v>
      </c>
      <c r="N314" s="15">
        <f>Price!C314</f>
        <v>0</v>
      </c>
      <c r="O314" s="537">
        <f>Price!D314</f>
        <v>0</v>
      </c>
      <c r="P314" s="16"/>
      <c r="Q314" s="17">
        <f>Price!F314</f>
        <v>0</v>
      </c>
      <c r="R314" s="323"/>
      <c r="S314" s="323"/>
      <c r="T314" s="12">
        <f>Price!G314</f>
        <v>0</v>
      </c>
      <c r="U314" s="257">
        <f>Price!H314</f>
        <v>0</v>
      </c>
      <c r="V314" s="13"/>
      <c r="W314" s="13"/>
      <c r="X314" s="19"/>
      <c r="Y314" s="19"/>
    </row>
    <row r="315" spans="1:25" x14ac:dyDescent="0.35">
      <c r="A315" s="76"/>
      <c r="B315" s="162"/>
      <c r="C315" s="162"/>
      <c r="D315" s="540"/>
      <c r="E315" s="77"/>
      <c r="F315" s="64"/>
      <c r="G315" s="64"/>
      <c r="H315" s="64"/>
      <c r="I315" s="175"/>
      <c r="J315" s="175"/>
      <c r="K315" s="61"/>
      <c r="L315" s="60">
        <f>Price!A315</f>
        <v>0</v>
      </c>
      <c r="M315" s="15">
        <f>Price!B315</f>
        <v>0</v>
      </c>
      <c r="N315" s="15">
        <f>Price!C315</f>
        <v>0</v>
      </c>
      <c r="O315" s="537">
        <f>Price!D315</f>
        <v>0</v>
      </c>
      <c r="P315" s="16"/>
      <c r="Q315" s="17">
        <f>Price!F315</f>
        <v>0</v>
      </c>
      <c r="R315" s="323"/>
      <c r="S315" s="323"/>
      <c r="T315" s="12">
        <f>Price!G315</f>
        <v>0</v>
      </c>
      <c r="U315" s="257">
        <f>Price!H315</f>
        <v>0</v>
      </c>
      <c r="V315" s="13"/>
      <c r="W315" s="13"/>
      <c r="X315" s="19"/>
      <c r="Y315" s="19"/>
    </row>
    <row r="316" spans="1:25" x14ac:dyDescent="0.35">
      <c r="A316" s="76"/>
      <c r="B316" s="162"/>
      <c r="C316" s="162"/>
      <c r="D316" s="540"/>
      <c r="E316" s="77"/>
      <c r="F316" s="64"/>
      <c r="G316" s="64"/>
      <c r="H316" s="64"/>
      <c r="I316" s="175"/>
      <c r="J316" s="175"/>
      <c r="K316" s="61"/>
      <c r="L316" s="60">
        <f>Price!A316</f>
        <v>0</v>
      </c>
      <c r="M316" s="15">
        <f>Price!B316</f>
        <v>0</v>
      </c>
      <c r="N316" s="15">
        <f>Price!C316</f>
        <v>0</v>
      </c>
      <c r="O316" s="537">
        <f>Price!D316</f>
        <v>0</v>
      </c>
      <c r="P316" s="16"/>
      <c r="Q316" s="17">
        <f>Price!F316</f>
        <v>0</v>
      </c>
      <c r="R316" s="323"/>
      <c r="S316" s="323"/>
      <c r="T316" s="12">
        <f>Price!G316</f>
        <v>0</v>
      </c>
      <c r="U316" s="257">
        <f>Price!H316</f>
        <v>0</v>
      </c>
      <c r="V316" s="13"/>
      <c r="W316" s="13"/>
      <c r="X316" s="19"/>
      <c r="Y316" s="19"/>
    </row>
    <row r="317" spans="1:25" x14ac:dyDescent="0.35">
      <c r="A317" s="76"/>
      <c r="B317" s="162"/>
      <c r="C317" s="162"/>
      <c r="D317" s="540"/>
      <c r="E317" s="77"/>
      <c r="F317" s="64"/>
      <c r="G317" s="64"/>
      <c r="H317" s="64"/>
      <c r="I317" s="175"/>
      <c r="J317" s="175"/>
      <c r="K317" s="61"/>
      <c r="L317" s="60">
        <f>Price!A317</f>
        <v>0</v>
      </c>
      <c r="M317" s="15">
        <f>Price!B317</f>
        <v>0</v>
      </c>
      <c r="N317" s="15">
        <f>Price!C317</f>
        <v>0</v>
      </c>
      <c r="O317" s="537">
        <f>Price!D317</f>
        <v>0</v>
      </c>
      <c r="P317" s="16"/>
      <c r="Q317" s="17">
        <f>Price!F317</f>
        <v>0</v>
      </c>
      <c r="R317" s="323"/>
      <c r="S317" s="323"/>
      <c r="T317" s="12">
        <f>Price!G317</f>
        <v>0</v>
      </c>
      <c r="U317" s="257">
        <f>Price!H317</f>
        <v>0</v>
      </c>
      <c r="V317" s="13"/>
      <c r="W317" s="13"/>
      <c r="X317" s="19"/>
      <c r="Y317" s="19"/>
    </row>
    <row r="318" spans="1:25" ht="15" thickBot="1" x14ac:dyDescent="0.4">
      <c r="A318" s="325" t="str">
        <f>IF($C$2=1,L318,IF($C$2=2,L319,IF($C$2=3,L320,IF($C$2=4,L320,"  chyba"))))</f>
        <v>Unašeč pro vnirřní zásuvku M, Orion šedý</v>
      </c>
      <c r="B318" s="331" t="str">
        <f>IF($C$2=1,M318,IF($C$2=2,M319,IF($C$2=3,M320,IF($C$2=4,M320,"  chyba"))))</f>
        <v>ZI7.0M07</v>
      </c>
      <c r="C318" s="331" t="str">
        <f>IF($C$2=1,N318,IF($C$2=2,N319,IF($C$2=3,N320,IF($C$2=4,N320,"  chyba"))))</f>
        <v>OG-M</v>
      </c>
      <c r="D318" s="331">
        <f>IF($C$2=1,O318,IF($C$2=2,O319,IF($C$2=3,O320,IF($C$2=4,O320,"  chyba"))))</f>
        <v>0</v>
      </c>
      <c r="E318" s="327">
        <f>IF($C$2=1,P318,IF($C$2=2,P319,IF($C$2=3,P320,IF($C$2=4,P320,"  chyba"))))</f>
        <v>0</v>
      </c>
      <c r="F318" s="328">
        <f>IF($C$2=1,Q318,IF($C$2=2,Q319,IF($C$2=3,Q320,IF($C$2=4,Q320,0))))*(100-$F$6)/100</f>
        <v>5.73271</v>
      </c>
      <c r="G318" s="329"/>
      <c r="H318" s="329"/>
      <c r="I318" s="332">
        <f>IF($C$2=1,T318,IF($C$2=2,T319,IF($C$2=3,T320,IF($C$2=4,T320,"  chyba"))))</f>
        <v>5209105</v>
      </c>
      <c r="J318" s="332">
        <f>IF($C$2=1,U318,IF($C$2=2,U319,IF($C$2=3,U320,IF($C$2=4,U320,"  chyba"))))</f>
        <v>227604</v>
      </c>
      <c r="K318" s="61"/>
      <c r="L318" s="60" t="str">
        <f>Price!A318</f>
        <v>Unašeč pro vnirřní zásuvku M, Orion šedý</v>
      </c>
      <c r="M318" s="15" t="str">
        <f>Price!B318</f>
        <v>ZI7.0M07</v>
      </c>
      <c r="N318" s="15" t="str">
        <f>Price!C318</f>
        <v>OG-M</v>
      </c>
      <c r="O318" s="537">
        <f>Price!D318</f>
        <v>0</v>
      </c>
      <c r="P318" s="16"/>
      <c r="Q318" s="17">
        <f>Price!F318</f>
        <v>5.73271</v>
      </c>
      <c r="R318" s="323"/>
      <c r="S318" s="323"/>
      <c r="T318" s="12">
        <f>Price!G318</f>
        <v>5209105</v>
      </c>
      <c r="U318" s="257">
        <f>Price!H318</f>
        <v>227604</v>
      </c>
      <c r="V318" s="13"/>
      <c r="W318" s="13"/>
      <c r="X318" s="19"/>
      <c r="Y318" s="19"/>
    </row>
    <row r="319" spans="1:25" x14ac:dyDescent="0.35">
      <c r="A319" s="76"/>
      <c r="B319" s="163"/>
      <c r="C319" s="163"/>
      <c r="D319" s="541"/>
      <c r="E319" s="82"/>
      <c r="F319" s="83"/>
      <c r="G319" s="83"/>
      <c r="H319" s="83"/>
      <c r="I319" s="174"/>
      <c r="J319" s="174"/>
      <c r="K319" s="61"/>
      <c r="L319" s="60" t="str">
        <f>Price!A319</f>
        <v>Unašeč pro vnirřní zásuvku M, hedvábně bílý</v>
      </c>
      <c r="M319" s="15" t="str">
        <f>Price!B319</f>
        <v>ZI7.0M07</v>
      </c>
      <c r="N319" s="15" t="str">
        <f>Price!C319</f>
        <v>SW-M</v>
      </c>
      <c r="O319" s="537">
        <f>Price!D319</f>
        <v>0</v>
      </c>
      <c r="P319" s="16"/>
      <c r="Q319" s="17">
        <f>Price!F319</f>
        <v>5.73271</v>
      </c>
      <c r="R319" s="323"/>
      <c r="S319" s="323"/>
      <c r="T319" s="12">
        <f>Price!G319</f>
        <v>9717615</v>
      </c>
      <c r="U319" s="257">
        <f>Price!H319</f>
        <v>227603</v>
      </c>
      <c r="V319" s="13"/>
      <c r="W319" s="13"/>
      <c r="X319" s="19"/>
      <c r="Y319" s="19"/>
    </row>
    <row r="320" spans="1:25" x14ac:dyDescent="0.35">
      <c r="A320" s="76"/>
      <c r="B320" s="162"/>
      <c r="C320" s="162"/>
      <c r="D320" s="540"/>
      <c r="E320" s="82"/>
      <c r="F320" s="83"/>
      <c r="G320" s="83"/>
      <c r="H320" s="83"/>
      <c r="I320" s="175"/>
      <c r="J320" s="175"/>
      <c r="K320" s="62"/>
      <c r="L320" s="60" t="str">
        <f>Price!A320</f>
        <v>Unašeč pro vnirřní zásuvku M, černý Terra</v>
      </c>
      <c r="M320" s="15" t="str">
        <f>Price!B320</f>
        <v>ZI7.0M07</v>
      </c>
      <c r="N320" s="15" t="str">
        <f>Price!C320</f>
        <v>TS-M</v>
      </c>
      <c r="O320" s="537" t="str">
        <f>Price!D320</f>
        <v>!</v>
      </c>
      <c r="P320" s="16"/>
      <c r="Q320" s="17">
        <f>Price!F320</f>
        <v>5.73271</v>
      </c>
      <c r="R320" s="323"/>
      <c r="S320" s="323"/>
      <c r="T320" s="12">
        <f>Price!G320</f>
        <v>7228931</v>
      </c>
      <c r="U320" s="257">
        <f>Price!H320</f>
        <v>227605</v>
      </c>
      <c r="V320" s="13"/>
      <c r="W320" s="13"/>
      <c r="X320" s="19"/>
      <c r="Y320" s="19"/>
    </row>
    <row r="321" spans="1:25" x14ac:dyDescent="0.35">
      <c r="A321" s="76"/>
      <c r="B321" s="162"/>
      <c r="C321" s="162"/>
      <c r="D321" s="540"/>
      <c r="E321" s="77"/>
      <c r="F321" s="64"/>
      <c r="G321" s="64"/>
      <c r="H321" s="64"/>
      <c r="I321" s="175"/>
      <c r="J321" s="175"/>
      <c r="K321" s="62"/>
      <c r="L321" s="60">
        <f>Price!A321</f>
        <v>0</v>
      </c>
      <c r="M321" s="15">
        <f>Price!B321</f>
        <v>0</v>
      </c>
      <c r="N321" s="15">
        <f>Price!C321</f>
        <v>0</v>
      </c>
      <c r="O321" s="537">
        <f>Price!D321</f>
        <v>0</v>
      </c>
      <c r="P321" s="16"/>
      <c r="Q321" s="17">
        <f>Price!F321</f>
        <v>0</v>
      </c>
      <c r="R321" s="323"/>
      <c r="S321" s="323"/>
      <c r="T321" s="12">
        <f>Price!G321</f>
        <v>0</v>
      </c>
      <c r="U321" s="257">
        <f>Price!H321</f>
        <v>0</v>
      </c>
      <c r="V321" s="13"/>
      <c r="W321" s="13"/>
      <c r="Y321" s="19"/>
    </row>
    <row r="322" spans="1:25" x14ac:dyDescent="0.35">
      <c r="A322" s="89" t="str">
        <f t="shared" ref="A322:D325" si="35">L322</f>
        <v>Přední zásuvný prvek vysoký, sklo, KB 450mm</v>
      </c>
      <c r="B322" s="90" t="str">
        <f t="shared" si="35"/>
        <v>ZE7W332G</v>
      </c>
      <c r="C322" s="90" t="str">
        <f t="shared" si="35"/>
        <v>KLA</v>
      </c>
      <c r="D322" s="90">
        <f t="shared" si="35"/>
        <v>0</v>
      </c>
      <c r="E322" s="91">
        <f>P322</f>
        <v>0</v>
      </c>
      <c r="F322" s="17">
        <f>Q322*(100-$F$6)/100</f>
        <v>12.912559999999999</v>
      </c>
      <c r="G322" s="64"/>
      <c r="H322" s="64"/>
      <c r="I322" s="172">
        <f t="shared" ref="I322:J325" si="36">T322</f>
        <v>6831132</v>
      </c>
      <c r="J322" s="172">
        <f t="shared" si="36"/>
        <v>227587</v>
      </c>
      <c r="K322" s="62"/>
      <c r="L322" s="60" t="str">
        <f>Price!A322</f>
        <v>Přední zásuvný prvek vysoký, sklo, KB 450mm</v>
      </c>
      <c r="M322" s="15" t="str">
        <f>Price!B322</f>
        <v>ZE7W332G</v>
      </c>
      <c r="N322" s="15" t="str">
        <f>Price!C322</f>
        <v>KLA</v>
      </c>
      <c r="O322" s="537">
        <f>Price!D322</f>
        <v>0</v>
      </c>
      <c r="P322" s="16"/>
      <c r="Q322" s="17">
        <f>Price!F322</f>
        <v>12.912559999999999</v>
      </c>
      <c r="R322" s="323"/>
      <c r="S322" s="323"/>
      <c r="T322" s="12">
        <f>Price!G322</f>
        <v>6831132</v>
      </c>
      <c r="U322" s="257">
        <f>Price!H322</f>
        <v>227587</v>
      </c>
      <c r="V322" s="13"/>
      <c r="W322" s="13"/>
      <c r="X322" s="19"/>
      <c r="Y322" s="19"/>
    </row>
    <row r="323" spans="1:25" x14ac:dyDescent="0.35">
      <c r="A323" s="89" t="str">
        <f t="shared" si="35"/>
        <v>Přední zásuvný prvek vysoký, sklo, KB 600mm</v>
      </c>
      <c r="B323" s="90" t="str">
        <f t="shared" si="35"/>
        <v>ZE7W482G</v>
      </c>
      <c r="C323" s="90" t="str">
        <f t="shared" si="35"/>
        <v>KLA</v>
      </c>
      <c r="D323" s="90">
        <f t="shared" si="35"/>
        <v>0</v>
      </c>
      <c r="E323" s="91">
        <f>P323</f>
        <v>0</v>
      </c>
      <c r="F323" s="17">
        <f>Q323*(100-$F$6)/100</f>
        <v>14.673980000000002</v>
      </c>
      <c r="G323" s="64"/>
      <c r="H323" s="64"/>
      <c r="I323" s="172">
        <f t="shared" si="36"/>
        <v>4562065</v>
      </c>
      <c r="J323" s="172">
        <f t="shared" si="36"/>
        <v>227588</v>
      </c>
      <c r="K323" s="68"/>
      <c r="L323" s="60" t="str">
        <f>Price!A323</f>
        <v>Přední zásuvný prvek vysoký, sklo, KB 600mm</v>
      </c>
      <c r="M323" s="15" t="str">
        <f>Price!B323</f>
        <v>ZE7W482G</v>
      </c>
      <c r="N323" s="15" t="str">
        <f>Price!C323</f>
        <v>KLA</v>
      </c>
      <c r="O323" s="537">
        <f>Price!D323</f>
        <v>0</v>
      </c>
      <c r="P323" s="16"/>
      <c r="Q323" s="17">
        <f>Price!F323</f>
        <v>14.67398</v>
      </c>
      <c r="R323" s="323"/>
      <c r="S323" s="323"/>
      <c r="T323" s="12">
        <f>Price!G323</f>
        <v>4562065</v>
      </c>
      <c r="U323" s="257">
        <f>Price!H323</f>
        <v>227588</v>
      </c>
      <c r="V323" s="13"/>
      <c r="W323" s="13"/>
      <c r="X323" s="19"/>
      <c r="Y323" s="19"/>
    </row>
    <row r="324" spans="1:25" x14ac:dyDescent="0.35">
      <c r="A324" s="89" t="str">
        <f t="shared" si="35"/>
        <v>Přední zásuvný prvek vysoký, sklo, KB 900mm</v>
      </c>
      <c r="B324" s="90" t="str">
        <f t="shared" si="35"/>
        <v>ZE7W782G</v>
      </c>
      <c r="C324" s="90" t="str">
        <f t="shared" si="35"/>
        <v>KLA</v>
      </c>
      <c r="D324" s="90" t="str">
        <f t="shared" si="35"/>
        <v>!</v>
      </c>
      <c r="E324" s="91">
        <f>P324</f>
        <v>0</v>
      </c>
      <c r="F324" s="17">
        <f>Q324*(100-$F$6)/100</f>
        <v>24.45665</v>
      </c>
      <c r="G324" s="64"/>
      <c r="H324" s="64"/>
      <c r="I324" s="172">
        <f t="shared" si="36"/>
        <v>8741762</v>
      </c>
      <c r="J324" s="172">
        <f t="shared" si="36"/>
        <v>227589</v>
      </c>
      <c r="K324" s="68"/>
      <c r="L324" s="60" t="str">
        <f>Price!A324</f>
        <v>Přední zásuvný prvek vysoký, sklo, KB 900mm</v>
      </c>
      <c r="M324" s="15" t="str">
        <f>Price!B324</f>
        <v>ZE7W782G</v>
      </c>
      <c r="N324" s="15" t="str">
        <f>Price!C324</f>
        <v>KLA</v>
      </c>
      <c r="O324" s="537" t="str">
        <f>Price!D324</f>
        <v>!</v>
      </c>
      <c r="P324" s="16"/>
      <c r="Q324" s="17">
        <f>Price!F324</f>
        <v>24.45665</v>
      </c>
      <c r="R324" s="323"/>
      <c r="S324" s="323"/>
      <c r="T324" s="12">
        <f>Price!G324</f>
        <v>8741762</v>
      </c>
      <c r="U324" s="257">
        <f>Price!H324</f>
        <v>227589</v>
      </c>
      <c r="V324" s="13"/>
      <c r="W324" s="13"/>
      <c r="X324" s="19"/>
      <c r="Y324" s="19"/>
    </row>
    <row r="325" spans="1:25" x14ac:dyDescent="0.35">
      <c r="A325" s="89" t="str">
        <f t="shared" si="35"/>
        <v>Přední zásuvný prvek vysoký, sklo, KB 1200mm</v>
      </c>
      <c r="B325" s="90" t="str">
        <f t="shared" si="35"/>
        <v>ZE7W1082G</v>
      </c>
      <c r="C325" s="90" t="str">
        <f t="shared" si="35"/>
        <v>KLA</v>
      </c>
      <c r="D325" s="90" t="str">
        <f t="shared" si="35"/>
        <v>!</v>
      </c>
      <c r="E325" s="91">
        <f>P325</f>
        <v>0</v>
      </c>
      <c r="F325" s="17">
        <f>Q325*(100-$F$6)/100</f>
        <v>31.500150000000005</v>
      </c>
      <c r="G325" s="64"/>
      <c r="H325" s="64"/>
      <c r="I325" s="172">
        <f t="shared" si="36"/>
        <v>1039565</v>
      </c>
      <c r="J325" s="172">
        <f t="shared" si="36"/>
        <v>227590</v>
      </c>
      <c r="K325" s="68"/>
      <c r="L325" s="60" t="str">
        <f>Price!A325</f>
        <v>Přední zásuvný prvek vysoký, sklo, KB 1200mm</v>
      </c>
      <c r="M325" s="15" t="str">
        <f>Price!B325</f>
        <v>ZE7W1082G</v>
      </c>
      <c r="N325" s="15" t="str">
        <f>Price!C325</f>
        <v>KLA</v>
      </c>
      <c r="O325" s="537" t="str">
        <f>Price!D325</f>
        <v>!</v>
      </c>
      <c r="P325" s="16"/>
      <c r="Q325" s="17">
        <f>Price!F325</f>
        <v>31.500150000000001</v>
      </c>
      <c r="R325" s="323"/>
      <c r="S325" s="323"/>
      <c r="T325" s="12">
        <f>Price!G325</f>
        <v>1039565</v>
      </c>
      <c r="U325" s="257">
        <f>Price!H325</f>
        <v>227590</v>
      </c>
      <c r="V325" s="13"/>
      <c r="W325" s="13"/>
      <c r="X325" s="19"/>
      <c r="Y325" s="19"/>
    </row>
    <row r="326" spans="1:25" x14ac:dyDescent="0.35">
      <c r="A326" s="76"/>
      <c r="B326" s="162"/>
      <c r="C326" s="162"/>
      <c r="D326" s="540"/>
      <c r="E326" s="82"/>
      <c r="F326" s="83"/>
      <c r="G326" s="83"/>
      <c r="H326" s="83"/>
      <c r="I326" s="175"/>
      <c r="J326" s="175"/>
      <c r="K326" s="68"/>
      <c r="L326" s="60">
        <f>Price!A326</f>
        <v>0</v>
      </c>
      <c r="M326" s="15">
        <f>Price!B326</f>
        <v>0</v>
      </c>
      <c r="N326" s="15">
        <f>Price!C326</f>
        <v>0</v>
      </c>
      <c r="O326" s="537">
        <f>Price!D326</f>
        <v>0</v>
      </c>
      <c r="P326" s="16"/>
      <c r="Q326" s="17">
        <f>Price!F326</f>
        <v>0</v>
      </c>
      <c r="R326" s="323"/>
      <c r="S326" s="323"/>
      <c r="T326" s="12">
        <f>Price!G326</f>
        <v>0</v>
      </c>
      <c r="U326" s="257">
        <f>Price!H326</f>
        <v>0</v>
      </c>
      <c r="V326" s="13"/>
      <c r="W326" s="13"/>
      <c r="X326" s="19"/>
      <c r="Y326" s="19"/>
    </row>
    <row r="327" spans="1:25" x14ac:dyDescent="0.35">
      <c r="A327" s="76"/>
      <c r="B327" s="162"/>
      <c r="C327" s="162"/>
      <c r="D327" s="540"/>
      <c r="E327" s="77"/>
      <c r="F327" s="64"/>
      <c r="G327" s="64"/>
      <c r="H327" s="64"/>
      <c r="I327" s="175"/>
      <c r="J327" s="175"/>
      <c r="K327" s="68"/>
      <c r="L327" s="60">
        <f>Price!A327</f>
        <v>0</v>
      </c>
      <c r="M327" s="15">
        <f>Price!B327</f>
        <v>0</v>
      </c>
      <c r="N327" s="15">
        <f>Price!C327</f>
        <v>0</v>
      </c>
      <c r="O327" s="537">
        <f>Price!D327</f>
        <v>0</v>
      </c>
      <c r="P327" s="16"/>
      <c r="Q327" s="17">
        <f>Price!F327</f>
        <v>0</v>
      </c>
      <c r="R327" s="323"/>
      <c r="S327" s="323"/>
      <c r="T327" s="12">
        <f>Price!G327</f>
        <v>0</v>
      </c>
      <c r="U327" s="257">
        <f>Price!H327</f>
        <v>0</v>
      </c>
      <c r="V327" s="13"/>
      <c r="W327" s="13"/>
      <c r="X327" s="19"/>
      <c r="Y327" s="19"/>
    </row>
    <row r="328" spans="1:25" x14ac:dyDescent="0.35">
      <c r="A328" s="78"/>
      <c r="B328" s="163"/>
      <c r="C328" s="163"/>
      <c r="D328" s="541"/>
      <c r="E328" s="77"/>
      <c r="F328" s="66"/>
      <c r="G328" s="66"/>
      <c r="H328" s="66"/>
      <c r="I328" s="174"/>
      <c r="J328" s="174"/>
      <c r="K328" s="68"/>
      <c r="L328" s="60">
        <f>Price!A328</f>
        <v>0</v>
      </c>
      <c r="M328" s="15">
        <f>Price!B328</f>
        <v>0</v>
      </c>
      <c r="N328" s="15">
        <f>Price!C328</f>
        <v>0</v>
      </c>
      <c r="O328" s="537">
        <f>Price!D328</f>
        <v>0</v>
      </c>
      <c r="P328" s="16"/>
      <c r="Q328" s="17">
        <f>Price!F328</f>
        <v>0</v>
      </c>
      <c r="R328" s="323"/>
      <c r="S328" s="323"/>
      <c r="T328" s="12">
        <f>Price!G328</f>
        <v>0</v>
      </c>
      <c r="U328" s="257">
        <f>Price!H328</f>
        <v>0</v>
      </c>
      <c r="V328" s="13"/>
      <c r="W328" s="13"/>
      <c r="X328" s="19"/>
      <c r="Y328" s="19"/>
    </row>
    <row r="329" spans="1:25" x14ac:dyDescent="0.35">
      <c r="A329" s="76"/>
      <c r="B329" s="162"/>
      <c r="C329" s="162"/>
      <c r="D329" s="540"/>
      <c r="E329" s="82"/>
      <c r="F329" s="83"/>
      <c r="G329" s="83"/>
      <c r="H329" s="83"/>
      <c r="I329" s="175"/>
      <c r="J329" s="175"/>
      <c r="K329" s="68"/>
      <c r="L329" s="60">
        <f>Price!A329</f>
        <v>0</v>
      </c>
      <c r="M329" s="15">
        <f>Price!B329</f>
        <v>0</v>
      </c>
      <c r="N329" s="15">
        <f>Price!C329</f>
        <v>0</v>
      </c>
      <c r="O329" s="537">
        <f>Price!D329</f>
        <v>0</v>
      </c>
      <c r="P329" s="16"/>
      <c r="Q329" s="17">
        <f>Price!F329</f>
        <v>0</v>
      </c>
      <c r="R329" s="323"/>
      <c r="S329" s="323"/>
      <c r="T329" s="12">
        <f>Price!G329</f>
        <v>0</v>
      </c>
      <c r="U329" s="257">
        <f>Price!H329</f>
        <v>0</v>
      </c>
      <c r="V329" s="13"/>
      <c r="W329" s="13"/>
      <c r="X329" s="19"/>
      <c r="Y329" s="19"/>
    </row>
    <row r="330" spans="1:25" x14ac:dyDescent="0.35">
      <c r="A330" s="89" t="str">
        <f t="shared" ref="A330:D333" si="37">L330</f>
        <v>Přední zásuvný prvek nízký, sklo, KB 450mm</v>
      </c>
      <c r="B330" s="90" t="str">
        <f t="shared" si="37"/>
        <v>ZE7V332G</v>
      </c>
      <c r="C330" s="90" t="str">
        <f t="shared" si="37"/>
        <v>KLA</v>
      </c>
      <c r="D330" s="90">
        <f t="shared" si="37"/>
        <v>0</v>
      </c>
      <c r="E330" s="91">
        <f>P330</f>
        <v>0</v>
      </c>
      <c r="F330" s="17">
        <f>Q330*(100-$F$6)/100</f>
        <v>8.02196</v>
      </c>
      <c r="G330" s="64"/>
      <c r="H330" s="64"/>
      <c r="I330" s="172">
        <f t="shared" ref="I330:J333" si="38">T330</f>
        <v>9062400</v>
      </c>
      <c r="J330" s="172">
        <f t="shared" si="38"/>
        <v>227591</v>
      </c>
      <c r="K330" s="68"/>
      <c r="L330" s="60" t="str">
        <f>Price!A330</f>
        <v>Přední zásuvný prvek nízký, sklo, KB 450mm</v>
      </c>
      <c r="M330" s="15" t="str">
        <f>Price!B330</f>
        <v>ZE7V332G</v>
      </c>
      <c r="N330" s="15" t="str">
        <f>Price!C330</f>
        <v>KLA</v>
      </c>
      <c r="O330" s="537">
        <f>Price!D330</f>
        <v>0</v>
      </c>
      <c r="P330" s="16"/>
      <c r="Q330" s="17">
        <f>Price!F330</f>
        <v>8.02196</v>
      </c>
      <c r="R330" s="323"/>
      <c r="S330" s="323"/>
      <c r="T330" s="12">
        <f>Price!G330</f>
        <v>9062400</v>
      </c>
      <c r="U330" s="257">
        <f>Price!H330</f>
        <v>227591</v>
      </c>
      <c r="V330" s="13"/>
      <c r="W330" s="13"/>
      <c r="X330" s="19"/>
      <c r="Y330" s="19"/>
    </row>
    <row r="331" spans="1:25" x14ac:dyDescent="0.35">
      <c r="A331" s="89" t="str">
        <f t="shared" si="37"/>
        <v>Přední zásuvný prvek nízký, sklo, KB 600mm</v>
      </c>
      <c r="B331" s="90" t="str">
        <f t="shared" si="37"/>
        <v>ZE7V482G</v>
      </c>
      <c r="C331" s="90" t="str">
        <f t="shared" si="37"/>
        <v>KLA</v>
      </c>
      <c r="D331" s="90">
        <f t="shared" si="37"/>
        <v>0</v>
      </c>
      <c r="E331" s="91">
        <f>P331</f>
        <v>0</v>
      </c>
      <c r="F331" s="17">
        <f>Q331*(100-$F$6)/100</f>
        <v>9.1958699999999993</v>
      </c>
      <c r="G331" s="64"/>
      <c r="H331" s="64"/>
      <c r="I331" s="172">
        <f t="shared" si="38"/>
        <v>7032427</v>
      </c>
      <c r="J331" s="172">
        <f t="shared" si="38"/>
        <v>227592</v>
      </c>
      <c r="K331" s="68"/>
      <c r="L331" s="60" t="str">
        <f>Price!A331</f>
        <v>Přední zásuvný prvek nízký, sklo, KB 600mm</v>
      </c>
      <c r="M331" s="15" t="str">
        <f>Price!B331</f>
        <v>ZE7V482G</v>
      </c>
      <c r="N331" s="15" t="str">
        <f>Price!C331</f>
        <v>KLA</v>
      </c>
      <c r="O331" s="537">
        <f>Price!D331</f>
        <v>0</v>
      </c>
      <c r="P331" s="16"/>
      <c r="Q331" s="17">
        <f>Price!F331</f>
        <v>9.1958699999999993</v>
      </c>
      <c r="R331" s="323"/>
      <c r="S331" s="323"/>
      <c r="T331" s="12">
        <f>Price!G331</f>
        <v>7032427</v>
      </c>
      <c r="U331" s="257">
        <f>Price!H331</f>
        <v>227592</v>
      </c>
      <c r="V331" s="13"/>
      <c r="W331" s="13"/>
      <c r="X331" s="19"/>
      <c r="Y331" s="19"/>
    </row>
    <row r="332" spans="1:25" x14ac:dyDescent="0.35">
      <c r="A332" s="89" t="str">
        <f t="shared" si="37"/>
        <v>Přední zásuvný prvek nízký, sklo, KB 900mm</v>
      </c>
      <c r="B332" s="90" t="str">
        <f t="shared" si="37"/>
        <v>ZE7V782G</v>
      </c>
      <c r="C332" s="90" t="str">
        <f t="shared" si="37"/>
        <v>KLA</v>
      </c>
      <c r="D332" s="90" t="str">
        <f t="shared" si="37"/>
        <v>!</v>
      </c>
      <c r="E332" s="91">
        <f>P332</f>
        <v>0</v>
      </c>
      <c r="F332" s="17">
        <f>Q332*(100-$F$6)/100</f>
        <v>16.2394</v>
      </c>
      <c r="G332" s="64"/>
      <c r="H332" s="64"/>
      <c r="I332" s="172">
        <f t="shared" si="38"/>
        <v>7696491</v>
      </c>
      <c r="J332" s="172">
        <f t="shared" si="38"/>
        <v>227593</v>
      </c>
      <c r="K332" s="68"/>
      <c r="L332" s="60" t="str">
        <f>Price!A332</f>
        <v>Přední zásuvný prvek nízký, sklo, KB 900mm</v>
      </c>
      <c r="M332" s="15" t="str">
        <f>Price!B332</f>
        <v>ZE7V782G</v>
      </c>
      <c r="N332" s="15" t="str">
        <f>Price!C332</f>
        <v>KLA</v>
      </c>
      <c r="O332" s="537" t="str">
        <f>Price!D332</f>
        <v>!</v>
      </c>
      <c r="P332" s="16"/>
      <c r="Q332" s="17">
        <f>Price!F332</f>
        <v>16.2394</v>
      </c>
      <c r="R332" s="323"/>
      <c r="S332" s="323"/>
      <c r="T332" s="12">
        <f>Price!G332</f>
        <v>7696491</v>
      </c>
      <c r="U332" s="257">
        <f>Price!H332</f>
        <v>227593</v>
      </c>
      <c r="V332" s="13"/>
      <c r="W332" s="13"/>
      <c r="X332" s="19"/>
      <c r="Y332" s="19"/>
    </row>
    <row r="333" spans="1:25" x14ac:dyDescent="0.35">
      <c r="A333" s="89" t="str">
        <f t="shared" si="37"/>
        <v>Přední zásuvný prvek nízký, sklo, KB 1200mm</v>
      </c>
      <c r="B333" s="90" t="str">
        <f t="shared" si="37"/>
        <v>ZE7V1082G</v>
      </c>
      <c r="C333" s="90" t="str">
        <f t="shared" si="37"/>
        <v>KLA</v>
      </c>
      <c r="D333" s="90" t="str">
        <f t="shared" si="37"/>
        <v>!</v>
      </c>
      <c r="E333" s="91">
        <f>P333</f>
        <v>0</v>
      </c>
      <c r="F333" s="17">
        <f>Q333*(100-$F$6)/100</f>
        <v>20.93506</v>
      </c>
      <c r="G333" s="64"/>
      <c r="H333" s="64"/>
      <c r="I333" s="172">
        <f t="shared" si="38"/>
        <v>7710993</v>
      </c>
      <c r="J333" s="172">
        <f t="shared" si="38"/>
        <v>227594</v>
      </c>
      <c r="K333" s="68"/>
      <c r="L333" s="60" t="str">
        <f>Price!A333</f>
        <v>Přední zásuvný prvek nízký, sklo, KB 1200mm</v>
      </c>
      <c r="M333" s="15" t="str">
        <f>Price!B333</f>
        <v>ZE7V1082G</v>
      </c>
      <c r="N333" s="15" t="str">
        <f>Price!C333</f>
        <v>KLA</v>
      </c>
      <c r="O333" s="537" t="str">
        <f>Price!D333</f>
        <v>!</v>
      </c>
      <c r="P333" s="16"/>
      <c r="Q333" s="17">
        <f>Price!F333</f>
        <v>20.93506</v>
      </c>
      <c r="R333" s="323"/>
      <c r="S333" s="323"/>
      <c r="T333" s="12">
        <f>Price!G333</f>
        <v>7710993</v>
      </c>
      <c r="U333" s="257">
        <f>Price!H333</f>
        <v>227594</v>
      </c>
      <c r="V333" s="13"/>
      <c r="W333" s="13"/>
      <c r="X333" s="19"/>
      <c r="Y333" s="19"/>
    </row>
    <row r="334" spans="1:25" x14ac:dyDescent="0.35">
      <c r="A334" s="78"/>
      <c r="B334" s="162"/>
      <c r="C334" s="162"/>
      <c r="D334" s="540"/>
      <c r="E334" s="77"/>
      <c r="F334" s="66"/>
      <c r="G334" s="66"/>
      <c r="H334" s="66"/>
      <c r="I334" s="66"/>
      <c r="J334" s="66"/>
      <c r="K334" s="68"/>
      <c r="L334" s="60">
        <f>Price!A334</f>
        <v>0</v>
      </c>
      <c r="M334" s="15">
        <f>Price!B334</f>
        <v>0</v>
      </c>
      <c r="N334" s="15">
        <f>Price!C334</f>
        <v>0</v>
      </c>
      <c r="O334" s="537">
        <f>Price!D334</f>
        <v>0</v>
      </c>
      <c r="P334" s="16"/>
      <c r="Q334" s="17">
        <f>Price!F334</f>
        <v>0</v>
      </c>
      <c r="R334" s="323"/>
      <c r="S334" s="323"/>
      <c r="T334" s="12">
        <f>Price!G334</f>
        <v>0</v>
      </c>
      <c r="U334" s="257">
        <f>Price!H334</f>
        <v>0</v>
      </c>
      <c r="V334" s="13"/>
      <c r="W334" s="13"/>
      <c r="X334" s="19"/>
      <c r="Y334" s="19"/>
    </row>
    <row r="335" spans="1:25" x14ac:dyDescent="0.35">
      <c r="A335" s="57"/>
      <c r="B335" s="163"/>
      <c r="C335" s="163"/>
      <c r="D335" s="541"/>
      <c r="E335" s="82"/>
      <c r="F335" s="83"/>
      <c r="G335" s="83"/>
      <c r="H335" s="83"/>
      <c r="I335" s="83"/>
      <c r="J335" s="83"/>
      <c r="K335" s="68"/>
      <c r="L335" s="60">
        <f>Price!A335</f>
        <v>0</v>
      </c>
      <c r="M335" s="15">
        <f>Price!B335</f>
        <v>0</v>
      </c>
      <c r="N335" s="15">
        <f>Price!C335</f>
        <v>0</v>
      </c>
      <c r="O335" s="537">
        <f>Price!D335</f>
        <v>0</v>
      </c>
      <c r="P335" s="16"/>
      <c r="Q335" s="17">
        <f>Price!F335</f>
        <v>0</v>
      </c>
      <c r="R335" s="323"/>
      <c r="S335" s="323"/>
      <c r="T335" s="12">
        <f>Price!G335</f>
        <v>0</v>
      </c>
      <c r="U335" s="257">
        <f>Price!H335</f>
        <v>0</v>
      </c>
      <c r="V335" s="13"/>
      <c r="W335" s="13"/>
      <c r="X335" s="19"/>
      <c r="Y335" s="19"/>
    </row>
    <row r="336" spans="1:25" x14ac:dyDescent="0.35">
      <c r="A336" s="57"/>
      <c r="B336" s="162"/>
      <c r="C336" s="162"/>
      <c r="D336" s="540"/>
      <c r="E336" s="82"/>
      <c r="F336" s="83"/>
      <c r="G336" s="83"/>
      <c r="H336" s="83"/>
      <c r="I336" s="83"/>
      <c r="J336" s="83"/>
      <c r="K336" s="62"/>
      <c r="L336" s="60">
        <f>Price!A336</f>
        <v>0</v>
      </c>
      <c r="M336" s="15">
        <f>Price!B336</f>
        <v>0</v>
      </c>
      <c r="N336" s="15">
        <f>Price!C336</f>
        <v>0</v>
      </c>
      <c r="O336" s="537">
        <f>Price!D336</f>
        <v>0</v>
      </c>
      <c r="P336" s="16"/>
      <c r="Q336" s="17">
        <f>Price!F336</f>
        <v>0</v>
      </c>
      <c r="R336" s="323"/>
      <c r="S336" s="323"/>
      <c r="T336" s="12">
        <f>Price!G336</f>
        <v>0</v>
      </c>
      <c r="U336" s="257">
        <f>Price!H336</f>
        <v>0</v>
      </c>
      <c r="V336" s="13"/>
      <c r="W336" s="13"/>
      <c r="X336" s="19"/>
      <c r="Y336" s="19"/>
    </row>
    <row r="337" spans="1:25" x14ac:dyDescent="0.35">
      <c r="A337" s="76"/>
      <c r="B337" s="162"/>
      <c r="C337" s="162"/>
      <c r="D337" s="540"/>
      <c r="E337" s="77"/>
      <c r="F337" s="64"/>
      <c r="G337" s="64"/>
      <c r="H337" s="64"/>
      <c r="I337" s="175"/>
      <c r="J337" s="175"/>
      <c r="K337" s="68"/>
      <c r="L337" s="60">
        <f>Price!A337</f>
        <v>0</v>
      </c>
      <c r="M337" s="15">
        <f>Price!B337</f>
        <v>0</v>
      </c>
      <c r="N337" s="15">
        <f>Price!C337</f>
        <v>0</v>
      </c>
      <c r="O337" s="537">
        <f>Price!D337</f>
        <v>0</v>
      </c>
      <c r="P337" s="16"/>
      <c r="Q337" s="17">
        <f>Price!F337</f>
        <v>0</v>
      </c>
      <c r="R337" s="323"/>
      <c r="S337" s="323"/>
      <c r="T337" s="12">
        <f>Price!G337</f>
        <v>0</v>
      </c>
      <c r="U337" s="257">
        <f>Price!H337</f>
        <v>0</v>
      </c>
      <c r="V337" s="13"/>
      <c r="W337" s="13"/>
      <c r="X337" s="19"/>
      <c r="Y337" s="19"/>
    </row>
    <row r="338" spans="1:25" ht="15" thickBot="1" x14ac:dyDescent="0.4">
      <c r="A338" s="85" t="str">
        <f>IF($C$2=1,L338,IF($C$2=2,L339,IF($C$2=3,L340,IF($C$2=4,L341,"  chyba"))))</f>
        <v>Příčný reling vnitřní zásuvky, Orion šedý</v>
      </c>
      <c r="B338" s="86" t="str">
        <f>IF($C$2=1,M338,IF($C$2=2,M339,IF($C$2=3,M340,IF($C$2=4,M341,"  chyba"))))</f>
        <v>ZR7.1080U</v>
      </c>
      <c r="C338" s="86" t="str">
        <f>IF($C$2=1,N338,IF($C$2=2,N339,IF($C$2=3,N340,IF($C$2=4,N341,"  chyba"))))</f>
        <v>OG-M</v>
      </c>
      <c r="D338" s="86">
        <f>IF($C$2=1,O338,IF($C$2=2,O339,IF($C$2=3,O340,IF($C$2=4,O341,"  chyba"))))</f>
        <v>0</v>
      </c>
      <c r="E338" s="87"/>
      <c r="F338" s="88">
        <f>IF($C$2=1,Q338,IF($C$2=2,Q339,IF($C$2=3,Q340,IF($C$2=4,Q341,0))))*(100-$F$6)/100</f>
        <v>6.60684</v>
      </c>
      <c r="G338" s="64"/>
      <c r="H338" s="64"/>
      <c r="I338" s="171">
        <f>IF($C$2=1,T338,IF($C$2=2,T339,IF($C$2=3,T340,IF($C$2=4,T341,"  chyba"))))</f>
        <v>3359148</v>
      </c>
      <c r="J338" s="171">
        <f>IF($C$2=1,U338,IF($C$2=2,U339,IF($C$2=3,U340,IF($C$2=4,U341,"  chyba"))))</f>
        <v>227597</v>
      </c>
      <c r="K338" s="68"/>
      <c r="L338" s="60" t="str">
        <f>Price!A338</f>
        <v>Příčný reling vnitřní zásuvky, Orion šedý</v>
      </c>
      <c r="M338" s="15" t="str">
        <f>Price!B338</f>
        <v>ZR7.1080U</v>
      </c>
      <c r="N338" s="15" t="str">
        <f>Price!C338</f>
        <v>OG-M</v>
      </c>
      <c r="O338" s="537">
        <f>Price!D338</f>
        <v>0</v>
      </c>
      <c r="P338" s="16"/>
      <c r="Q338" s="17">
        <f>Price!F338</f>
        <v>6.60684</v>
      </c>
      <c r="R338" s="323"/>
      <c r="S338" s="323"/>
      <c r="T338" s="12">
        <f>Price!G338</f>
        <v>3359148</v>
      </c>
      <c r="U338" s="257">
        <f>Price!H338</f>
        <v>227597</v>
      </c>
      <c r="V338" s="13"/>
      <c r="W338" s="13"/>
      <c r="X338" s="19"/>
      <c r="Y338" s="19"/>
    </row>
    <row r="339" spans="1:25" x14ac:dyDescent="0.35">
      <c r="A339" s="76"/>
      <c r="B339" s="162"/>
      <c r="C339" s="162"/>
      <c r="D339" s="540"/>
      <c r="E339" s="77"/>
      <c r="F339" s="64"/>
      <c r="G339" s="64"/>
      <c r="H339" s="64"/>
      <c r="I339" s="175"/>
      <c r="J339" s="175"/>
      <c r="K339" s="68"/>
      <c r="L339" s="60" t="str">
        <f>Price!A339</f>
        <v>Příčný reling vnitřní zásuvky, hedvábně bílý</v>
      </c>
      <c r="M339" s="15" t="str">
        <f>Price!B339</f>
        <v>ZR7.1080U</v>
      </c>
      <c r="N339" s="15" t="str">
        <f>Price!C339</f>
        <v>SW-M</v>
      </c>
      <c r="O339" s="537">
        <f>Price!D339</f>
        <v>0</v>
      </c>
      <c r="P339" s="16"/>
      <c r="Q339" s="17">
        <f>Price!F339</f>
        <v>6.60684</v>
      </c>
      <c r="R339" s="323"/>
      <c r="S339" s="323"/>
      <c r="T339" s="12">
        <f>Price!G339</f>
        <v>7053143</v>
      </c>
      <c r="U339" s="257">
        <f>Price!H339</f>
        <v>227596</v>
      </c>
      <c r="V339" s="13"/>
      <c r="W339" s="13"/>
      <c r="X339" s="19"/>
      <c r="Y339" s="19"/>
    </row>
    <row r="340" spans="1:25" x14ac:dyDescent="0.35">
      <c r="A340" s="76"/>
      <c r="B340" s="162"/>
      <c r="C340" s="162"/>
      <c r="D340" s="540"/>
      <c r="E340" s="82"/>
      <c r="F340" s="66"/>
      <c r="G340" s="66"/>
      <c r="H340" s="66"/>
      <c r="I340" s="175"/>
      <c r="J340" s="175"/>
      <c r="K340" s="68"/>
      <c r="L340" s="60" t="str">
        <f>Price!A340</f>
        <v>Příčný reling vnitřní zásuvky, černý Terra</v>
      </c>
      <c r="M340" s="15" t="str">
        <f>Price!B340</f>
        <v>ZR7.1080U</v>
      </c>
      <c r="N340" s="15" t="str">
        <f>Price!C340</f>
        <v>TS-M</v>
      </c>
      <c r="O340" s="537">
        <f>Price!D340</f>
        <v>0</v>
      </c>
      <c r="P340" s="16"/>
      <c r="Q340" s="17">
        <f>Price!F340</f>
        <v>6.60684</v>
      </c>
      <c r="R340" s="323"/>
      <c r="S340" s="323"/>
      <c r="T340" s="12">
        <f>Price!G340</f>
        <v>9751013</v>
      </c>
      <c r="U340" s="257">
        <f>Price!H340</f>
        <v>227598</v>
      </c>
      <c r="V340" s="13"/>
      <c r="W340" s="13"/>
      <c r="X340" s="19"/>
      <c r="Y340" s="19"/>
    </row>
    <row r="341" spans="1:25" x14ac:dyDescent="0.35">
      <c r="A341" s="76"/>
      <c r="B341" s="162"/>
      <c r="C341" s="162"/>
      <c r="D341" s="540"/>
      <c r="E341" s="77"/>
      <c r="F341" s="64"/>
      <c r="G341" s="64"/>
      <c r="H341" s="64"/>
      <c r="I341" s="175"/>
      <c r="J341" s="175"/>
      <c r="K341" s="68"/>
      <c r="L341" s="60" t="str">
        <f>Price!A341</f>
        <v>Příčný reling vnitřní zásuvky, matný nikl</v>
      </c>
      <c r="M341" s="15" t="str">
        <f>Price!B341</f>
        <v>ZR7.1080U</v>
      </c>
      <c r="N341" s="15" t="str">
        <f>Price!C341</f>
        <v>ELN2</v>
      </c>
      <c r="O341" s="537" t="str">
        <f>Price!D341</f>
        <v>!</v>
      </c>
      <c r="P341" s="16"/>
      <c r="Q341" s="17">
        <f>Price!F341</f>
        <v>25.059979999999999</v>
      </c>
      <c r="R341" s="323"/>
      <c r="S341" s="323"/>
      <c r="T341" s="12">
        <f>Price!G341</f>
        <v>9240980</v>
      </c>
      <c r="U341" s="257">
        <f>Price!H341</f>
        <v>227600</v>
      </c>
      <c r="V341" s="13"/>
      <c r="W341" s="13"/>
      <c r="X341" s="19"/>
      <c r="Y341" s="19"/>
    </row>
    <row r="342" spans="1:25" x14ac:dyDescent="0.35">
      <c r="A342" s="76"/>
      <c r="B342" s="163"/>
      <c r="C342" s="163"/>
      <c r="D342" s="541"/>
      <c r="E342" s="82"/>
      <c r="F342" s="64"/>
      <c r="G342" s="64"/>
      <c r="H342" s="64"/>
      <c r="I342" s="64"/>
      <c r="J342" s="64"/>
      <c r="K342" s="68"/>
      <c r="L342" s="60">
        <f>Price!A342</f>
        <v>0</v>
      </c>
      <c r="M342" s="15">
        <f>Price!B342</f>
        <v>0</v>
      </c>
      <c r="N342" s="15">
        <f>Price!C342</f>
        <v>0</v>
      </c>
      <c r="O342" s="537">
        <f>Price!D342</f>
        <v>0</v>
      </c>
      <c r="P342" s="16"/>
      <c r="Q342" s="17">
        <f>Price!F342</f>
        <v>0</v>
      </c>
      <c r="R342" s="323"/>
      <c r="S342" s="323"/>
      <c r="T342" s="12">
        <f>Price!G342</f>
        <v>0</v>
      </c>
      <c r="U342" s="257">
        <f>Price!H342</f>
        <v>0</v>
      </c>
      <c r="V342" s="13"/>
      <c r="W342" s="13"/>
      <c r="X342" s="19"/>
      <c r="Y342" s="19"/>
    </row>
    <row r="343" spans="1:25" x14ac:dyDescent="0.35">
      <c r="A343" s="76"/>
      <c r="B343" s="162"/>
      <c r="C343" s="162"/>
      <c r="D343" s="540"/>
      <c r="E343" s="82"/>
      <c r="F343" s="64"/>
      <c r="G343" s="64"/>
      <c r="H343" s="64"/>
      <c r="I343" s="64"/>
      <c r="J343" s="64"/>
      <c r="K343" s="68"/>
      <c r="L343" s="60">
        <f>Price!A343</f>
        <v>0</v>
      </c>
      <c r="M343" s="15">
        <f>Price!B343</f>
        <v>0</v>
      </c>
      <c r="N343" s="15">
        <f>Price!C343</f>
        <v>0</v>
      </c>
      <c r="O343" s="537">
        <f>Price!D343</f>
        <v>0</v>
      </c>
      <c r="P343" s="16"/>
      <c r="Q343" s="17">
        <f>Price!F343</f>
        <v>0</v>
      </c>
      <c r="R343" s="323"/>
      <c r="S343" s="323"/>
      <c r="T343" s="12">
        <f>Price!G343</f>
        <v>0</v>
      </c>
      <c r="U343" s="257">
        <f>Price!H343</f>
        <v>0</v>
      </c>
      <c r="V343" s="13"/>
      <c r="W343" s="13"/>
      <c r="X343" s="19"/>
      <c r="Y343" s="19"/>
    </row>
    <row r="344" spans="1:25" x14ac:dyDescent="0.35">
      <c r="A344" s="76"/>
      <c r="B344" s="162"/>
      <c r="C344" s="162"/>
      <c r="D344" s="540"/>
      <c r="E344" s="77"/>
      <c r="F344" s="64"/>
      <c r="G344" s="64"/>
      <c r="H344" s="64"/>
      <c r="I344" s="175"/>
      <c r="J344" s="175"/>
      <c r="K344" s="68"/>
      <c r="L344" s="60" t="str">
        <f>Price!A344</f>
        <v xml:space="preserve">   AMBIA-LINE pro zásuvky, kovový design</v>
      </c>
      <c r="M344" s="15">
        <f>Price!B344</f>
        <v>0</v>
      </c>
      <c r="N344" s="15">
        <f>Price!C344</f>
        <v>0</v>
      </c>
      <c r="O344" s="537">
        <f>Price!D344</f>
        <v>0</v>
      </c>
      <c r="P344" s="16"/>
      <c r="Q344" s="17">
        <f>Price!F344</f>
        <v>0</v>
      </c>
      <c r="R344" s="323"/>
      <c r="S344" s="323"/>
      <c r="T344" s="12">
        <f>Price!G344</f>
        <v>0</v>
      </c>
      <c r="U344" s="257">
        <f>Price!H344</f>
        <v>0</v>
      </c>
      <c r="V344" s="13"/>
      <c r="W344" s="13"/>
      <c r="X344" s="19"/>
      <c r="Y344" s="19"/>
    </row>
    <row r="345" spans="1:25" ht="15" thickBot="1" x14ac:dyDescent="0.4">
      <c r="A345" s="325" t="str">
        <f>IF($C$2=1,L345,IF($C$2=2,L346,IF($C$2=3,L347,IF($C$2=4,L347,"  chyba"))))</f>
        <v>Příborník, 450mm, Orion šedý</v>
      </c>
      <c r="B345" s="326" t="str">
        <f>IF($C$2=1,M345,IF($C$2=2,M346,IF($C$2=3,M347,IF($C$2=4,M347,"  chyba"))))</f>
        <v>ZC7S450BS3</v>
      </c>
      <c r="C345" s="326" t="str">
        <f>IF($C$2=1,N345,IF($C$2=2,N346,IF($C$2=3,N347,IF($C$2=4,N347,"  chyba"))))</f>
        <v>OG-M</v>
      </c>
      <c r="D345" s="326">
        <f>IF($C$2=1,O345,IF($C$2=2,O346,IF($C$2=3,O347,IF($C$2=4,O347,"  chyba"))))</f>
        <v>0</v>
      </c>
      <c r="E345" s="327">
        <f>IF($C$2=1,P345,IF($C$2=2,P346,IF($C$2=3,P347,IF($C$2=4,P347,"  chyba"))))</f>
        <v>0</v>
      </c>
      <c r="F345" s="328">
        <f>IF($C$2=1,Q345,IF($C$2=2,Q346,IF($C$2=3,Q347,IF($C$2=4,Q347,0))))*(100-$F$6)/100</f>
        <v>72.901949999999999</v>
      </c>
      <c r="G345" s="329"/>
      <c r="H345" s="329"/>
      <c r="I345" s="330">
        <f>IF($C$2=1,T345,IF($C$2=2,T346,IF($C$2=3,T347,IF($C$2=4,T347,"  chyba"))))</f>
        <v>9653503</v>
      </c>
      <c r="J345" s="330">
        <f>IF($C$2=1,U345,IF($C$2=2,U346,IF($C$2=3,U347,IF($C$2=4,U347,"  chyba"))))</f>
        <v>227614</v>
      </c>
      <c r="K345" s="68"/>
      <c r="L345" s="60" t="str">
        <f>Price!A345</f>
        <v>Příborník, 450mm, Orion šedý</v>
      </c>
      <c r="M345" s="15" t="str">
        <f>Price!B345</f>
        <v>ZC7S450BS3</v>
      </c>
      <c r="N345" s="15" t="str">
        <f>Price!C345</f>
        <v>OG-M</v>
      </c>
      <c r="O345" s="537">
        <f>Price!D345</f>
        <v>0</v>
      </c>
      <c r="P345" s="16"/>
      <c r="Q345" s="17">
        <f>Price!F345</f>
        <v>72.901949999999999</v>
      </c>
      <c r="R345" s="323"/>
      <c r="S345" s="323"/>
      <c r="T345" s="12">
        <f>Price!G345</f>
        <v>9653503</v>
      </c>
      <c r="U345" s="257">
        <f>Price!H345</f>
        <v>227614</v>
      </c>
      <c r="V345" s="13"/>
      <c r="W345" s="13"/>
      <c r="X345" s="19"/>
      <c r="Y345" s="19"/>
    </row>
    <row r="346" spans="1:25" x14ac:dyDescent="0.35">
      <c r="A346" s="76"/>
      <c r="B346" s="162"/>
      <c r="C346" s="162"/>
      <c r="D346" s="540"/>
      <c r="E346" s="82"/>
      <c r="F346" s="64"/>
      <c r="G346" s="64"/>
      <c r="H346" s="64"/>
      <c r="I346" s="175"/>
      <c r="J346" s="175"/>
      <c r="K346" s="62"/>
      <c r="L346" s="60" t="str">
        <f>Price!A346</f>
        <v>Příborník, 450mm, hedvábně bílý/Orion šedý</v>
      </c>
      <c r="M346" s="15" t="str">
        <f>Price!B346</f>
        <v>ZC7S450BS3</v>
      </c>
      <c r="N346" s="15" t="str">
        <f>Price!C346</f>
        <v>SW-M/OG</v>
      </c>
      <c r="O346" s="537">
        <f>Price!D346</f>
        <v>0</v>
      </c>
      <c r="P346" s="16"/>
      <c r="Q346" s="17">
        <f>Price!F346</f>
        <v>72.901949999999999</v>
      </c>
      <c r="R346" s="323"/>
      <c r="S346" s="323"/>
      <c r="T346" s="12">
        <f>Price!G346</f>
        <v>1952399</v>
      </c>
      <c r="U346" s="257">
        <f>Price!H346</f>
        <v>227613</v>
      </c>
      <c r="V346" s="13"/>
      <c r="W346" s="13"/>
      <c r="X346" s="19"/>
      <c r="Y346" s="19"/>
    </row>
    <row r="347" spans="1:25" x14ac:dyDescent="0.35">
      <c r="A347" s="76"/>
      <c r="B347" s="162"/>
      <c r="C347" s="162"/>
      <c r="D347" s="540"/>
      <c r="E347" s="77"/>
      <c r="F347" s="64"/>
      <c r="G347" s="64"/>
      <c r="H347" s="64"/>
      <c r="I347" s="175"/>
      <c r="J347" s="175"/>
      <c r="K347" s="68"/>
      <c r="L347" s="60" t="str">
        <f>Price!A347</f>
        <v>Příborník, 450mm, Terra černý</v>
      </c>
      <c r="M347" s="15" t="str">
        <f>Price!B347</f>
        <v>ZC7S450BS3</v>
      </c>
      <c r="N347" s="15" t="str">
        <f>Price!C347</f>
        <v>TS-M</v>
      </c>
      <c r="O347" s="537">
        <f>Price!D347</f>
        <v>0</v>
      </c>
      <c r="P347" s="16"/>
      <c r="Q347" s="17">
        <f>Price!F347</f>
        <v>72.901949999999999</v>
      </c>
      <c r="R347" s="323"/>
      <c r="S347" s="323"/>
      <c r="T347" s="12">
        <f>Price!G347</f>
        <v>5834206</v>
      </c>
      <c r="U347" s="257">
        <f>Price!H347</f>
        <v>227615</v>
      </c>
      <c r="V347" s="13"/>
      <c r="W347" s="13"/>
      <c r="X347" s="19"/>
      <c r="Y347" s="19"/>
    </row>
    <row r="348" spans="1:25" ht="15" thickBot="1" x14ac:dyDescent="0.4">
      <c r="A348" s="325" t="str">
        <f>IF($C$2=1,L348,IF($C$2=2,L349,IF($C$2=3,L350,IF($C$2=4,L350,"  chyba"))))</f>
        <v>Příborník, 500mm, Orion šedý</v>
      </c>
      <c r="B348" s="326" t="str">
        <f>IF($C$2=1,M348,IF($C$2=2,M349,IF($C$2=3,M350,IF($C$2=4,M350,"  chyba"))))</f>
        <v>ZC7S500BS3</v>
      </c>
      <c r="C348" s="326" t="str">
        <f>IF($C$2=1,N348,IF($C$2=2,N349,IF($C$2=3,N350,IF($C$2=4,N350,"  chyba"))))</f>
        <v>OG-M</v>
      </c>
      <c r="D348" s="326">
        <f>IF($C$2=1,O348,IF($C$2=2,O349,IF($C$2=3,O350,IF($C$2=4,O350,"  chyba"))))</f>
        <v>0</v>
      </c>
      <c r="E348" s="327">
        <f>IF($C$2=1,P348,IF($C$2=2,P349,IF($C$2=3,P350,IF($C$2=4,P350,"  chyba"))))</f>
        <v>0</v>
      </c>
      <c r="F348" s="328">
        <f>IF($C$2=1,Q348,IF($C$2=2,Q349,IF($C$2=3,Q350,IF($C$2=4,Q350,0))))*(100-$F$6)/100</f>
        <v>75.180109999999999</v>
      </c>
      <c r="G348" s="329"/>
      <c r="H348" s="329"/>
      <c r="I348" s="330">
        <f>IF($C$2=1,T348,IF($C$2=2,T349,IF($C$2=3,T350,IF($C$2=4,T350,"  chyba"))))</f>
        <v>4497947</v>
      </c>
      <c r="J348" s="330">
        <f>IF($C$2=1,U348,IF($C$2=2,U349,IF($C$2=3,U350,IF($C$2=4,U350,"  chyba"))))</f>
        <v>227617</v>
      </c>
      <c r="K348" s="68"/>
      <c r="L348" s="60" t="str">
        <f>Price!A348</f>
        <v>Příborník, 500mm, Orion šedý</v>
      </c>
      <c r="M348" s="15" t="str">
        <f>Price!B348</f>
        <v>ZC7S500BS3</v>
      </c>
      <c r="N348" s="15" t="str">
        <f>Price!C348</f>
        <v>OG-M</v>
      </c>
      <c r="O348" s="537">
        <f>Price!D348</f>
        <v>0</v>
      </c>
      <c r="P348" s="16"/>
      <c r="Q348" s="17">
        <f>Price!F348</f>
        <v>75.180109999999999</v>
      </c>
      <c r="R348" s="323"/>
      <c r="S348" s="323"/>
      <c r="T348" s="12">
        <f>Price!G348</f>
        <v>4497947</v>
      </c>
      <c r="U348" s="257">
        <f>Price!H348</f>
        <v>227617</v>
      </c>
      <c r="V348" s="13"/>
      <c r="W348" s="13"/>
      <c r="X348" s="19"/>
      <c r="Y348" s="19"/>
    </row>
    <row r="349" spans="1:25" x14ac:dyDescent="0.35">
      <c r="A349" s="76"/>
      <c r="B349" s="162"/>
      <c r="C349" s="162"/>
      <c r="D349" s="540"/>
      <c r="E349" s="82"/>
      <c r="F349" s="64"/>
      <c r="G349" s="64"/>
      <c r="H349" s="64"/>
      <c r="I349" s="175"/>
      <c r="J349" s="175"/>
      <c r="K349" s="68"/>
      <c r="L349" s="60" t="str">
        <f>Price!A349</f>
        <v>Příborník, 500mm, hedvábně bílý/Orion šedý</v>
      </c>
      <c r="M349" s="15" t="str">
        <f>Price!B349</f>
        <v>ZC7S500BS3</v>
      </c>
      <c r="N349" s="15" t="str">
        <f>Price!C349</f>
        <v>SW-M/OG</v>
      </c>
      <c r="O349" s="537">
        <f>Price!D349</f>
        <v>0</v>
      </c>
      <c r="P349" s="16"/>
      <c r="Q349" s="17">
        <f>Price!F349</f>
        <v>75.180109999999999</v>
      </c>
      <c r="R349" s="323"/>
      <c r="S349" s="323"/>
      <c r="T349" s="12">
        <f>Price!G349</f>
        <v>8830585</v>
      </c>
      <c r="U349" s="257">
        <f>Price!H349</f>
        <v>227616</v>
      </c>
      <c r="V349" s="13"/>
      <c r="W349" s="13"/>
      <c r="X349" s="19"/>
      <c r="Y349" s="19"/>
    </row>
    <row r="350" spans="1:25" x14ac:dyDescent="0.35">
      <c r="A350" s="76"/>
      <c r="B350" s="162"/>
      <c r="C350" s="162"/>
      <c r="D350" s="540"/>
      <c r="E350" s="77"/>
      <c r="F350" s="64"/>
      <c r="G350" s="64"/>
      <c r="H350" s="64"/>
      <c r="I350" s="175"/>
      <c r="J350" s="175"/>
      <c r="K350" s="68"/>
      <c r="L350" s="60" t="str">
        <f>Price!A350</f>
        <v>Příborník, 500mm, Terra černý</v>
      </c>
      <c r="M350" s="15" t="str">
        <f>Price!B350</f>
        <v>ZC7S500BS3</v>
      </c>
      <c r="N350" s="15" t="str">
        <f>Price!C350</f>
        <v>TS-M</v>
      </c>
      <c r="O350" s="537">
        <f>Price!D350</f>
        <v>0</v>
      </c>
      <c r="P350" s="16"/>
      <c r="Q350" s="17">
        <f>Price!F350</f>
        <v>75.180109999999999</v>
      </c>
      <c r="R350" s="323"/>
      <c r="S350" s="323"/>
      <c r="T350" s="12">
        <f>Price!G350</f>
        <v>6081951</v>
      </c>
      <c r="U350" s="257">
        <f>Price!H350</f>
        <v>227618</v>
      </c>
      <c r="V350" s="13"/>
      <c r="W350" s="13"/>
      <c r="X350" s="19"/>
      <c r="Y350" s="19"/>
    </row>
    <row r="351" spans="1:25" ht="15" thickBot="1" x14ac:dyDescent="0.4">
      <c r="A351" s="325" t="str">
        <f>IF($C$2=1,L351,IF($C$2=2,L352,IF($C$2=3,L353,IF($C$2=4,L353,"  chyba"))))</f>
        <v>Příborník, 550mm, Orion šedý</v>
      </c>
      <c r="B351" s="326" t="str">
        <f>IF($C$2=1,M351,IF($C$2=2,M352,IF($C$2=3,M353,IF($C$2=4,M353,"  chyba"))))</f>
        <v>ZC7S550BS3</v>
      </c>
      <c r="C351" s="326" t="str">
        <f>IF($C$2=1,N351,IF($C$2=2,N352,IF($C$2=3,N353,IF($C$2=4,N353,"  chyba"))))</f>
        <v>OG-M</v>
      </c>
      <c r="D351" s="326">
        <f>IF($C$2=1,O351,IF($C$2=2,O352,IF($C$2=3,O353,IF($C$2=4,O353,"  chyba"))))</f>
        <v>0</v>
      </c>
      <c r="E351" s="327">
        <f>IF($C$2=1,P351,IF($C$2=2,P352,IF($C$2=3,P353,IF($C$2=4,P353,"  chyba"))))</f>
        <v>0</v>
      </c>
      <c r="F351" s="328">
        <f>IF($C$2=1,Q351,IF($C$2=2,Q352,IF($C$2=3,Q353,IF($C$2=4,Q353,0))))*(100-$F$6)/100</f>
        <v>111.28931</v>
      </c>
      <c r="G351" s="329"/>
      <c r="H351" s="329"/>
      <c r="I351" s="330">
        <f>IF($C$2=1,T351,IF($C$2=2,T352,IF($C$2=3,T353,IF($C$2=4,T353,"  chyba"))))</f>
        <v>5140460</v>
      </c>
      <c r="J351" s="330">
        <f>IF($C$2=1,U351,IF($C$2=2,U352,IF($C$2=3,U353,IF($C$2=4,U353,"  chyba"))))</f>
        <v>227621</v>
      </c>
      <c r="K351" s="68"/>
      <c r="L351" s="60" t="str">
        <f>Price!A351</f>
        <v>Příborník, 550mm, Orion šedý</v>
      </c>
      <c r="M351" s="15" t="str">
        <f>Price!B351</f>
        <v>ZC7S550BS3</v>
      </c>
      <c r="N351" s="15" t="str">
        <f>Price!C351</f>
        <v>OG-M</v>
      </c>
      <c r="O351" s="537">
        <f>Price!D351</f>
        <v>0</v>
      </c>
      <c r="P351" s="16"/>
      <c r="Q351" s="17">
        <f>Price!F351</f>
        <v>111.28931</v>
      </c>
      <c r="R351" s="323"/>
      <c r="S351" s="323"/>
      <c r="T351" s="12">
        <f>Price!G351</f>
        <v>5140460</v>
      </c>
      <c r="U351" s="257">
        <f>Price!H351</f>
        <v>227621</v>
      </c>
      <c r="V351" s="13"/>
      <c r="W351" s="13"/>
      <c r="X351" s="19"/>
      <c r="Y351" s="19"/>
    </row>
    <row r="352" spans="1:25" x14ac:dyDescent="0.35">
      <c r="A352" s="76"/>
      <c r="B352" s="162"/>
      <c r="C352" s="162"/>
      <c r="D352" s="540"/>
      <c r="E352" s="82"/>
      <c r="F352" s="64"/>
      <c r="G352" s="64"/>
      <c r="H352" s="64"/>
      <c r="I352" s="175"/>
      <c r="J352" s="175"/>
      <c r="K352" s="68"/>
      <c r="L352" s="60" t="str">
        <f>Price!A352</f>
        <v>Příborník, 550mm, hedvábně bílý/Orion šedý</v>
      </c>
      <c r="M352" s="15" t="str">
        <f>Price!B352</f>
        <v>ZC7S550BS3</v>
      </c>
      <c r="N352" s="15" t="str">
        <f>Price!C352</f>
        <v>SW-M/OG</v>
      </c>
      <c r="O352" s="537">
        <f>Price!D352</f>
        <v>0</v>
      </c>
      <c r="P352" s="16"/>
      <c r="Q352" s="17">
        <f>Price!F352</f>
        <v>111.28931</v>
      </c>
      <c r="R352" s="323"/>
      <c r="S352" s="323"/>
      <c r="T352" s="12">
        <f>Price!G352</f>
        <v>8208118</v>
      </c>
      <c r="U352" s="257">
        <f>Price!H352</f>
        <v>227619</v>
      </c>
      <c r="V352" s="13"/>
      <c r="W352" s="13"/>
      <c r="X352" s="19"/>
      <c r="Y352" s="19"/>
    </row>
    <row r="353" spans="1:25" x14ac:dyDescent="0.35">
      <c r="A353" s="76"/>
      <c r="B353" s="163"/>
      <c r="C353" s="163"/>
      <c r="D353" s="541"/>
      <c r="E353" s="82"/>
      <c r="F353" s="64"/>
      <c r="G353" s="64"/>
      <c r="H353" s="64"/>
      <c r="I353" s="174"/>
      <c r="J353" s="174"/>
      <c r="K353" s="68"/>
      <c r="L353" s="60" t="str">
        <f>Price!A353</f>
        <v>Příborník, 550mm, Terra černý</v>
      </c>
      <c r="M353" s="15" t="str">
        <f>Price!B353</f>
        <v>ZC7S550BS3</v>
      </c>
      <c r="N353" s="15" t="str">
        <f>Price!C353</f>
        <v>TS-M</v>
      </c>
      <c r="O353" s="537">
        <f>Price!D353</f>
        <v>0</v>
      </c>
      <c r="P353" s="16"/>
      <c r="Q353" s="17">
        <f>Price!F353</f>
        <v>111.28931</v>
      </c>
      <c r="R353" s="323"/>
      <c r="S353" s="323"/>
      <c r="T353" s="12">
        <f>Price!G353</f>
        <v>9325745</v>
      </c>
      <c r="U353" s="257">
        <f>Price!H353</f>
        <v>227622</v>
      </c>
      <c r="V353" s="13"/>
      <c r="W353" s="13"/>
      <c r="X353" s="19"/>
      <c r="Y353" s="19"/>
    </row>
    <row r="354" spans="1:25" ht="15" thickBot="1" x14ac:dyDescent="0.4">
      <c r="A354" s="325" t="str">
        <f>IF($C$2=1,L354,IF($C$2=2,L355,IF($C$2=3,L356,IF($C$2=4,L356,"  chyba"))))</f>
        <v>Příborník, 600mm, Orion šedý</v>
      </c>
      <c r="B354" s="326" t="str">
        <f>IF($C$2=1,M354,IF($C$2=2,M355,IF($C$2=3,M356,IF($C$2=4,M356,"  chyba"))))</f>
        <v>ZC7S600BS3</v>
      </c>
      <c r="C354" s="326" t="str">
        <f>IF($C$2=1,N354,IF($C$2=2,N355,IF($C$2=3,N356,IF($C$2=4,N356,"  chyba"))))</f>
        <v>OG-M</v>
      </c>
      <c r="D354" s="326">
        <f>IF($C$2=1,O354,IF($C$2=2,O355,IF($C$2=3,O356,IF($C$2=4,O356,"  chyba"))))</f>
        <v>0</v>
      </c>
      <c r="E354" s="327">
        <f>IF($C$2=1,P354,IF($C$2=2,P355,IF($C$2=3,P356,IF($C$2=4,P356,"  chyba"))))</f>
        <v>0</v>
      </c>
      <c r="F354" s="328">
        <f>IF($C$2=1,Q354,IF($C$2=2,Q355,IF($C$2=3,Q356,IF($C$2=4,Q356,0))))*(100-$F$6)/100</f>
        <v>113.56747</v>
      </c>
      <c r="G354" s="329"/>
      <c r="H354" s="329"/>
      <c r="I354" s="330">
        <f>IF($C$2=1,T354,IF($C$2=2,T355,IF($C$2=3,T356,IF($C$2=4,T356,"  chyba"))))</f>
        <v>2003515</v>
      </c>
      <c r="J354" s="330">
        <f>IF($C$2=1,U354,IF($C$2=2,U355,IF($C$2=3,U356,IF($C$2=4,U356,"  chyba"))))</f>
        <v>227624</v>
      </c>
      <c r="K354" s="68"/>
      <c r="L354" s="60" t="str">
        <f>Price!A354</f>
        <v>Příborník, 600mm, Orion šedý</v>
      </c>
      <c r="M354" s="15" t="str">
        <f>Price!B354</f>
        <v>ZC7S600BS3</v>
      </c>
      <c r="N354" s="15" t="str">
        <f>Price!C354</f>
        <v>OG-M</v>
      </c>
      <c r="O354" s="537">
        <f>Price!D354</f>
        <v>0</v>
      </c>
      <c r="P354" s="16"/>
      <c r="Q354" s="17">
        <f>Price!F354</f>
        <v>113.56747</v>
      </c>
      <c r="R354" s="323"/>
      <c r="S354" s="323"/>
      <c r="T354" s="12">
        <f>Price!G354</f>
        <v>2003515</v>
      </c>
      <c r="U354" s="257">
        <f>Price!H354</f>
        <v>227624</v>
      </c>
      <c r="V354" s="13"/>
      <c r="W354" s="13"/>
      <c r="X354" s="19"/>
      <c r="Y354" s="19"/>
    </row>
    <row r="355" spans="1:25" x14ac:dyDescent="0.35">
      <c r="A355" s="76"/>
      <c r="B355" s="163"/>
      <c r="C355" s="163"/>
      <c r="D355" s="541"/>
      <c r="E355" s="82"/>
      <c r="F355" s="64"/>
      <c r="G355" s="64"/>
      <c r="H355" s="64"/>
      <c r="I355" s="174"/>
      <c r="J355" s="174"/>
      <c r="K355" s="68"/>
      <c r="L355" s="60" t="str">
        <f>Price!A355</f>
        <v>Příborník, 600mm, hedvábně bílý/Orion šedý</v>
      </c>
      <c r="M355" s="15" t="str">
        <f>Price!B355</f>
        <v>ZC7S600BS3</v>
      </c>
      <c r="N355" s="15" t="str">
        <f>Price!C355</f>
        <v>SW-M/OG</v>
      </c>
      <c r="O355" s="537">
        <f>Price!D355</f>
        <v>0</v>
      </c>
      <c r="P355" s="16"/>
      <c r="Q355" s="17">
        <f>Price!F355</f>
        <v>113.56747</v>
      </c>
      <c r="R355" s="323"/>
      <c r="S355" s="323"/>
      <c r="T355" s="12">
        <f>Price!G355</f>
        <v>2129847</v>
      </c>
      <c r="U355" s="257">
        <f>Price!H355</f>
        <v>227623</v>
      </c>
      <c r="V355" s="13"/>
      <c r="W355" s="13"/>
      <c r="X355" s="19"/>
      <c r="Y355" s="19"/>
    </row>
    <row r="356" spans="1:25" x14ac:dyDescent="0.35">
      <c r="A356" s="76"/>
      <c r="B356" s="162"/>
      <c r="C356" s="162"/>
      <c r="D356" s="540"/>
      <c r="E356" s="82"/>
      <c r="F356" s="64"/>
      <c r="G356" s="64"/>
      <c r="H356" s="64"/>
      <c r="I356" s="175"/>
      <c r="J356" s="175"/>
      <c r="K356" s="68"/>
      <c r="L356" s="60" t="str">
        <f>Price!A356</f>
        <v>Příborník, 600mm, Terra černý</v>
      </c>
      <c r="M356" s="15" t="str">
        <f>Price!B356</f>
        <v>ZC7S600BS3</v>
      </c>
      <c r="N356" s="15" t="str">
        <f>Price!C356</f>
        <v>TS-M</v>
      </c>
      <c r="O356" s="537">
        <f>Price!D356</f>
        <v>0</v>
      </c>
      <c r="P356" s="16"/>
      <c r="Q356" s="17">
        <f>Price!F356</f>
        <v>113.56747</v>
      </c>
      <c r="R356" s="323"/>
      <c r="S356" s="323"/>
      <c r="T356" s="12">
        <f>Price!G356</f>
        <v>8245682</v>
      </c>
      <c r="U356" s="257">
        <f>Price!H356</f>
        <v>227625</v>
      </c>
      <c r="V356" s="13"/>
      <c r="W356" s="13"/>
      <c r="X356" s="19"/>
      <c r="Y356" s="19"/>
    </row>
    <row r="357" spans="1:25" ht="15" thickBot="1" x14ac:dyDescent="0.4">
      <c r="A357" s="325" t="str">
        <f>IF($C$2=1,L357,IF($C$2=2,L358,IF($C$2=3,L359,IF($C$2=4,L359,"  chyba"))))</f>
        <v>Příborník, 650mm, Orion šedý</v>
      </c>
      <c r="B357" s="326" t="str">
        <f>IF($C$2=1,M357,IF($C$2=2,M358,IF($C$2=3,M359,IF($C$2=4,M359,"  chyba"))))</f>
        <v>ZC7S650BS3</v>
      </c>
      <c r="C357" s="326" t="str">
        <f>IF($C$2=1,N357,IF($C$2=2,N358,IF($C$2=3,N359,IF($C$2=4,N359,"  chyba"))))</f>
        <v>OG-M</v>
      </c>
      <c r="D357" s="326">
        <f>IF($C$2=1,O357,IF($C$2=2,O358,IF($C$2=3,O359,IF($C$2=4,O359,"  chyba"))))</f>
        <v>0</v>
      </c>
      <c r="E357" s="327">
        <f>IF($C$2=1,P357,IF($C$2=2,P358,IF($C$2=3,P359,IF($C$2=4,P359,"  chyba"))))</f>
        <v>0</v>
      </c>
      <c r="F357" s="328">
        <f>IF($C$2=1,Q357,IF($C$2=2,Q358,IF($C$2=3,Q359,IF($C$2=4,Q359,0))))*(100-$F$6)/100</f>
        <v>142.95611</v>
      </c>
      <c r="G357" s="329"/>
      <c r="H357" s="329"/>
      <c r="I357" s="330">
        <f>IF($C$2=1,T357,IF($C$2=2,T358,IF($C$2=3,T359,IF($C$2=4,T359,"  chyba"))))</f>
        <v>7864958</v>
      </c>
      <c r="J357" s="330">
        <f>IF($C$2=1,U357,IF($C$2=2,U358,IF($C$2=3,U359,IF($C$2=4,U359,"  chyba"))))</f>
        <v>279407</v>
      </c>
      <c r="K357" s="68"/>
      <c r="L357" s="60" t="str">
        <f>Price!A357</f>
        <v>Příborník, 650mm, Orion šedý</v>
      </c>
      <c r="M357" s="15" t="str">
        <f>Price!B357</f>
        <v>ZC7S650BS3</v>
      </c>
      <c r="N357" s="15" t="str">
        <f>Price!C357</f>
        <v>OG-M</v>
      </c>
      <c r="O357" s="537">
        <f>Price!D357</f>
        <v>0</v>
      </c>
      <c r="P357" s="16"/>
      <c r="Q357" s="17">
        <f>Price!F357</f>
        <v>142.95611</v>
      </c>
      <c r="R357" s="323"/>
      <c r="S357" s="323"/>
      <c r="T357" s="12">
        <f>Price!G357</f>
        <v>7864958</v>
      </c>
      <c r="U357" s="257">
        <f>Price!H357</f>
        <v>279407</v>
      </c>
      <c r="V357" s="13"/>
      <c r="W357" s="13"/>
      <c r="X357" s="19"/>
      <c r="Y357" s="19"/>
    </row>
    <row r="358" spans="1:25" x14ac:dyDescent="0.35">
      <c r="A358" s="76"/>
      <c r="B358" s="163"/>
      <c r="C358" s="163"/>
      <c r="D358" s="541"/>
      <c r="E358" s="82"/>
      <c r="F358" s="64"/>
      <c r="G358" s="64"/>
      <c r="H358" s="64"/>
      <c r="I358" s="174"/>
      <c r="J358" s="174"/>
      <c r="K358" s="68"/>
      <c r="L358" s="60" t="str">
        <f>Price!A358</f>
        <v>Příborník, 650mm, hedvábně bílý/Orion šedý</v>
      </c>
      <c r="M358" s="15" t="str">
        <f>Price!B358</f>
        <v>ZC7S650BS3</v>
      </c>
      <c r="N358" s="15" t="str">
        <f>Price!C358</f>
        <v>SW-M/OG</v>
      </c>
      <c r="O358" s="537">
        <f>Price!D358</f>
        <v>0</v>
      </c>
      <c r="P358" s="16"/>
      <c r="Q358" s="17">
        <f>Price!F358</f>
        <v>142.95611</v>
      </c>
      <c r="R358" s="323"/>
      <c r="S358" s="323"/>
      <c r="T358" s="12">
        <f>Price!G358</f>
        <v>5771089</v>
      </c>
      <c r="U358" s="257">
        <f>Price!H358</f>
        <v>279408</v>
      </c>
      <c r="V358" s="13"/>
      <c r="W358" s="13"/>
      <c r="X358" s="19"/>
      <c r="Y358" s="19"/>
    </row>
    <row r="359" spans="1:25" x14ac:dyDescent="0.35">
      <c r="A359" s="76"/>
      <c r="B359" s="162"/>
      <c r="C359" s="162"/>
      <c r="D359" s="540"/>
      <c r="E359" s="82"/>
      <c r="F359" s="64"/>
      <c r="G359" s="64"/>
      <c r="H359" s="64"/>
      <c r="I359" s="175"/>
      <c r="J359" s="175"/>
      <c r="K359" s="68"/>
      <c r="L359" s="60" t="str">
        <f>Price!A359</f>
        <v>Příborník, 650mm, Terra černý</v>
      </c>
      <c r="M359" s="15" t="str">
        <f>Price!B359</f>
        <v>ZC7S650BS3</v>
      </c>
      <c r="N359" s="15" t="str">
        <f>Price!C359</f>
        <v>TS-M</v>
      </c>
      <c r="O359" s="537">
        <f>Price!D359</f>
        <v>0</v>
      </c>
      <c r="P359" s="16"/>
      <c r="Q359" s="17">
        <f>Price!F359</f>
        <v>142.95611</v>
      </c>
      <c r="R359" s="323"/>
      <c r="S359" s="323"/>
      <c r="T359" s="12">
        <f>Price!G359</f>
        <v>7132220</v>
      </c>
      <c r="U359" s="257">
        <f>Price!H359</f>
        <v>279409</v>
      </c>
      <c r="V359" s="13"/>
      <c r="W359" s="13"/>
      <c r="X359" s="19"/>
      <c r="Y359" s="19"/>
    </row>
    <row r="360" spans="1:25" x14ac:dyDescent="0.35">
      <c r="A360" s="76"/>
      <c r="B360" s="162"/>
      <c r="C360" s="162"/>
      <c r="D360" s="540"/>
      <c r="E360" s="77"/>
      <c r="F360" s="64"/>
      <c r="G360" s="64"/>
      <c r="H360" s="64"/>
      <c r="I360" s="175"/>
      <c r="J360" s="175"/>
      <c r="K360" s="68"/>
      <c r="L360" s="60">
        <f>Price!A360</f>
        <v>0</v>
      </c>
      <c r="M360" s="15">
        <f>Price!B360</f>
        <v>0</v>
      </c>
      <c r="N360" s="15">
        <f>Price!C360</f>
        <v>0</v>
      </c>
      <c r="O360" s="537">
        <f>Price!D360</f>
        <v>0</v>
      </c>
      <c r="P360" s="16"/>
      <c r="Q360" s="17">
        <f>Price!F360</f>
        <v>0</v>
      </c>
      <c r="R360" s="323"/>
      <c r="S360" s="323"/>
      <c r="T360" s="12">
        <f>Price!G360</f>
        <v>0</v>
      </c>
      <c r="U360" s="257">
        <f>Price!H360</f>
        <v>0</v>
      </c>
      <c r="V360" s="13"/>
      <c r="W360" s="13"/>
      <c r="X360" s="19"/>
      <c r="Y360" s="19"/>
    </row>
    <row r="361" spans="1:25" ht="15" thickBot="1" x14ac:dyDescent="0.4">
      <c r="A361" s="325" t="str">
        <f>IF($C$2=1,L361,IF($C$2=2,L362,IF($C$2=3,L363,IF($C$2=4,L363,"  chyba"))))</f>
        <v>Zásuvkové rámečky úzké, 450mm, Orion šedé</v>
      </c>
      <c r="B361" s="326" t="str">
        <f>IF($C$2=1,M361,IF($C$2=2,M362,IF($C$2=3,M363,IF($C$2=4,M363,"  chyba"))))</f>
        <v>ZC7S450RS1</v>
      </c>
      <c r="C361" s="326" t="str">
        <f>IF($C$2=1,N361,IF($C$2=2,N362,IF($C$2=3,N363,IF($C$2=4,N363,"  chyba"))))</f>
        <v>OG-M</v>
      </c>
      <c r="D361" s="326">
        <f>IF($C$2=1,O361,IF($C$2=2,O362,IF($C$2=3,O363,IF($C$2=4,O363,"  chyba"))))</f>
        <v>0</v>
      </c>
      <c r="E361" s="327">
        <f>IF($C$2=1,P361,IF($C$2=2,P362,IF($C$2=3,P363,IF($C$2=4,P363,"  chyba"))))</f>
        <v>0</v>
      </c>
      <c r="F361" s="328">
        <f>IF($C$2=1,Q361,IF($C$2=2,Q362,IF($C$2=3,Q363,IF($C$2=4,Q363,0))))*(100-$F$6)/100</f>
        <v>20.207260000000002</v>
      </c>
      <c r="G361" s="329"/>
      <c r="H361" s="329"/>
      <c r="I361" s="330">
        <f>IF($C$2=1,T361,IF($C$2=2,T362,IF($C$2=3,T363,IF($C$2=4,T363,"  chyba"))))</f>
        <v>3560959</v>
      </c>
      <c r="J361" s="330">
        <f>IF($C$2=1,U361,IF($C$2=2,U362,IF($C$2=3,U363,IF($C$2=4,U363,"  chyba"))))</f>
        <v>227636</v>
      </c>
      <c r="K361" s="68"/>
      <c r="L361" s="60" t="str">
        <f>Price!A361</f>
        <v>Zásuvkové rámečky úzké, 450mm, Orion šedé</v>
      </c>
      <c r="M361" s="15" t="str">
        <f>Price!B361</f>
        <v>ZC7S450RS1</v>
      </c>
      <c r="N361" s="15" t="str">
        <f>Price!C361</f>
        <v>OG-M</v>
      </c>
      <c r="O361" s="537">
        <f>Price!D361</f>
        <v>0</v>
      </c>
      <c r="P361" s="16"/>
      <c r="Q361" s="17">
        <f>Price!F361</f>
        <v>20.207260000000002</v>
      </c>
      <c r="R361" s="323"/>
      <c r="S361" s="323"/>
      <c r="T361" s="12">
        <f>Price!G361</f>
        <v>3560959</v>
      </c>
      <c r="U361" s="257">
        <f>Price!H361</f>
        <v>227636</v>
      </c>
      <c r="V361" s="13"/>
      <c r="W361" s="13"/>
      <c r="X361" s="19"/>
      <c r="Y361" s="19"/>
    </row>
    <row r="362" spans="1:25" x14ac:dyDescent="0.35">
      <c r="A362" s="76"/>
      <c r="B362" s="162"/>
      <c r="C362" s="162"/>
      <c r="D362" s="540"/>
      <c r="E362" s="82"/>
      <c r="F362" s="64"/>
      <c r="G362" s="64"/>
      <c r="H362" s="64"/>
      <c r="I362" s="175"/>
      <c r="J362" s="175"/>
      <c r="K362" s="68"/>
      <c r="L362" s="60" t="str">
        <f>Price!A362</f>
        <v>Zásuvkové rámečky úzké, 450mm, hedvábně bílé</v>
      </c>
      <c r="M362" s="15" t="str">
        <f>Price!B362</f>
        <v>ZC7S450RS1</v>
      </c>
      <c r="N362" s="15" t="str">
        <f>Price!C362</f>
        <v>SW-M</v>
      </c>
      <c r="O362" s="537">
        <f>Price!D362</f>
        <v>0</v>
      </c>
      <c r="P362" s="16"/>
      <c r="Q362" s="17">
        <f>Price!F362</f>
        <v>20.207260000000002</v>
      </c>
      <c r="R362" s="323"/>
      <c r="S362" s="323"/>
      <c r="T362" s="12">
        <f>Price!G362</f>
        <v>7627957</v>
      </c>
      <c r="U362" s="257">
        <f>Price!H362</f>
        <v>227635</v>
      </c>
      <c r="V362" s="13"/>
      <c r="W362" s="13"/>
      <c r="X362" s="19"/>
      <c r="Y362" s="19"/>
    </row>
    <row r="363" spans="1:25" x14ac:dyDescent="0.35">
      <c r="A363" s="76"/>
      <c r="B363" s="163"/>
      <c r="C363" s="163"/>
      <c r="D363" s="541"/>
      <c r="E363" s="82"/>
      <c r="F363" s="64"/>
      <c r="G363" s="64"/>
      <c r="H363" s="64"/>
      <c r="I363" s="174"/>
      <c r="J363" s="174"/>
      <c r="K363" s="68"/>
      <c r="L363" s="60" t="str">
        <f>Price!A363</f>
        <v>Zásuvkové rámečky úzké, 450mm, Terra černé</v>
      </c>
      <c r="M363" s="15" t="str">
        <f>Price!B363</f>
        <v>ZC7S450RS1</v>
      </c>
      <c r="N363" s="15" t="str">
        <f>Price!C363</f>
        <v>TS-M</v>
      </c>
      <c r="O363" s="537">
        <f>Price!D363</f>
        <v>0</v>
      </c>
      <c r="P363" s="16"/>
      <c r="Q363" s="17">
        <f>Price!F363</f>
        <v>20.207260000000002</v>
      </c>
      <c r="R363" s="323"/>
      <c r="S363" s="323"/>
      <c r="T363" s="12">
        <f>Price!G363</f>
        <v>8504478</v>
      </c>
      <c r="U363" s="257">
        <f>Price!H363</f>
        <v>227637</v>
      </c>
      <c r="V363" s="13"/>
      <c r="W363" s="13"/>
      <c r="X363" s="19"/>
      <c r="Y363" s="19"/>
    </row>
    <row r="364" spans="1:25" ht="15" thickBot="1" x14ac:dyDescent="0.4">
      <c r="A364" s="325" t="str">
        <f>IF($C$2=1,L364,IF($C$2=2,L365,IF($C$2=3,L366,IF($C$2=4,L366,"  chyba"))))</f>
        <v>Zásuvkové rámečky úzké, 500mm, Orion šedé</v>
      </c>
      <c r="B364" s="326" t="str">
        <f>IF($C$2=1,M364,IF($C$2=2,M365,IF($C$2=3,M366,IF($C$2=4,M366,"  chyba"))))</f>
        <v>ZC7S500RS1</v>
      </c>
      <c r="C364" s="326" t="str">
        <f>IF($C$2=1,N364,IF($C$2=2,N365,IF($C$2=3,N366,IF($C$2=4,N366,"  chyba"))))</f>
        <v>OG-M</v>
      </c>
      <c r="D364" s="326">
        <f>IF($C$2=1,O364,IF($C$2=2,O365,IF($C$2=3,O366,IF($C$2=4,O366,"  chyba"))))</f>
        <v>0</v>
      </c>
      <c r="E364" s="327">
        <f>IF($C$2=1,P364,IF($C$2=2,P365,IF($C$2=3,P366,IF($C$2=4,P366,"  chyba"))))</f>
        <v>0</v>
      </c>
      <c r="F364" s="328">
        <f>IF($C$2=1,Q364,IF($C$2=2,Q365,IF($C$2=3,Q366,IF($C$2=4,Q366,0))))*(100-$F$6)/100</f>
        <v>20.503470000000004</v>
      </c>
      <c r="G364" s="329"/>
      <c r="H364" s="329"/>
      <c r="I364" s="330">
        <f>IF($C$2=1,T364,IF($C$2=2,T365,IF($C$2=3,T366,IF($C$2=4,T366,"  chyba"))))</f>
        <v>8693820</v>
      </c>
      <c r="J364" s="330">
        <f>IF($C$2=1,U364,IF($C$2=2,U365,IF($C$2=3,U366,IF($C$2=4,U366,"  chyba"))))</f>
        <v>227639</v>
      </c>
      <c r="K364" s="68"/>
      <c r="L364" s="60" t="str">
        <f>Price!A364</f>
        <v>Zásuvkové rámečky úzké, 500mm, Orion šedé</v>
      </c>
      <c r="M364" s="15" t="str">
        <f>Price!B364</f>
        <v>ZC7S500RS1</v>
      </c>
      <c r="N364" s="15" t="str">
        <f>Price!C364</f>
        <v>OG-M</v>
      </c>
      <c r="O364" s="537">
        <f>Price!D364</f>
        <v>0</v>
      </c>
      <c r="P364" s="16"/>
      <c r="Q364" s="17">
        <f>Price!F364</f>
        <v>20.50347</v>
      </c>
      <c r="R364" s="323"/>
      <c r="S364" s="323"/>
      <c r="T364" s="12">
        <f>Price!G364</f>
        <v>8693820</v>
      </c>
      <c r="U364" s="257">
        <f>Price!H364</f>
        <v>227639</v>
      </c>
      <c r="V364" s="13"/>
      <c r="W364" s="13"/>
      <c r="X364" s="19"/>
      <c r="Y364" s="19"/>
    </row>
    <row r="365" spans="1:25" x14ac:dyDescent="0.35">
      <c r="A365" s="324"/>
      <c r="B365" s="163"/>
      <c r="C365" s="163"/>
      <c r="D365" s="541"/>
      <c r="E365" s="82"/>
      <c r="F365" s="64"/>
      <c r="G365" s="64"/>
      <c r="H365" s="64"/>
      <c r="I365" s="174"/>
      <c r="J365" s="174"/>
      <c r="K365" s="68"/>
      <c r="L365" s="60" t="str">
        <f>Price!A365</f>
        <v>Zásuvkové rámečky úzké, 500mm, hedvábně bílé</v>
      </c>
      <c r="M365" s="15" t="str">
        <f>Price!B365</f>
        <v>ZC7S500RS1</v>
      </c>
      <c r="N365" s="15" t="str">
        <f>Price!C365</f>
        <v>SW-M</v>
      </c>
      <c r="O365" s="537">
        <f>Price!D365</f>
        <v>0</v>
      </c>
      <c r="P365" s="16"/>
      <c r="Q365" s="17">
        <f>Price!F365</f>
        <v>20.50347</v>
      </c>
      <c r="R365" s="323"/>
      <c r="S365" s="323"/>
      <c r="T365" s="12">
        <f>Price!G365</f>
        <v>4394675</v>
      </c>
      <c r="U365" s="257">
        <f>Price!H365</f>
        <v>227638</v>
      </c>
      <c r="V365" s="13"/>
      <c r="W365" s="13"/>
      <c r="X365" s="19"/>
      <c r="Y365" s="19"/>
    </row>
    <row r="366" spans="1:25" x14ac:dyDescent="0.35">
      <c r="A366" s="76"/>
      <c r="B366" s="162"/>
      <c r="C366" s="162"/>
      <c r="D366" s="540"/>
      <c r="E366" s="77"/>
      <c r="F366" s="64"/>
      <c r="G366" s="64"/>
      <c r="H366" s="64"/>
      <c r="I366" s="175"/>
      <c r="J366" s="175"/>
      <c r="K366" s="61"/>
      <c r="L366" s="60" t="str">
        <f>Price!A366</f>
        <v>Zásuvkové rámečky úzké, 500mm, Terra černé</v>
      </c>
      <c r="M366" s="15" t="str">
        <f>Price!B366</f>
        <v>ZC7S500RS1</v>
      </c>
      <c r="N366" s="15" t="str">
        <f>Price!C366</f>
        <v>TS-M</v>
      </c>
      <c r="O366" s="537">
        <f>Price!D366</f>
        <v>0</v>
      </c>
      <c r="P366" s="16"/>
      <c r="Q366" s="17">
        <f>Price!F366</f>
        <v>20.50347</v>
      </c>
      <c r="R366" s="323"/>
      <c r="S366" s="323"/>
      <c r="T366" s="12">
        <f>Price!G366</f>
        <v>2001978</v>
      </c>
      <c r="U366" s="257">
        <f>Price!H366</f>
        <v>227640</v>
      </c>
      <c r="V366" s="13"/>
      <c r="W366" s="13"/>
      <c r="X366" s="19"/>
      <c r="Y366" s="19"/>
    </row>
    <row r="367" spans="1:25" ht="15" thickBot="1" x14ac:dyDescent="0.4">
      <c r="A367" s="325" t="str">
        <f>IF($C$2=1,L367,IF($C$2=2,L368,IF($C$2=3,L369,IF($C$2=4,L369,"  chyba"))))</f>
        <v>Zásuvkové rámečky úzké, 550mm, Orion šedé</v>
      </c>
      <c r="B367" s="326" t="str">
        <f>IF($C$2=1,M367,IF($C$2=2,M368,IF($C$2=3,M369,IF($C$2=4,M369,"  chyba"))))</f>
        <v>ZC7S550RS1</v>
      </c>
      <c r="C367" s="326" t="str">
        <f>IF($C$2=1,N367,IF($C$2=2,N368,IF($C$2=3,N369,IF($C$2=4,N369,"  chyba"))))</f>
        <v>OG-M</v>
      </c>
      <c r="D367" s="326">
        <f>IF($C$2=1,O367,IF($C$2=2,O368,IF($C$2=3,O369,IF($C$2=4,O369,"  chyba"))))</f>
        <v>0</v>
      </c>
      <c r="E367" s="327">
        <f>IF($C$2=1,P367,IF($C$2=2,P368,IF($C$2=3,P369,IF($C$2=4,P369,"  chyba"))))</f>
        <v>0</v>
      </c>
      <c r="F367" s="328">
        <f>IF($C$2=1,Q367,IF($C$2=2,Q368,IF($C$2=3,Q369,IF($C$2=4,Q369,0))))*(100-$F$6)/100</f>
        <v>21.027159999999999</v>
      </c>
      <c r="G367" s="329"/>
      <c r="H367" s="329"/>
      <c r="I367" s="330">
        <f>IF($C$2=1,T367,IF($C$2=2,T368,IF($C$2=3,T369,IF($C$2=4,T369,"  chyba"))))</f>
        <v>7888159</v>
      </c>
      <c r="J367" s="330">
        <f>IF($C$2=1,U367,IF($C$2=2,U368,IF($C$2=3,U369,IF($C$2=4,U369,"  chyba"))))</f>
        <v>227642</v>
      </c>
      <c r="K367" s="69"/>
      <c r="L367" s="60" t="str">
        <f>Price!A367</f>
        <v>Zásuvkové rámečky úzké, 550mm, Orion šedé</v>
      </c>
      <c r="M367" s="15" t="str">
        <f>Price!B367</f>
        <v>ZC7S550RS1</v>
      </c>
      <c r="N367" s="15" t="str">
        <f>Price!C367</f>
        <v>OG-M</v>
      </c>
      <c r="O367" s="537">
        <f>Price!D367</f>
        <v>0</v>
      </c>
      <c r="P367" s="16"/>
      <c r="Q367" s="17">
        <f>Price!F367</f>
        <v>21.027159999999999</v>
      </c>
      <c r="R367" s="323"/>
      <c r="S367" s="323"/>
      <c r="T367" s="12">
        <f>Price!G367</f>
        <v>7888159</v>
      </c>
      <c r="U367" s="257">
        <f>Price!H367</f>
        <v>227642</v>
      </c>
      <c r="V367" s="13"/>
      <c r="W367" s="13"/>
      <c r="X367" s="19"/>
      <c r="Y367" s="19"/>
    </row>
    <row r="368" spans="1:25" x14ac:dyDescent="0.35">
      <c r="A368" s="78"/>
      <c r="B368" s="162"/>
      <c r="C368" s="162"/>
      <c r="D368" s="540"/>
      <c r="E368" s="77"/>
      <c r="F368" s="66"/>
      <c r="G368" s="66"/>
      <c r="H368" s="66"/>
      <c r="I368" s="175"/>
      <c r="J368" s="175"/>
      <c r="K368" s="69"/>
      <c r="L368" s="60" t="str">
        <f>Price!A368</f>
        <v>Zásuvkové rámečky úzké, 550mm, hedvábně bílé</v>
      </c>
      <c r="M368" s="15" t="str">
        <f>Price!B368</f>
        <v>ZC7S550RS1</v>
      </c>
      <c r="N368" s="15" t="str">
        <f>Price!C368</f>
        <v>SW-M</v>
      </c>
      <c r="O368" s="537">
        <f>Price!D368</f>
        <v>0</v>
      </c>
      <c r="P368" s="16"/>
      <c r="Q368" s="17">
        <f>Price!F368</f>
        <v>21.027159999999999</v>
      </c>
      <c r="R368" s="323"/>
      <c r="S368" s="323"/>
      <c r="T368" s="12">
        <f>Price!G368</f>
        <v>4659446</v>
      </c>
      <c r="U368" s="257">
        <f>Price!H368</f>
        <v>227641</v>
      </c>
      <c r="V368" s="13"/>
      <c r="W368" s="13"/>
      <c r="X368" s="19"/>
      <c r="Y368" s="19"/>
    </row>
    <row r="369" spans="1:25" x14ac:dyDescent="0.35">
      <c r="A369" s="76"/>
      <c r="B369" s="162"/>
      <c r="C369" s="162"/>
      <c r="D369" s="540"/>
      <c r="E369" s="77"/>
      <c r="F369" s="64"/>
      <c r="G369" s="64"/>
      <c r="H369" s="64"/>
      <c r="I369" s="175"/>
      <c r="J369" s="175"/>
      <c r="K369" s="61"/>
      <c r="L369" s="60" t="str">
        <f>Price!A369</f>
        <v>Zásuvkové rámečky úzké, 550mm, Terra černé</v>
      </c>
      <c r="M369" s="15" t="str">
        <f>Price!B369</f>
        <v>ZC7S550RS1</v>
      </c>
      <c r="N369" s="15" t="str">
        <f>Price!C369</f>
        <v>TS-M</v>
      </c>
      <c r="O369" s="537">
        <f>Price!D369</f>
        <v>0</v>
      </c>
      <c r="P369" s="16"/>
      <c r="Q369" s="17">
        <f>Price!F369</f>
        <v>21.027159999999999</v>
      </c>
      <c r="R369" s="323"/>
      <c r="S369" s="323"/>
      <c r="T369" s="12">
        <f>Price!G369</f>
        <v>1857690</v>
      </c>
      <c r="U369" s="257">
        <f>Price!H369</f>
        <v>227643</v>
      </c>
      <c r="V369" s="13"/>
      <c r="W369" s="13"/>
      <c r="X369" s="19"/>
      <c r="Y369" s="19"/>
    </row>
    <row r="370" spans="1:25" ht="15" thickBot="1" x14ac:dyDescent="0.4">
      <c r="A370" s="325" t="str">
        <f>IF($C$2=1,L370,IF($C$2=2,L371,IF($C$2=3,L372,IF($C$2=4,L372,"  chyba"))))</f>
        <v>Zásuvkové rámečky úzké, 600mm, Orion šedé</v>
      </c>
      <c r="B370" s="331" t="str">
        <f>IF($C$2=1,M370,IF($C$2=2,M371,IF($C$2=3,M372,IF($C$2=4,M372,"  chyba"))))</f>
        <v>ZC7S600RS1</v>
      </c>
      <c r="C370" s="331" t="str">
        <f>IF($C$2=1,N370,IF($C$2=2,N371,IF($C$2=3,N372,IF($C$2=4,N372,"  chyba"))))</f>
        <v>OG-M</v>
      </c>
      <c r="D370" s="331">
        <f>IF($C$2=1,O370,IF($C$2=2,O371,IF($C$2=3,O372,IF($C$2=4,O372,"  chyba"))))</f>
        <v>0</v>
      </c>
      <c r="E370" s="327">
        <f>IF($C$2=1,P370,IF($C$2=2,P371,IF($C$2=3,P372,IF($C$2=4,P372,"  chyba"))))</f>
        <v>0</v>
      </c>
      <c r="F370" s="328">
        <f>IF($C$2=1,Q370,IF($C$2=2,Q371,IF($C$2=3,Q372,IF($C$2=4,Q372,0))))*(100-$F$6)/100</f>
        <v>21.551040000000004</v>
      </c>
      <c r="G370" s="329"/>
      <c r="H370" s="329"/>
      <c r="I370" s="332">
        <f>IF($C$2=1,T370,IF($C$2=2,T371,IF($C$2=3,T372,IF($C$2=4,T372,"  chyba"))))</f>
        <v>5406259</v>
      </c>
      <c r="J370" s="332">
        <f>IF($C$2=1,U370,IF($C$2=2,U371,IF($C$2=3,U372,IF($C$2=4,U372,"  chyba"))))</f>
        <v>227645</v>
      </c>
      <c r="K370" s="69"/>
      <c r="L370" s="60" t="str">
        <f>Price!A370</f>
        <v>Zásuvkové rámečky úzké, 600mm, Orion šedé</v>
      </c>
      <c r="M370" s="15" t="str">
        <f>Price!B370</f>
        <v>ZC7S600RS1</v>
      </c>
      <c r="N370" s="15" t="str">
        <f>Price!C370</f>
        <v>OG-M</v>
      </c>
      <c r="O370" s="537">
        <f>Price!D370</f>
        <v>0</v>
      </c>
      <c r="P370" s="16"/>
      <c r="Q370" s="17">
        <f>Price!F370</f>
        <v>21.55104</v>
      </c>
      <c r="R370" s="323"/>
      <c r="S370" s="323"/>
      <c r="T370" s="12">
        <f>Price!G370</f>
        <v>5406259</v>
      </c>
      <c r="U370" s="257">
        <f>Price!H370</f>
        <v>227645</v>
      </c>
      <c r="V370" s="13"/>
      <c r="W370" s="13"/>
      <c r="X370" s="19"/>
      <c r="Y370" s="19"/>
    </row>
    <row r="371" spans="1:25" x14ac:dyDescent="0.35">
      <c r="A371" s="76"/>
      <c r="B371" s="162"/>
      <c r="C371" s="162"/>
      <c r="D371" s="540"/>
      <c r="E371" s="82"/>
      <c r="F371" s="64"/>
      <c r="G371" s="64"/>
      <c r="H371" s="64"/>
      <c r="I371" s="175"/>
      <c r="J371" s="175"/>
      <c r="K371" s="69"/>
      <c r="L371" s="60" t="str">
        <f>Price!A371</f>
        <v>Zásuvkové rámečky úzké, 600mm, hedvábně bílé</v>
      </c>
      <c r="M371" s="15" t="str">
        <f>Price!B371</f>
        <v>ZC7S600RS1</v>
      </c>
      <c r="N371" s="15" t="str">
        <f>Price!C371</f>
        <v>SW-M</v>
      </c>
      <c r="O371" s="537">
        <f>Price!D371</f>
        <v>0</v>
      </c>
      <c r="P371" s="16"/>
      <c r="Q371" s="17">
        <f>Price!F371</f>
        <v>21.55104</v>
      </c>
      <c r="R371" s="323"/>
      <c r="S371" s="323"/>
      <c r="T371" s="12">
        <f>Price!G371</f>
        <v>9947186</v>
      </c>
      <c r="U371" s="257">
        <f>Price!H371</f>
        <v>227644</v>
      </c>
      <c r="V371" s="13"/>
      <c r="W371" s="13"/>
      <c r="X371" s="19"/>
      <c r="Y371" s="19"/>
    </row>
    <row r="372" spans="1:25" x14ac:dyDescent="0.35">
      <c r="A372" s="76"/>
      <c r="B372" s="162"/>
      <c r="C372" s="162"/>
      <c r="D372" s="540"/>
      <c r="E372" s="77"/>
      <c r="F372" s="64"/>
      <c r="G372" s="64"/>
      <c r="H372" s="64"/>
      <c r="I372" s="175"/>
      <c r="J372" s="175"/>
      <c r="K372" s="69"/>
      <c r="L372" s="60" t="str">
        <f>Price!A372</f>
        <v>Zásuvkové rámečky úzké, 600mm, Terra černé</v>
      </c>
      <c r="M372" s="15" t="str">
        <f>Price!B372</f>
        <v>ZC7S600RS1</v>
      </c>
      <c r="N372" s="15" t="str">
        <f>Price!C372</f>
        <v>TS-M</v>
      </c>
      <c r="O372" s="537">
        <f>Price!D372</f>
        <v>0</v>
      </c>
      <c r="P372" s="16"/>
      <c r="Q372" s="17">
        <f>Price!F372</f>
        <v>21.55104</v>
      </c>
      <c r="R372" s="323"/>
      <c r="S372" s="323"/>
      <c r="T372" s="12">
        <f>Price!G372</f>
        <v>3460266</v>
      </c>
      <c r="U372" s="257">
        <f>Price!H372</f>
        <v>227646</v>
      </c>
      <c r="V372" s="13"/>
      <c r="W372" s="13"/>
      <c r="X372" s="19"/>
      <c r="Y372" s="19"/>
    </row>
    <row r="373" spans="1:25" ht="15" thickBot="1" x14ac:dyDescent="0.4">
      <c r="A373" s="325" t="str">
        <f>IF($C$2=1,L373,IF($C$2=2,L374,IF($C$2=3,L375,IF($C$2=4,L375,"  chyba"))))</f>
        <v>Zásuvkové rámečky úzké, 650mm, Orion šedé</v>
      </c>
      <c r="B373" s="331" t="str">
        <f>IF($C$2=1,M373,IF($C$2=2,M374,IF($C$2=3,M375,IF($C$2=4,M375,"  chyba"))))</f>
        <v>ZC7S650RS1</v>
      </c>
      <c r="C373" s="331" t="str">
        <f>IF($C$2=1,N373,IF($C$2=2,N374,IF($C$2=3,N375,IF($C$2=4,N375,"  chyba"))))</f>
        <v>OG-M</v>
      </c>
      <c r="D373" s="331">
        <f>IF($C$2=1,O373,IF($C$2=2,O374,IF($C$2=3,O375,IF($C$2=4,O375,"  chyba"))))</f>
        <v>0</v>
      </c>
      <c r="E373" s="327">
        <f>IF($C$2=1,P373,IF($C$2=2,P374,IF($C$2=3,P375,IF($C$2=4,P375,"  chyba"))))</f>
        <v>0</v>
      </c>
      <c r="F373" s="328">
        <f>IF($C$2=1,Q373,IF($C$2=2,Q374,IF($C$2=3,Q375,IF($C$2=4,Q375,0))))*(100-$F$6)/100</f>
        <v>22.07471</v>
      </c>
      <c r="G373" s="329"/>
      <c r="H373" s="329"/>
      <c r="I373" s="332">
        <f>IF($C$2=1,T373,IF($C$2=2,T374,IF($C$2=3,T375,IF($C$2=4,T375,"  chyba"))))</f>
        <v>9535897</v>
      </c>
      <c r="J373" s="332">
        <f>IF($C$2=1,U373,IF($C$2=2,U374,IF($C$2=3,U375,IF($C$2=4,U375,"  chyba"))))</f>
        <v>275842</v>
      </c>
      <c r="K373" s="69"/>
      <c r="L373" s="60" t="str">
        <f>Price!A373</f>
        <v>Zásuvkové rámečky úzké, 650mm, Orion šedé</v>
      </c>
      <c r="M373" s="15" t="str">
        <f>Price!B373</f>
        <v>ZC7S650RS1</v>
      </c>
      <c r="N373" s="15" t="str">
        <f>Price!C373</f>
        <v>OG-M</v>
      </c>
      <c r="O373" s="537">
        <f>Price!D373</f>
        <v>0</v>
      </c>
      <c r="P373" s="16"/>
      <c r="Q373" s="17">
        <f>Price!F373</f>
        <v>22.07471</v>
      </c>
      <c r="R373" s="323"/>
      <c r="S373" s="323"/>
      <c r="T373" s="12">
        <f>Price!G373</f>
        <v>9535897</v>
      </c>
      <c r="U373" s="257">
        <f>Price!H373</f>
        <v>275842</v>
      </c>
      <c r="V373" s="13"/>
      <c r="W373" s="13"/>
      <c r="X373" s="19"/>
      <c r="Y373" s="19"/>
    </row>
    <row r="374" spans="1:25" x14ac:dyDescent="0.35">
      <c r="A374" s="76"/>
      <c r="B374" s="162"/>
      <c r="C374" s="162"/>
      <c r="D374" s="540"/>
      <c r="E374" s="82"/>
      <c r="F374" s="64"/>
      <c r="G374" s="64"/>
      <c r="H374" s="64"/>
      <c r="I374" s="175"/>
      <c r="J374" s="175"/>
      <c r="K374" s="69"/>
      <c r="L374" s="60" t="str">
        <f>Price!A374</f>
        <v>Zásuvkové rámečky úzké, 650mm, hedvábně bílé</v>
      </c>
      <c r="M374" s="15" t="str">
        <f>Price!B374</f>
        <v>ZC7S650RS1</v>
      </c>
      <c r="N374" s="15" t="str">
        <f>Price!C374</f>
        <v>SW-M</v>
      </c>
      <c r="O374" s="537">
        <f>Price!D374</f>
        <v>0</v>
      </c>
      <c r="P374" s="16"/>
      <c r="Q374" s="17">
        <f>Price!F374</f>
        <v>22.07471</v>
      </c>
      <c r="R374" s="323"/>
      <c r="S374" s="323"/>
      <c r="T374" s="12">
        <f>Price!G374</f>
        <v>5590354</v>
      </c>
      <c r="U374" s="257">
        <f>Price!H374</f>
        <v>279410</v>
      </c>
      <c r="V374" s="13"/>
      <c r="W374" s="13"/>
      <c r="X374" s="19"/>
      <c r="Y374" s="19"/>
    </row>
    <row r="375" spans="1:25" x14ac:dyDescent="0.35">
      <c r="A375" s="76"/>
      <c r="B375" s="162"/>
      <c r="C375" s="162"/>
      <c r="D375" s="540"/>
      <c r="E375" s="77"/>
      <c r="F375" s="64"/>
      <c r="G375" s="64"/>
      <c r="H375" s="64"/>
      <c r="I375" s="175"/>
      <c r="J375" s="175"/>
      <c r="K375" s="69"/>
      <c r="L375" s="60" t="str">
        <f>Price!A375</f>
        <v>Zásuvkové rámečky úzké, 650mm, Terra černé</v>
      </c>
      <c r="M375" s="15" t="str">
        <f>Price!B375</f>
        <v>ZC7S650RS1</v>
      </c>
      <c r="N375" s="15" t="str">
        <f>Price!C375</f>
        <v>TS-M</v>
      </c>
      <c r="O375" s="537">
        <f>Price!D375</f>
        <v>0</v>
      </c>
      <c r="P375" s="16"/>
      <c r="Q375" s="17">
        <f>Price!F375</f>
        <v>22.07471</v>
      </c>
      <c r="R375" s="323"/>
      <c r="S375" s="323"/>
      <c r="T375" s="12">
        <f>Price!G375</f>
        <v>2663377</v>
      </c>
      <c r="U375" s="257">
        <f>Price!H375</f>
        <v>279411</v>
      </c>
      <c r="V375" s="13"/>
      <c r="W375" s="13"/>
      <c r="X375" s="19"/>
      <c r="Y375" s="19"/>
    </row>
    <row r="376" spans="1:25" ht="15" thickBot="1" x14ac:dyDescent="0.4">
      <c r="A376" s="325" t="str">
        <f>IF($C$2=1,L376,IF($C$2=2,L377,IF($C$2=3,L378,IF($C$2=4,L378,"  chyba"))))</f>
        <v>Samostatná příčka, 50/100mm, Orion šedá</v>
      </c>
      <c r="B376" s="331" t="str">
        <f>IF($C$2=1,M376,IF($C$2=2,M377,IF($C$2=3,M378,IF($C$2=4,M378,"  chyba"))))</f>
        <v>ZC7Q010SS</v>
      </c>
      <c r="C376" s="331" t="str">
        <f>IF($C$2=1,N376,IF($C$2=2,N377,IF($C$2=3,N378,IF($C$2=4,N378,"  chyba"))))</f>
        <v>OG-M</v>
      </c>
      <c r="D376" s="331" t="str">
        <f>IF($C$2=1,O376,IF($C$2=2,O377,IF($C$2=3,O378,IF($C$2=4,O378,"  chyba"))))</f>
        <v>!</v>
      </c>
      <c r="E376" s="327">
        <f>IF($C$2=1,P376,IF($C$2=2,P377,IF($C$2=3,P378,IF($C$2=4,P378,"  chyba"))))</f>
        <v>0</v>
      </c>
      <c r="F376" s="328">
        <f>IF($C$2=1,Q376,IF($C$2=2,Q377,IF($C$2=3,Q378,IF($C$2=4,Q378,0))))*(100-$F$6)/100</f>
        <v>3.3033199999999998</v>
      </c>
      <c r="G376" s="329"/>
      <c r="H376" s="329"/>
      <c r="I376" s="332">
        <f>IF($C$2=1,T376,IF($C$2=2,T377,IF($C$2=3,T378,IF($C$2=4,T378,"  chyba"))))</f>
        <v>1842247</v>
      </c>
      <c r="J376" s="332">
        <f>IF($C$2=1,U376,IF($C$2=2,U377,IF($C$2=3,U378,IF($C$2=4,U378,"  chyba"))))</f>
        <v>227648</v>
      </c>
      <c r="K376" s="69"/>
      <c r="L376" s="60" t="str">
        <f>Price!A376</f>
        <v>Samostatná příčka, 50/100mm, Orion šedá</v>
      </c>
      <c r="M376" s="15" t="str">
        <f>Price!B376</f>
        <v>ZC7Q010SS</v>
      </c>
      <c r="N376" s="15" t="str">
        <f>Price!C376</f>
        <v>OG-M</v>
      </c>
      <c r="O376" s="537" t="str">
        <f>Price!D376</f>
        <v>!</v>
      </c>
      <c r="P376" s="16"/>
      <c r="Q376" s="17">
        <f>Price!F376</f>
        <v>3.3033199999999998</v>
      </c>
      <c r="R376" s="323"/>
      <c r="S376" s="323"/>
      <c r="T376" s="12">
        <f>Price!G376</f>
        <v>1842247</v>
      </c>
      <c r="U376" s="257">
        <f>Price!H376</f>
        <v>227648</v>
      </c>
      <c r="V376" s="13"/>
      <c r="W376" s="13"/>
      <c r="X376" s="19"/>
      <c r="Y376" s="19"/>
    </row>
    <row r="377" spans="1:25" x14ac:dyDescent="0.35">
      <c r="A377" s="76"/>
      <c r="B377" s="162"/>
      <c r="C377" s="162"/>
      <c r="D377" s="540"/>
      <c r="E377" s="82"/>
      <c r="F377" s="64"/>
      <c r="G377" s="64"/>
      <c r="H377" s="64"/>
      <c r="I377" s="175"/>
      <c r="J377" s="175"/>
      <c r="K377" s="69"/>
      <c r="L377" s="60" t="str">
        <f>Price!A377</f>
        <v>Samostatná příčka, 50/100mm, hedvábně bílá</v>
      </c>
      <c r="M377" s="15" t="str">
        <f>Price!B377</f>
        <v>ZC7Q010SS</v>
      </c>
      <c r="N377" s="15" t="str">
        <f>Price!C377</f>
        <v>SW-M</v>
      </c>
      <c r="O377" s="537" t="str">
        <f>Price!D377</f>
        <v>!</v>
      </c>
      <c r="P377" s="16"/>
      <c r="Q377" s="17">
        <f>Price!F377</f>
        <v>3.3033199999999998</v>
      </c>
      <c r="R377" s="323"/>
      <c r="S377" s="323"/>
      <c r="T377" s="12">
        <f>Price!G377</f>
        <v>5291776</v>
      </c>
      <c r="U377" s="257">
        <f>Price!H377</f>
        <v>227647</v>
      </c>
      <c r="V377" s="13"/>
      <c r="W377" s="13"/>
      <c r="X377" s="19"/>
      <c r="Y377" s="19"/>
    </row>
    <row r="378" spans="1:25" x14ac:dyDescent="0.35">
      <c r="A378" s="76"/>
      <c r="B378" s="162"/>
      <c r="C378" s="162"/>
      <c r="D378" s="540"/>
      <c r="E378" s="77"/>
      <c r="F378" s="64"/>
      <c r="G378" s="64"/>
      <c r="H378" s="64"/>
      <c r="I378" s="175"/>
      <c r="J378" s="175"/>
      <c r="K378" s="69"/>
      <c r="L378" s="60" t="str">
        <f>Price!A378</f>
        <v>Samostatná příčka, 50/100mm, Terra černá</v>
      </c>
      <c r="M378" s="15" t="str">
        <f>Price!B378</f>
        <v>ZC7Q010SS</v>
      </c>
      <c r="N378" s="15" t="str">
        <f>Price!C378</f>
        <v>TS-M</v>
      </c>
      <c r="O378" s="537" t="str">
        <f>Price!D378</f>
        <v>!</v>
      </c>
      <c r="P378" s="16"/>
      <c r="Q378" s="17">
        <f>Price!F378</f>
        <v>3.3033199999999998</v>
      </c>
      <c r="R378" s="323"/>
      <c r="S378" s="323"/>
      <c r="T378" s="12">
        <f>Price!G378</f>
        <v>2118580</v>
      </c>
      <c r="U378" s="257">
        <f>Price!H378</f>
        <v>227649</v>
      </c>
      <c r="V378" s="13"/>
      <c r="W378" s="13"/>
      <c r="X378" s="19"/>
      <c r="Y378" s="19"/>
    </row>
    <row r="379" spans="1:25" x14ac:dyDescent="0.35">
      <c r="A379" s="76"/>
      <c r="B379" s="163"/>
      <c r="C379" s="163"/>
      <c r="D379" s="541"/>
      <c r="E379" s="82"/>
      <c r="F379" s="64"/>
      <c r="G379" s="64"/>
      <c r="H379" s="64"/>
      <c r="I379" s="174"/>
      <c r="J379" s="174"/>
      <c r="K379" s="69"/>
      <c r="L379" s="60">
        <f>Price!A379</f>
        <v>0</v>
      </c>
      <c r="M379" s="15">
        <f>Price!B379</f>
        <v>0</v>
      </c>
      <c r="N379" s="15">
        <f>Price!C379</f>
        <v>0</v>
      </c>
      <c r="O379" s="537">
        <f>Price!D379</f>
        <v>0</v>
      </c>
      <c r="P379" s="16"/>
      <c r="Q379" s="17">
        <f>Price!F379</f>
        <v>0</v>
      </c>
      <c r="R379" s="323"/>
      <c r="S379" s="323"/>
      <c r="T379" s="12">
        <f>Price!G379</f>
        <v>0</v>
      </c>
      <c r="U379" s="257">
        <f>Price!H379</f>
        <v>0</v>
      </c>
      <c r="V379" s="13"/>
      <c r="W379" s="13"/>
      <c r="X379" s="19"/>
      <c r="Y379" s="19"/>
    </row>
    <row r="380" spans="1:25" ht="15" thickBot="1" x14ac:dyDescent="0.4">
      <c r="A380" s="325" t="str">
        <f>IF($C$2=1,L380,IF($C$2=2,L381,IF($C$2=3,L382,IF($C$2=4,L382,"  chyba"))))</f>
        <v>Zásuvkové rámečky široké, 450mm, Orion šedé</v>
      </c>
      <c r="B380" s="331" t="str">
        <f>IF($C$2=1,M380,IF($C$2=2,M381,IF($C$2=3,M382,IF($C$2=4,M382,"  chyba"))))</f>
        <v>ZC7S450RS2</v>
      </c>
      <c r="C380" s="331" t="str">
        <f>IF($C$2=1,N380,IF($C$2=2,N381,IF($C$2=3,N382,IF($C$2=4,N382,"  chyba"))))</f>
        <v>OG-M</v>
      </c>
      <c r="D380" s="331">
        <f>IF($C$2=1,O380,IF($C$2=2,O381,IF($C$2=3,O382,IF($C$2=4,O382,"  chyba"))))</f>
        <v>0</v>
      </c>
      <c r="E380" s="327">
        <f>IF($C$2=1,P380,IF($C$2=2,P381,IF($C$2=3,P382,IF($C$2=4,P382,"  chyba"))))</f>
        <v>0</v>
      </c>
      <c r="F380" s="328">
        <f>IF($C$2=1,Q380,IF($C$2=2,Q381,IF($C$2=3,Q382,IF($C$2=4,Q382,0))))*(100-$F$6)/100</f>
        <v>24.763960000000001</v>
      </c>
      <c r="G380" s="329"/>
      <c r="H380" s="329"/>
      <c r="I380" s="332">
        <f>IF($C$2=1,T380,IF($C$2=2,T381,IF($C$2=3,T382,IF($C$2=4,T382,"  chyba"))))</f>
        <v>2903985</v>
      </c>
      <c r="J380" s="332">
        <f>IF($C$2=1,U380,IF($C$2=2,U381,IF($C$2=3,U382,IF($C$2=4,U382,"  chyba"))))</f>
        <v>227651</v>
      </c>
      <c r="K380" s="69"/>
      <c r="L380" s="60" t="str">
        <f>Price!A380</f>
        <v>Zásuvkové rámečky široké, 450mm, Orion šedé</v>
      </c>
      <c r="M380" s="15" t="str">
        <f>Price!B380</f>
        <v>ZC7S450RS2</v>
      </c>
      <c r="N380" s="15" t="str">
        <f>Price!C380</f>
        <v>OG-M</v>
      </c>
      <c r="O380" s="537">
        <f>Price!D380</f>
        <v>0</v>
      </c>
      <c r="P380" s="16"/>
      <c r="Q380" s="17">
        <f>Price!F380</f>
        <v>24.763960000000001</v>
      </c>
      <c r="R380" s="323"/>
      <c r="S380" s="323"/>
      <c r="T380" s="12">
        <f>Price!G380</f>
        <v>2903985</v>
      </c>
      <c r="U380" s="257">
        <f>Price!H380</f>
        <v>227651</v>
      </c>
      <c r="V380" s="13"/>
      <c r="W380" s="13"/>
      <c r="X380" s="19"/>
      <c r="Y380" s="19"/>
    </row>
    <row r="381" spans="1:25" x14ac:dyDescent="0.35">
      <c r="A381" s="76"/>
      <c r="B381" s="162"/>
      <c r="C381" s="162"/>
      <c r="D381" s="540"/>
      <c r="E381" s="77"/>
      <c r="F381" s="64"/>
      <c r="G381" s="64"/>
      <c r="H381" s="64"/>
      <c r="I381" s="175"/>
      <c r="J381" s="175"/>
      <c r="K381" s="69"/>
      <c r="L381" s="60" t="str">
        <f>Price!A381</f>
        <v>Zásuvkové rámečky široké, 450mm, hedvábně bílé</v>
      </c>
      <c r="M381" s="15" t="str">
        <f>Price!B381</f>
        <v>ZC7S450RS2</v>
      </c>
      <c r="N381" s="15" t="str">
        <f>Price!C381</f>
        <v>SW-M</v>
      </c>
      <c r="O381" s="537">
        <f>Price!D381</f>
        <v>0</v>
      </c>
      <c r="P381" s="16"/>
      <c r="Q381" s="17">
        <f>Price!F381</f>
        <v>24.763960000000001</v>
      </c>
      <c r="R381" s="323"/>
      <c r="S381" s="323"/>
      <c r="T381" s="12">
        <f>Price!G381</f>
        <v>3896104</v>
      </c>
      <c r="U381" s="257">
        <f>Price!H381</f>
        <v>227650</v>
      </c>
      <c r="V381" s="13"/>
      <c r="W381" s="13"/>
      <c r="X381" s="19"/>
      <c r="Y381" s="19"/>
    </row>
    <row r="382" spans="1:25" x14ac:dyDescent="0.35">
      <c r="A382" s="78"/>
      <c r="B382" s="163"/>
      <c r="C382" s="163"/>
      <c r="D382" s="541"/>
      <c r="E382" s="77"/>
      <c r="F382" s="66"/>
      <c r="G382" s="66"/>
      <c r="H382" s="66"/>
      <c r="I382" s="174"/>
      <c r="J382" s="174"/>
      <c r="K382" s="69"/>
      <c r="L382" s="60" t="str">
        <f>Price!A382</f>
        <v>Zásuvkové rámečky široké, 450mm, Terra černé</v>
      </c>
      <c r="M382" s="15" t="str">
        <f>Price!B382</f>
        <v>ZC7S450RS2</v>
      </c>
      <c r="N382" s="15" t="str">
        <f>Price!C382</f>
        <v>TS-M</v>
      </c>
      <c r="O382" s="537">
        <f>Price!D382</f>
        <v>0</v>
      </c>
      <c r="P382" s="16"/>
      <c r="Q382" s="17">
        <f>Price!F382</f>
        <v>24.763960000000001</v>
      </c>
      <c r="R382" s="323"/>
      <c r="S382" s="323"/>
      <c r="T382" s="12">
        <f>Price!G382</f>
        <v>8885527</v>
      </c>
      <c r="U382" s="257">
        <f>Price!H382</f>
        <v>227652</v>
      </c>
      <c r="V382" s="13"/>
      <c r="W382" s="13"/>
      <c r="X382" s="19"/>
      <c r="Y382" s="19"/>
    </row>
    <row r="383" spans="1:25" ht="15" thickBot="1" x14ac:dyDescent="0.4">
      <c r="A383" s="325" t="str">
        <f>IF($C$2=1,L383,IF($C$2=2,L384,IF($C$2=3,L385,IF($C$2=4,L385,"  chyba"))))</f>
        <v>Zásuvkové rámečky široké, 500mm, Orion šedé</v>
      </c>
      <c r="B383" s="331" t="str">
        <f>IF($C$2=1,M383,IF($C$2=2,M384,IF($C$2=3,M385,IF($C$2=4,M385,"  chyba"))))</f>
        <v>ZC7S500RS2</v>
      </c>
      <c r="C383" s="331" t="str">
        <f>IF($C$2=1,N383,IF($C$2=2,N384,IF($C$2=3,N385,IF($C$2=4,N385,"  chyba"))))</f>
        <v>OG-M</v>
      </c>
      <c r="D383" s="331">
        <f>IF($C$2=1,O383,IF($C$2=2,O384,IF($C$2=3,O385,IF($C$2=4,O385,"  chyba"))))</f>
        <v>0</v>
      </c>
      <c r="E383" s="327">
        <f>IF($C$2=1,P383,IF($C$2=2,P384,IF($C$2=3,P385,IF($C$2=4,P385,"  chyba"))))</f>
        <v>0</v>
      </c>
      <c r="F383" s="328">
        <f>IF($C$2=1,Q383,IF($C$2=2,Q384,IF($C$2=3,Q385,IF($C$2=4,Q385,0))))*(100-$F$6)/100</f>
        <v>25.059979999999999</v>
      </c>
      <c r="G383" s="329"/>
      <c r="H383" s="329"/>
      <c r="I383" s="332">
        <f>IF($C$2=1,T383,IF($C$2=2,T384,IF($C$2=3,T385,IF($C$2=4,T385,"  chyba"))))</f>
        <v>4595319</v>
      </c>
      <c r="J383" s="332">
        <f>IF($C$2=1,U383,IF($C$2=2,U384,IF($C$2=3,U385,IF($C$2=4,U385,"  chyba"))))</f>
        <v>227654</v>
      </c>
      <c r="K383" s="61"/>
      <c r="L383" s="60" t="str">
        <f>Price!A383</f>
        <v>Zásuvkové rámečky široké, 500mm, Orion šedé</v>
      </c>
      <c r="M383" s="15" t="str">
        <f>Price!B383</f>
        <v>ZC7S500RS2</v>
      </c>
      <c r="N383" s="15" t="str">
        <f>Price!C383</f>
        <v>OG-M</v>
      </c>
      <c r="O383" s="537">
        <f>Price!D383</f>
        <v>0</v>
      </c>
      <c r="P383" s="16"/>
      <c r="Q383" s="17">
        <f>Price!F383</f>
        <v>25.059979999999999</v>
      </c>
      <c r="R383" s="323"/>
      <c r="S383" s="323"/>
      <c r="T383" s="12">
        <f>Price!G383</f>
        <v>4595319</v>
      </c>
      <c r="U383" s="257">
        <f>Price!H383</f>
        <v>227654</v>
      </c>
      <c r="V383" s="13"/>
      <c r="W383" s="13"/>
      <c r="X383" s="19"/>
      <c r="Y383" s="19"/>
    </row>
    <row r="384" spans="1:25" x14ac:dyDescent="0.35">
      <c r="A384" s="76"/>
      <c r="B384" s="162"/>
      <c r="C384" s="162"/>
      <c r="D384" s="540"/>
      <c r="E384" s="77"/>
      <c r="F384" s="64"/>
      <c r="G384" s="64"/>
      <c r="H384" s="64"/>
      <c r="I384" s="175"/>
      <c r="J384" s="175"/>
      <c r="K384" s="69"/>
      <c r="L384" s="60" t="str">
        <f>Price!A384</f>
        <v>Zásuvkové rámečky široké, 500mm, hedvábně bílé</v>
      </c>
      <c r="M384" s="15" t="str">
        <f>Price!B384</f>
        <v>ZC7S500RS2</v>
      </c>
      <c r="N384" s="15" t="str">
        <f>Price!C384</f>
        <v>SW-M</v>
      </c>
      <c r="O384" s="537">
        <f>Price!D384</f>
        <v>0</v>
      </c>
      <c r="P384" s="16"/>
      <c r="Q384" s="17">
        <f>Price!F384</f>
        <v>25.059979999999999</v>
      </c>
      <c r="R384" s="323"/>
      <c r="S384" s="323"/>
      <c r="T384" s="12">
        <f>Price!G384</f>
        <v>2921190</v>
      </c>
      <c r="U384" s="257">
        <f>Price!H384</f>
        <v>227653</v>
      </c>
      <c r="V384" s="13"/>
      <c r="X384" s="19"/>
      <c r="Y384" s="19"/>
    </row>
    <row r="385" spans="1:25" x14ac:dyDescent="0.35">
      <c r="A385" s="78"/>
      <c r="B385" s="163"/>
      <c r="C385" s="163"/>
      <c r="D385" s="541"/>
      <c r="E385" s="77"/>
      <c r="F385" s="66"/>
      <c r="G385" s="66"/>
      <c r="H385" s="66"/>
      <c r="I385" s="174"/>
      <c r="J385" s="174"/>
      <c r="K385" s="69"/>
      <c r="L385" s="60" t="str">
        <f>Price!A385</f>
        <v>Zásuvkové rámečky široké, 500mm, Terra černé</v>
      </c>
      <c r="M385" s="15" t="str">
        <f>Price!B385</f>
        <v>ZC7S500RS2</v>
      </c>
      <c r="N385" s="15" t="str">
        <f>Price!C385</f>
        <v>TS-M</v>
      </c>
      <c r="O385" s="537">
        <f>Price!D385</f>
        <v>0</v>
      </c>
      <c r="P385" s="16"/>
      <c r="Q385" s="17">
        <f>Price!F385</f>
        <v>25.059979999999999</v>
      </c>
      <c r="R385" s="323"/>
      <c r="S385" s="323"/>
      <c r="T385" s="12">
        <f>Price!G385</f>
        <v>8524202</v>
      </c>
      <c r="U385" s="257">
        <f>Price!H385</f>
        <v>227655</v>
      </c>
      <c r="V385" s="13"/>
      <c r="W385" s="13"/>
      <c r="X385" s="19"/>
      <c r="Y385" s="19"/>
    </row>
    <row r="386" spans="1:25" ht="15" thickBot="1" x14ac:dyDescent="0.4">
      <c r="A386" s="325" t="str">
        <f>IF($C$2=1,L386,IF($C$2=2,L387,IF($C$2=3,L388,IF($C$2=4,L388,"  chyba"))))</f>
        <v>Zásuvkové rámečky široké, 550mm, Orion šedé</v>
      </c>
      <c r="B386" s="331" t="str">
        <f>IF($C$2=1,M386,IF($C$2=2,M387,IF($C$2=3,M388,IF($C$2=4,M388,"  chyba"))))</f>
        <v>ZC7S550RS2</v>
      </c>
      <c r="C386" s="331" t="str">
        <f>IF($C$2=1,N386,IF($C$2=2,N387,IF($C$2=3,N388,IF($C$2=4,N388,"  chyba"))))</f>
        <v>OG-M</v>
      </c>
      <c r="D386" s="331">
        <f>IF($C$2=1,O386,IF($C$2=2,O387,IF($C$2=3,O388,IF($C$2=4,O388,"  chyba"))))</f>
        <v>0</v>
      </c>
      <c r="E386" s="327">
        <f>IF($C$2=1,P386,IF($C$2=2,P387,IF($C$2=3,P388,IF($C$2=4,P388,"  chyba"))))</f>
        <v>0</v>
      </c>
      <c r="F386" s="328">
        <f>IF($C$2=1,Q386,IF($C$2=2,Q387,IF($C$2=3,Q388,IF($C$2=4,Q388,0))))*(100-$F$6)/100</f>
        <v>25.583860000000001</v>
      </c>
      <c r="G386" s="329"/>
      <c r="H386" s="329"/>
      <c r="I386" s="332">
        <f>IF($C$2=1,T386,IF($C$2=2,T387,IF($C$2=3,T388,IF($C$2=4,T388,"  chyba"))))</f>
        <v>4777342</v>
      </c>
      <c r="J386" s="332">
        <f>IF($C$2=1,U386,IF($C$2=2,U387,IF($C$2=3,U388,IF($C$2=4,U388,"  chyba"))))</f>
        <v>227657</v>
      </c>
      <c r="K386" s="61"/>
      <c r="L386" s="60" t="str">
        <f>Price!A386</f>
        <v>Zásuvkové rámečky široké, 550mm, Orion šedé</v>
      </c>
      <c r="M386" s="15" t="str">
        <f>Price!B386</f>
        <v>ZC7S550RS2</v>
      </c>
      <c r="N386" s="15" t="str">
        <f>Price!C386</f>
        <v>OG-M</v>
      </c>
      <c r="O386" s="537">
        <f>Price!D386</f>
        <v>0</v>
      </c>
      <c r="P386" s="16"/>
      <c r="Q386" s="17">
        <f>Price!F386</f>
        <v>25.583860000000001</v>
      </c>
      <c r="R386" s="323"/>
      <c r="S386" s="323"/>
      <c r="T386" s="12">
        <f>Price!G386</f>
        <v>4777342</v>
      </c>
      <c r="U386" s="257">
        <f>Price!H386</f>
        <v>227657</v>
      </c>
      <c r="V386" s="13"/>
      <c r="W386" s="13"/>
      <c r="X386" s="19"/>
      <c r="Y386" s="19"/>
    </row>
    <row r="387" spans="1:25" x14ac:dyDescent="0.35">
      <c r="A387" s="76"/>
      <c r="B387" s="162"/>
      <c r="C387" s="162"/>
      <c r="D387" s="540"/>
      <c r="E387" s="82"/>
      <c r="F387" s="64"/>
      <c r="G387" s="64"/>
      <c r="H387" s="64"/>
      <c r="I387" s="175"/>
      <c r="J387" s="175"/>
      <c r="K387" s="68"/>
      <c r="L387" s="60" t="str">
        <f>Price!A387</f>
        <v>Zásuvkové rámečky široké, 550mm, hedvábně bílé</v>
      </c>
      <c r="M387" s="15" t="str">
        <f>Price!B387</f>
        <v>ZC7S550RS2</v>
      </c>
      <c r="N387" s="15" t="str">
        <f>Price!C387</f>
        <v>SW-M</v>
      </c>
      <c r="O387" s="537">
        <f>Price!D387</f>
        <v>0</v>
      </c>
      <c r="P387" s="16"/>
      <c r="Q387" s="17">
        <f>Price!F387</f>
        <v>25.583860000000001</v>
      </c>
      <c r="R387" s="323"/>
      <c r="S387" s="323"/>
      <c r="T387" s="12">
        <f>Price!G387</f>
        <v>9635420</v>
      </c>
      <c r="U387" s="257">
        <f>Price!H387</f>
        <v>227656</v>
      </c>
      <c r="V387" s="13"/>
      <c r="W387" s="13"/>
      <c r="X387" s="19"/>
      <c r="Y387" s="19"/>
    </row>
    <row r="388" spans="1:25" x14ac:dyDescent="0.35">
      <c r="A388" s="76"/>
      <c r="B388" s="162"/>
      <c r="C388" s="162"/>
      <c r="D388" s="540"/>
      <c r="E388" s="82"/>
      <c r="F388" s="64"/>
      <c r="G388" s="64"/>
      <c r="H388" s="64"/>
      <c r="I388" s="175"/>
      <c r="J388" s="175"/>
      <c r="K388" s="68"/>
      <c r="L388" s="60" t="str">
        <f>Price!A388</f>
        <v>Zásuvkové rámečky široké, 550mm, Terra černé</v>
      </c>
      <c r="M388" s="15" t="str">
        <f>Price!B388</f>
        <v>ZC7S550RS2</v>
      </c>
      <c r="N388" s="15" t="str">
        <f>Price!C388</f>
        <v>TS-M</v>
      </c>
      <c r="O388" s="537">
        <f>Price!D388</f>
        <v>0</v>
      </c>
      <c r="P388" s="16"/>
      <c r="Q388" s="17">
        <f>Price!F388</f>
        <v>0</v>
      </c>
      <c r="R388" s="323"/>
      <c r="S388" s="323"/>
      <c r="T388" s="12">
        <f>Price!G388</f>
        <v>6450117</v>
      </c>
      <c r="U388" s="257">
        <f>Price!H388</f>
        <v>227658</v>
      </c>
      <c r="V388" s="13"/>
      <c r="W388" s="13"/>
      <c r="X388" s="19"/>
      <c r="Y388" s="19"/>
    </row>
    <row r="389" spans="1:25" ht="15" thickBot="1" x14ac:dyDescent="0.4">
      <c r="A389" s="325" t="str">
        <f>IF($C$2=1,L389,IF($C$2=2,L390,IF($C$2=3,L391,IF($C$2=4,L391,"  chyba"))))</f>
        <v>Zásuvkové rámečky široké, 600mm, Orion šedé</v>
      </c>
      <c r="B389" s="331" t="str">
        <f>IF($C$2=1,M389,IF($C$2=2,M390,IF($C$2=3,M391,IF($C$2=4,M391,"  chyba"))))</f>
        <v>ZC7S600RS2</v>
      </c>
      <c r="C389" s="331" t="str">
        <f>IF($C$2=1,N389,IF($C$2=2,N390,IF($C$2=3,N391,IF($C$2=4,N391,"  chyba"))))</f>
        <v>OG-M</v>
      </c>
      <c r="D389" s="331">
        <f>IF($C$2=1,O389,IF($C$2=2,O390,IF($C$2=3,O391,IF($C$2=4,O391,"  chyba"))))</f>
        <v>0</v>
      </c>
      <c r="E389" s="327">
        <f>IF($C$2=1,P389,IF($C$2=2,P390,IF($C$2=3,P391,IF($C$2=4,P391,"  chyba"))))</f>
        <v>0</v>
      </c>
      <c r="F389" s="328">
        <f>IF($C$2=1,Q389,IF($C$2=2,Q390,IF($C$2=3,Q391,IF($C$2=4,Q391,0))))*(100-$F$6)/100</f>
        <v>26.10754</v>
      </c>
      <c r="G389" s="329"/>
      <c r="H389" s="329"/>
      <c r="I389" s="332">
        <f>IF($C$2=1,T389,IF($C$2=2,T390,IF($C$2=3,T391,IF($C$2=4,T391,"  chyba"))))</f>
        <v>6140227</v>
      </c>
      <c r="J389" s="332">
        <f>IF($C$2=1,U389,IF($C$2=2,U390,IF($C$2=3,U391,IF($C$2=4,U391,"  chyba"))))</f>
        <v>227661</v>
      </c>
      <c r="K389" s="68"/>
      <c r="L389" s="60" t="str">
        <f>Price!A389</f>
        <v>Zásuvkové rámečky široké, 600mm, Orion šedé</v>
      </c>
      <c r="M389" s="15" t="str">
        <f>Price!B389</f>
        <v>ZC7S600RS2</v>
      </c>
      <c r="N389" s="15" t="str">
        <f>Price!C389</f>
        <v>OG-M</v>
      </c>
      <c r="O389" s="537">
        <f>Price!D389</f>
        <v>0</v>
      </c>
      <c r="P389" s="16"/>
      <c r="Q389" s="17">
        <f>Price!F389</f>
        <v>26.10754</v>
      </c>
      <c r="R389" s="323"/>
      <c r="S389" s="323"/>
      <c r="T389" s="12">
        <f>Price!G389</f>
        <v>6140227</v>
      </c>
      <c r="U389" s="257">
        <f>Price!H389</f>
        <v>227661</v>
      </c>
      <c r="V389" s="13"/>
      <c r="W389" s="13"/>
      <c r="X389" s="19"/>
      <c r="Y389" s="19"/>
    </row>
    <row r="390" spans="1:25" x14ac:dyDescent="0.35">
      <c r="A390" s="76"/>
      <c r="B390" s="162"/>
      <c r="C390" s="162"/>
      <c r="D390" s="540"/>
      <c r="E390" s="77"/>
      <c r="F390" s="64"/>
      <c r="G390" s="64"/>
      <c r="H390" s="64"/>
      <c r="I390" s="175"/>
      <c r="J390" s="175"/>
      <c r="K390" s="61"/>
      <c r="L390" s="60" t="str">
        <f>Price!A390</f>
        <v>Zásuvkové rámečky široké, 600mm, hedvábně bílé</v>
      </c>
      <c r="M390" s="15" t="str">
        <f>Price!B390</f>
        <v>ZC7S600RS2</v>
      </c>
      <c r="N390" s="15" t="str">
        <f>Price!C390</f>
        <v>SW-M</v>
      </c>
      <c r="O390" s="537">
        <f>Price!D390</f>
        <v>0</v>
      </c>
      <c r="P390" s="16"/>
      <c r="Q390" s="17">
        <f>Price!F390</f>
        <v>26.10754</v>
      </c>
      <c r="R390" s="323"/>
      <c r="S390" s="323"/>
      <c r="T390" s="12">
        <f>Price!G390</f>
        <v>6103455</v>
      </c>
      <c r="U390" s="257">
        <f>Price!H390</f>
        <v>227660</v>
      </c>
      <c r="V390" s="13"/>
      <c r="W390" s="13"/>
      <c r="X390" s="19"/>
      <c r="Y390" s="19"/>
    </row>
    <row r="391" spans="1:25" x14ac:dyDescent="0.35">
      <c r="A391" s="76"/>
      <c r="B391" s="162"/>
      <c r="C391" s="162"/>
      <c r="D391" s="540"/>
      <c r="E391" s="82"/>
      <c r="F391" s="83"/>
      <c r="G391" s="83"/>
      <c r="H391" s="83"/>
      <c r="I391" s="175"/>
      <c r="J391" s="175"/>
      <c r="K391" s="68"/>
      <c r="L391" s="60" t="str">
        <f>Price!A391</f>
        <v>Zásuvkové rámečky široké, 600mm, Terra černé</v>
      </c>
      <c r="M391" s="15" t="str">
        <f>Price!B391</f>
        <v>ZC7S600RS2</v>
      </c>
      <c r="N391" s="15" t="str">
        <f>Price!C391</f>
        <v>TS-M</v>
      </c>
      <c r="O391" s="537">
        <f>Price!D391</f>
        <v>0</v>
      </c>
      <c r="P391" s="16"/>
      <c r="Q391" s="17">
        <f>Price!F391</f>
        <v>26.10754</v>
      </c>
      <c r="R391" s="323"/>
      <c r="S391" s="323"/>
      <c r="T391" s="12">
        <f>Price!G391</f>
        <v>3821805</v>
      </c>
      <c r="U391" s="257">
        <f>Price!H391</f>
        <v>227662</v>
      </c>
      <c r="V391" s="13"/>
      <c r="W391" s="13"/>
      <c r="X391" s="19"/>
      <c r="Y391" s="19"/>
    </row>
    <row r="392" spans="1:25" ht="15" thickBot="1" x14ac:dyDescent="0.4">
      <c r="A392" s="325" t="str">
        <f>IF($C$2=1,L392,IF($C$2=2,L393,IF($C$2=3,L394,IF($C$2=4,L394,"  chyba"))))</f>
        <v>Zásuvkové rámečky široké, 650mm, Orion šedé</v>
      </c>
      <c r="B392" s="331" t="str">
        <f>IF($C$2=1,M392,IF($C$2=2,M393,IF($C$2=3,M394,IF($C$2=4,M394,"  chyba"))))</f>
        <v>ZC7S650RS2</v>
      </c>
      <c r="C392" s="331" t="str">
        <f>IF($C$2=1,N392,IF($C$2=2,N393,IF($C$2=3,N394,IF($C$2=4,N394,"  chyba"))))</f>
        <v>OG-M</v>
      </c>
      <c r="D392" s="331">
        <f>IF($C$2=1,O392,IF($C$2=2,O393,IF($C$2=3,O394,IF($C$2=4,O394,"  chyba"))))</f>
        <v>0</v>
      </c>
      <c r="E392" s="327">
        <f>IF($C$2=1,P392,IF($C$2=2,P393,IF($C$2=3,P394,IF($C$2=4,P394,"  chyba"))))</f>
        <v>0</v>
      </c>
      <c r="F392" s="328">
        <f>IF($C$2=1,Q392,IF($C$2=2,Q393,IF($C$2=3,Q394,IF($C$2=4,Q394,0))))*(100-$F$6)/100</f>
        <v>26.631230000000002</v>
      </c>
      <c r="G392" s="329"/>
      <c r="H392" s="329"/>
      <c r="I392" s="332">
        <f>IF($C$2=1,T392,IF($C$2=2,T393,IF($C$2=3,T394,IF($C$2=4,T394,"  chyba"))))</f>
        <v>4781572</v>
      </c>
      <c r="J392" s="332">
        <f>IF($C$2=1,U392,IF($C$2=2,U393,IF($C$2=3,U394,IF($C$2=4,U394,"  chyba"))))</f>
        <v>275843</v>
      </c>
      <c r="K392" s="68"/>
      <c r="L392" s="60" t="str">
        <f>Price!A392</f>
        <v>Zásuvkové rámečky široké, 650mm, Orion šedé</v>
      </c>
      <c r="M392" s="15" t="str">
        <f>Price!B392</f>
        <v>ZC7S650RS2</v>
      </c>
      <c r="N392" s="15" t="str">
        <f>Price!C392</f>
        <v>OG-M</v>
      </c>
      <c r="O392" s="537">
        <f>Price!D392</f>
        <v>0</v>
      </c>
      <c r="P392" s="16"/>
      <c r="Q392" s="17">
        <f>Price!F392</f>
        <v>26.631229999999999</v>
      </c>
      <c r="R392" s="323"/>
      <c r="S392" s="323"/>
      <c r="T392" s="12">
        <f>Price!G392</f>
        <v>4781572</v>
      </c>
      <c r="U392" s="257">
        <f>Price!H392</f>
        <v>275843</v>
      </c>
      <c r="V392" s="13"/>
      <c r="W392" s="13"/>
      <c r="X392" s="19"/>
      <c r="Y392" s="19"/>
    </row>
    <row r="393" spans="1:25" x14ac:dyDescent="0.35">
      <c r="A393" s="76"/>
      <c r="B393" s="162"/>
      <c r="C393" s="162"/>
      <c r="D393" s="540"/>
      <c r="E393" s="77"/>
      <c r="F393" s="64"/>
      <c r="G393" s="64"/>
      <c r="H393" s="64"/>
      <c r="I393" s="175"/>
      <c r="J393" s="175"/>
      <c r="K393" s="61"/>
      <c r="L393" s="60" t="str">
        <f>Price!A393</f>
        <v>Zásuvkové rámečky široké, 650mm, hedvábně bílé</v>
      </c>
      <c r="M393" s="15" t="str">
        <f>Price!B393</f>
        <v>ZC7S650RS2</v>
      </c>
      <c r="N393" s="15" t="str">
        <f>Price!C393</f>
        <v>SW-M</v>
      </c>
      <c r="O393" s="537">
        <f>Price!D393</f>
        <v>0</v>
      </c>
      <c r="P393" s="16"/>
      <c r="Q393" s="17">
        <f>Price!F393</f>
        <v>26.631229999999999</v>
      </c>
      <c r="R393" s="323"/>
      <c r="S393" s="323"/>
      <c r="T393" s="12">
        <f>Price!G393</f>
        <v>4468538</v>
      </c>
      <c r="U393" s="257">
        <f>Price!H393</f>
        <v>279412</v>
      </c>
      <c r="V393" s="13"/>
      <c r="W393" s="13"/>
      <c r="X393" s="19"/>
      <c r="Y393" s="19"/>
    </row>
    <row r="394" spans="1:25" x14ac:dyDescent="0.35">
      <c r="A394" s="76"/>
      <c r="B394" s="162"/>
      <c r="C394" s="162"/>
      <c r="D394" s="540"/>
      <c r="E394" s="82"/>
      <c r="F394" s="83"/>
      <c r="G394" s="83"/>
      <c r="H394" s="83"/>
      <c r="I394" s="175"/>
      <c r="J394" s="175"/>
      <c r="K394" s="68"/>
      <c r="L394" s="60" t="str">
        <f>Price!A394</f>
        <v>Zásuvkové rámečky široké, 650mm, Terra černé</v>
      </c>
      <c r="M394" s="15" t="str">
        <f>Price!B394</f>
        <v>ZC7S650RS2</v>
      </c>
      <c r="N394" s="15" t="str">
        <f>Price!C394</f>
        <v>TS-M</v>
      </c>
      <c r="O394" s="537">
        <f>Price!D394</f>
        <v>0</v>
      </c>
      <c r="P394" s="16"/>
      <c r="Q394" s="17">
        <f>Price!F394</f>
        <v>26.631229999999999</v>
      </c>
      <c r="R394" s="323"/>
      <c r="S394" s="323"/>
      <c r="T394" s="12">
        <f>Price!G394</f>
        <v>5398172</v>
      </c>
      <c r="U394" s="257">
        <f>Price!H394</f>
        <v>279413</v>
      </c>
      <c r="V394" s="13"/>
      <c r="W394" s="13"/>
      <c r="X394" s="19"/>
      <c r="Y394" s="19"/>
    </row>
    <row r="395" spans="1:25" ht="15" thickBot="1" x14ac:dyDescent="0.4">
      <c r="A395" s="325" t="str">
        <f>IF($C$2=1,L395,IF($C$2=2,L396,IF($C$2=3,L397,IF($C$2=4,L397,"  chyba"))))</f>
        <v>Samostatná příčka, 50/200mm, Orion šedá</v>
      </c>
      <c r="B395" s="331" t="str">
        <f>IF($C$2=1,M395,IF($C$2=2,M396,IF($C$2=3,M397,IF($C$2=4,M397,"  chyba"))))</f>
        <v>ZC7Q020SS</v>
      </c>
      <c r="C395" s="331" t="str">
        <f>IF($C$2=1,N395,IF($C$2=2,N396,IF($C$2=3,N397,IF($C$2=4,N397,"  chyba"))))</f>
        <v>OG-M</v>
      </c>
      <c r="D395" s="331" t="str">
        <f>IF($C$2=1,O395,IF($C$2=2,O396,IF($C$2=3,O397,IF($C$2=4,O397,"  chyba"))))</f>
        <v>!</v>
      </c>
      <c r="E395" s="327">
        <f>IF($C$2=1,P395,IF($C$2=2,P396,IF($C$2=3,P397,IF($C$2=4,P397,"  chyba"))))</f>
        <v>0</v>
      </c>
      <c r="F395" s="328">
        <f>IF($C$2=1,Q395,IF($C$2=2,Q396,IF($C$2=3,Q397,IF($C$2=4,Q397,0))))*(100-$F$6)/100</f>
        <v>4.6702700000000004</v>
      </c>
      <c r="G395" s="329"/>
      <c r="H395" s="329"/>
      <c r="I395" s="332">
        <f>IF($C$2=1,T395,IF($C$2=2,T396,IF($C$2=3,T397,IF($C$2=4,T397,"  chyba"))))</f>
        <v>1587698</v>
      </c>
      <c r="J395" s="332">
        <f>IF($C$2=1,U395,IF($C$2=2,U396,IF($C$2=3,U397,IF($C$2=4,U397,"  chyba"))))</f>
        <v>227664</v>
      </c>
      <c r="K395" s="68"/>
      <c r="L395" s="60" t="str">
        <f>Price!A395</f>
        <v>Samostatná příčka, 50/200mm, Orion šedá</v>
      </c>
      <c r="M395" s="15" t="str">
        <f>Price!B395</f>
        <v>ZC7Q020SS</v>
      </c>
      <c r="N395" s="15" t="str">
        <f>Price!C395</f>
        <v>OG-M</v>
      </c>
      <c r="O395" s="537" t="str">
        <f>Price!D395</f>
        <v>!</v>
      </c>
      <c r="P395" s="16"/>
      <c r="Q395" s="17">
        <f>Price!F395</f>
        <v>4.6702700000000004</v>
      </c>
      <c r="R395" s="323"/>
      <c r="S395" s="323"/>
      <c r="T395" s="12">
        <f>Price!G395</f>
        <v>1587698</v>
      </c>
      <c r="U395" s="257">
        <f>Price!H395</f>
        <v>227664</v>
      </c>
      <c r="V395" s="13"/>
      <c r="W395" s="13"/>
      <c r="X395" s="19"/>
      <c r="Y395" s="19"/>
    </row>
    <row r="396" spans="1:25" x14ac:dyDescent="0.35">
      <c r="A396" s="78"/>
      <c r="B396" s="163"/>
      <c r="C396" s="163"/>
      <c r="D396" s="541"/>
      <c r="E396" s="77"/>
      <c r="F396" s="66"/>
      <c r="G396" s="66"/>
      <c r="H396" s="66"/>
      <c r="I396" s="174"/>
      <c r="J396" s="174"/>
      <c r="K396" s="61"/>
      <c r="L396" s="60" t="str">
        <f>Price!A396</f>
        <v>Samostatná příčka, 50/200mm, hedvábně bílá</v>
      </c>
      <c r="M396" s="15" t="str">
        <f>Price!B396</f>
        <v>ZC7Q020SS</v>
      </c>
      <c r="N396" s="15" t="str">
        <f>Price!C396</f>
        <v>SW-M</v>
      </c>
      <c r="O396" s="537" t="str">
        <f>Price!D396</f>
        <v>!</v>
      </c>
      <c r="P396" s="16"/>
      <c r="Q396" s="17">
        <f>Price!F396</f>
        <v>4.6702700000000004</v>
      </c>
      <c r="R396" s="323"/>
      <c r="S396" s="323"/>
      <c r="T396" s="12">
        <f>Price!G396</f>
        <v>7267832</v>
      </c>
      <c r="U396" s="257">
        <f>Price!H396</f>
        <v>227663</v>
      </c>
      <c r="V396" s="13"/>
      <c r="X396" s="19"/>
      <c r="Y396" s="19"/>
    </row>
    <row r="397" spans="1:25" x14ac:dyDescent="0.35">
      <c r="A397" s="76"/>
      <c r="B397" s="162"/>
      <c r="C397" s="162"/>
      <c r="D397" s="540"/>
      <c r="E397" s="82"/>
      <c r="F397" s="83"/>
      <c r="G397" s="83"/>
      <c r="H397" s="83"/>
      <c r="I397" s="175"/>
      <c r="J397" s="175"/>
      <c r="K397" s="68"/>
      <c r="L397" s="60" t="str">
        <f>Price!A397</f>
        <v>Samostatná příčka, 50/200mm, Terra černá</v>
      </c>
      <c r="M397" s="15" t="str">
        <f>Price!B397</f>
        <v>ZC7Q020SS</v>
      </c>
      <c r="N397" s="15" t="str">
        <f>Price!C397</f>
        <v>TS-M</v>
      </c>
      <c r="O397" s="537" t="str">
        <f>Price!D397</f>
        <v>!</v>
      </c>
      <c r="P397" s="16"/>
      <c r="Q397" s="17">
        <f>Price!F397</f>
        <v>4.6702700000000004</v>
      </c>
      <c r="R397" s="323"/>
      <c r="S397" s="323"/>
      <c r="T397" s="12">
        <f>Price!G397</f>
        <v>8291579</v>
      </c>
      <c r="U397" s="257">
        <f>Price!H397</f>
        <v>227666</v>
      </c>
      <c r="V397" s="13"/>
      <c r="W397" s="13"/>
      <c r="X397" s="19"/>
      <c r="Y397" s="19"/>
    </row>
    <row r="398" spans="1:25" x14ac:dyDescent="0.35">
      <c r="A398" s="76"/>
      <c r="B398" s="162"/>
      <c r="C398" s="162"/>
      <c r="D398" s="540"/>
      <c r="E398" s="82"/>
      <c r="F398" s="83"/>
      <c r="G398" s="83"/>
      <c r="H398" s="83"/>
      <c r="I398" s="175"/>
      <c r="J398" s="175"/>
      <c r="K398" s="68"/>
      <c r="L398" s="60">
        <f>Price!A398</f>
        <v>0</v>
      </c>
      <c r="M398" s="15">
        <f>Price!B398</f>
        <v>0</v>
      </c>
      <c r="N398" s="15">
        <f>Price!C398</f>
        <v>0</v>
      </c>
      <c r="O398" s="537">
        <f>Price!D398</f>
        <v>0</v>
      </c>
      <c r="P398" s="16"/>
      <c r="Q398" s="17">
        <f>Price!F398</f>
        <v>0</v>
      </c>
      <c r="R398" s="323"/>
      <c r="S398" s="323"/>
      <c r="T398" s="12">
        <f>Price!G398</f>
        <v>0</v>
      </c>
      <c r="U398" s="257">
        <f>Price!H398</f>
        <v>0</v>
      </c>
      <c r="V398" s="13"/>
      <c r="W398" s="13"/>
      <c r="X398" s="19"/>
      <c r="Y398" s="19"/>
    </row>
    <row r="399" spans="1:25" ht="15" thickBot="1" x14ac:dyDescent="0.4">
      <c r="A399" s="325" t="str">
        <f>IF($C$2=1,L399,IF($C$2=2,L400,IF($C$2=3,L401,IF($C$2=4,L401,"  chyba"))))</f>
        <v>Zásuvkové rámečky, od 270mm, Orion šedé</v>
      </c>
      <c r="B399" s="331" t="str">
        <f>IF($C$2=1,M399,IF($C$2=2,M400,IF($C$2=3,M401,IF($C$2=4,M401,"  chyba"))))</f>
        <v>ZC7S300RSU</v>
      </c>
      <c r="C399" s="331" t="str">
        <f>IF($C$2=1,N399,IF($C$2=2,N400,IF($C$2=3,N401,IF($C$2=4,N401,"  chyba"))))</f>
        <v>OG-M</v>
      </c>
      <c r="D399" s="331">
        <f>IF($C$2=1,O399,IF($C$2=2,O400,IF($C$2=3,O401,IF($C$2=4,O401,"  chyba"))))</f>
        <v>0</v>
      </c>
      <c r="E399" s="327">
        <f>IF($C$2=1,P399,IF($C$2=2,P400,IF($C$2=3,P401,IF($C$2=4,P401,"  chyba"))))</f>
        <v>0</v>
      </c>
      <c r="F399" s="328">
        <f>IF($C$2=1,Q399,IF($C$2=2,Q400,IF($C$2=3,Q401,IF($C$2=4,Q401,0))))*(100-$F$6)/100</f>
        <v>31.894649999999999</v>
      </c>
      <c r="G399" s="329"/>
      <c r="H399" s="329"/>
      <c r="I399" s="332">
        <f>IF($C$2=1,T399,IF($C$2=2,T400,IF($C$2=3,T401,IF($C$2=4,T401,"  chyba"))))</f>
        <v>1392076</v>
      </c>
      <c r="J399" s="332">
        <f>IF($C$2=1,U399,IF($C$2=2,U400,IF($C$2=3,U401,IF($C$2=4,U401,"  chyba"))))</f>
        <v>227627</v>
      </c>
      <c r="K399" s="68"/>
      <c r="L399" s="60" t="str">
        <f>Price!A399</f>
        <v>Zásuvkové rámečky, od 270mm, Orion šedé</v>
      </c>
      <c r="M399" s="15" t="str">
        <f>Price!B399</f>
        <v>ZC7S300RSU</v>
      </c>
      <c r="N399" s="15" t="str">
        <f>Price!C399</f>
        <v>OG-M</v>
      </c>
      <c r="O399" s="537">
        <f>Price!D399</f>
        <v>0</v>
      </c>
      <c r="P399" s="16"/>
      <c r="Q399" s="17">
        <f>Price!F399</f>
        <v>31.894649999999999</v>
      </c>
      <c r="R399" s="323"/>
      <c r="S399" s="323"/>
      <c r="T399" s="12">
        <f>Price!G399</f>
        <v>1392076</v>
      </c>
      <c r="U399" s="257">
        <f>Price!H399</f>
        <v>227627</v>
      </c>
      <c r="V399" s="13"/>
      <c r="W399" s="13"/>
      <c r="X399" s="19"/>
      <c r="Y399" s="19"/>
    </row>
    <row r="400" spans="1:25" x14ac:dyDescent="0.35">
      <c r="A400" s="76"/>
      <c r="B400" s="162"/>
      <c r="C400" s="162"/>
      <c r="D400" s="540"/>
      <c r="E400" s="82"/>
      <c r="F400" s="83"/>
      <c r="G400" s="83"/>
      <c r="H400" s="83"/>
      <c r="I400" s="83"/>
      <c r="J400" s="83"/>
      <c r="K400" s="61"/>
      <c r="L400" s="60" t="str">
        <f>Price!A400</f>
        <v>Zásuvkové rámečky, od 270mm, hedvábně bílé</v>
      </c>
      <c r="M400" s="15" t="str">
        <f>Price!B400</f>
        <v>ZC7S300RSU</v>
      </c>
      <c r="N400" s="15" t="str">
        <f>Price!C400</f>
        <v>SW-M</v>
      </c>
      <c r="O400" s="537">
        <f>Price!D400</f>
        <v>0</v>
      </c>
      <c r="P400" s="16"/>
      <c r="Q400" s="17">
        <f>Price!F400</f>
        <v>31.894649999999999</v>
      </c>
      <c r="R400" s="323"/>
      <c r="S400" s="323"/>
      <c r="T400" s="12">
        <f>Price!G400</f>
        <v>6886598</v>
      </c>
      <c r="U400" s="257">
        <f>Price!H400</f>
        <v>227626</v>
      </c>
      <c r="V400" s="13"/>
      <c r="W400" s="13"/>
      <c r="X400" s="19"/>
      <c r="Y400" s="19"/>
    </row>
    <row r="401" spans="1:25" x14ac:dyDescent="0.35">
      <c r="A401" s="324"/>
      <c r="B401" s="162"/>
      <c r="C401" s="162"/>
      <c r="D401" s="540"/>
      <c r="E401" s="82"/>
      <c r="F401" s="83"/>
      <c r="G401" s="83"/>
      <c r="H401" s="83"/>
      <c r="I401" s="83"/>
      <c r="J401" s="83"/>
      <c r="K401" s="68"/>
      <c r="L401" s="60" t="str">
        <f>Price!A401</f>
        <v>Zásuvkové rámečky, od 270mm, Terra černé</v>
      </c>
      <c r="M401" s="15" t="str">
        <f>Price!B401</f>
        <v>ZC7S300RSU</v>
      </c>
      <c r="N401" s="15" t="str">
        <f>Price!C401</f>
        <v>TS-M</v>
      </c>
      <c r="O401" s="537">
        <f>Price!D401</f>
        <v>0</v>
      </c>
      <c r="P401" s="16"/>
      <c r="Q401" s="17">
        <f>Price!F401</f>
        <v>31.894649999999999</v>
      </c>
      <c r="R401" s="323"/>
      <c r="S401" s="323"/>
      <c r="T401" s="12">
        <f>Price!G401</f>
        <v>5010600</v>
      </c>
      <c r="U401" s="257">
        <f>Price!H401</f>
        <v>227628</v>
      </c>
      <c r="V401" s="13"/>
      <c r="W401" s="13"/>
      <c r="X401" s="19"/>
      <c r="Y401" s="19"/>
    </row>
    <row r="402" spans="1:25" ht="15" thickBot="1" x14ac:dyDescent="0.4">
      <c r="A402" s="325" t="str">
        <f>IF($C$2=1,L402,IF($C$2=2,L403,IF($C$2=3,L404,IF($C$2=4,L404,"  chyba"))))</f>
        <v>Adaptér pro dřevěná záda M, Orion šedý</v>
      </c>
      <c r="B402" s="331" t="str">
        <f>IF($C$2=1,M402,IF($C$2=2,M403,IF($C$2=3,M404,IF($C$2=4,M404,"  chyba"))))</f>
        <v>ZC7A0U0M</v>
      </c>
      <c r="C402" s="331" t="str">
        <f>IF($C$2=1,N402,IF($C$2=2,N403,IF($C$2=3,N404,IF($C$2=4,N404,"  chyba"))))</f>
        <v>OG-M</v>
      </c>
      <c r="D402" s="331">
        <f>IF($C$2=1,O402,IF($C$2=2,O403,IF($C$2=3,O404,IF($C$2=4,O404,"  chyba"))))</f>
        <v>0</v>
      </c>
      <c r="E402" s="327">
        <f>IF($C$2=1,P402,IF($C$2=2,P403,IF($C$2=3,P404,IF($C$2=4,P404,"  chyba"))))</f>
        <v>0</v>
      </c>
      <c r="F402" s="328">
        <f>IF($C$2=1,Q402,IF($C$2=2,Q403,IF($C$2=3,Q404,IF($C$2=4,Q404,0))))*(100-$F$6)/100</f>
        <v>4.1008199999999997</v>
      </c>
      <c r="G402" s="329"/>
      <c r="H402" s="329"/>
      <c r="I402" s="332">
        <f>IF($C$2=1,T402,IF($C$2=2,T403,IF($C$2=3,T404,IF($C$2=4,T404,"  chyba"))))</f>
        <v>3486858</v>
      </c>
      <c r="J402" s="332">
        <f>IF($C$2=1,U402,IF($C$2=2,U403,IF($C$2=3,U404,IF($C$2=4,U404,"  chyba"))))</f>
        <v>227630</v>
      </c>
      <c r="K402" s="68"/>
      <c r="L402" s="60" t="str">
        <f>Price!A402</f>
        <v>Adaptér pro dřevěná záda M, Orion šedý</v>
      </c>
      <c r="M402" s="15" t="str">
        <f>Price!B402</f>
        <v>ZC7A0U0M</v>
      </c>
      <c r="N402" s="15" t="str">
        <f>Price!C402</f>
        <v>OG-M</v>
      </c>
      <c r="O402" s="537">
        <f>Price!D402</f>
        <v>0</v>
      </c>
      <c r="P402" s="16"/>
      <c r="Q402" s="17">
        <f>Price!F402</f>
        <v>4.1008199999999997</v>
      </c>
      <c r="R402" s="323"/>
      <c r="S402" s="323"/>
      <c r="T402" s="12">
        <f>Price!G402</f>
        <v>3486858</v>
      </c>
      <c r="U402" s="257">
        <f>Price!H402</f>
        <v>227630</v>
      </c>
      <c r="V402" s="13"/>
      <c r="W402" s="13"/>
      <c r="X402" s="19"/>
      <c r="Y402" s="19"/>
    </row>
    <row r="403" spans="1:25" x14ac:dyDescent="0.35">
      <c r="A403" s="76"/>
      <c r="B403" s="162"/>
      <c r="C403" s="162"/>
      <c r="D403" s="540"/>
      <c r="E403" s="82"/>
      <c r="F403" s="83"/>
      <c r="G403" s="83"/>
      <c r="H403" s="83"/>
      <c r="I403" s="83"/>
      <c r="J403" s="83"/>
      <c r="K403" s="68"/>
      <c r="L403" s="60" t="str">
        <f>Price!A403</f>
        <v>Adaptér pro dřevěná záda M, hedvábně bílý</v>
      </c>
      <c r="M403" s="15" t="str">
        <f>Price!B403</f>
        <v>ZC7A0U0M</v>
      </c>
      <c r="N403" s="15" t="str">
        <f>Price!C403</f>
        <v>SW-M</v>
      </c>
      <c r="O403" s="537">
        <f>Price!D403</f>
        <v>0</v>
      </c>
      <c r="P403" s="16"/>
      <c r="Q403" s="17">
        <f>Price!F403</f>
        <v>4.1008199999999997</v>
      </c>
      <c r="R403" s="323"/>
      <c r="S403" s="323"/>
      <c r="T403" s="12">
        <f>Price!G403</f>
        <v>6523848</v>
      </c>
      <c r="U403" s="257">
        <f>Price!H403</f>
        <v>227629</v>
      </c>
      <c r="V403" s="13"/>
      <c r="W403" s="13"/>
      <c r="X403" s="19"/>
      <c r="Y403" s="19"/>
    </row>
    <row r="404" spans="1:25" x14ac:dyDescent="0.35">
      <c r="A404" s="78"/>
      <c r="B404" s="163"/>
      <c r="C404" s="163"/>
      <c r="D404" s="541"/>
      <c r="E404" s="77"/>
      <c r="F404" s="66"/>
      <c r="G404" s="66"/>
      <c r="H404" s="66"/>
      <c r="I404" s="66"/>
      <c r="J404" s="66"/>
      <c r="K404" s="61"/>
      <c r="L404" s="60" t="str">
        <f>Price!A404</f>
        <v>Adaptér pro dřevěná záda M, Terra černý</v>
      </c>
      <c r="M404" s="15" t="str">
        <f>Price!B404</f>
        <v>ZC7A0U0M</v>
      </c>
      <c r="N404" s="15" t="str">
        <f>Price!C404</f>
        <v>TS-M</v>
      </c>
      <c r="O404" s="537">
        <f>Price!D404</f>
        <v>0</v>
      </c>
      <c r="P404" s="16"/>
      <c r="Q404" s="17">
        <f>Price!F404</f>
        <v>4.1008199999999997</v>
      </c>
      <c r="R404" s="323"/>
      <c r="S404" s="323"/>
      <c r="T404" s="12">
        <f>Price!G404</f>
        <v>5700456</v>
      </c>
      <c r="U404" s="257">
        <f>Price!H404</f>
        <v>227631</v>
      </c>
      <c r="V404" s="13"/>
      <c r="W404" s="13"/>
      <c r="X404" s="19"/>
      <c r="Y404" s="19"/>
    </row>
    <row r="405" spans="1:25" ht="15" thickBot="1" x14ac:dyDescent="0.4">
      <c r="A405" s="325" t="str">
        <f>IF($C$2=1,L405,IF($C$2=2,L406,IF($C$2=3,L407,IF($C$2=4,L407,"  chyba"))))</f>
        <v>Adaptér pro dřevěná záda K, Orion šedý</v>
      </c>
      <c r="B405" s="331" t="str">
        <f>IF($C$2=1,M405,IF($C$2=2,M406,IF($C$2=3,M407,IF($C$2=4,M407,"  chyba"))))</f>
        <v>ZC7A0U0K</v>
      </c>
      <c r="C405" s="331" t="str">
        <f>IF($C$2=1,N405,IF($C$2=2,N406,IF($C$2=3,N407,IF($C$2=4,N407,"  chyba"))))</f>
        <v>OG-M</v>
      </c>
      <c r="D405" s="331" t="str">
        <f>IF($C$2=1,O405,IF($C$2=2,O406,IF($C$2=3,O407,IF($C$2=4,O407,"  chyba"))))</f>
        <v>!</v>
      </c>
      <c r="E405" s="327">
        <f>IF($C$2=1,P405,IF($C$2=2,P406,IF($C$2=3,P407,IF($C$2=4,P407,"  chyba"))))</f>
        <v>0</v>
      </c>
      <c r="F405" s="328">
        <f>IF($C$2=1,Q405,IF($C$2=2,Q406,IF($C$2=3,Q407,IF($C$2=4,Q407,0))))*(100-$F$6)/100</f>
        <v>4.55633</v>
      </c>
      <c r="G405" s="329"/>
      <c r="H405" s="329"/>
      <c r="I405" s="332">
        <f>IF($C$2=1,T405,IF($C$2=2,T406,IF($C$2=3,T407,IF($C$2=4,T407,"  chyba"))))</f>
        <v>9566186</v>
      </c>
      <c r="J405" s="332">
        <f>IF($C$2=1,U405,IF($C$2=2,U406,IF($C$2=3,U407,IF($C$2=4,U407,"  chyba"))))</f>
        <v>279415</v>
      </c>
      <c r="K405" s="68"/>
      <c r="L405" s="60" t="str">
        <f>Price!A405</f>
        <v>Adaptér pro dřevěná záda K, Orion šedý</v>
      </c>
      <c r="M405" s="15" t="str">
        <f>Price!B405</f>
        <v>ZC7A0U0K</v>
      </c>
      <c r="N405" s="15" t="str">
        <f>Price!C405</f>
        <v>OG-M</v>
      </c>
      <c r="O405" s="537" t="str">
        <f>Price!D405</f>
        <v>!</v>
      </c>
      <c r="P405" s="16"/>
      <c r="Q405" s="17">
        <f>Price!F405</f>
        <v>4.55633</v>
      </c>
      <c r="R405" s="323"/>
      <c r="S405" s="323"/>
      <c r="T405" s="12">
        <f>Price!G405</f>
        <v>9566186</v>
      </c>
      <c r="U405" s="257">
        <f>Price!H405</f>
        <v>279415</v>
      </c>
      <c r="V405" s="13"/>
      <c r="X405" s="19"/>
      <c r="Y405" s="19"/>
    </row>
    <row r="406" spans="1:25" x14ac:dyDescent="0.35">
      <c r="A406" s="78"/>
      <c r="B406" s="163"/>
      <c r="C406" s="163"/>
      <c r="D406" s="541"/>
      <c r="E406" s="77"/>
      <c r="F406" s="66"/>
      <c r="G406" s="66"/>
      <c r="H406" s="66"/>
      <c r="I406" s="66"/>
      <c r="J406" s="66"/>
      <c r="K406" s="68"/>
      <c r="L406" s="60" t="str">
        <f>Price!A406</f>
        <v>Adaptér pro dřevěná záda K, hedvábně bílý</v>
      </c>
      <c r="M406" s="15" t="str">
        <f>Price!B406</f>
        <v>ZC7A0U0K</v>
      </c>
      <c r="N406" s="15" t="str">
        <f>Price!C406</f>
        <v>SW-M</v>
      </c>
      <c r="O406" s="537" t="str">
        <f>Price!D406</f>
        <v>!</v>
      </c>
      <c r="P406" s="16"/>
      <c r="Q406" s="17">
        <f>Price!F406</f>
        <v>4.55633</v>
      </c>
      <c r="R406" s="323"/>
      <c r="S406" s="323"/>
      <c r="T406" s="12">
        <f>Price!G406</f>
        <v>1248692</v>
      </c>
      <c r="U406" s="257">
        <f>Price!H406</f>
        <v>279414</v>
      </c>
      <c r="V406" s="13"/>
      <c r="W406" s="13"/>
      <c r="X406" s="19"/>
      <c r="Y406" s="19"/>
    </row>
    <row r="407" spans="1:25" x14ac:dyDescent="0.35">
      <c r="A407" s="78"/>
      <c r="B407" s="163"/>
      <c r="C407" s="163"/>
      <c r="D407" s="541"/>
      <c r="E407" s="77"/>
      <c r="F407" s="66"/>
      <c r="G407" s="66"/>
      <c r="H407" s="66"/>
      <c r="I407" s="66"/>
      <c r="J407" s="66"/>
      <c r="K407" s="68"/>
      <c r="L407" s="60" t="str">
        <f>Price!A407</f>
        <v>Adaptér pro dřevěná záda K, Terra černý</v>
      </c>
      <c r="M407" s="15" t="str">
        <f>Price!B407</f>
        <v>ZC7A0U0K</v>
      </c>
      <c r="N407" s="15" t="str">
        <f>Price!C407</f>
        <v>TS-M</v>
      </c>
      <c r="O407" s="537" t="str">
        <f>Price!D407</f>
        <v>!</v>
      </c>
      <c r="P407" s="16"/>
      <c r="Q407" s="17">
        <f>Price!F407</f>
        <v>4.55633</v>
      </c>
      <c r="R407" s="323"/>
      <c r="S407" s="323"/>
      <c r="T407" s="12">
        <f>Price!G407</f>
        <v>8875217</v>
      </c>
      <c r="U407" s="257">
        <f>Price!H407</f>
        <v>279416</v>
      </c>
      <c r="V407" s="13"/>
      <c r="W407" s="13"/>
      <c r="X407" s="19"/>
      <c r="Y407" s="19"/>
    </row>
    <row r="408" spans="1:25" ht="15" thickBot="1" x14ac:dyDescent="0.4">
      <c r="A408" s="325" t="str">
        <f>IF($C$2=1,L408,IF($C$2=2,L409,IF($C$2=3,L410,IF($C$2=4,L410,"  chyba"))))</f>
        <v>Samostatná příčka, 50/242mm, Orion šedá</v>
      </c>
      <c r="B408" s="331" t="str">
        <f>IF($C$2=1,M408,IF($C$2=2,M409,IF($C$2=3,M410,IF($C$2=4,M410,"  chyba"))))</f>
        <v>ZC7Q0U0SS</v>
      </c>
      <c r="C408" s="331" t="str">
        <f>IF($C$2=1,N408,IF($C$2=2,N409,IF($C$2=3,N410,IF($C$2=4,N410,"  chyba"))))</f>
        <v>OG-M</v>
      </c>
      <c r="D408" s="331" t="str">
        <f>IF($C$2=1,O408,IF($C$2=2,O409,IF($C$2=3,O410,IF($C$2=4,O410,"  chyba"))))</f>
        <v>!</v>
      </c>
      <c r="E408" s="327">
        <f>IF($C$2=1,P408,IF($C$2=2,P409,IF($C$2=3,P410,IF($C$2=4,P410,"  chyba"))))</f>
        <v>0</v>
      </c>
      <c r="F408" s="328">
        <f>IF($C$2=1,Q408,IF($C$2=2,Q409,IF($C$2=3,Q410,IF($C$2=4,Q410,0))))*(100-$F$6)/100</f>
        <v>5.0120300000000002</v>
      </c>
      <c r="G408" s="329"/>
      <c r="H408" s="329"/>
      <c r="I408" s="332">
        <f>IF($C$2=1,T408,IF($C$2=2,T409,IF($C$2=3,T410,IF($C$2=4,T410,"  chyba"))))</f>
        <v>8022610</v>
      </c>
      <c r="J408" s="332">
        <f>IF($C$2=1,U408,IF($C$2=2,U409,IF($C$2=3,U410,IF($C$2=4,U410,"  chyba"))))</f>
        <v>227633</v>
      </c>
      <c r="K408" s="61"/>
      <c r="L408" s="60" t="str">
        <f>Price!A408</f>
        <v>Samostatná příčka, 50/242mm, Orion šedá</v>
      </c>
      <c r="M408" s="15" t="str">
        <f>Price!B408</f>
        <v>ZC7Q0U0SS</v>
      </c>
      <c r="N408" s="15" t="str">
        <f>Price!C408</f>
        <v>OG-M</v>
      </c>
      <c r="O408" s="537" t="str">
        <f>Price!D408</f>
        <v>!</v>
      </c>
      <c r="P408" s="16"/>
      <c r="Q408" s="17">
        <f>Price!F408</f>
        <v>5.0120300000000002</v>
      </c>
      <c r="R408" s="323"/>
      <c r="S408" s="323"/>
      <c r="T408" s="12">
        <f>Price!G408</f>
        <v>8022610</v>
      </c>
      <c r="U408" s="257">
        <f>Price!H408</f>
        <v>227633</v>
      </c>
      <c r="V408" s="13"/>
      <c r="W408" s="13"/>
      <c r="X408" s="19"/>
      <c r="Y408" s="19"/>
    </row>
    <row r="409" spans="1:25" x14ac:dyDescent="0.35">
      <c r="A409" s="76"/>
      <c r="B409" s="162"/>
      <c r="C409" s="162"/>
      <c r="D409" s="540"/>
      <c r="E409" s="82"/>
      <c r="F409" s="83"/>
      <c r="G409" s="83"/>
      <c r="H409" s="83"/>
      <c r="I409" s="83"/>
      <c r="J409" s="83"/>
      <c r="K409" s="68"/>
      <c r="L409" s="60" t="str">
        <f>Price!A409</f>
        <v>Samostatná příčka, 50/242mm, hedvábně bílá</v>
      </c>
      <c r="M409" s="15" t="str">
        <f>Price!B409</f>
        <v>ZC7Q0U0SS</v>
      </c>
      <c r="N409" s="15" t="str">
        <f>Price!C409</f>
        <v>SW-M</v>
      </c>
      <c r="O409" s="537" t="str">
        <f>Price!D409</f>
        <v>!</v>
      </c>
      <c r="P409" s="16"/>
      <c r="Q409" s="17">
        <f>Price!F409</f>
        <v>5.0120300000000002</v>
      </c>
      <c r="R409" s="323"/>
      <c r="S409" s="323"/>
      <c r="T409" s="12">
        <f>Price!G409</f>
        <v>8790467</v>
      </c>
      <c r="U409" s="257">
        <f>Price!H409</f>
        <v>227632</v>
      </c>
      <c r="V409" s="13"/>
      <c r="W409" s="13"/>
      <c r="X409" s="19"/>
      <c r="Y409" s="19"/>
    </row>
    <row r="410" spans="1:25" x14ac:dyDescent="0.35">
      <c r="A410" s="78"/>
      <c r="B410" s="163"/>
      <c r="C410" s="163"/>
      <c r="D410" s="541"/>
      <c r="E410" s="77"/>
      <c r="F410" s="66"/>
      <c r="G410" s="66"/>
      <c r="H410" s="66"/>
      <c r="I410" s="66"/>
      <c r="J410" s="66"/>
      <c r="K410" s="68"/>
      <c r="L410" s="60" t="str">
        <f>Price!A410</f>
        <v>Samostatná příčka, 50/242mm, Terra černá</v>
      </c>
      <c r="M410" s="15" t="str">
        <f>Price!B410</f>
        <v>ZC7Q0U0SS</v>
      </c>
      <c r="N410" s="15" t="str">
        <f>Price!C410</f>
        <v>TS-M</v>
      </c>
      <c r="O410" s="537" t="str">
        <f>Price!D410</f>
        <v>!</v>
      </c>
      <c r="P410" s="16"/>
      <c r="Q410" s="17">
        <f>Price!F410</f>
        <v>5.0120300000000002</v>
      </c>
      <c r="R410" s="323"/>
      <c r="S410" s="323"/>
      <c r="T410" s="12">
        <f>Price!G410</f>
        <v>2120285</v>
      </c>
      <c r="U410" s="257">
        <f>Price!H410</f>
        <v>227634</v>
      </c>
      <c r="V410" s="13"/>
      <c r="W410" s="13"/>
      <c r="X410" s="19"/>
      <c r="Y410" s="19"/>
    </row>
    <row r="411" spans="1:25" x14ac:dyDescent="0.35">
      <c r="A411" s="78"/>
      <c r="B411" s="163"/>
      <c r="C411" s="163"/>
      <c r="D411" s="541"/>
      <c r="E411" s="77"/>
      <c r="F411" s="66"/>
      <c r="G411" s="66"/>
      <c r="H411" s="66"/>
      <c r="I411" s="66"/>
      <c r="J411" s="66"/>
      <c r="K411" s="68"/>
      <c r="L411" s="60">
        <f>Price!A411</f>
        <v>0</v>
      </c>
      <c r="M411" s="15">
        <f>Price!B411</f>
        <v>0</v>
      </c>
      <c r="N411" s="15">
        <f>Price!C411</f>
        <v>0</v>
      </c>
      <c r="O411" s="537">
        <f>Price!D411</f>
        <v>0</v>
      </c>
      <c r="P411" s="16"/>
      <c r="Q411" s="17">
        <f>Price!F411</f>
        <v>0</v>
      </c>
      <c r="R411" s="323"/>
      <c r="S411" s="323"/>
      <c r="T411" s="12">
        <f>Price!G411</f>
        <v>0</v>
      </c>
      <c r="U411" s="257">
        <f>Price!H411</f>
        <v>0</v>
      </c>
      <c r="V411" s="13"/>
      <c r="W411" s="13"/>
      <c r="X411" s="19"/>
      <c r="Y411" s="19"/>
    </row>
    <row r="412" spans="1:25" x14ac:dyDescent="0.35">
      <c r="A412" s="78"/>
      <c r="B412" s="163"/>
      <c r="C412" s="163"/>
      <c r="D412" s="541"/>
      <c r="E412" s="77"/>
      <c r="F412" s="66"/>
      <c r="G412" s="66"/>
      <c r="H412" s="66"/>
      <c r="I412" s="66"/>
      <c r="J412" s="66"/>
      <c r="K412" s="61"/>
      <c r="L412" s="60">
        <f>Price!A412</f>
        <v>0</v>
      </c>
      <c r="M412" s="15">
        <f>Price!B412</f>
        <v>0</v>
      </c>
      <c r="N412" s="15">
        <f>Price!C412</f>
        <v>0</v>
      </c>
      <c r="O412" s="537">
        <f>Price!D412</f>
        <v>0</v>
      </c>
      <c r="P412" s="16"/>
      <c r="Q412" s="17">
        <f>Price!F412</f>
        <v>0</v>
      </c>
      <c r="R412" s="323"/>
      <c r="S412" s="323"/>
      <c r="T412" s="12">
        <f>Price!G412</f>
        <v>0</v>
      </c>
      <c r="U412" s="257">
        <f>Price!H412</f>
        <v>0</v>
      </c>
      <c r="V412" s="13"/>
      <c r="W412" s="13"/>
      <c r="X412" s="19"/>
      <c r="Y412" s="19"/>
    </row>
    <row r="413" spans="1:25" x14ac:dyDescent="0.35">
      <c r="A413" s="78"/>
      <c r="B413" s="163"/>
      <c r="C413" s="163"/>
      <c r="D413" s="541"/>
      <c r="E413" s="77"/>
      <c r="F413" s="66"/>
      <c r="G413" s="66"/>
      <c r="H413" s="66"/>
      <c r="I413" s="66"/>
      <c r="J413" s="66"/>
      <c r="K413" s="68"/>
      <c r="L413" s="60" t="str">
        <f>Price!A413</f>
        <v xml:space="preserve">  AMBIA-LINE pro čelní výsuvy, kovový design</v>
      </c>
      <c r="M413" s="15">
        <f>Price!B413</f>
        <v>0</v>
      </c>
      <c r="N413" s="15">
        <f>Price!C413</f>
        <v>0</v>
      </c>
      <c r="O413" s="537">
        <f>Price!D413</f>
        <v>0</v>
      </c>
      <c r="P413" s="16"/>
      <c r="Q413" s="17">
        <f>Price!F413</f>
        <v>0</v>
      </c>
      <c r="R413" s="323"/>
      <c r="S413" s="323"/>
      <c r="T413" s="12">
        <f>Price!G413</f>
        <v>0</v>
      </c>
      <c r="U413" s="257">
        <f>Price!H413</f>
        <v>0</v>
      </c>
      <c r="V413" s="13"/>
      <c r="W413" s="13"/>
      <c r="X413" s="19"/>
      <c r="Y413" s="19"/>
    </row>
    <row r="414" spans="1:25" ht="15" thickBot="1" x14ac:dyDescent="0.4">
      <c r="A414" s="325" t="str">
        <f>IF($C$2=1,L414,IF($C$2=2,L415,IF($C$2=3,L416,IF($C$2=4,L416,"  chyba"))))</f>
        <v>Rámečky pro čel. výsuvy, od 270mm, Orion šedé</v>
      </c>
      <c r="B414" s="331" t="str">
        <f>IF($C$2=1,M414,IF($C$2=2,M415,IF($C$2=3,M416,IF($C$2=4,M416,"  chyba"))))</f>
        <v>ZC7F300RSU</v>
      </c>
      <c r="C414" s="331" t="str">
        <f>IF($C$2=1,N414,IF($C$2=2,N415,IF($C$2=3,N416,IF($C$2=4,N416,"  chyba"))))</f>
        <v>OG-M</v>
      </c>
      <c r="D414" s="331">
        <f>IF($C$2=1,O414,IF($C$2=2,O415,IF($C$2=3,O416,IF($C$2=4,O416,"  chyba"))))</f>
        <v>0</v>
      </c>
      <c r="E414" s="327">
        <f>IF($C$2=1,P414,IF($C$2=2,P415,IF($C$2=3,P416,IF($C$2=4,P416,"  chyba"))))</f>
        <v>0</v>
      </c>
      <c r="F414" s="328">
        <f>IF($C$2=1,Q414,IF($C$2=2,Q415,IF($C$2=3,Q416,IF($C$2=4,Q416,0))))*(100-$F$6)/100</f>
        <v>41.007300000000008</v>
      </c>
      <c r="G414" s="329"/>
      <c r="H414" s="329"/>
      <c r="I414" s="332">
        <f>IF($C$2=1,T414,IF($C$2=2,T415,IF($C$2=3,T416,IF($C$2=4,T416,"  chyba"))))</f>
        <v>7830344</v>
      </c>
      <c r="J414" s="332">
        <f>IF($C$2=1,U414,IF($C$2=2,U415,IF($C$2=3,U416,IF($C$2=4,U416,"  chyba"))))</f>
        <v>227668</v>
      </c>
      <c r="K414" s="68"/>
      <c r="L414" s="60" t="str">
        <f>Price!A414</f>
        <v>Rámečky pro čel. výsuvy, od 270mm, Orion šedé</v>
      </c>
      <c r="M414" s="15" t="str">
        <f>Price!B414</f>
        <v>ZC7F300RSU</v>
      </c>
      <c r="N414" s="15" t="str">
        <f>Price!C414</f>
        <v>OG-M</v>
      </c>
      <c r="O414" s="537">
        <f>Price!D414</f>
        <v>0</v>
      </c>
      <c r="P414" s="16"/>
      <c r="Q414" s="17">
        <f>Price!F414</f>
        <v>41.007300000000001</v>
      </c>
      <c r="R414" s="323"/>
      <c r="S414" s="323"/>
      <c r="T414" s="12">
        <f>Price!G414</f>
        <v>7830344</v>
      </c>
      <c r="U414" s="257">
        <f>Price!H414</f>
        <v>227668</v>
      </c>
      <c r="V414" s="13"/>
      <c r="W414" s="13"/>
      <c r="X414" s="19"/>
      <c r="Y414" s="19"/>
    </row>
    <row r="415" spans="1:25" x14ac:dyDescent="0.35">
      <c r="A415" s="76"/>
      <c r="B415" s="162"/>
      <c r="C415" s="162"/>
      <c r="D415" s="540"/>
      <c r="E415" s="77"/>
      <c r="F415" s="64"/>
      <c r="G415" s="64"/>
      <c r="H415" s="64"/>
      <c r="I415" s="175"/>
      <c r="J415" s="175"/>
      <c r="K415" s="68"/>
      <c r="L415" s="60" t="str">
        <f>Price!A415</f>
        <v>Rámečky pro čel. výsuvy, od 270mm, hedvábně bílé</v>
      </c>
      <c r="M415" s="15" t="str">
        <f>Price!B415</f>
        <v>ZC7F300RSU</v>
      </c>
      <c r="N415" s="15" t="str">
        <f>Price!C415</f>
        <v>SW-M</v>
      </c>
      <c r="O415" s="537">
        <f>Price!D415</f>
        <v>0</v>
      </c>
      <c r="P415" s="16"/>
      <c r="Q415" s="17">
        <f>Price!F415</f>
        <v>41.007300000000001</v>
      </c>
      <c r="R415" s="323"/>
      <c r="S415" s="323"/>
      <c r="T415" s="12">
        <f>Price!G415</f>
        <v>6278039</v>
      </c>
      <c r="U415" s="257">
        <f>Price!H415</f>
        <v>227667</v>
      </c>
      <c r="V415" s="13"/>
      <c r="W415" s="13"/>
      <c r="X415" s="19"/>
      <c r="Y415" s="19"/>
    </row>
    <row r="416" spans="1:25" x14ac:dyDescent="0.35">
      <c r="A416" s="76"/>
      <c r="B416" s="162"/>
      <c r="C416" s="162"/>
      <c r="D416" s="540"/>
      <c r="E416" s="77"/>
      <c r="F416" s="64"/>
      <c r="G416" s="64"/>
      <c r="H416" s="64"/>
      <c r="I416" s="175"/>
      <c r="J416" s="175"/>
      <c r="K416" s="62"/>
      <c r="L416" s="60" t="str">
        <f>Price!A416</f>
        <v>Rámečky pro čel. výsuvy, od 270mm, Terra černé</v>
      </c>
      <c r="M416" s="15" t="str">
        <f>Price!B416</f>
        <v>ZC7F300RSU</v>
      </c>
      <c r="N416" s="15" t="str">
        <f>Price!C416</f>
        <v>TS-M</v>
      </c>
      <c r="O416" s="537" t="str">
        <f>Price!D416</f>
        <v>!</v>
      </c>
      <c r="P416" s="16"/>
      <c r="Q416" s="17">
        <f>Price!F416</f>
        <v>41.007300000000001</v>
      </c>
      <c r="R416" s="323"/>
      <c r="S416" s="323"/>
      <c r="T416" s="12">
        <f>Price!G416</f>
        <v>6379696</v>
      </c>
      <c r="U416" s="257">
        <f>Price!H416</f>
        <v>227669</v>
      </c>
      <c r="V416" s="13"/>
      <c r="W416" s="13"/>
      <c r="X416" s="19"/>
      <c r="Y416" s="19"/>
    </row>
    <row r="417" spans="1:25" ht="15" thickBot="1" x14ac:dyDescent="0.4">
      <c r="A417" s="325" t="str">
        <f>IF($C$2=1,L417,IF($C$2=2,L418,IF($C$2=3,L419,IF($C$2=4,L419,"  chyba"))))</f>
        <v>Adaptér pro dřevěná záda, š.242mm, Orion šedý</v>
      </c>
      <c r="B417" s="331" t="str">
        <f>IF($C$2=1,M417,IF($C$2=2,M418,IF($C$2=3,M419,IF($C$2=4,M419,"  chyba"))))</f>
        <v>ZC7A0U0C</v>
      </c>
      <c r="C417" s="331" t="str">
        <f>IF($C$2=1,N417,IF($C$2=2,N418,IF($C$2=3,N419,IF($C$2=4,N419,"  chyba"))))</f>
        <v>OG-M</v>
      </c>
      <c r="D417" s="331">
        <f>IF($C$2=1,O417,IF($C$2=2,O418,IF($C$2=3,O419,IF($C$2=4,O419,"  chyba"))))</f>
        <v>0</v>
      </c>
      <c r="E417" s="327">
        <f>IF($C$2=1,P417,IF($C$2=2,P418,IF($C$2=3,P419,IF($C$2=4,P419,"  chyba"))))</f>
        <v>0</v>
      </c>
      <c r="F417" s="328">
        <f>IF($C$2=1,Q417,IF($C$2=2,Q418,IF($C$2=3,Q419,IF($C$2=4,Q419,0))))*(100-$F$6)/100</f>
        <v>4.89811</v>
      </c>
      <c r="G417" s="329"/>
      <c r="H417" s="329"/>
      <c r="I417" s="332">
        <f>IF($C$2=1,T417,IF($C$2=2,T418,IF($C$2=3,T419,IF($C$2=4,T419,"  chyba"))))</f>
        <v>4293657</v>
      </c>
      <c r="J417" s="332">
        <f>IF($C$2=1,U417,IF($C$2=2,U418,IF($C$2=3,U419,IF($C$2=4,U419,"  chyba"))))</f>
        <v>227671</v>
      </c>
      <c r="K417" s="20"/>
      <c r="L417" s="60" t="str">
        <f>Price!A417</f>
        <v>Adaptér pro dřevěná záda, š.242mm, Orion šedý</v>
      </c>
      <c r="M417" s="15" t="str">
        <f>Price!B417</f>
        <v>ZC7A0U0C</v>
      </c>
      <c r="N417" s="15" t="str">
        <f>Price!C417</f>
        <v>OG-M</v>
      </c>
      <c r="O417" s="537">
        <f>Price!D417</f>
        <v>0</v>
      </c>
      <c r="P417" s="16"/>
      <c r="Q417" s="17">
        <f>Price!F417</f>
        <v>4.89811</v>
      </c>
      <c r="R417" s="323"/>
      <c r="S417" s="323"/>
      <c r="T417" s="12">
        <f>Price!G417</f>
        <v>4293657</v>
      </c>
      <c r="U417" s="257">
        <f>Price!H417</f>
        <v>227671</v>
      </c>
      <c r="V417" s="13"/>
      <c r="W417" s="13"/>
      <c r="X417" s="19"/>
      <c r="Y417" s="19"/>
    </row>
    <row r="418" spans="1:25" x14ac:dyDescent="0.35">
      <c r="A418" s="76"/>
      <c r="B418" s="162"/>
      <c r="C418" s="162"/>
      <c r="D418" s="540"/>
      <c r="E418" s="77"/>
      <c r="F418" s="64"/>
      <c r="G418" s="64"/>
      <c r="H418" s="64"/>
      <c r="I418" s="175"/>
      <c r="J418" s="175"/>
      <c r="K418" s="20"/>
      <c r="L418" s="60" t="str">
        <f>Price!A418</f>
        <v>Adaptér pro dřevěná záda, š.242mm, hedvábně bílý</v>
      </c>
      <c r="M418" s="15" t="str">
        <f>Price!B418</f>
        <v>ZC7A0U0C</v>
      </c>
      <c r="N418" s="15" t="str">
        <f>Price!C418</f>
        <v>SW-M</v>
      </c>
      <c r="O418" s="537">
        <f>Price!D418</f>
        <v>0</v>
      </c>
      <c r="P418" s="16"/>
      <c r="Q418" s="17">
        <f>Price!F418</f>
        <v>4.89811</v>
      </c>
      <c r="R418" s="323"/>
      <c r="S418" s="323"/>
      <c r="T418" s="12">
        <f>Price!G418</f>
        <v>1135009</v>
      </c>
      <c r="U418" s="257">
        <f>Price!H418</f>
        <v>227670</v>
      </c>
      <c r="V418" s="13"/>
      <c r="W418" s="13"/>
      <c r="X418" s="19"/>
      <c r="Y418" s="19"/>
    </row>
    <row r="419" spans="1:25" x14ac:dyDescent="0.35">
      <c r="A419" s="76"/>
      <c r="B419" s="162"/>
      <c r="C419" s="162"/>
      <c r="D419" s="540"/>
      <c r="E419" s="77"/>
      <c r="F419" s="64"/>
      <c r="G419" s="64"/>
      <c r="H419" s="64"/>
      <c r="I419" s="175"/>
      <c r="J419" s="175"/>
      <c r="K419" s="61"/>
      <c r="L419" s="60" t="str">
        <f>Price!A419</f>
        <v>Adaptér pro dřevěná záda, š.242mm, Terra černý</v>
      </c>
      <c r="M419" s="15" t="str">
        <f>Price!B419</f>
        <v>ZC7A0U0C</v>
      </c>
      <c r="N419" s="15" t="str">
        <f>Price!C419</f>
        <v>TS-M</v>
      </c>
      <c r="O419" s="537" t="str">
        <f>Price!D419</f>
        <v>!</v>
      </c>
      <c r="P419" s="16"/>
      <c r="Q419" s="17">
        <f>Price!F419</f>
        <v>4.89811</v>
      </c>
      <c r="R419" s="323"/>
      <c r="S419" s="323"/>
      <c r="T419" s="12">
        <f>Price!G419</f>
        <v>8886957</v>
      </c>
      <c r="U419" s="257">
        <f>Price!H419</f>
        <v>227672</v>
      </c>
      <c r="V419" s="13"/>
      <c r="W419" s="13"/>
      <c r="X419" s="19"/>
      <c r="Y419" s="19"/>
    </row>
    <row r="420" spans="1:25" ht="15" thickBot="1" x14ac:dyDescent="0.4">
      <c r="A420" s="325" t="str">
        <f>IF($C$2=1,L420,IF($C$2=2,L421,IF($C$2=3,L422,IF($C$2=4,L422,"  chyba"))))</f>
        <v>Samostatná příčka,110/242mm, Orion šedá</v>
      </c>
      <c r="B420" s="331" t="str">
        <f>IF($C$2=1,M420,IF($C$2=2,M421,IF($C$2=3,M422,IF($C$2=4,M422,"  chyba"))))</f>
        <v>ZC7Q0U0FS</v>
      </c>
      <c r="C420" s="331" t="str">
        <f>IF($C$2=1,N420,IF($C$2=2,N421,IF($C$2=3,N422,IF($C$2=4,N422,"  chyba"))))</f>
        <v>OG-M</v>
      </c>
      <c r="D420" s="331" t="str">
        <f>IF($C$2=1,O420,IF($C$2=2,O421,IF($C$2=3,O422,IF($C$2=4,O422,"  chyba"))))</f>
        <v>!</v>
      </c>
      <c r="E420" s="327">
        <f>IF($C$2=1,P420,IF($C$2=2,P421,IF($C$2=3,P422,IF($C$2=4,P422,"  chyba"))))</f>
        <v>0</v>
      </c>
      <c r="F420" s="328">
        <f>IF($C$2=1,Q420,IF($C$2=2,Q421,IF($C$2=3,Q422,IF($C$2=4,Q422,0))))*(100-$F$6)/100</f>
        <v>6.0371800000000011</v>
      </c>
      <c r="G420" s="329"/>
      <c r="H420" s="329"/>
      <c r="I420" s="332">
        <f>IF($C$2=1,T420,IF($C$2=2,T421,IF($C$2=3,T422,IF($C$2=4,T422,"  chyba"))))</f>
        <v>9384548</v>
      </c>
      <c r="J420" s="332">
        <f>IF($C$2=1,U420,IF($C$2=2,U421,IF($C$2=3,U422,IF($C$2=4,U422,"  chyba"))))</f>
        <v>227674</v>
      </c>
      <c r="K420" s="62"/>
      <c r="L420" s="60" t="str">
        <f>Price!A420</f>
        <v>Samostatná příčka,110/242mm, Orion šedá</v>
      </c>
      <c r="M420" s="15" t="str">
        <f>Price!B420</f>
        <v>ZC7Q0U0FS</v>
      </c>
      <c r="N420" s="15" t="str">
        <f>Price!C420</f>
        <v>OG-M</v>
      </c>
      <c r="O420" s="537" t="str">
        <f>Price!D420</f>
        <v>!</v>
      </c>
      <c r="P420" s="16"/>
      <c r="Q420" s="17">
        <f>Price!F420</f>
        <v>6.0371800000000002</v>
      </c>
      <c r="R420" s="323"/>
      <c r="S420" s="323"/>
      <c r="T420" s="12">
        <f>Price!G420</f>
        <v>9384548</v>
      </c>
      <c r="U420" s="257">
        <f>Price!H420</f>
        <v>227674</v>
      </c>
      <c r="V420" s="13"/>
      <c r="W420" s="13"/>
      <c r="X420" s="19"/>
      <c r="Y420" s="19"/>
    </row>
    <row r="421" spans="1:25" x14ac:dyDescent="0.35">
      <c r="A421" s="76"/>
      <c r="B421" s="162"/>
      <c r="C421" s="162"/>
      <c r="D421" s="540"/>
      <c r="E421" s="77"/>
      <c r="F421" s="64"/>
      <c r="G421" s="64"/>
      <c r="H421" s="64"/>
      <c r="I421" s="175"/>
      <c r="J421" s="175"/>
      <c r="K421" s="68"/>
      <c r="L421" s="60" t="str">
        <f>Price!A421</f>
        <v>Samostatná příčka,110/242mm, hedvábně bílá</v>
      </c>
      <c r="M421" s="15" t="str">
        <f>Price!B421</f>
        <v>ZC7Q0U0FS</v>
      </c>
      <c r="N421" s="15" t="str">
        <f>Price!C421</f>
        <v>SW-M</v>
      </c>
      <c r="O421" s="537" t="str">
        <f>Price!D421</f>
        <v>!</v>
      </c>
      <c r="P421" s="16"/>
      <c r="Q421" s="17">
        <f>Price!F421</f>
        <v>6.0371800000000002</v>
      </c>
      <c r="R421" s="323"/>
      <c r="S421" s="323"/>
      <c r="T421" s="12">
        <f>Price!G421</f>
        <v>7313912</v>
      </c>
      <c r="U421" s="257">
        <f>Price!H421</f>
        <v>227673</v>
      </c>
      <c r="V421" s="13"/>
      <c r="W421" s="13"/>
      <c r="X421" s="19"/>
      <c r="Y421" s="19"/>
    </row>
    <row r="422" spans="1:25" x14ac:dyDescent="0.35">
      <c r="A422" s="76"/>
      <c r="B422" s="162"/>
      <c r="C422" s="162"/>
      <c r="D422" s="540"/>
      <c r="E422" s="77"/>
      <c r="F422" s="64"/>
      <c r="G422" s="64"/>
      <c r="H422" s="64"/>
      <c r="I422" s="175"/>
      <c r="J422" s="175"/>
      <c r="K422" s="68"/>
      <c r="L422" s="60" t="str">
        <f>Price!A422</f>
        <v>Samostatná příčka,110/242mm, Terra černá</v>
      </c>
      <c r="M422" s="15" t="str">
        <f>Price!B422</f>
        <v>ZC7Q0U0FS</v>
      </c>
      <c r="N422" s="15" t="str">
        <f>Price!C422</f>
        <v>TS-M</v>
      </c>
      <c r="O422" s="537" t="str">
        <f>Price!D422</f>
        <v>!</v>
      </c>
      <c r="P422" s="16"/>
      <c r="Q422" s="17">
        <f>Price!F422</f>
        <v>6.0371800000000002</v>
      </c>
      <c r="R422" s="323"/>
      <c r="S422" s="323"/>
      <c r="T422" s="12">
        <f>Price!G422</f>
        <v>1792344</v>
      </c>
      <c r="U422" s="257">
        <f>Price!H422</f>
        <v>227675</v>
      </c>
      <c r="V422" s="13"/>
      <c r="W422" s="13"/>
      <c r="X422" s="25"/>
      <c r="Y422" s="19"/>
    </row>
    <row r="423" spans="1:25" x14ac:dyDescent="0.35">
      <c r="A423" s="76"/>
      <c r="B423" s="162"/>
      <c r="C423" s="162"/>
      <c r="D423" s="540"/>
      <c r="E423" s="77"/>
      <c r="F423" s="64"/>
      <c r="G423" s="64"/>
      <c r="H423" s="64"/>
      <c r="I423" s="175"/>
      <c r="J423" s="175"/>
      <c r="K423" s="68"/>
      <c r="L423" s="60">
        <f>Price!A423</f>
        <v>0</v>
      </c>
      <c r="M423" s="15">
        <f>Price!B423</f>
        <v>0</v>
      </c>
      <c r="N423" s="15">
        <f>Price!C423</f>
        <v>0</v>
      </c>
      <c r="O423" s="537">
        <f>Price!D423</f>
        <v>0</v>
      </c>
      <c r="P423" s="16"/>
      <c r="Q423" s="17">
        <f>Price!F423</f>
        <v>0</v>
      </c>
      <c r="R423" s="323"/>
      <c r="S423" s="323"/>
      <c r="T423" s="12">
        <f>Price!G423</f>
        <v>0</v>
      </c>
      <c r="U423" s="257">
        <f>Price!H423</f>
        <v>0</v>
      </c>
      <c r="V423" s="13"/>
      <c r="W423" s="13"/>
      <c r="X423" s="25"/>
      <c r="Y423" s="19"/>
    </row>
    <row r="424" spans="1:25" ht="15" thickBot="1" x14ac:dyDescent="0.4">
      <c r="A424" s="325" t="str">
        <f>IF($C$2=1,L424,IF($C$2=2,L425,IF($C$2=3,L426,IF($C$2=4,L426,"  chyba"))))</f>
        <v>Rámečky pro čel. výsuvy, od 400mm, Orion šedé</v>
      </c>
      <c r="B424" s="331" t="str">
        <f>IF($C$2=1,M424,IF($C$2=2,M425,IF($C$2=3,M426,IF($C$2=4,M426,"  chyba"))))</f>
        <v>ZC7F400RSP</v>
      </c>
      <c r="C424" s="331" t="str">
        <f>IF($C$2=1,N424,IF($C$2=2,N425,IF($C$2=3,N426,IF($C$2=4,N426,"  chyba"))))</f>
        <v>OG-M</v>
      </c>
      <c r="D424" s="331">
        <f>IF($C$2=1,O424,IF($C$2=2,O425,IF($C$2=3,O426,IF($C$2=4,O426,"  chyba"))))</f>
        <v>0</v>
      </c>
      <c r="E424" s="327">
        <f>IF($C$2=1,P424,IF($C$2=2,P425,IF($C$2=3,P426,IF($C$2=4,P426,"  chyba"))))</f>
        <v>0</v>
      </c>
      <c r="F424" s="328">
        <f>IF($C$2=1,Q424,IF($C$2=2,Q425,IF($C$2=3,Q426,IF($C$2=4,Q426,0))))*(100-$F$6)/100</f>
        <v>43.285469999999997</v>
      </c>
      <c r="G424" s="329"/>
      <c r="H424" s="329"/>
      <c r="I424" s="332">
        <f>IF($C$2=1,T424,IF($C$2=2,T425,IF($C$2=3,T426,IF($C$2=4,T426,"  chyba"))))</f>
        <v>7649432</v>
      </c>
      <c r="J424" s="332">
        <f>IF($C$2=1,U424,IF($C$2=2,U425,IF($C$2=3,U426,IF($C$2=4,U426,"  chyba"))))</f>
        <v>227677</v>
      </c>
      <c r="K424" s="68"/>
      <c r="L424" s="60" t="str">
        <f>Price!A424</f>
        <v>Rámečky pro čel. výsuvy, od 400mm, Orion šedé</v>
      </c>
      <c r="M424" s="15" t="str">
        <f>Price!B424</f>
        <v>ZC7F400RSP</v>
      </c>
      <c r="N424" s="15" t="str">
        <f>Price!C424</f>
        <v>OG-M</v>
      </c>
      <c r="O424" s="537">
        <f>Price!D424</f>
        <v>0</v>
      </c>
      <c r="P424" s="16"/>
      <c r="Q424" s="17">
        <f>Price!F424</f>
        <v>43.285469999999997</v>
      </c>
      <c r="R424" s="323"/>
      <c r="S424" s="323"/>
      <c r="T424" s="12">
        <f>Price!G424</f>
        <v>7649432</v>
      </c>
      <c r="U424" s="257">
        <f>Price!H424</f>
        <v>227677</v>
      </c>
      <c r="V424" s="13"/>
      <c r="W424" s="13"/>
      <c r="X424" s="26"/>
      <c r="Y424" s="19"/>
    </row>
    <row r="425" spans="1:25" x14ac:dyDescent="0.35">
      <c r="A425" s="76"/>
      <c r="B425" s="162"/>
      <c r="C425" s="162"/>
      <c r="D425" s="540"/>
      <c r="E425" s="77"/>
      <c r="F425" s="64"/>
      <c r="G425" s="64"/>
      <c r="H425" s="64"/>
      <c r="I425" s="175"/>
      <c r="J425" s="175"/>
      <c r="K425" s="68"/>
      <c r="L425" s="60" t="str">
        <f>Price!A425</f>
        <v>Rámečky pro čel. výsuvy, od 400mm, hedvábně bílé</v>
      </c>
      <c r="M425" s="15" t="str">
        <f>Price!B425</f>
        <v>ZC7F400RSP</v>
      </c>
      <c r="N425" s="15" t="str">
        <f>Price!C425</f>
        <v>SW-M</v>
      </c>
      <c r="O425" s="537">
        <f>Price!D425</f>
        <v>0</v>
      </c>
      <c r="P425" s="16"/>
      <c r="Q425" s="17">
        <f>Price!F425</f>
        <v>43.285469999999997</v>
      </c>
      <c r="R425" s="323"/>
      <c r="S425" s="323"/>
      <c r="T425" s="12">
        <f>Price!G425</f>
        <v>2195450</v>
      </c>
      <c r="U425" s="257">
        <f>Price!H425</f>
        <v>227676</v>
      </c>
      <c r="V425" s="13"/>
      <c r="W425" s="13"/>
      <c r="X425" s="26"/>
      <c r="Y425" s="19"/>
    </row>
    <row r="426" spans="1:25" x14ac:dyDescent="0.35">
      <c r="A426" s="76"/>
      <c r="B426" s="162"/>
      <c r="C426" s="162"/>
      <c r="D426" s="540"/>
      <c r="E426" s="82"/>
      <c r="F426" s="64"/>
      <c r="G426" s="64"/>
      <c r="H426" s="64"/>
      <c r="I426" s="175"/>
      <c r="J426" s="175"/>
      <c r="K426" s="68"/>
      <c r="L426" s="60" t="str">
        <f>Price!A426</f>
        <v>Rámečky pro čel. výsuvy, od 400mm, Terra černé</v>
      </c>
      <c r="M426" s="15" t="str">
        <f>Price!B426</f>
        <v>ZC7F400RSP</v>
      </c>
      <c r="N426" s="15" t="str">
        <f>Price!C426</f>
        <v>TS-M</v>
      </c>
      <c r="O426" s="537" t="str">
        <f>Price!D426</f>
        <v>!</v>
      </c>
      <c r="P426" s="16"/>
      <c r="Q426" s="17">
        <f>Price!F426</f>
        <v>43.285469999999997</v>
      </c>
      <c r="R426" s="323"/>
      <c r="S426" s="323"/>
      <c r="T426" s="12">
        <f>Price!G426</f>
        <v>9241686</v>
      </c>
      <c r="U426" s="257">
        <f>Price!H426</f>
        <v>227678</v>
      </c>
      <c r="V426" s="13"/>
      <c r="W426" s="13"/>
      <c r="X426" s="26"/>
      <c r="Y426" s="19"/>
    </row>
    <row r="427" spans="1:25" ht="15" thickBot="1" x14ac:dyDescent="0.4">
      <c r="A427" s="325" t="str">
        <f>IF($C$2=1,L427,IF($C$2=2,L428,IF($C$2=3,L429,IF($C$2=4,L429,"  chyba"))))</f>
        <v>Adaptér pro dřevěná záda C, Orion šedý</v>
      </c>
      <c r="B427" s="331" t="str">
        <f>IF($C$2=1,M427,IF($C$2=2,M428,IF($C$2=3,M429,IF($C$2=4,M429,"  chyba"))))</f>
        <v>ZC7A0P0C</v>
      </c>
      <c r="C427" s="331" t="str">
        <f>IF($C$2=1,N427,IF($C$2=2,N428,IF($C$2=3,N429,IF($C$2=4,N429,"  chyba"))))</f>
        <v>OG-M</v>
      </c>
      <c r="D427" s="331">
        <f>IF($C$2=1,O427,IF($C$2=2,O428,IF($C$2=3,O429,IF($C$2=4,O429,"  chyba"))))</f>
        <v>0</v>
      </c>
      <c r="E427" s="327">
        <f>IF($C$2=1,P427,IF($C$2=2,P428,IF($C$2=3,P429,IF($C$2=4,P429,"  chyba"))))</f>
        <v>0</v>
      </c>
      <c r="F427" s="328">
        <f>IF($C$2=1,Q427,IF($C$2=2,Q428,IF($C$2=3,Q429,IF($C$2=4,Q429,0))))*(100-$F$6)/100</f>
        <v>4.89811</v>
      </c>
      <c r="G427" s="329"/>
      <c r="H427" s="329"/>
      <c r="I427" s="332">
        <f>IF($C$2=1,T427,IF($C$2=2,T428,IF($C$2=3,T429,IF($C$2=4,T429,"  chyba"))))</f>
        <v>2258290</v>
      </c>
      <c r="J427" s="332">
        <f>IF($C$2=1,U427,IF($C$2=2,U428,IF($C$2=3,U429,IF($C$2=4,U429,"  chyba"))))</f>
        <v>227680</v>
      </c>
      <c r="K427" s="62"/>
      <c r="L427" s="60" t="str">
        <f>Price!A427</f>
        <v>Adaptér pro dřevěná záda C, Orion šedý</v>
      </c>
      <c r="M427" s="15" t="str">
        <f>Price!B427</f>
        <v>ZC7A0P0C</v>
      </c>
      <c r="N427" s="15" t="str">
        <f>Price!C427</f>
        <v>OG-M</v>
      </c>
      <c r="O427" s="537">
        <f>Price!D427</f>
        <v>0</v>
      </c>
      <c r="P427" s="16"/>
      <c r="Q427" s="17">
        <f>Price!F427</f>
        <v>4.89811</v>
      </c>
      <c r="R427" s="323"/>
      <c r="S427" s="323"/>
      <c r="T427" s="12">
        <f>Price!G427</f>
        <v>2258290</v>
      </c>
      <c r="U427" s="257">
        <f>Price!H427</f>
        <v>227680</v>
      </c>
      <c r="V427" s="13"/>
      <c r="W427" s="13"/>
      <c r="X427" s="26"/>
      <c r="Y427" s="19"/>
    </row>
    <row r="428" spans="1:25" x14ac:dyDescent="0.35">
      <c r="A428" s="76"/>
      <c r="B428" s="162"/>
      <c r="C428" s="162"/>
      <c r="D428" s="540"/>
      <c r="E428" s="82"/>
      <c r="F428" s="64"/>
      <c r="G428" s="64"/>
      <c r="H428" s="64"/>
      <c r="I428" s="175"/>
      <c r="J428" s="175"/>
      <c r="K428" s="20"/>
      <c r="L428" s="60" t="str">
        <f>Price!A428</f>
        <v>Adaptér pro dřevěná záda C, hedvábně bílý</v>
      </c>
      <c r="M428" s="15" t="str">
        <f>Price!B428</f>
        <v>ZC7A0P0C</v>
      </c>
      <c r="N428" s="15" t="str">
        <f>Price!C428</f>
        <v>SW-M</v>
      </c>
      <c r="O428" s="537">
        <f>Price!D428</f>
        <v>0</v>
      </c>
      <c r="P428" s="16"/>
      <c r="Q428" s="17">
        <f>Price!F428</f>
        <v>4.89811</v>
      </c>
      <c r="R428" s="323"/>
      <c r="S428" s="323"/>
      <c r="T428" s="12">
        <f>Price!G428</f>
        <v>8408859</v>
      </c>
      <c r="U428" s="257">
        <f>Price!H428</f>
        <v>227679</v>
      </c>
      <c r="V428" s="13"/>
      <c r="W428" s="13"/>
      <c r="X428" s="27"/>
      <c r="Y428" s="19"/>
    </row>
    <row r="429" spans="1:25" x14ac:dyDescent="0.35">
      <c r="A429" s="76"/>
      <c r="B429" s="162"/>
      <c r="C429" s="162"/>
      <c r="D429" s="540"/>
      <c r="E429" s="77"/>
      <c r="F429" s="64"/>
      <c r="G429" s="64"/>
      <c r="H429" s="64"/>
      <c r="I429" s="175"/>
      <c r="J429" s="175"/>
      <c r="K429" s="20"/>
      <c r="L429" s="60" t="str">
        <f>Price!A429</f>
        <v>Adaptér pro dřevěná záda C, Terra černý</v>
      </c>
      <c r="M429" s="15" t="str">
        <f>Price!B429</f>
        <v>ZC7A0P0C</v>
      </c>
      <c r="N429" s="15" t="str">
        <f>Price!C429</f>
        <v>TS-M</v>
      </c>
      <c r="O429" s="537" t="str">
        <f>Price!D429</f>
        <v>!</v>
      </c>
      <c r="P429" s="16"/>
      <c r="Q429" s="17">
        <f>Price!F429</f>
        <v>0</v>
      </c>
      <c r="R429" s="323"/>
      <c r="S429" s="323"/>
      <c r="T429" s="12">
        <f>Price!G429</f>
        <v>6898225</v>
      </c>
      <c r="U429" s="257" t="str">
        <f>Price!H429</f>
        <v>-</v>
      </c>
      <c r="V429" s="13"/>
      <c r="W429" s="13"/>
      <c r="X429" s="25"/>
      <c r="Y429" s="19"/>
    </row>
    <row r="430" spans="1:25" ht="15" thickBot="1" x14ac:dyDescent="0.4">
      <c r="A430" s="325" t="str">
        <f>IF($C$2=1,L430,IF($C$2=2,L431,IF($C$2=3,L432,IF($C$2=4,L432,"  chyba"))))</f>
        <v>Adaptér pro dřevěná záda F, Orion šedý</v>
      </c>
      <c r="B430" s="331" t="str">
        <f>IF($C$2=1,M430,IF($C$2=2,M431,IF($C$2=3,M432,IF($C$2=4,M432,"  chyba"))))</f>
        <v>ZC7A0P0F</v>
      </c>
      <c r="C430" s="331" t="str">
        <f>IF($C$2=1,N430,IF($C$2=2,N431,IF($C$2=3,N432,IF($C$2=4,N432,"  chyba"))))</f>
        <v>OG-M</v>
      </c>
      <c r="D430" s="331">
        <f>IF($C$2=1,O430,IF($C$2=2,O431,IF($C$2=3,O432,IF($C$2=4,O432,"  chyba"))))</f>
        <v>0</v>
      </c>
      <c r="E430" s="327">
        <f>IF($C$2=1,P430,IF($C$2=2,P431,IF($C$2=3,P432,IF($C$2=4,P432,"  chyba"))))</f>
        <v>0</v>
      </c>
      <c r="F430" s="328">
        <f>IF($C$2=1,Q430,IF($C$2=2,Q431,IF($C$2=3,Q432,IF($C$2=4,Q432,0))))*(100-$F$6)/100</f>
        <v>5.4677499999999997</v>
      </c>
      <c r="G430" s="329"/>
      <c r="H430" s="329"/>
      <c r="I430" s="332">
        <f>IF($C$2=1,T430,IF($C$2=2,T431,IF($C$2=3,T432,IF($C$2=4,T432,"  chyba"))))</f>
        <v>3677745</v>
      </c>
      <c r="J430" s="332">
        <f>IF($C$2=1,U430,IF($C$2=2,U431,IF($C$2=3,U432,IF($C$2=4,U432,"  chyba"))))</f>
        <v>227683</v>
      </c>
      <c r="K430" s="20"/>
      <c r="L430" s="60" t="str">
        <f>Price!A430</f>
        <v>Adaptér pro dřevěná záda F, Orion šedý</v>
      </c>
      <c r="M430" s="15" t="str">
        <f>Price!B430</f>
        <v>ZC7A0P0F</v>
      </c>
      <c r="N430" s="15" t="str">
        <f>Price!C430</f>
        <v>OG-M</v>
      </c>
      <c r="O430" s="537">
        <f>Price!D430</f>
        <v>0</v>
      </c>
      <c r="P430" s="16"/>
      <c r="Q430" s="17">
        <f>Price!F430</f>
        <v>5.4677499999999997</v>
      </c>
      <c r="R430" s="323"/>
      <c r="S430" s="323"/>
      <c r="T430" s="12">
        <f>Price!G430</f>
        <v>3677745</v>
      </c>
      <c r="U430" s="257">
        <f>Price!H430</f>
        <v>227683</v>
      </c>
      <c r="V430" s="13"/>
      <c r="W430" s="13"/>
      <c r="X430" s="25"/>
      <c r="Y430" s="19"/>
    </row>
    <row r="431" spans="1:25" x14ac:dyDescent="0.35">
      <c r="A431" s="76"/>
      <c r="B431" s="162"/>
      <c r="C431" s="162"/>
      <c r="D431" s="540"/>
      <c r="E431" s="77"/>
      <c r="F431" s="64"/>
      <c r="G431" s="64"/>
      <c r="H431" s="64"/>
      <c r="I431" s="175"/>
      <c r="J431" s="175"/>
      <c r="K431" s="20"/>
      <c r="L431" s="60" t="str">
        <f>Price!A431</f>
        <v>Adaptér pro dřevěná záda F, hedvábně bílý</v>
      </c>
      <c r="M431" s="15" t="str">
        <f>Price!B431</f>
        <v>ZC7A0P0F</v>
      </c>
      <c r="N431" s="15" t="str">
        <f>Price!C431</f>
        <v>SW-M</v>
      </c>
      <c r="O431" s="537">
        <f>Price!D431</f>
        <v>0</v>
      </c>
      <c r="P431" s="16"/>
      <c r="Q431" s="17">
        <f>Price!F431</f>
        <v>5.4677499999999997</v>
      </c>
      <c r="R431" s="323"/>
      <c r="S431" s="323"/>
      <c r="T431" s="12">
        <f>Price!G431</f>
        <v>6946065</v>
      </c>
      <c r="U431" s="257">
        <f>Price!H431</f>
        <v>227682</v>
      </c>
      <c r="V431" s="13"/>
      <c r="W431" s="13"/>
      <c r="X431" s="19"/>
      <c r="Y431" s="19"/>
    </row>
    <row r="432" spans="1:25" x14ac:dyDescent="0.35">
      <c r="A432" s="76"/>
      <c r="B432" s="162"/>
      <c r="C432" s="162"/>
      <c r="D432" s="540"/>
      <c r="E432" s="77"/>
      <c r="F432" s="64"/>
      <c r="G432" s="64"/>
      <c r="H432" s="64"/>
      <c r="I432" s="175"/>
      <c r="J432" s="175"/>
      <c r="K432" s="20"/>
      <c r="L432" s="60" t="str">
        <f>Price!A432</f>
        <v>Adaptér pro dřevěná záda F, Terra černý</v>
      </c>
      <c r="M432" s="15" t="str">
        <f>Price!B432</f>
        <v>ZC7A0P0F</v>
      </c>
      <c r="N432" s="15" t="str">
        <f>Price!C432</f>
        <v>TS-M</v>
      </c>
      <c r="O432" s="537" t="str">
        <f>Price!D432</f>
        <v>!</v>
      </c>
      <c r="P432" s="16"/>
      <c r="Q432" s="17">
        <f>Price!F432</f>
        <v>5.4677499999999997</v>
      </c>
      <c r="R432" s="323"/>
      <c r="S432" s="323"/>
      <c r="T432" s="12">
        <f>Price!G432</f>
        <v>4854839</v>
      </c>
      <c r="U432" s="257">
        <f>Price!H432</f>
        <v>227684</v>
      </c>
      <c r="V432" s="13"/>
      <c r="W432" s="13"/>
      <c r="X432" s="19"/>
      <c r="Y432" s="19"/>
    </row>
    <row r="433" spans="1:25" ht="15" thickBot="1" x14ac:dyDescent="0.4">
      <c r="A433" s="325" t="str">
        <f>IF($C$2=1,L433,IF($C$2=2,L434,IF($C$2=3,L435,IF($C$2=4,L435,"  chyba"))))</f>
        <v>Samostatná příčka,110/218mm, Orion šedá</v>
      </c>
      <c r="B433" s="331" t="str">
        <f>IF($C$2=1,M433,IF($C$2=2,M434,IF($C$2=3,M435,IF($C$2=4,M435,"  chyba"))))</f>
        <v>ZC7Q0P0FS</v>
      </c>
      <c r="C433" s="331" t="str">
        <f>IF($C$2=1,N433,IF($C$2=2,N434,IF($C$2=3,N435,IF($C$2=4,N435,"  chyba"))))</f>
        <v>OG-M</v>
      </c>
      <c r="D433" s="331" t="str">
        <f>IF($C$2=1,O433,IF($C$2=2,O434,IF($C$2=3,O435,IF($C$2=4,O435,"  chyba"))))</f>
        <v>!</v>
      </c>
      <c r="E433" s="327">
        <f>IF($C$2=1,P433,IF($C$2=2,P434,IF($C$2=3,P435,IF($C$2=4,P435,"  chyba"))))</f>
        <v>0</v>
      </c>
      <c r="F433" s="328">
        <f>IF($C$2=1,Q433,IF($C$2=2,Q434,IF($C$2=3,Q435,IF($C$2=4,Q435,0))))*(100-$F$6)/100</f>
        <v>6.0371800000000011</v>
      </c>
      <c r="G433" s="329"/>
      <c r="H433" s="329"/>
      <c r="I433" s="332">
        <f>IF($C$2=1,T433,IF($C$2=2,T434,IF($C$2=3,T435,IF($C$2=4,T435,"  chyba"))))</f>
        <v>8999239</v>
      </c>
      <c r="J433" s="332">
        <f>IF($C$2=1,U433,IF($C$2=2,U434,IF($C$2=3,U435,IF($C$2=4,U435,"  chyba"))))</f>
        <v>227686</v>
      </c>
      <c r="K433" s="70"/>
      <c r="L433" s="60" t="str">
        <f>Price!A433</f>
        <v>Samostatná příčka,110/218mm, Orion šedá</v>
      </c>
      <c r="M433" s="15" t="str">
        <f>Price!B433</f>
        <v>ZC7Q0P0FS</v>
      </c>
      <c r="N433" s="15" t="str">
        <f>Price!C433</f>
        <v>OG-M</v>
      </c>
      <c r="O433" s="537" t="str">
        <f>Price!D433</f>
        <v>!</v>
      </c>
      <c r="P433" s="16"/>
      <c r="Q433" s="17">
        <f>Price!F433</f>
        <v>6.0371800000000002</v>
      </c>
      <c r="R433" s="323"/>
      <c r="S433" s="323"/>
      <c r="T433" s="12">
        <f>Price!G433</f>
        <v>8999239</v>
      </c>
      <c r="U433" s="257">
        <f>Price!H433</f>
        <v>227686</v>
      </c>
      <c r="V433" s="13"/>
      <c r="W433" s="13"/>
      <c r="X433" s="19"/>
      <c r="Y433" s="19"/>
    </row>
    <row r="434" spans="1:25" x14ac:dyDescent="0.35">
      <c r="A434" s="76"/>
      <c r="B434" s="162"/>
      <c r="C434" s="162"/>
      <c r="D434" s="540"/>
      <c r="E434" s="77"/>
      <c r="F434" s="64"/>
      <c r="G434" s="64"/>
      <c r="H434" s="64"/>
      <c r="I434" s="175"/>
      <c r="J434" s="175"/>
      <c r="K434" s="70"/>
      <c r="L434" s="60" t="str">
        <f>Price!A434</f>
        <v>Samostatná příčka,110/218mm, hedvábně bílá</v>
      </c>
      <c r="M434" s="15" t="str">
        <f>Price!B434</f>
        <v>ZC7Q0P0FS</v>
      </c>
      <c r="N434" s="15" t="str">
        <f>Price!C434</f>
        <v>SW-M</v>
      </c>
      <c r="O434" s="537" t="str">
        <f>Price!D434</f>
        <v>!</v>
      </c>
      <c r="P434" s="16"/>
      <c r="Q434" s="17">
        <f>Price!F434</f>
        <v>6.0371800000000002</v>
      </c>
      <c r="R434" s="323"/>
      <c r="S434" s="323"/>
      <c r="T434" s="12">
        <f>Price!G434</f>
        <v>9570082</v>
      </c>
      <c r="U434" s="257">
        <f>Price!H434</f>
        <v>227685</v>
      </c>
      <c r="V434" s="13"/>
      <c r="W434" s="13"/>
      <c r="X434" s="19"/>
      <c r="Y434" s="19"/>
    </row>
    <row r="435" spans="1:25" x14ac:dyDescent="0.35">
      <c r="A435" s="76"/>
      <c r="B435" s="162"/>
      <c r="C435" s="162"/>
      <c r="D435" s="540"/>
      <c r="E435" s="77"/>
      <c r="F435" s="64"/>
      <c r="G435" s="64"/>
      <c r="H435" s="64"/>
      <c r="I435" s="175"/>
      <c r="J435" s="175"/>
      <c r="K435" s="70"/>
      <c r="L435" s="60" t="str">
        <f>Price!A435</f>
        <v>Samostatná příčka,110/218mm, Terra černá</v>
      </c>
      <c r="M435" s="15" t="str">
        <f>Price!B435</f>
        <v>ZC7Q0P0FS</v>
      </c>
      <c r="N435" s="15" t="str">
        <f>Price!C435</f>
        <v>TS-M</v>
      </c>
      <c r="O435" s="537" t="str">
        <f>Price!D435</f>
        <v>!</v>
      </c>
      <c r="P435" s="16"/>
      <c r="Q435" s="17">
        <f>Price!F435</f>
        <v>6.0371800000000002</v>
      </c>
      <c r="R435" s="323"/>
      <c r="S435" s="323"/>
      <c r="T435" s="12">
        <f>Price!G435</f>
        <v>6429035</v>
      </c>
      <c r="U435" s="257">
        <f>Price!H435</f>
        <v>227687</v>
      </c>
      <c r="V435" s="13"/>
      <c r="W435" s="13"/>
      <c r="X435" s="19"/>
      <c r="Y435" s="19"/>
    </row>
    <row r="436" spans="1:25" x14ac:dyDescent="0.35">
      <c r="A436" s="76"/>
      <c r="B436" s="162"/>
      <c r="C436" s="162"/>
      <c r="D436" s="540"/>
      <c r="E436" s="82"/>
      <c r="F436" s="64"/>
      <c r="G436" s="64"/>
      <c r="H436" s="64"/>
      <c r="I436" s="175"/>
      <c r="J436" s="175"/>
      <c r="K436" s="62"/>
      <c r="L436" s="60">
        <f>Price!A436</f>
        <v>0</v>
      </c>
      <c r="M436" s="15">
        <f>Price!B436</f>
        <v>0</v>
      </c>
      <c r="N436" s="15">
        <f>Price!C436</f>
        <v>0</v>
      </c>
      <c r="O436" s="537">
        <f>Price!D436</f>
        <v>0</v>
      </c>
      <c r="P436" s="16"/>
      <c r="Q436" s="17">
        <f>Price!F436</f>
        <v>0</v>
      </c>
      <c r="R436" s="323"/>
      <c r="S436" s="323"/>
      <c r="T436" s="12">
        <f>Price!G436</f>
        <v>0</v>
      </c>
      <c r="U436" s="257">
        <f>Price!H436</f>
        <v>0</v>
      </c>
      <c r="V436" s="13"/>
      <c r="W436" s="13"/>
      <c r="X436" s="19"/>
      <c r="Y436" s="19"/>
    </row>
    <row r="437" spans="1:25" x14ac:dyDescent="0.35">
      <c r="A437" s="324"/>
      <c r="B437" s="162"/>
      <c r="C437" s="162"/>
      <c r="D437" s="540"/>
      <c r="E437" s="82"/>
      <c r="F437" s="64"/>
      <c r="G437" s="64"/>
      <c r="H437" s="64"/>
      <c r="I437" s="175"/>
      <c r="J437" s="175"/>
      <c r="K437" s="68"/>
      <c r="L437" s="60">
        <f>Price!A437</f>
        <v>0</v>
      </c>
      <c r="M437" s="15">
        <f>Price!B437</f>
        <v>0</v>
      </c>
      <c r="N437" s="15">
        <f>Price!C437</f>
        <v>0</v>
      </c>
      <c r="O437" s="537">
        <f>Price!D437</f>
        <v>0</v>
      </c>
      <c r="P437" s="16"/>
      <c r="Q437" s="17">
        <f>Price!F437</f>
        <v>0</v>
      </c>
      <c r="R437" s="323"/>
      <c r="S437" s="323"/>
      <c r="T437" s="12">
        <f>Price!G437</f>
        <v>0</v>
      </c>
      <c r="U437" s="257">
        <f>Price!H437</f>
        <v>0</v>
      </c>
      <c r="V437" s="13"/>
      <c r="W437" s="13"/>
      <c r="X437" s="19"/>
      <c r="Y437" s="19"/>
    </row>
    <row r="438" spans="1:25" ht="15" thickBot="1" x14ac:dyDescent="0.4">
      <c r="A438" s="325" t="str">
        <f>IF($C$2=1,L438,IF($C$2=2,L439,IF($C$2=3,L440,IF($C$2=4,L440,"  chyba"))))</f>
        <v>Držák příčného relingu pro pure, Orion šedá</v>
      </c>
      <c r="B438" s="331" t="str">
        <f>IF($C$2=1,M438,IF($C$2=2,M439,IF($C$2=3,M440,IF($C$2=4,M440,"  chyba"))))</f>
        <v>ZC7U10E0</v>
      </c>
      <c r="C438" s="331" t="str">
        <f>IF($C$2=1,N438,IF($C$2=2,N439,IF($C$2=3,N440,IF($C$2=4,N440,"  chyba"))))</f>
        <v>OG-M</v>
      </c>
      <c r="D438" s="331">
        <f>IF($C$2=1,O438,IF($C$2=2,O439,IF($C$2=3,O440,IF($C$2=4,O440,"  chyba"))))</f>
        <v>0</v>
      </c>
      <c r="E438" s="327">
        <f>IF($C$2=1,P438,IF($C$2=2,P439,IF($C$2=3,P440,IF($C$2=4,P440,"  chyba"))))</f>
        <v>0</v>
      </c>
      <c r="F438" s="328">
        <f>IF($C$2=1,Q438,IF($C$2=2,Q439,IF($C$2=3,Q440,IF($C$2=4,Q440,0))))*(100-$F$6)/100</f>
        <v>2.0503100000000001</v>
      </c>
      <c r="G438" s="329"/>
      <c r="H438" s="329"/>
      <c r="I438" s="332">
        <f>IF($C$2=1,T438,IF($C$2=2,T439,IF($C$2=3,T440,IF($C$2=4,T440,"  chyba"))))</f>
        <v>6678082</v>
      </c>
      <c r="J438" s="332">
        <f>IF($C$2=1,U438,IF($C$2=2,U439,IF($C$2=3,U440,IF($C$2=4,U440,"  chyba"))))</f>
        <v>265028</v>
      </c>
      <c r="K438" s="62"/>
      <c r="L438" s="60" t="str">
        <f>Price!A438</f>
        <v>Držák příčného relingu pro pure, Orion šedá</v>
      </c>
      <c r="M438" s="15" t="str">
        <f>Price!B438</f>
        <v>ZC7U10E0</v>
      </c>
      <c r="N438" s="15" t="str">
        <f>Price!C438</f>
        <v>OG-M</v>
      </c>
      <c r="O438" s="537">
        <f>Price!D438</f>
        <v>0</v>
      </c>
      <c r="P438" s="16"/>
      <c r="Q438" s="17">
        <f>Price!F438</f>
        <v>2.0503100000000001</v>
      </c>
      <c r="R438" s="323"/>
      <c r="S438" s="323"/>
      <c r="T438" s="12">
        <f>Price!G438</f>
        <v>6678082</v>
      </c>
      <c r="U438" s="257">
        <f>Price!H438</f>
        <v>265028</v>
      </c>
      <c r="V438" s="13"/>
      <c r="W438" s="13"/>
      <c r="X438" s="19"/>
      <c r="Y438" s="19"/>
    </row>
    <row r="439" spans="1:25" x14ac:dyDescent="0.35">
      <c r="A439" s="76"/>
      <c r="B439" s="162"/>
      <c r="C439" s="162"/>
      <c r="D439" s="540"/>
      <c r="E439" s="82"/>
      <c r="F439" s="64"/>
      <c r="G439" s="64"/>
      <c r="H439" s="64"/>
      <c r="I439" s="175"/>
      <c r="J439" s="175"/>
      <c r="K439" s="62"/>
      <c r="L439" s="60" t="str">
        <f>Price!A439</f>
        <v>Držák příčného relingu pro pure, hedvábně bílá</v>
      </c>
      <c r="M439" s="15" t="str">
        <f>Price!B439</f>
        <v>ZC7U10E0</v>
      </c>
      <c r="N439" s="15" t="str">
        <f>Price!C439</f>
        <v>SW-M</v>
      </c>
      <c r="O439" s="537">
        <f>Price!D439</f>
        <v>0</v>
      </c>
      <c r="P439" s="16"/>
      <c r="Q439" s="17">
        <f>Price!F439</f>
        <v>2.0503100000000001</v>
      </c>
      <c r="R439" s="323"/>
      <c r="S439" s="323"/>
      <c r="T439" s="12">
        <f>Price!G439</f>
        <v>9779494</v>
      </c>
      <c r="U439" s="257">
        <f>Price!H439</f>
        <v>265217</v>
      </c>
      <c r="V439" s="13"/>
      <c r="W439" s="13"/>
      <c r="X439" s="19"/>
      <c r="Y439" s="19"/>
    </row>
    <row r="440" spans="1:25" x14ac:dyDescent="0.35">
      <c r="A440" s="76"/>
      <c r="B440" s="162"/>
      <c r="C440" s="162"/>
      <c r="D440" s="540"/>
      <c r="E440" s="82"/>
      <c r="F440" s="64"/>
      <c r="G440" s="64"/>
      <c r="H440" s="64"/>
      <c r="I440" s="175"/>
      <c r="J440" s="175"/>
      <c r="K440" s="62"/>
      <c r="L440" s="60" t="str">
        <f>Price!A440</f>
        <v>Držák příčného relingu pro pure, Terra černá</v>
      </c>
      <c r="M440" s="15" t="str">
        <f>Price!B440</f>
        <v>ZC7U10E0</v>
      </c>
      <c r="N440" s="15" t="str">
        <f>Price!C440</f>
        <v>TS-M</v>
      </c>
      <c r="O440" s="537" t="str">
        <f>Price!D440</f>
        <v>!</v>
      </c>
      <c r="P440" s="16"/>
      <c r="Q440" s="17">
        <f>Price!F440</f>
        <v>2.0503100000000001</v>
      </c>
      <c r="R440" s="323"/>
      <c r="S440" s="323"/>
      <c r="T440" s="12">
        <f>Price!G440</f>
        <v>6858779</v>
      </c>
      <c r="U440" s="257">
        <f>Price!H440</f>
        <v>283037</v>
      </c>
      <c r="V440" s="13"/>
      <c r="W440" s="13"/>
      <c r="X440" s="19"/>
      <c r="Y440" s="19"/>
    </row>
    <row r="441" spans="1:25" ht="15" thickBot="1" x14ac:dyDescent="0.4">
      <c r="A441" s="325" t="str">
        <f>IF($C$2=1,L441,IF($C$2=2,L442,IF($C$2=3,L443,IF($C$2=4,L443,"  chyba"))))</f>
        <v>Držák příčného relingu pro free, Orion šedá</v>
      </c>
      <c r="B441" s="331" t="str">
        <f>IF($C$2=1,M441,IF($C$2=2,M442,IF($C$2=3,M443,IF($C$2=4,M443,"  chyba"))))</f>
        <v>ZC7U11E0</v>
      </c>
      <c r="C441" s="331" t="str">
        <f>IF($C$2=1,N441,IF($C$2=2,N442,IF($C$2=3,N443,IF($C$2=4,N443,"  chyba"))))</f>
        <v>OG-M</v>
      </c>
      <c r="D441" s="331">
        <f>IF($C$2=1,O441,IF($C$2=2,O442,IF($C$2=3,O443,IF($C$2=4,O443,"  chyba"))))</f>
        <v>0</v>
      </c>
      <c r="E441" s="327">
        <f>IF($C$2=1,P441,IF($C$2=2,P442,IF($C$2=3,P443,IF($C$2=4,P443,"  chyba"))))</f>
        <v>0</v>
      </c>
      <c r="F441" s="328">
        <f>IF($C$2=1,Q441,IF($C$2=2,Q442,IF($C$2=3,Q443,IF($C$2=4,Q443,0))))*(100-$F$6)/100</f>
        <v>3.07924</v>
      </c>
      <c r="G441" s="329"/>
      <c r="H441" s="329"/>
      <c r="I441" s="332">
        <f>IF($C$2=1,T441,IF($C$2=2,T442,IF($C$2=3,T443,IF($C$2=4,T443,"  chyba"))))</f>
        <v>1032061</v>
      </c>
      <c r="J441" s="332">
        <f>IF($C$2=1,U441,IF($C$2=2,U442,IF($C$2=3,U443,IF($C$2=4,U443,"  chyba"))))</f>
        <v>279375</v>
      </c>
      <c r="K441" s="62"/>
      <c r="L441" s="60" t="str">
        <f>Price!A441</f>
        <v>Držák příčného relingu pro free, Orion šedá</v>
      </c>
      <c r="M441" s="15" t="str">
        <f>Price!B441</f>
        <v>ZC7U11E0</v>
      </c>
      <c r="N441" s="15" t="str">
        <f>Price!C441</f>
        <v>OG-M</v>
      </c>
      <c r="O441" s="537">
        <f>Price!D441</f>
        <v>0</v>
      </c>
      <c r="P441" s="16"/>
      <c r="Q441" s="17">
        <f>Price!F441</f>
        <v>3.07924</v>
      </c>
      <c r="R441" s="323"/>
      <c r="S441" s="323"/>
      <c r="T441" s="12">
        <f>Price!G441</f>
        <v>1032061</v>
      </c>
      <c r="U441" s="257">
        <f>Price!H441</f>
        <v>279375</v>
      </c>
      <c r="V441" s="13"/>
      <c r="W441" s="13"/>
      <c r="X441" s="19"/>
      <c r="Y441" s="19"/>
    </row>
    <row r="442" spans="1:25" x14ac:dyDescent="0.35">
      <c r="A442" s="76"/>
      <c r="B442" s="162"/>
      <c r="C442" s="162"/>
      <c r="D442" s="540"/>
      <c r="E442" s="82"/>
      <c r="F442" s="64"/>
      <c r="G442" s="64"/>
      <c r="H442" s="64"/>
      <c r="I442" s="175"/>
      <c r="J442" s="175"/>
      <c r="K442" s="62"/>
      <c r="L442" s="60" t="str">
        <f>Price!A442</f>
        <v>Držák příčného relingu pro free, hedvábně bílá</v>
      </c>
      <c r="M442" s="15" t="str">
        <f>Price!B442</f>
        <v>ZC7U11E0</v>
      </c>
      <c r="N442" s="15" t="str">
        <f>Price!C442</f>
        <v>SW-M</v>
      </c>
      <c r="O442" s="537">
        <f>Price!D442</f>
        <v>0</v>
      </c>
      <c r="P442" s="16"/>
      <c r="Q442" s="17">
        <f>Price!F442</f>
        <v>3.07924</v>
      </c>
      <c r="R442" s="323"/>
      <c r="S442" s="323"/>
      <c r="T442" s="12">
        <f>Price!G442</f>
        <v>3748865</v>
      </c>
      <c r="U442" s="257">
        <f>Price!H442</f>
        <v>279376</v>
      </c>
      <c r="V442" s="13"/>
      <c r="W442" s="13"/>
      <c r="X442" s="19"/>
      <c r="Y442" s="19"/>
    </row>
    <row r="443" spans="1:25" x14ac:dyDescent="0.35">
      <c r="A443" s="76"/>
      <c r="B443" s="162"/>
      <c r="C443" s="162"/>
      <c r="D443" s="540"/>
      <c r="E443" s="82"/>
      <c r="F443" s="64"/>
      <c r="G443" s="64"/>
      <c r="H443" s="64"/>
      <c r="I443" s="175"/>
      <c r="J443" s="175"/>
      <c r="K443" s="62"/>
      <c r="L443" s="60" t="str">
        <f>Price!A443</f>
        <v>Držák příčného relingu pro free, Terra černá</v>
      </c>
      <c r="M443" s="15" t="str">
        <f>Price!B443</f>
        <v>ZC7U11E0</v>
      </c>
      <c r="N443" s="15" t="str">
        <f>Price!C443</f>
        <v>TS-M</v>
      </c>
      <c r="O443" s="537" t="str">
        <f>Price!D443</f>
        <v>!</v>
      </c>
      <c r="P443" s="16"/>
      <c r="Q443" s="17">
        <f>Price!F443</f>
        <v>3.07924</v>
      </c>
      <c r="R443" s="323"/>
      <c r="S443" s="323"/>
      <c r="T443" s="12">
        <f>Price!G443</f>
        <v>2006173</v>
      </c>
      <c r="U443" s="257">
        <f>Price!H443</f>
        <v>283038</v>
      </c>
      <c r="V443" s="13"/>
      <c r="W443" s="13"/>
      <c r="X443" s="19"/>
      <c r="Y443" s="19"/>
    </row>
    <row r="444" spans="1:25" ht="15" thickBot="1" x14ac:dyDescent="0.4">
      <c r="A444" s="325" t="str">
        <f>IF($C$2=1,L444,IF($C$2=2,L445,IF($C$2=3,L446,IF($C$2=4,L446,"  chyba"))))</f>
        <v>Podélné dělení pro reling, Orion šedá</v>
      </c>
      <c r="B444" s="331" t="str">
        <f>IF($C$2=1,M444,IF($C$2=2,M445,IF($C$2=3,M446,IF($C$2=4,M446,"  chyba"))))</f>
        <v>ZC7U10F0</v>
      </c>
      <c r="C444" s="331" t="str">
        <f>IF($C$2=1,N444,IF($C$2=2,N445,IF($C$2=3,N446,IF($C$2=4,N446,"  chyba"))))</f>
        <v>OG-M</v>
      </c>
      <c r="D444" s="331">
        <f>IF($C$2=1,O444,IF($C$2=2,O445,IF($C$2=3,O446,IF($C$2=4,O446,"  chyba"))))</f>
        <v>0</v>
      </c>
      <c r="E444" s="327">
        <f>IF($C$2=1,P444,IF($C$2=2,P445,IF($C$2=3,P446,IF($C$2=4,P446,"  chyba"))))</f>
        <v>0</v>
      </c>
      <c r="F444" s="328">
        <f>IF($C$2=1,Q444,IF($C$2=2,Q445,IF($C$2=3,Q446,IF($C$2=4,Q446,0))))*(100-$F$6)/100</f>
        <v>0.9112300000000001</v>
      </c>
      <c r="G444" s="329"/>
      <c r="H444" s="329"/>
      <c r="I444" s="332">
        <f>IF($C$2=1,T444,IF($C$2=2,T445,IF($C$2=3,T446,IF($C$2=4,T446,"  chyba"))))</f>
        <v>6297748</v>
      </c>
      <c r="J444" s="332">
        <f>IF($C$2=1,U444,IF($C$2=2,U445,IF($C$2=3,U446,IF($C$2=4,U446,"  chyba"))))</f>
        <v>267756</v>
      </c>
      <c r="K444" s="62"/>
      <c r="L444" s="60" t="str">
        <f>Price!A444</f>
        <v>Podélné dělení pro reling, Orion šedá</v>
      </c>
      <c r="M444" s="15" t="str">
        <f>Price!B444</f>
        <v>ZC7U10F0</v>
      </c>
      <c r="N444" s="15" t="str">
        <f>Price!C444</f>
        <v>OG-M</v>
      </c>
      <c r="O444" s="537">
        <f>Price!D444</f>
        <v>0</v>
      </c>
      <c r="P444" s="16"/>
      <c r="Q444" s="17">
        <f>Price!F444</f>
        <v>0.91122999999999998</v>
      </c>
      <c r="R444" s="323"/>
      <c r="S444" s="323"/>
      <c r="T444" s="12">
        <f>Price!G444</f>
        <v>6297748</v>
      </c>
      <c r="U444" s="257">
        <f>Price!H444</f>
        <v>267756</v>
      </c>
      <c r="V444" s="13"/>
      <c r="W444" s="13"/>
      <c r="X444" s="19"/>
      <c r="Y444" s="19"/>
    </row>
    <row r="445" spans="1:25" x14ac:dyDescent="0.35">
      <c r="A445" s="76"/>
      <c r="B445" s="162"/>
      <c r="C445" s="162"/>
      <c r="D445" s="540"/>
      <c r="E445" s="82"/>
      <c r="F445" s="64"/>
      <c r="G445" s="64"/>
      <c r="H445" s="64"/>
      <c r="I445" s="175"/>
      <c r="J445" s="175"/>
      <c r="K445" s="62"/>
      <c r="L445" s="60" t="str">
        <f>Price!A445</f>
        <v>Podélné dělení pro reling, hedvábně bílá</v>
      </c>
      <c r="M445" s="15" t="str">
        <f>Price!B445</f>
        <v>ZC7U10F0</v>
      </c>
      <c r="N445" s="15" t="str">
        <f>Price!C445</f>
        <v>SW-M</v>
      </c>
      <c r="O445" s="537">
        <f>Price!D445</f>
        <v>0</v>
      </c>
      <c r="P445" s="16"/>
      <c r="Q445" s="17">
        <f>Price!F445</f>
        <v>0.91122999999999998</v>
      </c>
      <c r="R445" s="323"/>
      <c r="S445" s="323"/>
      <c r="T445" s="12">
        <f>Price!G445</f>
        <v>4189322</v>
      </c>
      <c r="U445" s="257">
        <f>Price!H445</f>
        <v>275351</v>
      </c>
      <c r="V445" s="13"/>
      <c r="W445" s="13"/>
      <c r="X445" s="19"/>
      <c r="Y445" s="19"/>
    </row>
    <row r="446" spans="1:25" x14ac:dyDescent="0.35">
      <c r="A446" s="76"/>
      <c r="B446" s="162"/>
      <c r="C446" s="162"/>
      <c r="D446" s="540"/>
      <c r="E446" s="82"/>
      <c r="F446" s="64"/>
      <c r="G446" s="64"/>
      <c r="H446" s="64"/>
      <c r="I446" s="175"/>
      <c r="J446" s="175"/>
      <c r="K446" s="62"/>
      <c r="L446" s="60" t="str">
        <f>Price!A446</f>
        <v>Podélné dělení pro reling, Terra černá</v>
      </c>
      <c r="M446" s="15" t="str">
        <f>Price!B446</f>
        <v>ZC7U10F0</v>
      </c>
      <c r="N446" s="15" t="str">
        <f>Price!C446</f>
        <v>TS-M</v>
      </c>
      <c r="O446" s="537" t="str">
        <f>Price!D446</f>
        <v>!</v>
      </c>
      <c r="P446" s="16"/>
      <c r="Q446" s="17">
        <f>Price!F446</f>
        <v>0.91122999999999998</v>
      </c>
      <c r="R446" s="323"/>
      <c r="S446" s="323"/>
      <c r="T446" s="12">
        <f>Price!G446</f>
        <v>4873606</v>
      </c>
      <c r="U446" s="257">
        <f>Price!H446</f>
        <v>283039</v>
      </c>
      <c r="V446" s="13"/>
      <c r="W446" s="13"/>
      <c r="X446" s="19"/>
      <c r="Y446" s="19"/>
    </row>
    <row r="447" spans="1:25" x14ac:dyDescent="0.35">
      <c r="A447" s="76"/>
      <c r="B447" s="162"/>
      <c r="C447" s="162"/>
      <c r="D447" s="540"/>
      <c r="E447" s="82"/>
      <c r="F447" s="64"/>
      <c r="G447" s="64"/>
      <c r="H447" s="64"/>
      <c r="I447" s="175"/>
      <c r="J447" s="175"/>
      <c r="K447" s="62"/>
      <c r="L447" s="60">
        <f>Price!A447</f>
        <v>0</v>
      </c>
      <c r="M447" s="15">
        <f>Price!B447</f>
        <v>0</v>
      </c>
      <c r="N447" s="15">
        <f>Price!C447</f>
        <v>0</v>
      </c>
      <c r="O447" s="537">
        <f>Price!D447</f>
        <v>0</v>
      </c>
      <c r="P447" s="16"/>
      <c r="Q447" s="17">
        <f>Price!F447</f>
        <v>0</v>
      </c>
      <c r="R447" s="323"/>
      <c r="S447" s="323"/>
      <c r="T447" s="12">
        <f>Price!G447</f>
        <v>0</v>
      </c>
      <c r="U447" s="257">
        <f>Price!H447</f>
        <v>0</v>
      </c>
      <c r="V447" s="13"/>
      <c r="W447" s="13"/>
      <c r="X447" s="19"/>
      <c r="Y447" s="19"/>
    </row>
    <row r="448" spans="1:25" x14ac:dyDescent="0.35">
      <c r="A448" s="76"/>
      <c r="B448" s="162"/>
      <c r="C448" s="162"/>
      <c r="D448" s="540"/>
      <c r="E448" s="77"/>
      <c r="F448" s="64"/>
      <c r="G448" s="64"/>
      <c r="H448" s="64"/>
      <c r="I448" s="175"/>
      <c r="J448" s="175"/>
      <c r="K448" s="62"/>
      <c r="L448" s="60">
        <f>Price!A448</f>
        <v>0</v>
      </c>
      <c r="M448" s="15">
        <f>Price!B448</f>
        <v>0</v>
      </c>
      <c r="N448" s="15">
        <f>Price!C448</f>
        <v>0</v>
      </c>
      <c r="O448" s="537">
        <f>Price!D448</f>
        <v>0</v>
      </c>
      <c r="P448" s="16"/>
      <c r="Q448" s="17">
        <f>Price!F448</f>
        <v>0</v>
      </c>
      <c r="R448" s="323"/>
      <c r="S448" s="323"/>
      <c r="T448" s="12">
        <f>Price!G448</f>
        <v>0</v>
      </c>
      <c r="U448" s="257">
        <f>Price!H448</f>
        <v>0</v>
      </c>
      <c r="V448" s="13"/>
      <c r="W448" s="13"/>
      <c r="X448" s="19"/>
      <c r="Y448" s="19"/>
    </row>
    <row r="449" spans="1:25" x14ac:dyDescent="0.35">
      <c r="A449" s="76"/>
      <c r="B449" s="162"/>
      <c r="C449" s="162"/>
      <c r="D449" s="540"/>
      <c r="E449" s="82"/>
      <c r="F449" s="64"/>
      <c r="G449" s="64"/>
      <c r="H449" s="64"/>
      <c r="I449" s="175"/>
      <c r="J449" s="175"/>
      <c r="K449" s="62"/>
      <c r="L449" s="60" t="str">
        <f>Price!A449</f>
        <v xml:space="preserve">   AMBIA-LINE pro zásuvky, dřevěný design</v>
      </c>
      <c r="M449" s="15">
        <f>Price!B449</f>
        <v>0</v>
      </c>
      <c r="N449" s="15">
        <f>Price!C449</f>
        <v>0</v>
      </c>
      <c r="O449" s="537">
        <f>Price!D449</f>
        <v>0</v>
      </c>
      <c r="P449" s="16"/>
      <c r="Q449" s="17">
        <f>Price!F449</f>
        <v>0</v>
      </c>
      <c r="R449" s="323"/>
      <c r="S449" s="323"/>
      <c r="T449" s="12">
        <f>Price!G449</f>
        <v>0</v>
      </c>
      <c r="U449" s="257">
        <f>Price!H449</f>
        <v>0</v>
      </c>
      <c r="V449" s="13"/>
      <c r="W449" s="13"/>
      <c r="X449" s="19"/>
      <c r="Y449" s="19"/>
    </row>
    <row r="450" spans="1:25" ht="15" thickBot="1" x14ac:dyDescent="0.4">
      <c r="A450" s="325" t="str">
        <f>IF($C$2=1,L450,IF($C$2=2,L451,IF($C$2=3,L452,IF($C$2=4,L452,"  chyba"))))</f>
        <v>Příborník, 450mm, Nebraska dub/OG-M</v>
      </c>
      <c r="B450" s="331" t="str">
        <f>IF($C$2=1,M450,IF($C$2=2,M451,IF($C$2=3,M452,IF($C$2=4,M452,"  chyba"))))</f>
        <v>ZC7S450BH3</v>
      </c>
      <c r="C450" s="331" t="str">
        <f>IF($C$2=1,N450,IF($C$2=2,N451,IF($C$2=3,N452,IF($C$2=4,N452,"  chyba"))))</f>
        <v>E02G</v>
      </c>
      <c r="D450" s="331">
        <f>IF($C$2=1,O450,IF($C$2=2,O451,IF($C$2=3,O452,IF($C$2=4,O452,"  chyba"))))</f>
        <v>0</v>
      </c>
      <c r="E450" s="327">
        <f>IF($C$2=1,P450,IF($C$2=2,P451,IF($C$2=3,P452,IF($C$2=4,P452,"  chyba"))))</f>
        <v>0</v>
      </c>
      <c r="F450" s="328">
        <f>IF($C$2=1,Q450,IF($C$2=2,Q451,IF($C$2=3,Q452,IF($C$2=4,Q452,0))))*(100-$F$6)/100</f>
        <v>51.395919999999997</v>
      </c>
      <c r="G450" s="329"/>
      <c r="H450" s="329"/>
      <c r="I450" s="332">
        <f>IF($C$2=1,T450,IF($C$2=2,T451,IF($C$2=3,T452,IF($C$2=4,T452,"  chyba"))))</f>
        <v>7178662</v>
      </c>
      <c r="J450" s="332">
        <f>IF($C$2=1,U450,IF($C$2=2,U451,IF($C$2=3,U452,IF($C$2=4,U452,"  chyba"))))</f>
        <v>227696</v>
      </c>
      <c r="K450" s="62"/>
      <c r="L450" s="60" t="str">
        <f>Price!A450</f>
        <v>Příborník, 450mm, Nebraska dub/OG-M</v>
      </c>
      <c r="M450" s="15" t="str">
        <f>Price!B450</f>
        <v>ZC7S450BH3</v>
      </c>
      <c r="N450" s="15" t="str">
        <f>Price!C450</f>
        <v>E02G</v>
      </c>
      <c r="O450" s="537">
        <f>Price!D450</f>
        <v>0</v>
      </c>
      <c r="P450" s="16"/>
      <c r="Q450" s="17">
        <f>Price!F450</f>
        <v>51.395919999999997</v>
      </c>
      <c r="R450" s="323"/>
      <c r="S450" s="323"/>
      <c r="T450" s="12">
        <f>Price!G450</f>
        <v>7178662</v>
      </c>
      <c r="U450" s="257">
        <f>Price!H450</f>
        <v>227696</v>
      </c>
      <c r="V450" s="13"/>
      <c r="W450" s="13"/>
      <c r="X450" s="19"/>
      <c r="Y450" s="19"/>
    </row>
    <row r="451" spans="1:25" x14ac:dyDescent="0.35">
      <c r="A451" s="76"/>
      <c r="B451" s="162"/>
      <c r="C451" s="162"/>
      <c r="D451" s="540"/>
      <c r="E451" s="82"/>
      <c r="F451" s="64"/>
      <c r="G451" s="64"/>
      <c r="H451" s="64"/>
      <c r="I451" s="175"/>
      <c r="J451" s="175"/>
      <c r="K451" s="62"/>
      <c r="L451" s="60" t="str">
        <f>Price!A451</f>
        <v>Příborník, 450mm, Bardolino dub/SW-M</v>
      </c>
      <c r="M451" s="15" t="str">
        <f>Price!B451</f>
        <v>ZC7S450BH3</v>
      </c>
      <c r="N451" s="15" t="str">
        <f>Price!C451</f>
        <v>E01S</v>
      </c>
      <c r="O451" s="537">
        <f>Price!D451</f>
        <v>0</v>
      </c>
      <c r="P451" s="16"/>
      <c r="Q451" s="17">
        <f>Price!F451</f>
        <v>51.395919999999997</v>
      </c>
      <c r="R451" s="323"/>
      <c r="S451" s="323"/>
      <c r="T451" s="12">
        <f>Price!G451</f>
        <v>5667052</v>
      </c>
      <c r="U451" s="257">
        <f>Price!H451</f>
        <v>227698</v>
      </c>
      <c r="V451" s="13"/>
      <c r="W451" s="13"/>
      <c r="X451" s="19"/>
      <c r="Y451" s="19"/>
    </row>
    <row r="452" spans="1:25" x14ac:dyDescent="0.35">
      <c r="A452" s="76"/>
      <c r="B452" s="162"/>
      <c r="C452" s="162"/>
      <c r="D452" s="540"/>
      <c r="E452" s="77"/>
      <c r="F452" s="64"/>
      <c r="G452" s="64"/>
      <c r="H452" s="64"/>
      <c r="I452" s="175"/>
      <c r="J452" s="175"/>
      <c r="K452" s="62"/>
      <c r="L452" s="60" t="str">
        <f>Price!A452</f>
        <v>Příborník, 450mm, Tennessee ořech/TS-M</v>
      </c>
      <c r="M452" s="15" t="str">
        <f>Price!B452</f>
        <v>ZC7S450BH3</v>
      </c>
      <c r="N452" s="15" t="str">
        <f>Price!C452</f>
        <v>N01T</v>
      </c>
      <c r="O452" s="537">
        <f>Price!D452</f>
        <v>0</v>
      </c>
      <c r="P452" s="16"/>
      <c r="Q452" s="17">
        <f>Price!F452</f>
        <v>51.395919999999997</v>
      </c>
      <c r="R452" s="323"/>
      <c r="S452" s="323"/>
      <c r="T452" s="12">
        <f>Price!G452</f>
        <v>9842710</v>
      </c>
      <c r="U452" s="257">
        <f>Price!H452</f>
        <v>227697</v>
      </c>
      <c r="V452" s="13"/>
      <c r="W452" s="13"/>
      <c r="X452" s="19"/>
      <c r="Y452" s="19"/>
    </row>
    <row r="453" spans="1:25" ht="15" thickBot="1" x14ac:dyDescent="0.4">
      <c r="A453" s="325" t="str">
        <f>IF($C$2=1,L453,IF($C$2=2,L454,IF($C$2=3,L455,IF($C$2=4,L455,"  chyba"))))</f>
        <v>Příborník, 500mm, Nebraska dub/OG-M</v>
      </c>
      <c r="B453" s="331" t="str">
        <f>IF($C$2=1,M453,IF($C$2=2,M454,IF($C$2=3,M455,IF($C$2=4,M455,"  chyba"))))</f>
        <v>ZC7S500BH3</v>
      </c>
      <c r="C453" s="331" t="str">
        <f>IF($C$2=1,N453,IF($C$2=2,N454,IF($C$2=3,N455,IF($C$2=4,N455,"  chyba"))))</f>
        <v>E02G</v>
      </c>
      <c r="D453" s="331">
        <f>IF($C$2=1,O453,IF($C$2=2,O454,IF($C$2=3,O455,IF($C$2=4,O455,"  chyba"))))</f>
        <v>0</v>
      </c>
      <c r="E453" s="327">
        <f>IF($C$2=1,P453,IF($C$2=2,P454,IF($C$2=3,P455,IF($C$2=4,P455,"  chyba"))))</f>
        <v>0</v>
      </c>
      <c r="F453" s="328">
        <f>IF($C$2=1,Q453,IF($C$2=2,Q454,IF($C$2=3,Q455,IF($C$2=4,Q455,0))))*(100-$F$6)/100</f>
        <v>52.398319999999991</v>
      </c>
      <c r="G453" s="329"/>
      <c r="H453" s="329"/>
      <c r="I453" s="332">
        <f>IF($C$2=1,T453,IF($C$2=2,T454,IF($C$2=3,T455,IF($C$2=4,T455,"  chyba"))))</f>
        <v>1520200</v>
      </c>
      <c r="J453" s="332">
        <f>IF($C$2=1,U453,IF($C$2=2,U454,IF($C$2=3,U455,IF($C$2=4,U455,"  chyba"))))</f>
        <v>227699</v>
      </c>
      <c r="K453" s="62"/>
      <c r="L453" s="60" t="str">
        <f>Price!A453</f>
        <v>Příborník, 500mm, Nebraska dub/OG-M</v>
      </c>
      <c r="M453" s="15" t="str">
        <f>Price!B453</f>
        <v>ZC7S500BH3</v>
      </c>
      <c r="N453" s="15" t="str">
        <f>Price!C453</f>
        <v>E02G</v>
      </c>
      <c r="O453" s="537">
        <f>Price!D453</f>
        <v>0</v>
      </c>
      <c r="P453" s="16"/>
      <c r="Q453" s="17">
        <f>Price!F453</f>
        <v>52.398319999999998</v>
      </c>
      <c r="R453" s="323"/>
      <c r="S453" s="323"/>
      <c r="T453" s="12">
        <f>Price!G453</f>
        <v>1520200</v>
      </c>
      <c r="U453" s="257">
        <f>Price!H453</f>
        <v>227699</v>
      </c>
      <c r="V453" s="13"/>
      <c r="W453" s="13"/>
      <c r="X453" s="19"/>
      <c r="Y453" s="19"/>
    </row>
    <row r="454" spans="1:25" x14ac:dyDescent="0.35">
      <c r="A454" s="76"/>
      <c r="B454" s="162"/>
      <c r="C454" s="162"/>
      <c r="D454" s="540"/>
      <c r="E454" s="77"/>
      <c r="F454" s="64"/>
      <c r="G454" s="64"/>
      <c r="H454" s="64"/>
      <c r="I454" s="175"/>
      <c r="J454" s="175"/>
      <c r="K454" s="62"/>
      <c r="L454" s="60" t="str">
        <f>Price!A454</f>
        <v>Příborník, 500mm, Bardolino dub/SW-M</v>
      </c>
      <c r="M454" s="15" t="str">
        <f>Price!B454</f>
        <v>ZC7S500BH3</v>
      </c>
      <c r="N454" s="15" t="str">
        <f>Price!C454</f>
        <v>E01S</v>
      </c>
      <c r="O454" s="537">
        <f>Price!D454</f>
        <v>0</v>
      </c>
      <c r="P454" s="16"/>
      <c r="Q454" s="17">
        <f>Price!F454</f>
        <v>52.398319999999998</v>
      </c>
      <c r="R454" s="323"/>
      <c r="S454" s="323"/>
      <c r="T454" s="12">
        <f>Price!G454</f>
        <v>6608218</v>
      </c>
      <c r="U454" s="257">
        <f>Price!H454</f>
        <v>227701</v>
      </c>
      <c r="V454" s="13"/>
      <c r="W454" s="13"/>
      <c r="X454" s="19"/>
      <c r="Y454" s="19"/>
    </row>
    <row r="455" spans="1:25" x14ac:dyDescent="0.35">
      <c r="A455" s="76"/>
      <c r="B455" s="162"/>
      <c r="C455" s="162"/>
      <c r="D455" s="540"/>
      <c r="E455" s="77"/>
      <c r="F455" s="64"/>
      <c r="G455" s="64"/>
      <c r="H455" s="64"/>
      <c r="I455" s="175"/>
      <c r="J455" s="175"/>
      <c r="K455" s="62"/>
      <c r="L455" s="60" t="str">
        <f>Price!A455</f>
        <v>Příborník, 500mm, Tennessee ořech/TS-M</v>
      </c>
      <c r="M455" s="15" t="str">
        <f>Price!B455</f>
        <v>ZC7S500BH3</v>
      </c>
      <c r="N455" s="15" t="str">
        <f>Price!C455</f>
        <v>N01T</v>
      </c>
      <c r="O455" s="537">
        <f>Price!D455</f>
        <v>0</v>
      </c>
      <c r="P455" s="16"/>
      <c r="Q455" s="17">
        <f>Price!F455</f>
        <v>52.398319999999998</v>
      </c>
      <c r="R455" s="323"/>
      <c r="S455" s="323"/>
      <c r="T455" s="12">
        <f>Price!G455</f>
        <v>2709332</v>
      </c>
      <c r="U455" s="257">
        <f>Price!H455</f>
        <v>227700</v>
      </c>
      <c r="V455" s="13"/>
      <c r="W455" s="13"/>
      <c r="X455" s="19"/>
      <c r="Y455" s="19"/>
    </row>
    <row r="456" spans="1:25" ht="15" thickBot="1" x14ac:dyDescent="0.4">
      <c r="A456" s="325" t="str">
        <f>IF($C$2=1,L456,IF($C$2=2,L457,IF($C$2=3,L458,IF($C$2=4,L458,"  chyba"))))</f>
        <v>Příborník, 550mm, Nebraska dub/OG-M</v>
      </c>
      <c r="B456" s="331" t="str">
        <f>IF($C$2=1,M456,IF($C$2=2,M457,IF($C$2=3,M458,IF($C$2=4,M458,"  chyba"))))</f>
        <v>ZC7S550BH3</v>
      </c>
      <c r="C456" s="331" t="str">
        <f>IF($C$2=1,N456,IF($C$2=2,N457,IF($C$2=3,N458,IF($C$2=4,N458,"  chyba"))))</f>
        <v>E02G</v>
      </c>
      <c r="D456" s="331">
        <f>IF($C$2=1,O456,IF($C$2=2,O457,IF($C$2=3,O458,IF($C$2=4,O458,"  chyba"))))</f>
        <v>0</v>
      </c>
      <c r="E456" s="327">
        <f>IF($C$2=1,P456,IF($C$2=2,P457,IF($C$2=3,P458,IF($C$2=4,P458,"  chyba"))))</f>
        <v>0</v>
      </c>
      <c r="F456" s="328">
        <f>IF($C$2=1,Q456,IF($C$2=2,Q457,IF($C$2=3,Q458,IF($C$2=4,Q458,0))))*(100-$F$6)/100</f>
        <v>53.833599999999997</v>
      </c>
      <c r="G456" s="329"/>
      <c r="H456" s="329"/>
      <c r="I456" s="332">
        <f>IF($C$2=1,T456,IF($C$2=2,T457,IF($C$2=3,T458,IF($C$2=4,T458,"  chyba"))))</f>
        <v>4575860</v>
      </c>
      <c r="J456" s="332">
        <f>IF($C$2=1,U456,IF($C$2=2,U457,IF($C$2=3,U458,IF($C$2=4,U458,"  chyba"))))</f>
        <v>227703</v>
      </c>
      <c r="K456" s="62"/>
      <c r="L456" s="60" t="str">
        <f>Price!A456</f>
        <v>Příborník, 550mm, Nebraska dub/OG-M</v>
      </c>
      <c r="M456" s="15" t="str">
        <f>Price!B456</f>
        <v>ZC7S550BH3</v>
      </c>
      <c r="N456" s="15" t="str">
        <f>Price!C456</f>
        <v>E02G</v>
      </c>
      <c r="O456" s="537">
        <f>Price!D456</f>
        <v>0</v>
      </c>
      <c r="P456" s="16"/>
      <c r="Q456" s="17">
        <f>Price!F456</f>
        <v>53.833599999999997</v>
      </c>
      <c r="R456" s="323"/>
      <c r="S456" s="323"/>
      <c r="T456" s="12">
        <f>Price!G456</f>
        <v>4575860</v>
      </c>
      <c r="U456" s="257">
        <f>Price!H456</f>
        <v>227703</v>
      </c>
      <c r="V456" s="13"/>
      <c r="W456" s="13"/>
      <c r="X456" s="19"/>
      <c r="Y456" s="19"/>
    </row>
    <row r="457" spans="1:25" x14ac:dyDescent="0.35">
      <c r="A457" s="76"/>
      <c r="B457" s="162"/>
      <c r="C457" s="162"/>
      <c r="D457" s="540"/>
      <c r="E457" s="77"/>
      <c r="F457" s="64"/>
      <c r="G457" s="64"/>
      <c r="H457" s="64"/>
      <c r="I457" s="175"/>
      <c r="J457" s="175"/>
      <c r="K457" s="62"/>
      <c r="L457" s="60" t="str">
        <f>Price!A457</f>
        <v>Příborník, 550mm, Bardolino dub/SW-M</v>
      </c>
      <c r="M457" s="15" t="str">
        <f>Price!B457</f>
        <v>ZC7S550BH3</v>
      </c>
      <c r="N457" s="15" t="str">
        <f>Price!C457</f>
        <v>E01S</v>
      </c>
      <c r="O457" s="537">
        <f>Price!D457</f>
        <v>0</v>
      </c>
      <c r="P457" s="16"/>
      <c r="Q457" s="17">
        <f>Price!F457</f>
        <v>53.833599999999997</v>
      </c>
      <c r="R457" s="323"/>
      <c r="S457" s="323"/>
      <c r="T457" s="12">
        <f>Price!G457</f>
        <v>8043261</v>
      </c>
      <c r="U457" s="257">
        <f>Price!H457</f>
        <v>227705</v>
      </c>
      <c r="V457" s="13"/>
      <c r="W457" s="13"/>
      <c r="X457" s="19"/>
      <c r="Y457" s="19"/>
    </row>
    <row r="458" spans="1:25" x14ac:dyDescent="0.35">
      <c r="A458" s="76"/>
      <c r="B458" s="162"/>
      <c r="C458" s="162"/>
      <c r="D458" s="540"/>
      <c r="E458" s="82"/>
      <c r="F458" s="64"/>
      <c r="G458" s="64"/>
      <c r="H458" s="64"/>
      <c r="I458" s="64"/>
      <c r="J458" s="64"/>
      <c r="K458" s="62"/>
      <c r="L458" s="60" t="str">
        <f>Price!A458</f>
        <v>Příborník, 550mm, Tennessee ořech/TS-M</v>
      </c>
      <c r="M458" s="15" t="str">
        <f>Price!B458</f>
        <v>ZC7S550BH3</v>
      </c>
      <c r="N458" s="15" t="str">
        <f>Price!C458</f>
        <v>N01T</v>
      </c>
      <c r="O458" s="537">
        <f>Price!D458</f>
        <v>0</v>
      </c>
      <c r="P458" s="16"/>
      <c r="Q458" s="17">
        <f>Price!F458</f>
        <v>53.833599999999997</v>
      </c>
      <c r="R458" s="323"/>
      <c r="S458" s="323"/>
      <c r="T458" s="12">
        <f>Price!G458</f>
        <v>1860296</v>
      </c>
      <c r="U458" s="257">
        <f>Price!H458</f>
        <v>227704</v>
      </c>
      <c r="V458" s="13"/>
      <c r="W458" s="13"/>
      <c r="X458" s="19"/>
      <c r="Y458" s="19"/>
    </row>
    <row r="459" spans="1:25" ht="15" thickBot="1" x14ac:dyDescent="0.4">
      <c r="A459" s="325" t="str">
        <f>IF($C$2=1,L459,IF($C$2=2,L460,IF($C$2=3,L461,IF($C$2=4,L461,"  chyba"))))</f>
        <v>Příborník, 600mm, Nebraska dub/OG-M</v>
      </c>
      <c r="B459" s="331" t="str">
        <f>IF($C$2=1,M459,IF($C$2=2,M460,IF($C$2=3,M461,IF($C$2=4,M461,"  chyba"))))</f>
        <v>ZC7S600BH3</v>
      </c>
      <c r="C459" s="331" t="str">
        <f>IF($C$2=1,N459,IF($C$2=2,N460,IF($C$2=3,N461,IF($C$2=4,N461,"  chyba"))))</f>
        <v>E02G</v>
      </c>
      <c r="D459" s="331">
        <f>IF($C$2=1,O459,IF($C$2=2,O460,IF($C$2=3,O461,IF($C$2=4,O461,"  chyba"))))</f>
        <v>0</v>
      </c>
      <c r="E459" s="327">
        <f>IF($C$2=1,P459,IF($C$2=2,P460,IF($C$2=3,P461,IF($C$2=4,P461,"  chyba"))))</f>
        <v>0</v>
      </c>
      <c r="F459" s="328">
        <f>IF($C$2=1,Q459,IF($C$2=2,Q460,IF($C$2=3,Q461,IF($C$2=4,Q461,0))))*(100-$F$6)/100</f>
        <v>58.002560000000003</v>
      </c>
      <c r="G459" s="329"/>
      <c r="H459" s="329"/>
      <c r="I459" s="332">
        <f>IF($C$2=1,T459,IF($C$2=2,T460,IF($C$2=3,T461,IF($C$2=4,T461,"  chyba"))))</f>
        <v>1717256</v>
      </c>
      <c r="J459" s="332">
        <f>IF($C$2=1,U459,IF($C$2=2,U460,IF($C$2=3,U461,IF($C$2=4,U461,"  chyba"))))</f>
        <v>227707</v>
      </c>
      <c r="K459" s="62"/>
      <c r="L459" s="60" t="str">
        <f>Price!A459</f>
        <v>Příborník, 600mm, Nebraska dub/OG-M</v>
      </c>
      <c r="M459" s="15" t="str">
        <f>Price!B459</f>
        <v>ZC7S600BH3</v>
      </c>
      <c r="N459" s="15" t="str">
        <f>Price!C459</f>
        <v>E02G</v>
      </c>
      <c r="O459" s="537">
        <f>Price!D459</f>
        <v>0</v>
      </c>
      <c r="P459" s="16"/>
      <c r="Q459" s="17">
        <f>Price!F459</f>
        <v>58.002560000000003</v>
      </c>
      <c r="R459" s="323"/>
      <c r="S459" s="323"/>
      <c r="T459" s="12">
        <f>Price!G459</f>
        <v>1717256</v>
      </c>
      <c r="U459" s="257">
        <f>Price!H459</f>
        <v>227707</v>
      </c>
      <c r="V459" s="13"/>
      <c r="W459" s="13"/>
      <c r="X459" s="19"/>
      <c r="Y459" s="19"/>
    </row>
    <row r="460" spans="1:25" x14ac:dyDescent="0.35">
      <c r="A460" s="324"/>
      <c r="B460" s="162"/>
      <c r="C460" s="162"/>
      <c r="D460" s="540"/>
      <c r="E460" s="82"/>
      <c r="F460" s="83"/>
      <c r="G460" s="83"/>
      <c r="H460" s="83"/>
      <c r="I460" s="83"/>
      <c r="J460" s="83"/>
      <c r="K460" s="62"/>
      <c r="L460" s="60" t="str">
        <f>Price!A460</f>
        <v>Příborník, 600mm, Bardolino dub/SW-M</v>
      </c>
      <c r="M460" s="15" t="str">
        <f>Price!B460</f>
        <v>ZC7S600BH3</v>
      </c>
      <c r="N460" s="15" t="str">
        <f>Price!C460</f>
        <v>E01S</v>
      </c>
      <c r="O460" s="537">
        <f>Price!D460</f>
        <v>0</v>
      </c>
      <c r="P460" s="16"/>
      <c r="Q460" s="17">
        <f>Price!F460</f>
        <v>58.002560000000003</v>
      </c>
      <c r="R460" s="323"/>
      <c r="S460" s="323"/>
      <c r="T460" s="12">
        <f>Price!G460</f>
        <v>6730043</v>
      </c>
      <c r="U460" s="257">
        <f>Price!H460</f>
        <v>227709</v>
      </c>
      <c r="V460" s="13"/>
      <c r="W460" s="13"/>
      <c r="X460" s="19"/>
      <c r="Y460" s="19"/>
    </row>
    <row r="461" spans="1:25" x14ac:dyDescent="0.35">
      <c r="A461" s="76"/>
      <c r="B461" s="162"/>
      <c r="C461" s="162"/>
      <c r="D461" s="540"/>
      <c r="E461" s="77"/>
      <c r="F461" s="64"/>
      <c r="G461" s="64"/>
      <c r="H461" s="64"/>
      <c r="I461" s="175"/>
      <c r="J461" s="175"/>
      <c r="K461" s="62"/>
      <c r="L461" s="60" t="str">
        <f>Price!A461</f>
        <v>Příborník, 600mm, Tennessee ořech/TS-M</v>
      </c>
      <c r="M461" s="15" t="str">
        <f>Price!B461</f>
        <v>ZC7S600BH3</v>
      </c>
      <c r="N461" s="15" t="str">
        <f>Price!C461</f>
        <v>N01T</v>
      </c>
      <c r="O461" s="537">
        <f>Price!D461</f>
        <v>0</v>
      </c>
      <c r="P461" s="16"/>
      <c r="Q461" s="17">
        <f>Price!F461</f>
        <v>58.002560000000003</v>
      </c>
      <c r="R461" s="323"/>
      <c r="S461" s="323"/>
      <c r="T461" s="12">
        <f>Price!G461</f>
        <v>2981065</v>
      </c>
      <c r="U461" s="257">
        <f>Price!H461</f>
        <v>227708</v>
      </c>
      <c r="V461" s="13"/>
      <c r="W461" s="13"/>
      <c r="X461" s="19"/>
      <c r="Y461" s="19"/>
    </row>
    <row r="462" spans="1:25" ht="15" thickBot="1" x14ac:dyDescent="0.4">
      <c r="A462" s="325" t="str">
        <f>IF($C$2=1,L462,IF($C$2=2,L463,IF($C$2=3,L464,IF($C$2=4,L464,"  chyba"))))</f>
        <v>Příborník, 650mm, Nebraska dub/OG-M</v>
      </c>
      <c r="B462" s="331" t="str">
        <f>IF($C$2=1,M462,IF($C$2=2,M463,IF($C$2=3,M464,IF($C$2=4,M464,"  chyba"))))</f>
        <v>ZC7S650BH3</v>
      </c>
      <c r="C462" s="331" t="str">
        <f>IF($C$2=1,N462,IF($C$2=2,N463,IF($C$2=3,N464,IF($C$2=4,N464,"  chyba"))))</f>
        <v>E02G</v>
      </c>
      <c r="D462" s="331">
        <f>IF($C$2=1,O462,IF($C$2=2,O463,IF($C$2=3,O464,IF($C$2=4,O464,"  chyba"))))</f>
        <v>0</v>
      </c>
      <c r="E462" s="327">
        <f>IF($C$2=1,P462,IF($C$2=2,P463,IF($C$2=3,P464,IF($C$2=4,P464,"  chyba"))))</f>
        <v>0</v>
      </c>
      <c r="F462" s="328">
        <f>IF($C$2=1,Q462,IF($C$2=2,Q463,IF($C$2=3,Q464,IF($C$2=4,Q464,0))))*(100-$F$6)/100</f>
        <v>59.437860000000001</v>
      </c>
      <c r="G462" s="329"/>
      <c r="H462" s="329"/>
      <c r="I462" s="332">
        <f>IF($C$2=1,T462,IF($C$2=2,T463,IF($C$2=3,T464,IF($C$2=4,T464,"  chyba"))))</f>
        <v>6270630</v>
      </c>
      <c r="J462" s="332">
        <f>IF($C$2=1,U462,IF($C$2=2,U463,IF($C$2=3,U464,IF($C$2=4,U464,"  chyba"))))</f>
        <v>279417</v>
      </c>
      <c r="K462" s="62"/>
      <c r="L462" s="60" t="str">
        <f>Price!A462</f>
        <v>Příborník, 650mm, Nebraska dub/OG-M</v>
      </c>
      <c r="M462" s="15" t="str">
        <f>Price!B462</f>
        <v>ZC7S650BH3</v>
      </c>
      <c r="N462" s="15" t="str">
        <f>Price!C462</f>
        <v>E02G</v>
      </c>
      <c r="O462" s="537">
        <f>Price!D462</f>
        <v>0</v>
      </c>
      <c r="P462" s="16"/>
      <c r="Q462" s="17">
        <f>Price!F462</f>
        <v>59.437860000000001</v>
      </c>
      <c r="R462" s="323"/>
      <c r="S462" s="323"/>
      <c r="T462" s="12">
        <f>Price!G462</f>
        <v>6270630</v>
      </c>
      <c r="U462" s="257">
        <f>Price!H462</f>
        <v>279417</v>
      </c>
      <c r="V462" s="13"/>
      <c r="W462" s="13"/>
      <c r="X462" s="19"/>
      <c r="Y462" s="19"/>
    </row>
    <row r="463" spans="1:25" x14ac:dyDescent="0.35">
      <c r="A463" s="324"/>
      <c r="B463" s="162"/>
      <c r="C463" s="162"/>
      <c r="D463" s="540"/>
      <c r="E463" s="82"/>
      <c r="F463" s="83"/>
      <c r="G463" s="83"/>
      <c r="H463" s="83"/>
      <c r="I463" s="83"/>
      <c r="J463" s="83"/>
      <c r="K463" s="62"/>
      <c r="L463" s="60" t="str">
        <f>Price!A463</f>
        <v>Příborník, 650mm, Bardolino dub/SW-M</v>
      </c>
      <c r="M463" s="15" t="str">
        <f>Price!B463</f>
        <v>ZC7S650BH3</v>
      </c>
      <c r="N463" s="15" t="str">
        <f>Price!C463</f>
        <v>E01S</v>
      </c>
      <c r="O463" s="537">
        <f>Price!D463</f>
        <v>0</v>
      </c>
      <c r="P463" s="16"/>
      <c r="Q463" s="17">
        <f>Price!F463</f>
        <v>59.437860000000001</v>
      </c>
      <c r="R463" s="323"/>
      <c r="S463" s="323"/>
      <c r="T463" s="12">
        <f>Price!G463</f>
        <v>8729724</v>
      </c>
      <c r="U463" s="257">
        <f>Price!H463</f>
        <v>279418</v>
      </c>
      <c r="V463" s="13"/>
      <c r="W463" s="13"/>
      <c r="X463" s="19"/>
      <c r="Y463" s="19"/>
    </row>
    <row r="464" spans="1:25" x14ac:dyDescent="0.35">
      <c r="A464" s="76"/>
      <c r="B464" s="162"/>
      <c r="C464" s="162"/>
      <c r="D464" s="540"/>
      <c r="E464" s="77"/>
      <c r="F464" s="64"/>
      <c r="G464" s="64"/>
      <c r="H464" s="64"/>
      <c r="I464" s="175"/>
      <c r="J464" s="175"/>
      <c r="K464" s="62"/>
      <c r="L464" s="60" t="str">
        <f>Price!A464</f>
        <v>Příborník, 650mm, Tennessee ořech/TS-M</v>
      </c>
      <c r="M464" s="15" t="str">
        <f>Price!B464</f>
        <v>ZC7S650BH3</v>
      </c>
      <c r="N464" s="15" t="str">
        <f>Price!C464</f>
        <v>N01T</v>
      </c>
      <c r="O464" s="537">
        <f>Price!D464</f>
        <v>0</v>
      </c>
      <c r="P464" s="16"/>
      <c r="Q464" s="17">
        <f>Price!F464</f>
        <v>59.437860000000001</v>
      </c>
      <c r="R464" s="323"/>
      <c r="S464" s="323"/>
      <c r="T464" s="12">
        <f>Price!G464</f>
        <v>3067342</v>
      </c>
      <c r="U464" s="257">
        <f>Price!H464</f>
        <v>279419</v>
      </c>
      <c r="V464" s="13"/>
      <c r="W464" s="13"/>
      <c r="X464" s="19"/>
      <c r="Y464" s="19"/>
    </row>
    <row r="465" spans="1:25" x14ac:dyDescent="0.35">
      <c r="A465" s="76"/>
      <c r="B465" s="162"/>
      <c r="C465" s="162"/>
      <c r="D465" s="540"/>
      <c r="E465" s="82"/>
      <c r="F465" s="83"/>
      <c r="G465" s="83"/>
      <c r="H465" s="83"/>
      <c r="I465" s="175"/>
      <c r="J465" s="175"/>
      <c r="K465" s="71"/>
      <c r="L465" s="60">
        <f>Price!A465</f>
        <v>0</v>
      </c>
      <c r="M465" s="15">
        <f>Price!B465</f>
        <v>0</v>
      </c>
      <c r="N465" s="15">
        <f>Price!C465</f>
        <v>0</v>
      </c>
      <c r="O465" s="537">
        <f>Price!D465</f>
        <v>0</v>
      </c>
      <c r="P465" s="16"/>
      <c r="Q465" s="17">
        <f>Price!F465</f>
        <v>0</v>
      </c>
      <c r="R465" s="323"/>
      <c r="S465" s="323"/>
      <c r="T465" s="12">
        <f>Price!G465</f>
        <v>0</v>
      </c>
      <c r="U465" s="257">
        <f>Price!H465</f>
        <v>0</v>
      </c>
      <c r="V465" s="13"/>
      <c r="W465" s="13"/>
      <c r="X465" s="19"/>
      <c r="Y465" s="19"/>
    </row>
    <row r="466" spans="1:25" ht="15" thickBot="1" x14ac:dyDescent="0.4">
      <c r="A466" s="325" t="str">
        <f>IF($C$2=1,L466,IF($C$2=2,L467,IF($C$2=3,L468,IF($C$2=4,L468,"  chyba"))))</f>
        <v>Zás.rámečky úzké, 450mm, Nebraska dub/OG-M</v>
      </c>
      <c r="B466" s="331" t="str">
        <f>IF($C$2=1,M466,IF($C$2=2,M467,IF($C$2=3,M468,IF($C$2=4,M468,"  chyba"))))</f>
        <v>ZC7S450RH1</v>
      </c>
      <c r="C466" s="331" t="str">
        <f>IF($C$2=1,N466,IF($C$2=2,N467,IF($C$2=3,N468,IF($C$2=4,N468,"  chyba"))))</f>
        <v>E02G</v>
      </c>
      <c r="D466" s="331">
        <f>IF($C$2=1,O466,IF($C$2=2,O467,IF($C$2=3,O468,IF($C$2=4,O468,"  chyba"))))</f>
        <v>0</v>
      </c>
      <c r="E466" s="327">
        <f>IF($C$2=1,P466,IF($C$2=2,P467,IF($C$2=3,P468,IF($C$2=4,P468,"  chyba"))))</f>
        <v>0</v>
      </c>
      <c r="F466" s="328">
        <f>IF($C$2=1,Q466,IF($C$2=2,Q467,IF($C$2=3,Q468,IF($C$2=4,Q468,0))))*(100-$F$6)/100</f>
        <v>33.739910000000002</v>
      </c>
      <c r="G466" s="329"/>
      <c r="H466" s="329"/>
      <c r="I466" s="332">
        <f>IF($C$2=1,T466,IF($C$2=2,T467,IF($C$2=3,T468,IF($C$2=4,T468,"  chyba"))))</f>
        <v>3870552</v>
      </c>
      <c r="J466" s="332">
        <f>IF($C$2=1,U466,IF($C$2=2,U467,IF($C$2=3,U468,IF($C$2=4,U468,"  chyba"))))</f>
        <v>227718</v>
      </c>
      <c r="K466" s="71"/>
      <c r="L466" s="60" t="str">
        <f>Price!A466</f>
        <v>Zás.rámečky úzké, 450mm, Nebraska dub/OG-M</v>
      </c>
      <c r="M466" s="15" t="str">
        <f>Price!B466</f>
        <v>ZC7S450RH1</v>
      </c>
      <c r="N466" s="15" t="str">
        <f>Price!C466</f>
        <v>E02G</v>
      </c>
      <c r="O466" s="537">
        <f>Price!D466</f>
        <v>0</v>
      </c>
      <c r="P466" s="16"/>
      <c r="Q466" s="17">
        <f>Price!F466</f>
        <v>33.739910000000002</v>
      </c>
      <c r="R466" s="323"/>
      <c r="S466" s="323"/>
      <c r="T466" s="12">
        <f>Price!G466</f>
        <v>3870552</v>
      </c>
      <c r="U466" s="257">
        <f>Price!H466</f>
        <v>227718</v>
      </c>
      <c r="V466" s="13"/>
      <c r="W466" s="13"/>
      <c r="X466" s="19"/>
      <c r="Y466" s="19"/>
    </row>
    <row r="467" spans="1:25" x14ac:dyDescent="0.35">
      <c r="A467" s="76"/>
      <c r="B467" s="162"/>
      <c r="C467" s="162"/>
      <c r="D467" s="540"/>
      <c r="E467" s="77"/>
      <c r="F467" s="64"/>
      <c r="G467" s="64"/>
      <c r="H467" s="64"/>
      <c r="I467" s="175"/>
      <c r="J467" s="175"/>
      <c r="K467" s="71"/>
      <c r="L467" s="60" t="str">
        <f>Price!A467</f>
        <v>Zás.rámečky úzké, 450mm, Bardolino dub/SW-M</v>
      </c>
      <c r="M467" s="15" t="str">
        <f>Price!B467</f>
        <v>ZC7S450RH1</v>
      </c>
      <c r="N467" s="15" t="str">
        <f>Price!C467</f>
        <v>E01S</v>
      </c>
      <c r="O467" s="537">
        <f>Price!D467</f>
        <v>0</v>
      </c>
      <c r="P467" s="16"/>
      <c r="Q467" s="17">
        <f>Price!F467</f>
        <v>33.739910000000002</v>
      </c>
      <c r="R467" s="323"/>
      <c r="S467" s="323"/>
      <c r="T467" s="12">
        <f>Price!G467</f>
        <v>9734196</v>
      </c>
      <c r="U467" s="257">
        <f>Price!H467</f>
        <v>227720</v>
      </c>
      <c r="V467" s="13"/>
      <c r="W467" s="13"/>
      <c r="X467" s="19"/>
      <c r="Y467" s="19"/>
    </row>
    <row r="468" spans="1:25" x14ac:dyDescent="0.35">
      <c r="A468" s="76"/>
      <c r="B468" s="162"/>
      <c r="C468" s="162"/>
      <c r="D468" s="540"/>
      <c r="E468" s="82"/>
      <c r="F468" s="83"/>
      <c r="G468" s="83"/>
      <c r="H468" s="83"/>
      <c r="I468" s="175"/>
      <c r="J468" s="175"/>
      <c r="K468" s="71"/>
      <c r="L468" s="60" t="str">
        <f>Price!A468</f>
        <v>Zás.rámečky úzké, 450mm, Tennessee oř./TS-M</v>
      </c>
      <c r="M468" s="15" t="str">
        <f>Price!B468</f>
        <v>ZC7S450RH1</v>
      </c>
      <c r="N468" s="15" t="str">
        <f>Price!C468</f>
        <v>N01T</v>
      </c>
      <c r="O468" s="537">
        <f>Price!D468</f>
        <v>0</v>
      </c>
      <c r="P468" s="16"/>
      <c r="Q468" s="17">
        <f>Price!F468</f>
        <v>33.739910000000002</v>
      </c>
      <c r="R468" s="323"/>
      <c r="S468" s="323"/>
      <c r="T468" s="12">
        <f>Price!G468</f>
        <v>8819861</v>
      </c>
      <c r="U468" s="257">
        <f>Price!H468</f>
        <v>227719</v>
      </c>
      <c r="V468" s="13"/>
      <c r="W468" s="13"/>
      <c r="X468" s="19"/>
      <c r="Y468" s="19"/>
    </row>
    <row r="469" spans="1:25" ht="15" thickBot="1" x14ac:dyDescent="0.4">
      <c r="A469" s="325" t="str">
        <f>IF($C$2=1,L469,IF($C$2=2,L470,IF($C$2=3,L471,IF($C$2=4,L471,"  chyba"))))</f>
        <v>Zás.rámečky úzké, 500mm, Nebraska dub/OG-M</v>
      </c>
      <c r="B469" s="331" t="str">
        <f>IF($C$2=1,M469,IF($C$2=2,M470,IF($C$2=3,M471,IF($C$2=4,M471,"  chyba"))))</f>
        <v>ZC7S500RH1</v>
      </c>
      <c r="C469" s="331" t="str">
        <f>IF($C$2=1,N469,IF($C$2=2,N470,IF($C$2=3,N471,IF($C$2=4,N471,"  chyba"))))</f>
        <v>E02G</v>
      </c>
      <c r="D469" s="331">
        <f>IF($C$2=1,O469,IF($C$2=2,O470,IF($C$2=3,O471,IF($C$2=4,O471,"  chyba"))))</f>
        <v>0</v>
      </c>
      <c r="E469" s="327">
        <f>IF($C$2=1,P469,IF($C$2=2,P470,IF($C$2=3,P471,IF($C$2=4,P471,"  chyba"))))</f>
        <v>0</v>
      </c>
      <c r="F469" s="328">
        <f>IF($C$2=1,Q469,IF($C$2=2,Q470,IF($C$2=3,Q471,IF($C$2=4,Q471,0))))*(100-$F$6)/100</f>
        <v>34.172809999999998</v>
      </c>
      <c r="G469" s="329"/>
      <c r="H469" s="329"/>
      <c r="I469" s="332">
        <f>IF($C$2=1,T469,IF($C$2=2,T470,IF($C$2=3,T471,IF($C$2=4,T471,"  chyba"))))</f>
        <v>9278001</v>
      </c>
      <c r="J469" s="332">
        <f>IF($C$2=1,U469,IF($C$2=2,U470,IF($C$2=3,U471,IF($C$2=4,U471,"  chyba"))))</f>
        <v>227721</v>
      </c>
      <c r="K469" s="71"/>
      <c r="L469" s="60" t="str">
        <f>Price!A469</f>
        <v>Zás.rámečky úzké, 500mm, Nebraska dub/OG-M</v>
      </c>
      <c r="M469" s="15" t="str">
        <f>Price!B469</f>
        <v>ZC7S500RH1</v>
      </c>
      <c r="N469" s="15" t="str">
        <f>Price!C469</f>
        <v>E02G</v>
      </c>
      <c r="O469" s="537">
        <f>Price!D469</f>
        <v>0</v>
      </c>
      <c r="P469" s="16"/>
      <c r="Q469" s="17">
        <f>Price!F469</f>
        <v>34.172809999999998</v>
      </c>
      <c r="R469" s="323"/>
      <c r="S469" s="323"/>
      <c r="T469" s="12">
        <f>Price!G469</f>
        <v>9278001</v>
      </c>
      <c r="U469" s="257">
        <f>Price!H469</f>
        <v>227721</v>
      </c>
      <c r="V469" s="13"/>
      <c r="X469" s="19"/>
      <c r="Y469" s="19"/>
    </row>
    <row r="470" spans="1:25" x14ac:dyDescent="0.35">
      <c r="A470" s="76"/>
      <c r="B470" s="162"/>
      <c r="C470" s="162"/>
      <c r="D470" s="540"/>
      <c r="E470" s="77"/>
      <c r="F470" s="64"/>
      <c r="G470" s="64"/>
      <c r="H470" s="64"/>
      <c r="I470" s="175"/>
      <c r="J470" s="175"/>
      <c r="K470" s="71"/>
      <c r="L470" s="60" t="str">
        <f>Price!A470</f>
        <v>Zás.rámečky úzké, 500mm, Bardolino dub/SW-M</v>
      </c>
      <c r="M470" s="15" t="str">
        <f>Price!B470</f>
        <v>ZC7S500RH1</v>
      </c>
      <c r="N470" s="15" t="str">
        <f>Price!C470</f>
        <v>E01S</v>
      </c>
      <c r="O470" s="537">
        <f>Price!D470</f>
        <v>0</v>
      </c>
      <c r="P470" s="16"/>
      <c r="Q470" s="17">
        <f>Price!F470</f>
        <v>34.172809999999998</v>
      </c>
      <c r="R470" s="323"/>
      <c r="S470" s="323"/>
      <c r="T470" s="12">
        <f>Price!G470</f>
        <v>4542306</v>
      </c>
      <c r="U470" s="257">
        <f>Price!H470</f>
        <v>227723</v>
      </c>
      <c r="V470" s="13"/>
      <c r="W470" s="13"/>
      <c r="X470" s="19"/>
      <c r="Y470" s="19"/>
    </row>
    <row r="471" spans="1:25" x14ac:dyDescent="0.35">
      <c r="A471" s="76"/>
      <c r="B471" s="162"/>
      <c r="C471" s="162"/>
      <c r="D471" s="540"/>
      <c r="E471" s="82"/>
      <c r="F471" s="83"/>
      <c r="G471" s="83"/>
      <c r="H471" s="83"/>
      <c r="I471" s="175"/>
      <c r="J471" s="175"/>
      <c r="K471" s="71"/>
      <c r="L471" s="60" t="str">
        <f>Price!A471</f>
        <v>Zás.rámečky úzké, 500mm, Tennessee oř./TS-M</v>
      </c>
      <c r="M471" s="15" t="str">
        <f>Price!B471</f>
        <v>ZC7S500RH1</v>
      </c>
      <c r="N471" s="15" t="str">
        <f>Price!C471</f>
        <v>N01T</v>
      </c>
      <c r="O471" s="537">
        <f>Price!D471</f>
        <v>0</v>
      </c>
      <c r="P471" s="16"/>
      <c r="Q471" s="17">
        <f>Price!F471</f>
        <v>34.172809999999998</v>
      </c>
      <c r="R471" s="323"/>
      <c r="S471" s="323"/>
      <c r="T471" s="12">
        <f>Price!G471</f>
        <v>1918643</v>
      </c>
      <c r="U471" s="257">
        <f>Price!H471</f>
        <v>227722</v>
      </c>
      <c r="V471" s="13"/>
      <c r="W471" s="13"/>
      <c r="X471" s="19"/>
      <c r="Y471" s="19"/>
    </row>
    <row r="472" spans="1:25" ht="15" thickBot="1" x14ac:dyDescent="0.4">
      <c r="A472" s="325" t="str">
        <f>IF($C$2=1,L472,IF($C$2=2,L473,IF($C$2=3,L474,IF($C$2=4,L474,"  chyba"))))</f>
        <v>Zás.rámečky úzké, 550mm, Nebraska dub/OG-M</v>
      </c>
      <c r="B472" s="331" t="str">
        <f>IF($C$2=1,M472,IF($C$2=2,M473,IF($C$2=3,M474,IF($C$2=4,M474,"  chyba"))))</f>
        <v>ZC7S550RH1</v>
      </c>
      <c r="C472" s="331" t="str">
        <f>IF($C$2=1,N472,IF($C$2=2,N473,IF($C$2=3,N474,IF($C$2=4,N474,"  chyba"))))</f>
        <v>E02G</v>
      </c>
      <c r="D472" s="331">
        <f>IF($C$2=1,O472,IF($C$2=2,O473,IF($C$2=3,O474,IF($C$2=4,O474,"  chyba"))))</f>
        <v>0</v>
      </c>
      <c r="E472" s="327">
        <f>IF($C$2=1,P472,IF($C$2=2,P473,IF($C$2=3,P474,IF($C$2=4,P474,"  chyba"))))</f>
        <v>0</v>
      </c>
      <c r="F472" s="328">
        <f>IF($C$2=1,Q472,IF($C$2=2,Q473,IF($C$2=3,Q474,IF($C$2=4,Q474,0))))*(100-$F$6)/100</f>
        <v>34.810630000000003</v>
      </c>
      <c r="G472" s="329"/>
      <c r="H472" s="329"/>
      <c r="I472" s="332">
        <f>IF($C$2=1,T472,IF($C$2=2,T473,IF($C$2=3,T474,IF($C$2=4,T474,"  chyba"))))</f>
        <v>5369486</v>
      </c>
      <c r="J472" s="332">
        <f>IF($C$2=1,U472,IF($C$2=2,U473,IF($C$2=3,U474,IF($C$2=4,U474,"  chyba"))))</f>
        <v>227724</v>
      </c>
      <c r="K472" s="71"/>
      <c r="L472" s="60" t="str">
        <f>Price!A472</f>
        <v>Zás.rámečky úzké, 550mm, Nebraska dub/OG-M</v>
      </c>
      <c r="M472" s="15" t="str">
        <f>Price!B472</f>
        <v>ZC7S550RH1</v>
      </c>
      <c r="N472" s="15" t="str">
        <f>Price!C472</f>
        <v>E02G</v>
      </c>
      <c r="O472" s="537">
        <f>Price!D472</f>
        <v>0</v>
      </c>
      <c r="P472" s="16"/>
      <c r="Q472" s="17">
        <f>Price!F472</f>
        <v>34.810630000000003</v>
      </c>
      <c r="R472" s="323"/>
      <c r="S472" s="323"/>
      <c r="T472" s="12">
        <f>Price!G472</f>
        <v>5369486</v>
      </c>
      <c r="U472" s="257">
        <f>Price!H472</f>
        <v>227724</v>
      </c>
      <c r="V472" s="13"/>
      <c r="W472" s="13"/>
      <c r="X472" s="19"/>
      <c r="Y472" s="19"/>
    </row>
    <row r="473" spans="1:25" x14ac:dyDescent="0.35">
      <c r="A473" s="76"/>
      <c r="B473" s="162"/>
      <c r="C473" s="162"/>
      <c r="D473" s="540"/>
      <c r="E473" s="77"/>
      <c r="F473" s="64"/>
      <c r="G473" s="64"/>
      <c r="H473" s="64"/>
      <c r="I473" s="175"/>
      <c r="J473" s="175"/>
      <c r="K473" s="71"/>
      <c r="L473" s="60" t="str">
        <f>Price!A473</f>
        <v>Zás.rámečky úzké, 550mm, Bardolino dub/SW-M</v>
      </c>
      <c r="M473" s="15" t="str">
        <f>Price!B473</f>
        <v>ZC7S550RH1</v>
      </c>
      <c r="N473" s="15" t="str">
        <f>Price!C473</f>
        <v>E01S</v>
      </c>
      <c r="O473" s="537">
        <f>Price!D473</f>
        <v>0</v>
      </c>
      <c r="P473" s="16"/>
      <c r="Q473" s="17">
        <f>Price!F473</f>
        <v>34.810630000000003</v>
      </c>
      <c r="R473" s="323"/>
      <c r="S473" s="323"/>
      <c r="T473" s="12">
        <f>Price!G473</f>
        <v>4553737</v>
      </c>
      <c r="U473" s="257">
        <f>Price!H473</f>
        <v>227726</v>
      </c>
      <c r="V473" s="13"/>
      <c r="W473" s="13"/>
      <c r="X473" s="19"/>
      <c r="Y473" s="19"/>
    </row>
    <row r="474" spans="1:25" x14ac:dyDescent="0.35">
      <c r="A474" s="76"/>
      <c r="B474" s="162"/>
      <c r="C474" s="162"/>
      <c r="D474" s="540"/>
      <c r="E474" s="82"/>
      <c r="F474" s="64"/>
      <c r="G474" s="64"/>
      <c r="H474" s="64"/>
      <c r="I474" s="175"/>
      <c r="J474" s="175"/>
      <c r="K474" s="71"/>
      <c r="L474" s="60" t="str">
        <f>Price!A474</f>
        <v>Zás.rámečky úzké, 550mm, Tennessee oř./TS-M</v>
      </c>
      <c r="M474" s="15" t="str">
        <f>Price!B474</f>
        <v>ZC7S550RH1</v>
      </c>
      <c r="N474" s="15" t="str">
        <f>Price!C474</f>
        <v>N01T</v>
      </c>
      <c r="O474" s="537">
        <f>Price!D474</f>
        <v>0</v>
      </c>
      <c r="P474" s="16"/>
      <c r="Q474" s="17">
        <f>Price!F474</f>
        <v>34.810630000000003</v>
      </c>
      <c r="R474" s="323"/>
      <c r="S474" s="323"/>
      <c r="T474" s="12">
        <f>Price!G474</f>
        <v>8281653</v>
      </c>
      <c r="U474" s="257">
        <f>Price!H474</f>
        <v>227725</v>
      </c>
      <c r="V474" s="13"/>
      <c r="W474" s="13"/>
      <c r="X474" s="19"/>
      <c r="Y474" s="19"/>
    </row>
    <row r="475" spans="1:25" ht="15" thickBot="1" x14ac:dyDescent="0.4">
      <c r="A475" s="325" t="str">
        <f>IF($C$2=1,L475,IF($C$2=2,L476,IF($C$2=3,L477,IF($C$2=4,L477,"  chyba"))))</f>
        <v>Zás.rámečky úzké, 600mm, Nebraska dub/OG-M</v>
      </c>
      <c r="B475" s="331" t="str">
        <f>IF($C$2=1,M475,IF($C$2=2,M476,IF($C$2=3,M477,IF($C$2=4,M477,"  chyba"))))</f>
        <v>ZC7S600RH1</v>
      </c>
      <c r="C475" s="331" t="str">
        <f>IF($C$2=1,N475,IF($C$2=2,N476,IF($C$2=3,N477,IF($C$2=4,N477,"  chyba"))))</f>
        <v>E02G</v>
      </c>
      <c r="D475" s="331">
        <f>IF($C$2=1,O475,IF($C$2=2,O476,IF($C$2=3,O477,IF($C$2=4,O477,"  chyba"))))</f>
        <v>0</v>
      </c>
      <c r="E475" s="327">
        <f>IF($C$2=1,P475,IF($C$2=2,P476,IF($C$2=3,P477,IF($C$2=4,P477,"  chyba"))))</f>
        <v>0</v>
      </c>
      <c r="F475" s="328">
        <f>IF($C$2=1,Q475,IF($C$2=2,Q476,IF($C$2=3,Q477,IF($C$2=4,Q477,0))))*(100-$F$6)/100</f>
        <v>35.448619999999998</v>
      </c>
      <c r="G475" s="329"/>
      <c r="H475" s="329"/>
      <c r="I475" s="332">
        <f>IF($C$2=1,T475,IF($C$2=2,T476,IF($C$2=3,T477,IF($C$2=4,T477,"  chyba"))))</f>
        <v>9907579</v>
      </c>
      <c r="J475" s="332">
        <f>IF($C$2=1,U475,IF($C$2=2,U476,IF($C$2=3,U477,IF($C$2=4,U477,"  chyba"))))</f>
        <v>227727</v>
      </c>
      <c r="K475" s="71"/>
      <c r="L475" s="60" t="str">
        <f>Price!A475</f>
        <v>Zás.rámečky úzké, 600mm, Nebraska dub/OG-M</v>
      </c>
      <c r="M475" s="15" t="str">
        <f>Price!B475</f>
        <v>ZC7S600RH1</v>
      </c>
      <c r="N475" s="15" t="str">
        <f>Price!C475</f>
        <v>E02G</v>
      </c>
      <c r="O475" s="537">
        <f>Price!D475</f>
        <v>0</v>
      </c>
      <c r="P475" s="16"/>
      <c r="Q475" s="17">
        <f>Price!F475</f>
        <v>35.448619999999998</v>
      </c>
      <c r="R475" s="323"/>
      <c r="S475" s="323"/>
      <c r="T475" s="12">
        <f>Price!G475</f>
        <v>9907579</v>
      </c>
      <c r="U475" s="257">
        <f>Price!H475</f>
        <v>227727</v>
      </c>
      <c r="V475" s="13"/>
      <c r="W475" s="13"/>
      <c r="X475" s="19"/>
      <c r="Y475" s="19"/>
    </row>
    <row r="476" spans="1:25" x14ac:dyDescent="0.35">
      <c r="A476" s="76"/>
      <c r="B476" s="162"/>
      <c r="C476" s="162"/>
      <c r="D476" s="540"/>
      <c r="E476" s="82"/>
      <c r="F476" s="64"/>
      <c r="G476" s="64"/>
      <c r="H476" s="64"/>
      <c r="I476" s="175"/>
      <c r="J476" s="175"/>
      <c r="K476" s="71"/>
      <c r="L476" s="60" t="str">
        <f>Price!A476</f>
        <v>Zás.rámečky úzké, 600mm, Bardolino dub/SW-M</v>
      </c>
      <c r="M476" s="15" t="str">
        <f>Price!B476</f>
        <v>ZC7S600RH1</v>
      </c>
      <c r="N476" s="15" t="str">
        <f>Price!C476</f>
        <v>E01S</v>
      </c>
      <c r="O476" s="537">
        <f>Price!D476</f>
        <v>0</v>
      </c>
      <c r="P476" s="16"/>
      <c r="Q476" s="17">
        <f>Price!F476</f>
        <v>35.448619999999998</v>
      </c>
      <c r="R476" s="323"/>
      <c r="S476" s="323"/>
      <c r="T476" s="12">
        <f>Price!G476</f>
        <v>3004403</v>
      </c>
      <c r="U476" s="257">
        <f>Price!H476</f>
        <v>227729</v>
      </c>
      <c r="V476" s="13"/>
      <c r="W476" s="13"/>
      <c r="X476" s="19"/>
      <c r="Y476" s="19"/>
    </row>
    <row r="477" spans="1:25" x14ac:dyDescent="0.35">
      <c r="A477" s="76"/>
      <c r="B477" s="162"/>
      <c r="C477" s="162"/>
      <c r="D477" s="540"/>
      <c r="E477" s="77"/>
      <c r="F477" s="64"/>
      <c r="G477" s="64"/>
      <c r="H477" s="64"/>
      <c r="I477" s="175"/>
      <c r="J477" s="175"/>
      <c r="K477" s="71"/>
      <c r="L477" s="60" t="str">
        <f>Price!A477</f>
        <v>Zás.rámečky úzké, 600mm, Tennessee oř./TS-M</v>
      </c>
      <c r="M477" s="15" t="str">
        <f>Price!B477</f>
        <v>ZC7S600RH1</v>
      </c>
      <c r="N477" s="15" t="str">
        <f>Price!C477</f>
        <v>N01T</v>
      </c>
      <c r="O477" s="537">
        <f>Price!D477</f>
        <v>0</v>
      </c>
      <c r="P477" s="16"/>
      <c r="Q477" s="17">
        <f>Price!F477</f>
        <v>35.448619999999998</v>
      </c>
      <c r="R477" s="323"/>
      <c r="S477" s="323"/>
      <c r="T477" s="12">
        <f>Price!G477</f>
        <v>6416965</v>
      </c>
      <c r="U477" s="257">
        <f>Price!H477</f>
        <v>227728</v>
      </c>
      <c r="V477" s="13"/>
      <c r="W477" s="13"/>
      <c r="X477" s="19"/>
      <c r="Y477" s="19"/>
    </row>
    <row r="478" spans="1:25" ht="15" thickBot="1" x14ac:dyDescent="0.4">
      <c r="A478" s="325" t="str">
        <f>IF($C$2=1,L478,IF($C$2=2,L479,IF($C$2=3,L480,IF($C$2=4,L480,"  chyba"))))</f>
        <v>Zás.rámečky úzké, 650mm, Nebraska dub/OG-M</v>
      </c>
      <c r="B478" s="331" t="str">
        <f>IF($C$2=1,M478,IF($C$2=2,M479,IF($C$2=3,M480,IF($C$2=4,M480,"  chyba"))))</f>
        <v>ZC7S650RH1</v>
      </c>
      <c r="C478" s="331" t="str">
        <f>IF($C$2=1,N478,IF($C$2=2,N479,IF($C$2=3,N480,IF($C$2=4,N480,"  chyba"))))</f>
        <v>E02G</v>
      </c>
      <c r="D478" s="331">
        <f>IF($C$2=1,O478,IF($C$2=2,O479,IF($C$2=3,O480,IF($C$2=4,O480,"  chyba"))))</f>
        <v>0</v>
      </c>
      <c r="E478" s="327">
        <f>IF($C$2=1,P478,IF($C$2=2,P479,IF($C$2=3,P480,IF($C$2=4,P480,"  chyba"))))</f>
        <v>0</v>
      </c>
      <c r="F478" s="328">
        <f>IF($C$2=1,Q478,IF($C$2=2,Q479,IF($C$2=3,Q480,IF($C$2=4,Q480,0))))*(100-$F$6)/100</f>
        <v>36.086399999999998</v>
      </c>
      <c r="G478" s="329"/>
      <c r="H478" s="329"/>
      <c r="I478" s="332">
        <f>IF($C$2=1,T478,IF($C$2=2,T479,IF($C$2=3,T480,IF($C$2=4,T480,"  chyba"))))</f>
        <v>8716506</v>
      </c>
      <c r="J478" s="332">
        <f>IF($C$2=1,U478,IF($C$2=2,U479,IF($C$2=3,U480,IF($C$2=4,U480,"  chyba"))))</f>
        <v>279420</v>
      </c>
      <c r="K478" s="71"/>
      <c r="L478" s="60" t="str">
        <f>Price!A478</f>
        <v>Zás.rámečky úzké, 650mm, Nebraska dub/OG-M</v>
      </c>
      <c r="M478" s="15" t="str">
        <f>Price!B478</f>
        <v>ZC7S650RH1</v>
      </c>
      <c r="N478" s="15" t="str">
        <f>Price!C478</f>
        <v>E02G</v>
      </c>
      <c r="O478" s="537">
        <f>Price!D478</f>
        <v>0</v>
      </c>
      <c r="P478" s="16"/>
      <c r="Q478" s="17">
        <f>Price!F478</f>
        <v>36.086399999999998</v>
      </c>
      <c r="R478" s="323"/>
      <c r="S478" s="323"/>
      <c r="T478" s="12">
        <f>Price!G478</f>
        <v>8716506</v>
      </c>
      <c r="U478" s="257">
        <f>Price!H478</f>
        <v>279420</v>
      </c>
      <c r="V478" s="13"/>
      <c r="W478" s="13"/>
      <c r="X478" s="19"/>
      <c r="Y478" s="19"/>
    </row>
    <row r="479" spans="1:25" x14ac:dyDescent="0.35">
      <c r="A479" s="76"/>
      <c r="B479" s="162"/>
      <c r="C479" s="162"/>
      <c r="D479" s="540"/>
      <c r="E479" s="82"/>
      <c r="F479" s="64"/>
      <c r="G479" s="64"/>
      <c r="H479" s="64"/>
      <c r="I479" s="175"/>
      <c r="J479" s="175"/>
      <c r="K479" s="71"/>
      <c r="L479" s="60" t="str">
        <f>Price!A479</f>
        <v>Zás.rámečky úzké, 650mm, Bardolino dub/SW-M</v>
      </c>
      <c r="M479" s="15" t="str">
        <f>Price!B479</f>
        <v>ZC7S650RH1</v>
      </c>
      <c r="N479" s="15" t="str">
        <f>Price!C479</f>
        <v>E01S</v>
      </c>
      <c r="O479" s="537">
        <f>Price!D479</f>
        <v>0</v>
      </c>
      <c r="P479" s="16"/>
      <c r="Q479" s="17">
        <f>Price!F479</f>
        <v>36.086399999999998</v>
      </c>
      <c r="R479" s="323"/>
      <c r="S479" s="323"/>
      <c r="T479" s="12">
        <f>Price!G479</f>
        <v>7689785</v>
      </c>
      <c r="U479" s="257">
        <f>Price!H479</f>
        <v>279421</v>
      </c>
      <c r="V479" s="13"/>
      <c r="W479" s="13"/>
      <c r="X479" s="19"/>
      <c r="Y479" s="19"/>
    </row>
    <row r="480" spans="1:25" x14ac:dyDescent="0.35">
      <c r="A480" s="76"/>
      <c r="B480" s="162"/>
      <c r="C480" s="162"/>
      <c r="D480" s="540"/>
      <c r="E480" s="77"/>
      <c r="F480" s="64"/>
      <c r="G480" s="64"/>
      <c r="H480" s="64"/>
      <c r="I480" s="175"/>
      <c r="J480" s="175"/>
      <c r="K480" s="71"/>
      <c r="L480" s="60" t="str">
        <f>Price!A480</f>
        <v>Zás.rámečky úzké, 650mm, Tennessee oř./TS-M</v>
      </c>
      <c r="M480" s="15" t="str">
        <f>Price!B480</f>
        <v>ZC7S650RH1</v>
      </c>
      <c r="N480" s="15" t="str">
        <f>Price!C480</f>
        <v>N01T</v>
      </c>
      <c r="O480" s="537">
        <f>Price!D480</f>
        <v>0</v>
      </c>
      <c r="P480" s="16"/>
      <c r="Q480" s="17">
        <f>Price!F480</f>
        <v>36.086399999999998</v>
      </c>
      <c r="R480" s="323"/>
      <c r="S480" s="323"/>
      <c r="T480" s="12">
        <f>Price!G480</f>
        <v>7050334</v>
      </c>
      <c r="U480" s="257">
        <f>Price!H480</f>
        <v>279422</v>
      </c>
      <c r="V480" s="13"/>
      <c r="W480" s="13"/>
      <c r="X480" s="19"/>
      <c r="Y480" s="19"/>
    </row>
    <row r="481" spans="1:25" ht="15" thickBot="1" x14ac:dyDescent="0.4">
      <c r="A481" s="325" t="str">
        <f>IF($C$2=1,L481,IF($C$2=2,L482,IF($C$2=3,L483,IF($C$2=4,L483,"  chyba"))))</f>
        <v>Samostatná příčka, 50/100mm, Nebraska dub</v>
      </c>
      <c r="B481" s="331" t="str">
        <f>IF($C$2=1,M481,IF($C$2=2,M482,IF($C$2=3,M483,IF($C$2=4,M483,"  chyba"))))</f>
        <v>ZC7Q010SH</v>
      </c>
      <c r="C481" s="331" t="str">
        <f>IF($C$2=1,N481,IF($C$2=2,N482,IF($C$2=3,N483,IF($C$2=4,N483,"  chyba"))))</f>
        <v>E02G</v>
      </c>
      <c r="D481" s="331" t="str">
        <f>IF($C$2=1,O481,IF($C$2=2,O482,IF($C$2=3,O483,IF($C$2=4,O483,"  chyba"))))</f>
        <v>!</v>
      </c>
      <c r="E481" s="327">
        <f>IF($C$2=1,P481,IF($C$2=2,P482,IF($C$2=3,P483,IF($C$2=4,P483,"  chyba"))))</f>
        <v>0</v>
      </c>
      <c r="F481" s="328">
        <f>IF($C$2=1,Q481,IF($C$2=2,Q482,IF($C$2=3,Q483,IF($C$2=4,Q483,0))))*(100-$F$6)/100</f>
        <v>5.92326</v>
      </c>
      <c r="G481" s="329"/>
      <c r="H481" s="329"/>
      <c r="I481" s="332">
        <f>IF($C$2=1,T481,IF($C$2=2,T482,IF($C$2=3,T483,IF($C$2=4,T483,"  chyba"))))</f>
        <v>1619090</v>
      </c>
      <c r="J481" s="332">
        <f>IF($C$2=1,U481,IF($C$2=2,U482,IF($C$2=3,U483,IF($C$2=4,U483,"  chyba"))))</f>
        <v>227730</v>
      </c>
      <c r="K481" s="71"/>
      <c r="L481" s="60" t="str">
        <f>Price!A481</f>
        <v>Samostatná příčka, 50/100mm, Nebraska dub</v>
      </c>
      <c r="M481" s="15" t="str">
        <f>Price!B481</f>
        <v>ZC7Q010SH</v>
      </c>
      <c r="N481" s="15" t="str">
        <f>Price!C481</f>
        <v>E02G</v>
      </c>
      <c r="O481" s="537" t="str">
        <f>Price!D481</f>
        <v>!</v>
      </c>
      <c r="P481" s="16"/>
      <c r="Q481" s="17">
        <f>Price!F481</f>
        <v>5.92326</v>
      </c>
      <c r="R481" s="323"/>
      <c r="S481" s="323"/>
      <c r="T481" s="12">
        <f>Price!G481</f>
        <v>1619090</v>
      </c>
      <c r="U481" s="257">
        <f>Price!H481</f>
        <v>227730</v>
      </c>
      <c r="V481" s="13"/>
      <c r="W481" s="13"/>
      <c r="X481" s="19"/>
      <c r="Y481" s="19"/>
    </row>
    <row r="482" spans="1:25" x14ac:dyDescent="0.35">
      <c r="A482" s="76"/>
      <c r="B482" s="162"/>
      <c r="C482" s="162"/>
      <c r="D482" s="540"/>
      <c r="E482" s="82"/>
      <c r="F482" s="64"/>
      <c r="G482" s="64"/>
      <c r="H482" s="64"/>
      <c r="I482" s="175"/>
      <c r="J482" s="175"/>
      <c r="K482" s="71"/>
      <c r="L482" s="60" t="str">
        <f>Price!A482</f>
        <v>Samostatná příčka, 50/100mm, Bardolino dub</v>
      </c>
      <c r="M482" s="15" t="str">
        <f>Price!B482</f>
        <v>ZC7Q010SH</v>
      </c>
      <c r="N482" s="15" t="str">
        <f>Price!C482</f>
        <v>E01S</v>
      </c>
      <c r="O482" s="537" t="str">
        <f>Price!D482</f>
        <v>!</v>
      </c>
      <c r="P482" s="16"/>
      <c r="Q482" s="17">
        <f>Price!F482</f>
        <v>5.92326</v>
      </c>
      <c r="R482" s="323"/>
      <c r="S482" s="323"/>
      <c r="T482" s="12">
        <f>Price!G482</f>
        <v>2644645</v>
      </c>
      <c r="U482" s="257">
        <f>Price!H482</f>
        <v>227732</v>
      </c>
      <c r="V482" s="13"/>
      <c r="W482" s="13"/>
      <c r="X482" s="19"/>
      <c r="Y482" s="19"/>
    </row>
    <row r="483" spans="1:25" x14ac:dyDescent="0.35">
      <c r="A483" s="76"/>
      <c r="B483" s="162"/>
      <c r="C483" s="162"/>
      <c r="D483" s="540"/>
      <c r="E483" s="77"/>
      <c r="F483" s="64"/>
      <c r="G483" s="64"/>
      <c r="H483" s="64"/>
      <c r="I483" s="175"/>
      <c r="J483" s="175"/>
      <c r="K483" s="71"/>
      <c r="L483" s="60" t="str">
        <f>Price!A483</f>
        <v>Samostatná příčka, 50/100mm, Tennessee ořech</v>
      </c>
      <c r="M483" s="15" t="str">
        <f>Price!B483</f>
        <v>ZC7Q010SH</v>
      </c>
      <c r="N483" s="15" t="str">
        <f>Price!C483</f>
        <v>N01T</v>
      </c>
      <c r="O483" s="537" t="str">
        <f>Price!D483</f>
        <v>!</v>
      </c>
      <c r="P483" s="16"/>
      <c r="Q483" s="17">
        <f>Price!F483</f>
        <v>5.92326</v>
      </c>
      <c r="R483" s="323"/>
      <c r="S483" s="323"/>
      <c r="T483" s="12">
        <f>Price!G483</f>
        <v>5151663</v>
      </c>
      <c r="U483" s="257">
        <f>Price!H483</f>
        <v>227731</v>
      </c>
      <c r="V483" s="13"/>
      <c r="W483" s="13"/>
      <c r="X483" s="19"/>
      <c r="Y483" s="19"/>
    </row>
    <row r="484" spans="1:25" x14ac:dyDescent="0.35">
      <c r="A484" s="76"/>
      <c r="B484" s="162"/>
      <c r="C484" s="162"/>
      <c r="D484" s="540"/>
      <c r="E484" s="82"/>
      <c r="F484" s="64"/>
      <c r="G484" s="64"/>
      <c r="H484" s="64"/>
      <c r="I484" s="175"/>
      <c r="J484" s="175"/>
      <c r="K484" s="71"/>
      <c r="L484" s="60">
        <f>Price!A484</f>
        <v>0</v>
      </c>
      <c r="M484" s="15">
        <f>Price!B484</f>
        <v>0</v>
      </c>
      <c r="N484" s="15">
        <f>Price!C484</f>
        <v>0</v>
      </c>
      <c r="O484" s="537">
        <f>Price!D484</f>
        <v>0</v>
      </c>
      <c r="P484" s="16"/>
      <c r="Q484" s="17">
        <f>Price!F484</f>
        <v>0</v>
      </c>
      <c r="R484" s="323"/>
      <c r="S484" s="323"/>
      <c r="T484" s="12">
        <f>Price!G484</f>
        <v>0</v>
      </c>
      <c r="U484" s="257">
        <f>Price!H484</f>
        <v>0</v>
      </c>
      <c r="V484" s="13"/>
      <c r="W484" s="13"/>
      <c r="X484" s="19"/>
      <c r="Y484" s="19"/>
    </row>
    <row r="485" spans="1:25" ht="15" thickBot="1" x14ac:dyDescent="0.4">
      <c r="A485" s="325" t="str">
        <f>IF($C$2=1,L485,IF($C$2=2,L486,IF($C$2=3,L487,IF($C$2=4,L487,"  chyba"))))</f>
        <v>Zás.rámečky široké, 450mm, Nebraska dub/OG-M</v>
      </c>
      <c r="B485" s="331" t="str">
        <f>IF($C$2=1,M485,IF($C$2=2,M486,IF($C$2=3,M487,IF($C$2=4,M487,"  chyba"))))</f>
        <v>ZC7S450RH2</v>
      </c>
      <c r="C485" s="331" t="str">
        <f>IF($C$2=1,N485,IF($C$2=2,N486,IF($C$2=3,N487,IF($C$2=4,N487,"  chyba"))))</f>
        <v>E02G</v>
      </c>
      <c r="D485" s="331">
        <f>IF($C$2=1,O485,IF($C$2=2,O486,IF($C$2=3,O487,IF($C$2=4,O487,"  chyba"))))</f>
        <v>0</v>
      </c>
      <c r="E485" s="327">
        <f>IF($C$2=1,P485,IF($C$2=2,P486,IF($C$2=3,P487,IF($C$2=4,P487,"  chyba"))))</f>
        <v>0</v>
      </c>
      <c r="F485" s="328">
        <f>IF($C$2=1,Q485,IF($C$2=2,Q486,IF($C$2=3,Q487,IF($C$2=4,Q487,0))))*(100-$F$6)/100</f>
        <v>38.296219999999998</v>
      </c>
      <c r="G485" s="329"/>
      <c r="H485" s="329"/>
      <c r="I485" s="332">
        <f>IF($C$2=1,T485,IF($C$2=2,T486,IF($C$2=3,T487,IF($C$2=4,T487,"  chyba"))))</f>
        <v>8122008</v>
      </c>
      <c r="J485" s="332">
        <f>IF($C$2=1,U485,IF($C$2=2,U486,IF($C$2=3,U487,IF($C$2=4,U487,"  chyba"))))</f>
        <v>227733</v>
      </c>
      <c r="K485" s="71"/>
      <c r="L485" s="60" t="str">
        <f>Price!A485</f>
        <v>Zás.rámečky široké, 450mm, Nebraska dub/OG-M</v>
      </c>
      <c r="M485" s="15" t="str">
        <f>Price!B485</f>
        <v>ZC7S450RH2</v>
      </c>
      <c r="N485" s="15" t="str">
        <f>Price!C485</f>
        <v>E02G</v>
      </c>
      <c r="O485" s="537">
        <f>Price!D485</f>
        <v>0</v>
      </c>
      <c r="P485" s="16"/>
      <c r="Q485" s="17">
        <f>Price!F485</f>
        <v>38.296219999999998</v>
      </c>
      <c r="R485" s="323"/>
      <c r="S485" s="323"/>
      <c r="T485" s="12">
        <f>Price!G485</f>
        <v>8122008</v>
      </c>
      <c r="U485" s="257">
        <f>Price!H485</f>
        <v>227733</v>
      </c>
      <c r="V485" s="13"/>
      <c r="W485" s="13"/>
      <c r="X485" s="19"/>
      <c r="Y485" s="19"/>
    </row>
    <row r="486" spans="1:25" x14ac:dyDescent="0.35">
      <c r="A486" s="76"/>
      <c r="B486" s="162"/>
      <c r="C486" s="162"/>
      <c r="D486" s="540"/>
      <c r="E486" s="82"/>
      <c r="F486" s="64"/>
      <c r="G486" s="64"/>
      <c r="H486" s="64"/>
      <c r="I486" s="175"/>
      <c r="J486" s="175"/>
      <c r="K486" s="71"/>
      <c r="L486" s="60" t="str">
        <f>Price!A486</f>
        <v>Zás.rámečky široké, 450mm, Bardolino dub/SW-M</v>
      </c>
      <c r="M486" s="15" t="str">
        <f>Price!B486</f>
        <v>ZC7S450RH2</v>
      </c>
      <c r="N486" s="15" t="str">
        <f>Price!C486</f>
        <v>E01S</v>
      </c>
      <c r="O486" s="537">
        <f>Price!D486</f>
        <v>0</v>
      </c>
      <c r="P486" s="16"/>
      <c r="Q486" s="17">
        <f>Price!F486</f>
        <v>38.296219999999998</v>
      </c>
      <c r="R486" s="323"/>
      <c r="S486" s="323"/>
      <c r="T486" s="12">
        <f>Price!G486</f>
        <v>1803301</v>
      </c>
      <c r="U486" s="257">
        <f>Price!H486</f>
        <v>227735</v>
      </c>
      <c r="V486" s="13"/>
      <c r="W486" s="13"/>
      <c r="X486" s="19"/>
      <c r="Y486" s="19"/>
    </row>
    <row r="487" spans="1:25" x14ac:dyDescent="0.35">
      <c r="A487" s="76"/>
      <c r="B487" s="162"/>
      <c r="C487" s="162"/>
      <c r="D487" s="540"/>
      <c r="E487" s="82"/>
      <c r="F487" s="64"/>
      <c r="G487" s="64"/>
      <c r="H487" s="64"/>
      <c r="I487" s="175"/>
      <c r="J487" s="175"/>
      <c r="K487" s="61"/>
      <c r="L487" s="60" t="str">
        <f>Price!A487</f>
        <v>Zás.rámečky široké, 450mm, Tennessee oř./TS-M</v>
      </c>
      <c r="M487" s="15" t="str">
        <f>Price!B487</f>
        <v>ZC7S450RH2</v>
      </c>
      <c r="N487" s="15" t="str">
        <f>Price!C487</f>
        <v>N01T</v>
      </c>
      <c r="O487" s="537">
        <f>Price!D487</f>
        <v>0</v>
      </c>
      <c r="P487" s="16"/>
      <c r="Q487" s="17">
        <f>Price!F487</f>
        <v>38.296219999999998</v>
      </c>
      <c r="R487" s="323"/>
      <c r="S487" s="323"/>
      <c r="T487" s="12">
        <f>Price!G487</f>
        <v>4837273</v>
      </c>
      <c r="U487" s="257">
        <f>Price!H487</f>
        <v>227734</v>
      </c>
      <c r="V487" s="13"/>
      <c r="W487" s="13"/>
      <c r="X487" s="19"/>
      <c r="Y487" s="19"/>
    </row>
    <row r="488" spans="1:25" ht="15" thickBot="1" x14ac:dyDescent="0.4">
      <c r="A488" s="325" t="str">
        <f>IF($C$2=1,L488,IF($C$2=2,L489,IF($C$2=3,L490,IF($C$2=4,L490,"  chyba"))))</f>
        <v>Zás.rámečky široké, 500mm, Nebraska dub/OG-M</v>
      </c>
      <c r="B488" s="331" t="str">
        <f>IF($C$2=1,M488,IF($C$2=2,M489,IF($C$2=3,M490,IF($C$2=4,M490,"  chyba"))))</f>
        <v>ZC7S500RH2</v>
      </c>
      <c r="C488" s="331" t="str">
        <f>IF($C$2=1,N488,IF($C$2=2,N489,IF($C$2=3,N490,IF($C$2=4,N490,"  chyba"))))</f>
        <v>E02G</v>
      </c>
      <c r="D488" s="331">
        <f>IF($C$2=1,O488,IF($C$2=2,O489,IF($C$2=3,O490,IF($C$2=4,O490,"  chyba"))))</f>
        <v>0</v>
      </c>
      <c r="E488" s="327">
        <f>IF($C$2=1,P488,IF($C$2=2,P489,IF($C$2=3,P490,IF($C$2=4,P490,"  chyba"))))</f>
        <v>0</v>
      </c>
      <c r="F488" s="328">
        <f>IF($C$2=1,Q488,IF($C$2=2,Q489,IF($C$2=3,Q490,IF($C$2=4,Q490,0))))*(100-$F$6)/100</f>
        <v>38.729140000000001</v>
      </c>
      <c r="G488" s="329"/>
      <c r="H488" s="329"/>
      <c r="I488" s="332">
        <f>IF($C$2=1,T488,IF($C$2=2,T489,IF($C$2=3,T490,IF($C$2=4,T490,"  chyba"))))</f>
        <v>7540872</v>
      </c>
      <c r="J488" s="332">
        <f>IF($C$2=1,U488,IF($C$2=2,U489,IF($C$2=3,U490,IF($C$2=4,U490,"  chyba"))))</f>
        <v>227736</v>
      </c>
      <c r="K488" s="71"/>
      <c r="L488" s="60" t="str">
        <f>Price!A488</f>
        <v>Zás.rámečky široké, 500mm, Nebraska dub/OG-M</v>
      </c>
      <c r="M488" s="15" t="str">
        <f>Price!B488</f>
        <v>ZC7S500RH2</v>
      </c>
      <c r="N488" s="15" t="str">
        <f>Price!C488</f>
        <v>E02G</v>
      </c>
      <c r="O488" s="537">
        <f>Price!D488</f>
        <v>0</v>
      </c>
      <c r="P488" s="16"/>
      <c r="Q488" s="17">
        <f>Price!F488</f>
        <v>38.729140000000001</v>
      </c>
      <c r="R488" s="323"/>
      <c r="S488" s="323"/>
      <c r="T488" s="12">
        <f>Price!G488</f>
        <v>7540872</v>
      </c>
      <c r="U488" s="257">
        <f>Price!H488</f>
        <v>227736</v>
      </c>
      <c r="V488" s="13"/>
      <c r="W488" s="13"/>
      <c r="X488" s="19"/>
      <c r="Y488" s="19"/>
    </row>
    <row r="489" spans="1:25" x14ac:dyDescent="0.35">
      <c r="A489" s="76"/>
      <c r="B489" s="162"/>
      <c r="C489" s="162"/>
      <c r="D489" s="540"/>
      <c r="E489" s="82"/>
      <c r="F489" s="64"/>
      <c r="G489" s="64"/>
      <c r="H489" s="64"/>
      <c r="I489" s="175"/>
      <c r="J489" s="175"/>
      <c r="K489" s="61"/>
      <c r="L489" s="60" t="str">
        <f>Price!A489</f>
        <v>Zás.rámečky široké, 500mm, Bardolino dub/SW-M</v>
      </c>
      <c r="M489" s="15" t="str">
        <f>Price!B489</f>
        <v>ZC7S500RH2</v>
      </c>
      <c r="N489" s="15" t="str">
        <f>Price!C489</f>
        <v>E01S</v>
      </c>
      <c r="O489" s="537">
        <f>Price!D489</f>
        <v>0</v>
      </c>
      <c r="P489" s="16"/>
      <c r="Q489" s="17">
        <f>Price!F489</f>
        <v>38.729140000000001</v>
      </c>
      <c r="R489" s="323"/>
      <c r="S489" s="323"/>
      <c r="T489" s="12">
        <f>Price!G489</f>
        <v>3134316</v>
      </c>
      <c r="U489" s="257">
        <f>Price!H489</f>
        <v>227738</v>
      </c>
      <c r="V489" s="13"/>
      <c r="W489" s="13"/>
      <c r="X489" s="19"/>
      <c r="Y489" s="19"/>
    </row>
    <row r="490" spans="1:25" x14ac:dyDescent="0.35">
      <c r="A490" s="76"/>
      <c r="B490" s="162"/>
      <c r="C490" s="162"/>
      <c r="D490" s="540"/>
      <c r="E490" s="82"/>
      <c r="F490" s="64"/>
      <c r="G490" s="64"/>
      <c r="H490" s="64"/>
      <c r="I490" s="175"/>
      <c r="J490" s="175"/>
      <c r="K490" s="71"/>
      <c r="L490" s="60" t="str">
        <f>Price!A490</f>
        <v>Zás.rámečky široké, 500mm, Tennessee oř./TS-M</v>
      </c>
      <c r="M490" s="15" t="str">
        <f>Price!B490</f>
        <v>ZC7S500RH2</v>
      </c>
      <c r="N490" s="15" t="str">
        <f>Price!C490</f>
        <v>N01T</v>
      </c>
      <c r="O490" s="537">
        <f>Price!D490</f>
        <v>0</v>
      </c>
      <c r="P490" s="16"/>
      <c r="Q490" s="17">
        <f>Price!F490</f>
        <v>38.729140000000001</v>
      </c>
      <c r="R490" s="323"/>
      <c r="S490" s="323"/>
      <c r="T490" s="12">
        <f>Price!G490</f>
        <v>3427726</v>
      </c>
      <c r="U490" s="257">
        <f>Price!H490</f>
        <v>227737</v>
      </c>
      <c r="V490" s="13"/>
      <c r="W490" s="13"/>
      <c r="X490" s="19"/>
      <c r="Y490" s="19"/>
    </row>
    <row r="491" spans="1:25" ht="15" thickBot="1" x14ac:dyDescent="0.4">
      <c r="A491" s="325" t="str">
        <f>IF($C$2=1,L491,IF($C$2=2,L492,IF($C$2=3,L493,IF($C$2=4,L493,"  chyba"))))</f>
        <v>Zás.rámečky široké, 550mm, Nebraska dub/OG-M</v>
      </c>
      <c r="B491" s="331" t="str">
        <f>IF($C$2=1,M491,IF($C$2=2,M492,IF($C$2=3,M493,IF($C$2=4,M493,"  chyba"))))</f>
        <v>ZC7S550RH2</v>
      </c>
      <c r="C491" s="331" t="str">
        <f>IF($C$2=1,N491,IF($C$2=2,N492,IF($C$2=3,N493,IF($C$2=4,N493,"  chyba"))))</f>
        <v>E02G</v>
      </c>
      <c r="D491" s="331">
        <f>IF($C$2=1,O491,IF($C$2=2,O492,IF($C$2=3,O493,IF($C$2=4,O493,"  chyba"))))</f>
        <v>0</v>
      </c>
      <c r="E491" s="327">
        <f>IF($C$2=1,P491,IF($C$2=2,P492,IF($C$2=3,P493,IF($C$2=4,P493,"  chyba"))))</f>
        <v>0</v>
      </c>
      <c r="F491" s="328">
        <f>IF($C$2=1,Q491,IF($C$2=2,Q492,IF($C$2=3,Q493,IF($C$2=4,Q493,0))))*(100-$F$6)/100</f>
        <v>39.36694</v>
      </c>
      <c r="G491" s="329"/>
      <c r="H491" s="329"/>
      <c r="I491" s="332">
        <f>IF($C$2=1,T491,IF($C$2=2,T492,IF($C$2=3,T493,IF($C$2=4,T493,"  chyba"))))</f>
        <v>5762924</v>
      </c>
      <c r="J491" s="332">
        <f>IF($C$2=1,U491,IF($C$2=2,U492,IF($C$2=3,U493,IF($C$2=4,U493,"  chyba"))))</f>
        <v>227739</v>
      </c>
      <c r="K491" s="61"/>
      <c r="L491" s="60" t="str">
        <f>Price!A491</f>
        <v>Zás.rámečky široké, 550mm, Nebraska dub/OG-M</v>
      </c>
      <c r="M491" s="15" t="str">
        <f>Price!B491</f>
        <v>ZC7S550RH2</v>
      </c>
      <c r="N491" s="15" t="str">
        <f>Price!C491</f>
        <v>E02G</v>
      </c>
      <c r="O491" s="537">
        <f>Price!D491</f>
        <v>0</v>
      </c>
      <c r="P491" s="16"/>
      <c r="Q491" s="17">
        <f>Price!F491</f>
        <v>39.36694</v>
      </c>
      <c r="R491" s="323"/>
      <c r="S491" s="323"/>
      <c r="T491" s="12">
        <f>Price!G491</f>
        <v>5762924</v>
      </c>
      <c r="U491" s="257">
        <f>Price!H491</f>
        <v>227739</v>
      </c>
      <c r="V491" s="13"/>
      <c r="W491" s="13"/>
      <c r="X491" s="19"/>
      <c r="Y491" s="19"/>
    </row>
    <row r="492" spans="1:25" x14ac:dyDescent="0.35">
      <c r="A492" s="78"/>
      <c r="B492" s="163"/>
      <c r="C492" s="163"/>
      <c r="D492" s="541"/>
      <c r="E492" s="77"/>
      <c r="F492" s="66"/>
      <c r="G492" s="66"/>
      <c r="H492" s="66"/>
      <c r="I492" s="174"/>
      <c r="J492" s="174"/>
      <c r="K492" s="71"/>
      <c r="L492" s="60" t="str">
        <f>Price!A492</f>
        <v>Zás.rámečky široké, 550mm, Bardolino dub/SW-M</v>
      </c>
      <c r="M492" s="15" t="str">
        <f>Price!B492</f>
        <v>ZC7S550RH2</v>
      </c>
      <c r="N492" s="15" t="str">
        <f>Price!C492</f>
        <v>E01S</v>
      </c>
      <c r="O492" s="537">
        <f>Price!D492</f>
        <v>0</v>
      </c>
      <c r="P492" s="16"/>
      <c r="Q492" s="17">
        <f>Price!F492</f>
        <v>39.36694</v>
      </c>
      <c r="R492" s="323"/>
      <c r="S492" s="323"/>
      <c r="T492" s="12">
        <f>Price!G492</f>
        <v>1039043</v>
      </c>
      <c r="U492" s="257">
        <f>Price!H492</f>
        <v>227741</v>
      </c>
      <c r="V492" s="13"/>
      <c r="W492" s="13"/>
      <c r="X492" s="19"/>
      <c r="Y492" s="19"/>
    </row>
    <row r="493" spans="1:25" x14ac:dyDescent="0.35">
      <c r="A493" s="76"/>
      <c r="B493" s="162"/>
      <c r="C493" s="162"/>
      <c r="D493" s="540"/>
      <c r="E493" s="82"/>
      <c r="F493" s="64"/>
      <c r="G493" s="64"/>
      <c r="H493" s="64"/>
      <c r="I493" s="175"/>
      <c r="J493" s="175"/>
      <c r="K493" s="71"/>
      <c r="L493" s="60" t="str">
        <f>Price!A493</f>
        <v>Zás.rámečky široké, 550mm, Tennessee oř./TS-M</v>
      </c>
      <c r="M493" s="15" t="str">
        <f>Price!B493</f>
        <v>ZC7S550RH2</v>
      </c>
      <c r="N493" s="15" t="str">
        <f>Price!C493</f>
        <v>N01T</v>
      </c>
      <c r="O493" s="537">
        <f>Price!D493</f>
        <v>0</v>
      </c>
      <c r="P493" s="16"/>
      <c r="Q493" s="17">
        <f>Price!F493</f>
        <v>39.36694</v>
      </c>
      <c r="R493" s="323"/>
      <c r="S493" s="323"/>
      <c r="T493" s="12">
        <f>Price!G493</f>
        <v>7957654</v>
      </c>
      <c r="U493" s="257">
        <f>Price!H493</f>
        <v>227740</v>
      </c>
      <c r="V493" s="13"/>
      <c r="W493" s="13"/>
      <c r="X493" s="19"/>
      <c r="Y493" s="19"/>
    </row>
    <row r="494" spans="1:25" ht="15" thickBot="1" x14ac:dyDescent="0.4">
      <c r="A494" s="325" t="str">
        <f>IF($C$2=1,L494,IF($C$2=2,L495,IF($C$2=3,L496,IF($C$2=4,L496,"  chyba"))))</f>
        <v>Zás.rámečky široké, 600mm, Nebraska dub/OG-M</v>
      </c>
      <c r="B494" s="331" t="str">
        <f>IF($C$2=1,M494,IF($C$2=2,M495,IF($C$2=3,M496,IF($C$2=4,M496,"  chyba"))))</f>
        <v>ZC7S600RH2</v>
      </c>
      <c r="C494" s="331" t="str">
        <f>IF($C$2=1,N494,IF($C$2=2,N495,IF($C$2=3,N496,IF($C$2=4,N496,"  chyba"))))</f>
        <v>E02G</v>
      </c>
      <c r="D494" s="331">
        <f>IF($C$2=1,O494,IF($C$2=2,O495,IF($C$2=3,O496,IF($C$2=4,O496,"  chyba"))))</f>
        <v>0</v>
      </c>
      <c r="E494" s="327">
        <f>IF($C$2=1,P494,IF($C$2=2,P495,IF($C$2=3,P496,IF($C$2=4,P496,"  chyba"))))</f>
        <v>0</v>
      </c>
      <c r="F494" s="328">
        <f>IF($C$2=1,Q494,IF($C$2=2,Q495,IF($C$2=3,Q496,IF($C$2=4,Q496,0))))*(100-$F$6)/100</f>
        <v>40.004950000000001</v>
      </c>
      <c r="G494" s="329"/>
      <c r="H494" s="329"/>
      <c r="I494" s="332">
        <f>IF($C$2=1,T494,IF($C$2=2,T495,IF($C$2=3,T496,IF($C$2=4,T496,"  chyba"))))</f>
        <v>8044308</v>
      </c>
      <c r="J494" s="332">
        <f>IF($C$2=1,U494,IF($C$2=2,U495,IF($C$2=3,U496,IF($C$2=4,U496,"  chyba"))))</f>
        <v>227742</v>
      </c>
      <c r="K494" s="71"/>
      <c r="L494" s="60" t="str">
        <f>Price!A494</f>
        <v>Zás.rámečky široké, 600mm, Nebraska dub/OG-M</v>
      </c>
      <c r="M494" s="15" t="str">
        <f>Price!B494</f>
        <v>ZC7S600RH2</v>
      </c>
      <c r="N494" s="15" t="str">
        <f>Price!C494</f>
        <v>E02G</v>
      </c>
      <c r="O494" s="537">
        <f>Price!D494</f>
        <v>0</v>
      </c>
      <c r="P494" s="16"/>
      <c r="Q494" s="17">
        <f>Price!F494</f>
        <v>40.004950000000001</v>
      </c>
      <c r="R494" s="323"/>
      <c r="S494" s="323"/>
      <c r="T494" s="12">
        <f>Price!G494</f>
        <v>8044308</v>
      </c>
      <c r="U494" s="257">
        <f>Price!H494</f>
        <v>227742</v>
      </c>
      <c r="V494" s="13"/>
      <c r="W494" s="13"/>
      <c r="X494" s="19"/>
      <c r="Y494" s="19"/>
    </row>
    <row r="495" spans="1:25" x14ac:dyDescent="0.35">
      <c r="A495" s="76"/>
      <c r="B495" s="162"/>
      <c r="C495" s="162"/>
      <c r="D495" s="540"/>
      <c r="E495" s="77"/>
      <c r="F495" s="64"/>
      <c r="G495" s="64"/>
      <c r="H495" s="64"/>
      <c r="I495" s="175"/>
      <c r="J495" s="175"/>
      <c r="K495" s="71"/>
      <c r="L495" s="60" t="str">
        <f>Price!A495</f>
        <v>Zás.rámečky široké, 600mm, Bardolino dub/SW-M</v>
      </c>
      <c r="M495" s="15" t="str">
        <f>Price!B495</f>
        <v>ZC7S600RH2</v>
      </c>
      <c r="N495" s="15" t="str">
        <f>Price!C495</f>
        <v>E01S</v>
      </c>
      <c r="O495" s="537">
        <f>Price!D495</f>
        <v>0</v>
      </c>
      <c r="P495" s="16"/>
      <c r="Q495" s="17">
        <f>Price!F495</f>
        <v>40.004950000000001</v>
      </c>
      <c r="R495" s="323"/>
      <c r="S495" s="323"/>
      <c r="T495" s="12">
        <f>Price!G495</f>
        <v>3812565</v>
      </c>
      <c r="U495" s="257">
        <f>Price!H495</f>
        <v>227744</v>
      </c>
      <c r="V495" s="13"/>
      <c r="W495" s="13"/>
      <c r="X495" s="19"/>
      <c r="Y495" s="19"/>
    </row>
    <row r="496" spans="1:25" x14ac:dyDescent="0.35">
      <c r="A496" s="76"/>
      <c r="B496" s="162"/>
      <c r="C496" s="162"/>
      <c r="D496" s="540"/>
      <c r="E496" s="82"/>
      <c r="F496" s="64"/>
      <c r="G496" s="64"/>
      <c r="H496" s="64"/>
      <c r="I496" s="175"/>
      <c r="J496" s="175"/>
      <c r="K496" s="71"/>
      <c r="L496" s="60" t="str">
        <f>Price!A496</f>
        <v>Zás.rámečky široké, 600mm, Tennessee oř./TS-M</v>
      </c>
      <c r="M496" s="15" t="str">
        <f>Price!B496</f>
        <v>ZC7S600RH2</v>
      </c>
      <c r="N496" s="15" t="str">
        <f>Price!C496</f>
        <v>N01T</v>
      </c>
      <c r="O496" s="537">
        <f>Price!D496</f>
        <v>0</v>
      </c>
      <c r="P496" s="16"/>
      <c r="Q496" s="17">
        <f>Price!F496</f>
        <v>40.004950000000001</v>
      </c>
      <c r="R496" s="323"/>
      <c r="S496" s="323"/>
      <c r="T496" s="12">
        <f>Price!G496</f>
        <v>4599953</v>
      </c>
      <c r="U496" s="257">
        <f>Price!H496</f>
        <v>227743</v>
      </c>
      <c r="V496" s="13"/>
      <c r="W496" s="13"/>
      <c r="X496" s="19"/>
      <c r="Y496" s="19"/>
    </row>
    <row r="497" spans="1:25" ht="15" thickBot="1" x14ac:dyDescent="0.4">
      <c r="A497" s="325" t="str">
        <f>IF($C$2=1,L497,IF($C$2=2,L498,IF($C$2=3,L499,IF($C$2=4,L499,"  chyba"))))</f>
        <v>Zás.rámečky široké, 650mm, Nebraska dub/OG-M</v>
      </c>
      <c r="B497" s="331" t="str">
        <f>IF($C$2=1,M497,IF($C$2=2,M498,IF($C$2=3,M499,IF($C$2=4,M499,"  chyba"))))</f>
        <v>ZC7S650RH2</v>
      </c>
      <c r="C497" s="331" t="str">
        <f>IF($C$2=1,N497,IF($C$2=2,N498,IF($C$2=3,N499,IF($C$2=4,N499,"  chyba"))))</f>
        <v>E02G</v>
      </c>
      <c r="D497" s="331">
        <f>IF($C$2=1,O497,IF($C$2=2,O498,IF($C$2=3,O499,IF($C$2=4,O499,"  chyba"))))</f>
        <v>0</v>
      </c>
      <c r="E497" s="327">
        <f>IF($C$2=1,P497,IF($C$2=2,P498,IF($C$2=3,P499,IF($C$2=4,P499,"  chyba"))))</f>
        <v>0</v>
      </c>
      <c r="F497" s="328">
        <f>IF($C$2=1,Q497,IF($C$2=2,Q498,IF($C$2=3,Q499,IF($C$2=4,Q499,0))))*(100-$F$6)/100</f>
        <v>40.64273</v>
      </c>
      <c r="G497" s="329"/>
      <c r="H497" s="329"/>
      <c r="I497" s="332">
        <f>IF($C$2=1,T497,IF($C$2=2,T498,IF($C$2=3,T499,IF($C$2=4,T499,"  chyba"))))</f>
        <v>2686598</v>
      </c>
      <c r="J497" s="332">
        <f>IF($C$2=1,U497,IF($C$2=2,U498,IF($C$2=3,U499,IF($C$2=4,U499,"  chyba"))))</f>
        <v>279423</v>
      </c>
      <c r="K497" s="71"/>
      <c r="L497" s="60" t="str">
        <f>Price!A497</f>
        <v>Zás.rámečky široké, 650mm, Nebraska dub/OG-M</v>
      </c>
      <c r="M497" s="15" t="str">
        <f>Price!B497</f>
        <v>ZC7S650RH2</v>
      </c>
      <c r="N497" s="15" t="str">
        <f>Price!C497</f>
        <v>E02G</v>
      </c>
      <c r="O497" s="537">
        <f>Price!D497</f>
        <v>0</v>
      </c>
      <c r="P497" s="16"/>
      <c r="Q497" s="17">
        <f>Price!F497</f>
        <v>40.64273</v>
      </c>
      <c r="R497" s="323"/>
      <c r="S497" s="323"/>
      <c r="T497" s="12">
        <f>Price!G497</f>
        <v>2686598</v>
      </c>
      <c r="U497" s="257">
        <f>Price!H497</f>
        <v>279423</v>
      </c>
      <c r="V497" s="13"/>
      <c r="W497" s="13"/>
      <c r="X497" s="19"/>
      <c r="Y497" s="19"/>
    </row>
    <row r="498" spans="1:25" x14ac:dyDescent="0.35">
      <c r="A498" s="76"/>
      <c r="B498" s="162"/>
      <c r="C498" s="162"/>
      <c r="D498" s="540"/>
      <c r="E498" s="77"/>
      <c r="F498" s="64"/>
      <c r="G498" s="64"/>
      <c r="H498" s="64"/>
      <c r="I498" s="175"/>
      <c r="J498" s="175"/>
      <c r="K498" s="71"/>
      <c r="L498" s="60" t="str">
        <f>Price!A498</f>
        <v>Zás.rámečky široké, 650mm, Bardolino dub/SW-M</v>
      </c>
      <c r="M498" s="15" t="str">
        <f>Price!B498</f>
        <v>ZC7S650RH2</v>
      </c>
      <c r="N498" s="15" t="str">
        <f>Price!C498</f>
        <v>E01S</v>
      </c>
      <c r="O498" s="537">
        <f>Price!D498</f>
        <v>0</v>
      </c>
      <c r="P498" s="16"/>
      <c r="Q498" s="17">
        <f>Price!F498</f>
        <v>40.64273</v>
      </c>
      <c r="R498" s="323"/>
      <c r="S498" s="323"/>
      <c r="T498" s="12">
        <f>Price!G498</f>
        <v>2559066</v>
      </c>
      <c r="U498" s="257">
        <f>Price!H498</f>
        <v>279424</v>
      </c>
      <c r="V498" s="13"/>
      <c r="W498" s="13"/>
      <c r="X498" s="19"/>
      <c r="Y498" s="19"/>
    </row>
    <row r="499" spans="1:25" x14ac:dyDescent="0.35">
      <c r="A499" s="76"/>
      <c r="B499" s="162"/>
      <c r="C499" s="162"/>
      <c r="D499" s="540"/>
      <c r="E499" s="82"/>
      <c r="F499" s="64"/>
      <c r="G499" s="64"/>
      <c r="H499" s="64"/>
      <c r="I499" s="175"/>
      <c r="J499" s="175"/>
      <c r="K499" s="71"/>
      <c r="L499" s="60" t="str">
        <f>Price!A499</f>
        <v>Zás.rámečky široké, 650mm, Tennessee oř./TS-M</v>
      </c>
      <c r="M499" s="15" t="str">
        <f>Price!B499</f>
        <v>ZC7S650RH2</v>
      </c>
      <c r="N499" s="15" t="str">
        <f>Price!C499</f>
        <v>N01T</v>
      </c>
      <c r="O499" s="537">
        <f>Price!D499</f>
        <v>0</v>
      </c>
      <c r="P499" s="16"/>
      <c r="Q499" s="17">
        <f>Price!F499</f>
        <v>40.64273</v>
      </c>
      <c r="R499" s="323"/>
      <c r="S499" s="323"/>
      <c r="T499" s="12">
        <f>Price!G499</f>
        <v>2886048</v>
      </c>
      <c r="U499" s="257">
        <f>Price!H499</f>
        <v>279425</v>
      </c>
      <c r="V499" s="13"/>
      <c r="W499" s="13"/>
      <c r="X499" s="19"/>
      <c r="Y499" s="19"/>
    </row>
    <row r="500" spans="1:25" ht="15" thickBot="1" x14ac:dyDescent="0.4">
      <c r="A500" s="325" t="str">
        <f>IF($C$2=1,L500,IF($C$2=2,L501,IF($C$2=3,L502,IF($C$2=4,L502,"  chyba"))))</f>
        <v>Samostatná příčka, 50/200mm, Nebraska dub</v>
      </c>
      <c r="B500" s="331" t="str">
        <f>IF($C$2=1,M500,IF($C$2=2,M501,IF($C$2=3,M502,IF($C$2=4,M502,"  chyba"))))</f>
        <v>ZC7Q020SH</v>
      </c>
      <c r="C500" s="331" t="str">
        <f>IF($C$2=1,N500,IF($C$2=2,N501,IF($C$2=3,N502,IF($C$2=4,N502,"  chyba"))))</f>
        <v>E02G</v>
      </c>
      <c r="D500" s="331" t="str">
        <f>IF($C$2=1,O500,IF($C$2=2,O501,IF($C$2=3,O502,IF($C$2=4,O502,"  chyba"))))</f>
        <v>!</v>
      </c>
      <c r="E500" s="327">
        <f>IF($C$2=1,P500,IF($C$2=2,P501,IF($C$2=3,P502,IF($C$2=4,P502,"  chyba"))))</f>
        <v>0</v>
      </c>
      <c r="F500" s="328">
        <f>IF($C$2=1,Q500,IF($C$2=2,Q501,IF($C$2=3,Q502,IF($C$2=4,Q502,0))))*(100-$F$6)/100</f>
        <v>6.60684</v>
      </c>
      <c r="G500" s="329"/>
      <c r="H500" s="329"/>
      <c r="I500" s="332">
        <f>IF($C$2=1,T500,IF($C$2=2,T501,IF($C$2=3,T502,IF($C$2=4,T502,"  chyba"))))</f>
        <v>1408697</v>
      </c>
      <c r="J500" s="332">
        <f>IF($C$2=1,U500,IF($C$2=2,U501,IF($C$2=3,U502,IF($C$2=4,U502,"  chyba"))))</f>
        <v>227745</v>
      </c>
      <c r="K500" s="71"/>
      <c r="L500" s="60" t="str">
        <f>Price!A500</f>
        <v>Samostatná příčka, 50/200mm, Nebraska dub</v>
      </c>
      <c r="M500" s="15" t="str">
        <f>Price!B500</f>
        <v>ZC7Q020SH</v>
      </c>
      <c r="N500" s="15" t="str">
        <f>Price!C500</f>
        <v>E02G</v>
      </c>
      <c r="O500" s="537" t="str">
        <f>Price!D500</f>
        <v>!</v>
      </c>
      <c r="P500" s="16"/>
      <c r="Q500" s="17">
        <f>Price!F500</f>
        <v>6.60684</v>
      </c>
      <c r="R500" s="323"/>
      <c r="S500" s="323"/>
      <c r="T500" s="12">
        <f>Price!G500</f>
        <v>1408697</v>
      </c>
      <c r="U500" s="257">
        <f>Price!H500</f>
        <v>227745</v>
      </c>
      <c r="V500" s="13"/>
      <c r="W500" s="13"/>
      <c r="X500" s="19"/>
      <c r="Y500" s="19"/>
    </row>
    <row r="501" spans="1:25" x14ac:dyDescent="0.35">
      <c r="A501" s="76"/>
      <c r="B501" s="162"/>
      <c r="C501" s="162"/>
      <c r="D501" s="540"/>
      <c r="E501" s="82"/>
      <c r="F501" s="64"/>
      <c r="G501" s="64"/>
      <c r="H501" s="64"/>
      <c r="I501" s="175"/>
      <c r="J501" s="175"/>
      <c r="K501" s="62"/>
      <c r="L501" s="60" t="str">
        <f>Price!A501</f>
        <v>Samostatná příčka, 50/200mm, Bardolino dub</v>
      </c>
      <c r="M501" s="15" t="str">
        <f>Price!B501</f>
        <v>ZC7Q020SH</v>
      </c>
      <c r="N501" s="15" t="str">
        <f>Price!C501</f>
        <v>E01S</v>
      </c>
      <c r="O501" s="537" t="str">
        <f>Price!D501</f>
        <v>!</v>
      </c>
      <c r="P501" s="16"/>
      <c r="Q501" s="17">
        <f>Price!F501</f>
        <v>6.60684</v>
      </c>
      <c r="R501" s="323"/>
      <c r="S501" s="323"/>
      <c r="T501" s="12">
        <f>Price!G501</f>
        <v>2073881</v>
      </c>
      <c r="U501" s="257">
        <f>Price!H501</f>
        <v>227747</v>
      </c>
      <c r="V501" s="13"/>
      <c r="W501" s="13"/>
      <c r="X501" s="19"/>
      <c r="Y501" s="19"/>
    </row>
    <row r="502" spans="1:25" x14ac:dyDescent="0.35">
      <c r="A502" s="76"/>
      <c r="B502" s="162"/>
      <c r="C502" s="162"/>
      <c r="D502" s="540"/>
      <c r="E502" s="77"/>
      <c r="F502" s="64"/>
      <c r="G502" s="64"/>
      <c r="H502" s="64"/>
      <c r="I502" s="175"/>
      <c r="J502" s="175"/>
      <c r="K502" s="62"/>
      <c r="L502" s="60" t="str">
        <f>Price!A502</f>
        <v>Samostatná příčka, 50/200mm, Tennessee ořech</v>
      </c>
      <c r="M502" s="15" t="str">
        <f>Price!B502</f>
        <v>ZC7Q020SH</v>
      </c>
      <c r="N502" s="15" t="str">
        <f>Price!C502</f>
        <v>N01T</v>
      </c>
      <c r="O502" s="537" t="str">
        <f>Price!D502</f>
        <v>!</v>
      </c>
      <c r="P502" s="16"/>
      <c r="Q502" s="17">
        <f>Price!F502</f>
        <v>6.60684</v>
      </c>
      <c r="R502" s="323"/>
      <c r="S502" s="323"/>
      <c r="T502" s="12">
        <f>Price!G502</f>
        <v>1552689</v>
      </c>
      <c r="U502" s="257">
        <f>Price!H502</f>
        <v>227746</v>
      </c>
      <c r="V502" s="13"/>
      <c r="W502" s="13"/>
      <c r="X502" s="19"/>
      <c r="Y502" s="19"/>
    </row>
    <row r="503" spans="1:25" x14ac:dyDescent="0.35">
      <c r="A503" s="76"/>
      <c r="B503" s="162"/>
      <c r="C503" s="162"/>
      <c r="D503" s="540"/>
      <c r="E503" s="82"/>
      <c r="F503" s="64"/>
      <c r="G503" s="64"/>
      <c r="H503" s="64"/>
      <c r="I503" s="175"/>
      <c r="J503" s="175"/>
      <c r="K503" s="62"/>
      <c r="L503" s="60">
        <f>Price!A503</f>
        <v>0</v>
      </c>
      <c r="M503" s="15">
        <f>Price!B503</f>
        <v>0</v>
      </c>
      <c r="N503" s="15">
        <f>Price!C503</f>
        <v>0</v>
      </c>
      <c r="O503" s="537">
        <f>Price!D503</f>
        <v>0</v>
      </c>
      <c r="P503" s="16"/>
      <c r="Q503" s="17">
        <f>Price!F503</f>
        <v>0</v>
      </c>
      <c r="R503" s="323"/>
      <c r="S503" s="323"/>
      <c r="T503" s="12">
        <f>Price!G503</f>
        <v>0</v>
      </c>
      <c r="U503" s="257">
        <f>Price!H503</f>
        <v>0</v>
      </c>
      <c r="V503" s="13"/>
      <c r="W503" s="13"/>
      <c r="X503" s="19"/>
      <c r="Y503" s="19"/>
    </row>
    <row r="504" spans="1:25" ht="15" thickBot="1" x14ac:dyDescent="0.4">
      <c r="A504" s="325" t="str">
        <f>IF($C$2=1,L504,IF($C$2=2,L505,IF($C$2=3,L506,IF($C$2=4,L506,"  chyba"))))</f>
        <v>Zásuvkové rámečky, od 270mm, Nebraska/OG-M</v>
      </c>
      <c r="B504" s="331" t="str">
        <f>IF($C$2=1,M504,IF($C$2=2,M505,IF($C$2=3,M506,IF($C$2=4,M506,"  chyba"))))</f>
        <v>ZC7S300RHU</v>
      </c>
      <c r="C504" s="331" t="str">
        <f>IF($C$2=1,N504,IF($C$2=2,N505,IF($C$2=3,N506,IF($C$2=4,N506,"  chyba"))))</f>
        <v>E02G</v>
      </c>
      <c r="D504" s="331">
        <f>IF($C$2=1,O504,IF($C$2=2,O505,IF($C$2=3,O506,IF($C$2=4,O506,"  chyba"))))</f>
        <v>0</v>
      </c>
      <c r="E504" s="327">
        <f>IF($C$2=1,P504,IF($C$2=2,P505,IF($C$2=3,P506,IF($C$2=4,P506,"  chyba"))))</f>
        <v>0</v>
      </c>
      <c r="F504" s="328">
        <f>IF($C$2=1,Q504,IF($C$2=2,Q505,IF($C$2=3,Q506,IF($C$2=4,Q506,0))))*(100-$F$6)/100</f>
        <v>43.285469999999997</v>
      </c>
      <c r="G504" s="329"/>
      <c r="H504" s="329"/>
      <c r="I504" s="332">
        <f>IF($C$2=1,T504,IF($C$2=2,T505,IF($C$2=3,T506,IF($C$2=4,T506,"  chyba"))))</f>
        <v>3149094</v>
      </c>
      <c r="J504" s="332">
        <f>IF($C$2=1,U504,IF($C$2=2,U505,IF($C$2=3,U506,IF($C$2=4,U506,"  chyba"))))</f>
        <v>227711</v>
      </c>
      <c r="K504" s="62"/>
      <c r="L504" s="60" t="str">
        <f>Price!A504</f>
        <v>Zásuvkové rámečky, od 270mm, Nebraska/OG-M</v>
      </c>
      <c r="M504" s="15" t="str">
        <f>Price!B504</f>
        <v>ZC7S300RHU</v>
      </c>
      <c r="N504" s="15" t="str">
        <f>Price!C504</f>
        <v>E02G</v>
      </c>
      <c r="O504" s="537">
        <f>Price!D504</f>
        <v>0</v>
      </c>
      <c r="P504" s="16"/>
      <c r="Q504" s="17">
        <f>Price!F504</f>
        <v>43.285469999999997</v>
      </c>
      <c r="R504" s="323"/>
      <c r="S504" s="323"/>
      <c r="T504" s="12">
        <f>Price!G504</f>
        <v>3149094</v>
      </c>
      <c r="U504" s="257">
        <f>Price!H504</f>
        <v>227711</v>
      </c>
      <c r="V504" s="13"/>
      <c r="W504" s="13"/>
      <c r="X504" s="19"/>
      <c r="Y504" s="19"/>
    </row>
    <row r="505" spans="1:25" x14ac:dyDescent="0.35">
      <c r="A505" s="78"/>
      <c r="B505" s="163"/>
      <c r="C505" s="163"/>
      <c r="D505" s="541"/>
      <c r="E505" s="77"/>
      <c r="F505" s="66"/>
      <c r="G505" s="66"/>
      <c r="H505" s="66"/>
      <c r="I505" s="174"/>
      <c r="J505" s="174"/>
      <c r="K505" s="61"/>
      <c r="L505" s="60" t="str">
        <f>Price!A505</f>
        <v>Zásuvkové rámečky, od 270mm, Bardolino/SW-M</v>
      </c>
      <c r="M505" s="15" t="str">
        <f>Price!B505</f>
        <v>ZC7S300RHU</v>
      </c>
      <c r="N505" s="15" t="str">
        <f>Price!C505</f>
        <v>E01S</v>
      </c>
      <c r="O505" s="537">
        <f>Price!D505</f>
        <v>0</v>
      </c>
      <c r="P505" s="16"/>
      <c r="Q505" s="17">
        <f>Price!F505</f>
        <v>43.285469999999997</v>
      </c>
      <c r="R505" s="323"/>
      <c r="S505" s="323"/>
      <c r="T505" s="12">
        <f>Price!G505</f>
        <v>9116345</v>
      </c>
      <c r="U505" s="257">
        <f>Price!H505</f>
        <v>227713</v>
      </c>
      <c r="V505" s="13"/>
      <c r="W505" s="13"/>
      <c r="X505" s="19"/>
      <c r="Y505" s="19"/>
    </row>
    <row r="506" spans="1:25" x14ac:dyDescent="0.35">
      <c r="A506" s="76"/>
      <c r="B506" s="162"/>
      <c r="C506" s="162"/>
      <c r="D506" s="540"/>
      <c r="E506" s="77"/>
      <c r="F506" s="64"/>
      <c r="G506" s="64"/>
      <c r="H506" s="64"/>
      <c r="I506" s="175"/>
      <c r="J506" s="175"/>
      <c r="K506" s="62"/>
      <c r="L506" s="60" t="str">
        <f>Price!A506</f>
        <v>Zásuvkové rámečky, od 270mm, Tennessee/TS-M</v>
      </c>
      <c r="M506" s="15" t="str">
        <f>Price!B506</f>
        <v>ZC7S300RHU</v>
      </c>
      <c r="N506" s="15" t="str">
        <f>Price!C506</f>
        <v>N01T</v>
      </c>
      <c r="O506" s="537">
        <f>Price!D506</f>
        <v>0</v>
      </c>
      <c r="P506" s="16"/>
      <c r="Q506" s="17">
        <f>Price!F506</f>
        <v>43.285469999999997</v>
      </c>
      <c r="R506" s="323"/>
      <c r="S506" s="323"/>
      <c r="T506" s="12">
        <f>Price!G506</f>
        <v>7375058</v>
      </c>
      <c r="U506" s="257">
        <f>Price!H506</f>
        <v>227712</v>
      </c>
      <c r="V506" s="13"/>
      <c r="W506" s="13"/>
      <c r="X506" s="19"/>
      <c r="Y506" s="19"/>
    </row>
    <row r="507" spans="1:25" ht="15" thickBot="1" x14ac:dyDescent="0.4">
      <c r="A507" s="325" t="str">
        <f>IF($C$2=1,L507,IF($C$2=2,L508,IF($C$2=3,L509,IF($C$2=4,L509,"  chyba"))))</f>
        <v>Samostatná příčka, 50/242mm, Nebraska dub</v>
      </c>
      <c r="B507" s="331" t="str">
        <f>IF($C$2=1,M507,IF($C$2=2,M508,IF($C$2=3,M509,IF($C$2=4,M509,"  chyba"))))</f>
        <v>ZC7Q0U0SH</v>
      </c>
      <c r="C507" s="331" t="str">
        <f>IF($C$2=1,N507,IF($C$2=2,N508,IF($C$2=3,N509,IF($C$2=4,N509,"  chyba"))))</f>
        <v>E02G</v>
      </c>
      <c r="D507" s="331" t="str">
        <f>IF($C$2=1,O507,IF($C$2=2,O508,IF($C$2=3,O509,IF($C$2=4,O509,"  chyba"))))</f>
        <v>!</v>
      </c>
      <c r="E507" s="327">
        <f>IF($C$2=1,P507,IF($C$2=2,P508,IF($C$2=3,P509,IF($C$2=4,P509,"  chyba"))))</f>
        <v>0</v>
      </c>
      <c r="F507" s="328">
        <f>IF($C$2=1,Q507,IF($C$2=2,Q508,IF($C$2=3,Q509,IF($C$2=4,Q509,0))))*(100-$F$6)/100</f>
        <v>6.9484299999999992</v>
      </c>
      <c r="G507" s="329"/>
      <c r="H507" s="329"/>
      <c r="I507" s="332">
        <f>IF($C$2=1,T507,IF($C$2=2,T508,IF($C$2=3,T509,IF($C$2=4,T509,"  chyba"))))</f>
        <v>5670971</v>
      </c>
      <c r="J507" s="332">
        <f>IF($C$2=1,U507,IF($C$2=2,U508,IF($C$2=3,U509,IF($C$2=4,U509,"  chyba"))))</f>
        <v>227716</v>
      </c>
      <c r="K507" s="62"/>
      <c r="L507" s="60" t="str">
        <f>Price!A507</f>
        <v>Samostatná příčka, 50/242mm, Nebraska dub</v>
      </c>
      <c r="M507" s="15" t="str">
        <f>Price!B507</f>
        <v>ZC7Q0U0SH</v>
      </c>
      <c r="N507" s="15" t="str">
        <f>Price!C507</f>
        <v>E02G</v>
      </c>
      <c r="O507" s="537" t="str">
        <f>Price!D507</f>
        <v>!</v>
      </c>
      <c r="P507" s="16"/>
      <c r="Q507" s="17">
        <f>Price!F507</f>
        <v>6.9484300000000001</v>
      </c>
      <c r="R507" s="323"/>
      <c r="S507" s="323"/>
      <c r="T507" s="12">
        <f>Price!G507</f>
        <v>5670971</v>
      </c>
      <c r="U507" s="257">
        <f>Price!H507</f>
        <v>227716</v>
      </c>
      <c r="V507" s="13"/>
      <c r="W507" s="13"/>
      <c r="X507" s="19"/>
      <c r="Y507" s="19"/>
    </row>
    <row r="508" spans="1:25" x14ac:dyDescent="0.35">
      <c r="A508" s="76"/>
      <c r="B508" s="162"/>
      <c r="C508" s="162"/>
      <c r="D508" s="540"/>
      <c r="E508" s="82"/>
      <c r="F508" s="64"/>
      <c r="G508" s="64"/>
      <c r="H508" s="64"/>
      <c r="I508" s="175"/>
      <c r="J508" s="175"/>
      <c r="K508" s="62"/>
      <c r="L508" s="60" t="str">
        <f>Price!A508</f>
        <v>Samostatná příčka, 50/242mm, Bardolino dub</v>
      </c>
      <c r="M508" s="15" t="str">
        <f>Price!B508</f>
        <v>ZC7Q0U0SH</v>
      </c>
      <c r="N508" s="15" t="str">
        <f>Price!C508</f>
        <v>E01S</v>
      </c>
      <c r="O508" s="537" t="str">
        <f>Price!D508</f>
        <v>!</v>
      </c>
      <c r="P508" s="16"/>
      <c r="Q508" s="17">
        <f>Price!F508</f>
        <v>6.9484300000000001</v>
      </c>
      <c r="R508" s="323"/>
      <c r="S508" s="323"/>
      <c r="T508" s="12">
        <f>Price!G508</f>
        <v>3458747</v>
      </c>
      <c r="U508" s="257">
        <f>Price!H508</f>
        <v>227714</v>
      </c>
      <c r="V508" s="13"/>
      <c r="W508" s="13"/>
      <c r="X508" s="19"/>
      <c r="Y508" s="19"/>
    </row>
    <row r="509" spans="1:25" x14ac:dyDescent="0.35">
      <c r="A509" s="78"/>
      <c r="B509" s="163"/>
      <c r="C509" s="163"/>
      <c r="D509" s="541"/>
      <c r="E509" s="77"/>
      <c r="F509" s="66"/>
      <c r="G509" s="66"/>
      <c r="H509" s="66"/>
      <c r="I509" s="174"/>
      <c r="J509" s="174"/>
      <c r="K509" s="62"/>
      <c r="L509" s="60" t="str">
        <f>Price!A509</f>
        <v>Samostatná příčka, 50/242mm, Tennessee ořech</v>
      </c>
      <c r="M509" s="15" t="str">
        <f>Price!B509</f>
        <v>ZC7Q0U0SH</v>
      </c>
      <c r="N509" s="15" t="str">
        <f>Price!C509</f>
        <v>N01T</v>
      </c>
      <c r="O509" s="537" t="str">
        <f>Price!D509</f>
        <v>!</v>
      </c>
      <c r="P509" s="16"/>
      <c r="Q509" s="17">
        <f>Price!F509</f>
        <v>6.9484300000000001</v>
      </c>
      <c r="R509" s="323"/>
      <c r="S509" s="323"/>
      <c r="T509" s="12">
        <f>Price!G509</f>
        <v>8042885</v>
      </c>
      <c r="U509" s="257">
        <f>Price!H509</f>
        <v>227715</v>
      </c>
      <c r="V509" s="13"/>
      <c r="W509" s="13"/>
      <c r="X509" s="19"/>
      <c r="Y509" s="19"/>
    </row>
    <row r="510" spans="1:25" x14ac:dyDescent="0.35">
      <c r="A510" s="76"/>
      <c r="B510" s="162"/>
      <c r="C510" s="162"/>
      <c r="D510" s="540"/>
      <c r="E510" s="77"/>
      <c r="F510" s="64"/>
      <c r="G510" s="64"/>
      <c r="H510" s="64"/>
      <c r="I510" s="175"/>
      <c r="J510" s="175"/>
      <c r="K510" s="62"/>
      <c r="L510" s="60">
        <f>Price!A510</f>
        <v>0</v>
      </c>
      <c r="M510" s="15">
        <f>Price!B510</f>
        <v>0</v>
      </c>
      <c r="N510" s="15">
        <f>Price!C510</f>
        <v>0</v>
      </c>
      <c r="O510" s="537">
        <f>Price!D510</f>
        <v>0</v>
      </c>
      <c r="P510" s="16"/>
      <c r="Q510" s="17">
        <f>Price!F510</f>
        <v>0</v>
      </c>
      <c r="R510" s="323"/>
      <c r="S510" s="323"/>
      <c r="T510" s="12">
        <f>Price!G510</f>
        <v>0</v>
      </c>
      <c r="U510" s="257">
        <f>Price!H510</f>
        <v>0</v>
      </c>
      <c r="V510" s="13"/>
      <c r="W510" s="13"/>
      <c r="X510" s="19"/>
      <c r="Y510" s="19"/>
    </row>
    <row r="511" spans="1:25" x14ac:dyDescent="0.35">
      <c r="A511" s="76"/>
      <c r="B511" s="162"/>
      <c r="C511" s="162"/>
      <c r="D511" s="540"/>
      <c r="E511" s="82"/>
      <c r="F511" s="64"/>
      <c r="G511" s="64"/>
      <c r="H511" s="64"/>
      <c r="I511" s="175"/>
      <c r="J511" s="175"/>
      <c r="K511" s="62"/>
      <c r="L511" s="60">
        <f>Price!A511</f>
        <v>0</v>
      </c>
      <c r="M511" s="15">
        <f>Price!B511</f>
        <v>0</v>
      </c>
      <c r="N511" s="15">
        <f>Price!C511</f>
        <v>0</v>
      </c>
      <c r="O511" s="537">
        <f>Price!D511</f>
        <v>0</v>
      </c>
      <c r="P511" s="16"/>
      <c r="Q511" s="17">
        <f>Price!F511</f>
        <v>0</v>
      </c>
      <c r="R511" s="323"/>
      <c r="S511" s="323"/>
      <c r="T511" s="12">
        <f>Price!G511</f>
        <v>0</v>
      </c>
      <c r="U511" s="257">
        <f>Price!H511</f>
        <v>0</v>
      </c>
      <c r="V511" s="13"/>
      <c r="W511" s="13"/>
      <c r="X511" s="19"/>
      <c r="Y511" s="19"/>
    </row>
    <row r="512" spans="1:25" x14ac:dyDescent="0.35">
      <c r="A512" s="76"/>
      <c r="B512" s="162"/>
      <c r="C512" s="162"/>
      <c r="D512" s="540"/>
      <c r="E512" s="82"/>
      <c r="F512" s="64"/>
      <c r="G512" s="64"/>
      <c r="H512" s="64"/>
      <c r="I512" s="175"/>
      <c r="J512" s="175"/>
      <c r="K512" s="20"/>
      <c r="L512" s="60" t="str">
        <f>Price!A512</f>
        <v xml:space="preserve">   AMBIA-LINE pro čelní výsuvy, dřevěný design</v>
      </c>
      <c r="M512" s="15">
        <f>Price!B512</f>
        <v>0</v>
      </c>
      <c r="N512" s="15">
        <f>Price!C512</f>
        <v>0</v>
      </c>
      <c r="O512" s="537">
        <f>Price!D512</f>
        <v>0</v>
      </c>
      <c r="P512" s="16"/>
      <c r="Q512" s="17">
        <f>Price!F512</f>
        <v>0</v>
      </c>
      <c r="R512" s="323"/>
      <c r="S512" s="323"/>
      <c r="T512" s="12">
        <f>Price!G512</f>
        <v>0</v>
      </c>
      <c r="U512" s="257">
        <f>Price!H512</f>
        <v>0</v>
      </c>
      <c r="V512" s="13"/>
      <c r="W512" s="13"/>
      <c r="X512" s="19"/>
      <c r="Y512" s="19"/>
    </row>
    <row r="513" spans="1:25" ht="15" thickBot="1" x14ac:dyDescent="0.4">
      <c r="A513" s="325" t="str">
        <f>IF($C$2=1,L513,IF($C$2=2,L514,IF($C$2=3,L515,IF($C$2=4,L515,"  chyba"))))</f>
        <v>Rámečky pro výsuvy, od 270mm, Nebraska/OG-M</v>
      </c>
      <c r="B513" s="331" t="str">
        <f>IF($C$2=1,M513,IF($C$2=2,M514,IF($C$2=3,M515,IF($C$2=4,M515,"  chyba"))))</f>
        <v>ZC7F300RHU</v>
      </c>
      <c r="C513" s="331" t="str">
        <f>IF($C$2=1,N513,IF($C$2=2,N514,IF($C$2=3,N515,IF($C$2=4,N515,"  chyba"))))</f>
        <v>E02G</v>
      </c>
      <c r="D513" s="331" t="str">
        <f>IF($C$2=1,O513,IF($C$2=2,O514,IF($C$2=3,O515,IF($C$2=4,O515,"  chyba"))))</f>
        <v>!</v>
      </c>
      <c r="E513" s="327">
        <f>IF($C$2=1,P513,IF($C$2=2,P514,IF($C$2=3,P515,IF($C$2=4,P515,"  chyba"))))</f>
        <v>0</v>
      </c>
      <c r="F513" s="328">
        <f>IF($C$2=1,Q513,IF($C$2=2,Q514,IF($C$2=3,Q515,IF($C$2=4,Q515,0))))*(100-$F$6)/100</f>
        <v>45.56362</v>
      </c>
      <c r="G513" s="329"/>
      <c r="H513" s="329"/>
      <c r="I513" s="332">
        <f>IF($C$2=1,T513,IF($C$2=2,T514,IF($C$2=3,T515,IF($C$2=4,T515,"  chyba"))))</f>
        <v>9613823</v>
      </c>
      <c r="J513" s="332">
        <f>IF($C$2=1,U513,IF($C$2=2,U514,IF($C$2=3,U515,IF($C$2=4,U515,"  chyba"))))</f>
        <v>227748</v>
      </c>
      <c r="K513" s="20"/>
      <c r="L513" s="60" t="str">
        <f>Price!A513</f>
        <v>Rámečky pro výsuvy, od 270mm, Nebraska/OG-M</v>
      </c>
      <c r="M513" s="15" t="str">
        <f>Price!B513</f>
        <v>ZC7F300RHU</v>
      </c>
      <c r="N513" s="15" t="str">
        <f>Price!C513</f>
        <v>E02G</v>
      </c>
      <c r="O513" s="537" t="str">
        <f>Price!D513</f>
        <v>!</v>
      </c>
      <c r="P513" s="16"/>
      <c r="Q513" s="17">
        <f>Price!F513</f>
        <v>45.56362</v>
      </c>
      <c r="R513" s="323"/>
      <c r="S513" s="323"/>
      <c r="T513" s="12">
        <f>Price!G513</f>
        <v>9613823</v>
      </c>
      <c r="U513" s="257">
        <f>Price!H513</f>
        <v>227748</v>
      </c>
      <c r="V513" s="13"/>
      <c r="W513" s="13"/>
      <c r="X513" s="19"/>
      <c r="Y513" s="19"/>
    </row>
    <row r="514" spans="1:25" x14ac:dyDescent="0.35">
      <c r="A514" s="76"/>
      <c r="B514" s="162"/>
      <c r="C514" s="162"/>
      <c r="D514" s="540"/>
      <c r="E514" s="82"/>
      <c r="F514" s="64"/>
      <c r="G514" s="64"/>
      <c r="H514" s="64"/>
      <c r="I514" s="175"/>
      <c r="J514" s="175"/>
      <c r="K514" s="20"/>
      <c r="L514" s="60" t="str">
        <f>Price!A514</f>
        <v>Rámečky pro výsuvy, od 270mm, Bardolino/SW-M</v>
      </c>
      <c r="M514" s="15" t="str">
        <f>Price!B514</f>
        <v>ZC7F300RHU</v>
      </c>
      <c r="N514" s="15" t="str">
        <f>Price!C514</f>
        <v>E01S</v>
      </c>
      <c r="O514" s="537" t="str">
        <f>Price!D514</f>
        <v>!</v>
      </c>
      <c r="P514" s="16"/>
      <c r="Q514" s="17">
        <f>Price!F514</f>
        <v>45.56362</v>
      </c>
      <c r="R514" s="323"/>
      <c r="S514" s="323"/>
      <c r="T514" s="12">
        <f>Price!G514</f>
        <v>3670050</v>
      </c>
      <c r="U514" s="257">
        <f>Price!H514</f>
        <v>227750</v>
      </c>
      <c r="V514" s="13"/>
      <c r="W514" s="13"/>
      <c r="X514" s="19"/>
      <c r="Y514" s="19"/>
    </row>
    <row r="515" spans="1:25" x14ac:dyDescent="0.35">
      <c r="A515" s="76"/>
      <c r="B515" s="162"/>
      <c r="C515" s="162"/>
      <c r="D515" s="540"/>
      <c r="E515" s="82"/>
      <c r="F515" s="64"/>
      <c r="G515" s="64"/>
      <c r="H515" s="64"/>
      <c r="I515" s="175"/>
      <c r="J515" s="175"/>
      <c r="K515" s="62"/>
      <c r="L515" s="60" t="str">
        <f>Price!A515</f>
        <v>Rámečky pro výsuvy, od 270mm, Tennessee/TS-M</v>
      </c>
      <c r="M515" s="15" t="str">
        <f>Price!B515</f>
        <v>ZC7F300RHU</v>
      </c>
      <c r="N515" s="15" t="str">
        <f>Price!C515</f>
        <v>N01T</v>
      </c>
      <c r="O515" s="537" t="str">
        <f>Price!D515</f>
        <v>!</v>
      </c>
      <c r="P515" s="16"/>
      <c r="Q515" s="17">
        <f>Price!F515</f>
        <v>45.56362</v>
      </c>
      <c r="R515" s="323"/>
      <c r="S515" s="323"/>
      <c r="T515" s="12">
        <f>Price!G515</f>
        <v>3493503</v>
      </c>
      <c r="U515" s="257">
        <f>Price!H515</f>
        <v>227749</v>
      </c>
      <c r="V515" s="13"/>
      <c r="W515" s="13"/>
      <c r="X515" s="19"/>
      <c r="Y515" s="19"/>
    </row>
    <row r="516" spans="1:25" ht="15" thickBot="1" x14ac:dyDescent="0.4">
      <c r="A516" s="325" t="str">
        <f>IF($C$2=1,L516,IF($C$2=2,L517,IF($C$2=3,L518,IF($C$2=4,L518,"  chyba"))))</f>
        <v>Samostatná příčka, 100/242mm, Nebraska dub</v>
      </c>
      <c r="B516" s="331" t="str">
        <f>IF($C$2=1,M516,IF($C$2=2,M517,IF($C$2=3,M518,IF($C$2=4,M518,"  chyba"))))</f>
        <v>ZC7Q0U0FH</v>
      </c>
      <c r="C516" s="331" t="str">
        <f>IF($C$2=1,N516,IF($C$2=2,N517,IF($C$2=3,N518,IF($C$2=4,N518,"  chyba"))))</f>
        <v>E02G</v>
      </c>
      <c r="D516" s="331" t="str">
        <f>IF($C$2=1,O516,IF($C$2=2,O517,IF($C$2=3,O518,IF($C$2=4,O518,"  chyba"))))</f>
        <v>!</v>
      </c>
      <c r="E516" s="327">
        <f>IF($C$2=1,P516,IF($C$2=2,P517,IF($C$2=3,P518,IF($C$2=4,P518,"  chyba"))))</f>
        <v>0</v>
      </c>
      <c r="F516" s="328">
        <f>IF($C$2=1,Q516,IF($C$2=2,Q517,IF($C$2=3,Q518,IF($C$2=4,Q518,0))))*(100-$F$6)/100</f>
        <v>7.5180499999999997</v>
      </c>
      <c r="G516" s="329"/>
      <c r="H516" s="329"/>
      <c r="I516" s="332">
        <f>IF($C$2=1,T516,IF($C$2=2,T517,IF($C$2=3,T518,IF($C$2=4,T518,"  chyba"))))</f>
        <v>7307581</v>
      </c>
      <c r="J516" s="332">
        <f>IF($C$2=1,U516,IF($C$2=2,U517,IF($C$2=3,U518,IF($C$2=4,U518,"  chyba"))))</f>
        <v>227753</v>
      </c>
      <c r="K516" s="62"/>
      <c r="L516" s="60" t="str">
        <f>Price!A516</f>
        <v>Samostatná příčka, 100/242mm, Nebraska dub</v>
      </c>
      <c r="M516" s="15" t="str">
        <f>Price!B516</f>
        <v>ZC7Q0U0FH</v>
      </c>
      <c r="N516" s="15" t="str">
        <f>Price!C516</f>
        <v>E02G</v>
      </c>
      <c r="O516" s="537" t="str">
        <f>Price!D516</f>
        <v>!</v>
      </c>
      <c r="P516" s="16"/>
      <c r="Q516" s="17">
        <f>Price!F516</f>
        <v>7.5180499999999997</v>
      </c>
      <c r="R516" s="323"/>
      <c r="S516" s="323"/>
      <c r="T516" s="12">
        <f>Price!G516</f>
        <v>7307581</v>
      </c>
      <c r="U516" s="257">
        <f>Price!H516</f>
        <v>227753</v>
      </c>
      <c r="V516" s="13"/>
      <c r="W516" s="13"/>
      <c r="X516" s="19"/>
      <c r="Y516" s="19"/>
    </row>
    <row r="517" spans="1:25" x14ac:dyDescent="0.35">
      <c r="A517" s="76"/>
      <c r="B517" s="162"/>
      <c r="C517" s="162"/>
      <c r="D517" s="540"/>
      <c r="E517" s="77"/>
      <c r="F517" s="64"/>
      <c r="G517" s="64"/>
      <c r="H517" s="64"/>
      <c r="I517" s="175"/>
      <c r="J517" s="175"/>
      <c r="K517" s="62"/>
      <c r="L517" s="60" t="str">
        <f>Price!A517</f>
        <v>Samostatná příčka, 100/242mm, Bardolino dub</v>
      </c>
      <c r="M517" s="15" t="str">
        <f>Price!B517</f>
        <v>ZC7Q0U0FH</v>
      </c>
      <c r="N517" s="15" t="str">
        <f>Price!C517</f>
        <v>E01S</v>
      </c>
      <c r="O517" s="537" t="str">
        <f>Price!D517</f>
        <v>!</v>
      </c>
      <c r="P517" s="16"/>
      <c r="Q517" s="17">
        <f>Price!F517</f>
        <v>7.5180499999999997</v>
      </c>
      <c r="R517" s="323"/>
      <c r="S517" s="323"/>
      <c r="T517" s="12">
        <f>Price!G517</f>
        <v>2802560</v>
      </c>
      <c r="U517" s="257">
        <f>Price!H517</f>
        <v>227751</v>
      </c>
      <c r="V517" s="13"/>
      <c r="W517" s="13"/>
      <c r="X517" s="19"/>
      <c r="Y517" s="19"/>
    </row>
    <row r="518" spans="1:25" x14ac:dyDescent="0.35">
      <c r="A518" s="76"/>
      <c r="B518" s="162"/>
      <c r="C518" s="162"/>
      <c r="D518" s="540"/>
      <c r="E518" s="82"/>
      <c r="F518" s="64"/>
      <c r="G518" s="64"/>
      <c r="H518" s="64"/>
      <c r="I518" s="175"/>
      <c r="J518" s="175"/>
      <c r="K518" s="62"/>
      <c r="L518" s="60" t="str">
        <f>Price!A518</f>
        <v>Samostatná příčka, 100/242mm, Tennessee ořech</v>
      </c>
      <c r="M518" s="15" t="str">
        <f>Price!B518</f>
        <v>ZC7Q0U0FH</v>
      </c>
      <c r="N518" s="15" t="str">
        <f>Price!C518</f>
        <v>N01T</v>
      </c>
      <c r="O518" s="537" t="str">
        <f>Price!D518</f>
        <v>!</v>
      </c>
      <c r="P518" s="16"/>
      <c r="Q518" s="17">
        <f>Price!F518</f>
        <v>7.5180499999999997</v>
      </c>
      <c r="R518" s="323"/>
      <c r="S518" s="323"/>
      <c r="T518" s="12">
        <f>Price!G518</f>
        <v>4283034</v>
      </c>
      <c r="U518" s="257">
        <f>Price!H518</f>
        <v>227752</v>
      </c>
      <c r="V518" s="13"/>
      <c r="W518" s="13"/>
      <c r="X518" s="19"/>
      <c r="Y518" s="19"/>
    </row>
    <row r="519" spans="1:25" x14ac:dyDescent="0.35">
      <c r="A519" s="76"/>
      <c r="B519" s="162"/>
      <c r="C519" s="162"/>
      <c r="D519" s="540"/>
      <c r="E519" s="82"/>
      <c r="F519" s="64"/>
      <c r="G519" s="64"/>
      <c r="H519" s="64"/>
      <c r="I519" s="175"/>
      <c r="J519" s="175"/>
      <c r="K519" s="62"/>
      <c r="L519" s="60">
        <f>Price!A519</f>
        <v>0</v>
      </c>
      <c r="M519" s="15">
        <f>Price!B519</f>
        <v>0</v>
      </c>
      <c r="N519" s="15">
        <f>Price!C519</f>
        <v>0</v>
      </c>
      <c r="O519" s="537">
        <f>Price!D519</f>
        <v>0</v>
      </c>
      <c r="P519" s="16"/>
      <c r="Q519" s="17">
        <f>Price!F519</f>
        <v>0</v>
      </c>
      <c r="R519" s="323"/>
      <c r="S519" s="323"/>
      <c r="T519" s="12">
        <f>Price!G519</f>
        <v>0</v>
      </c>
      <c r="U519" s="257">
        <f>Price!H519</f>
        <v>0</v>
      </c>
      <c r="V519" s="13"/>
      <c r="W519" s="13"/>
      <c r="X519" s="19"/>
      <c r="Y519" s="19"/>
    </row>
    <row r="520" spans="1:25" ht="15" thickBot="1" x14ac:dyDescent="0.4">
      <c r="A520" s="325" t="str">
        <f>IF($C$2=1,L520,IF($C$2=2,L521,IF($C$2=3,L522,IF($C$2=4,L522,"  chyba"))))</f>
        <v>Rámečky pro výsuvy, od 400mm, Nebraska/OG-M</v>
      </c>
      <c r="B520" s="331" t="str">
        <f>IF($C$2=1,M520,IF($C$2=2,M521,IF($C$2=3,M522,IF($C$2=4,M522,"  chyba"))))</f>
        <v>ZC7F400RHP</v>
      </c>
      <c r="C520" s="331" t="str">
        <f>IF($C$2=1,N520,IF($C$2=2,N521,IF($C$2=3,N522,IF($C$2=4,N522,"  chyba"))))</f>
        <v>E02G</v>
      </c>
      <c r="D520" s="331" t="str">
        <f>IF($C$2=1,O520,IF($C$2=2,O521,IF($C$2=3,O522,IF($C$2=4,O522,"  chyba"))))</f>
        <v>!</v>
      </c>
      <c r="E520" s="327">
        <f>IF($C$2=1,P520,IF($C$2=2,P521,IF($C$2=3,P522,IF($C$2=4,P522,"  chyba"))))</f>
        <v>0</v>
      </c>
      <c r="F520" s="328">
        <f>IF($C$2=1,Q520,IF($C$2=2,Q521,IF($C$2=3,Q522,IF($C$2=4,Q522,0))))*(100-$F$6)/100</f>
        <v>45.56362</v>
      </c>
      <c r="G520" s="329"/>
      <c r="H520" s="329"/>
      <c r="I520" s="332">
        <f>IF($C$2=1,T520,IF($C$2=2,T521,IF($C$2=3,T522,IF($C$2=4,T522,"  chyba"))))</f>
        <v>7794799</v>
      </c>
      <c r="J520" s="332">
        <f>IF($C$2=1,U520,IF($C$2=2,U521,IF($C$2=3,U522,IF($C$2=4,U522,"  chyba"))))</f>
        <v>227756</v>
      </c>
      <c r="K520" s="62"/>
      <c r="L520" s="60" t="str">
        <f>Price!A520</f>
        <v>Rámečky pro výsuvy, od 400mm, Nebraska/OG-M</v>
      </c>
      <c r="M520" s="15" t="str">
        <f>Price!B520</f>
        <v>ZC7F400RHP</v>
      </c>
      <c r="N520" s="15" t="str">
        <f>Price!C520</f>
        <v>E02G</v>
      </c>
      <c r="O520" s="537" t="str">
        <f>Price!D520</f>
        <v>!</v>
      </c>
      <c r="P520" s="16"/>
      <c r="Q520" s="17">
        <f>Price!F520</f>
        <v>45.56362</v>
      </c>
      <c r="R520" s="323"/>
      <c r="S520" s="323"/>
      <c r="T520" s="12">
        <f>Price!G520</f>
        <v>7794799</v>
      </c>
      <c r="U520" s="257">
        <f>Price!H520</f>
        <v>227756</v>
      </c>
      <c r="V520" s="13"/>
      <c r="W520" s="13"/>
      <c r="X520" s="19"/>
      <c r="Y520" s="19"/>
    </row>
    <row r="521" spans="1:25" x14ac:dyDescent="0.35">
      <c r="A521" s="78"/>
      <c r="B521" s="163"/>
      <c r="C521" s="163"/>
      <c r="D521" s="541"/>
      <c r="E521" s="77"/>
      <c r="F521" s="66"/>
      <c r="G521" s="66"/>
      <c r="H521" s="66"/>
      <c r="I521" s="174"/>
      <c r="J521" s="174"/>
      <c r="K521" s="62"/>
      <c r="L521" s="60" t="str">
        <f>Price!A521</f>
        <v>Rámečky pro výsuvy, od 400mm, Bardolino/SW-M</v>
      </c>
      <c r="M521" s="15" t="str">
        <f>Price!B521</f>
        <v>ZC7S400RHP</v>
      </c>
      <c r="N521" s="15" t="str">
        <f>Price!C521</f>
        <v>E01S</v>
      </c>
      <c r="O521" s="537" t="str">
        <f>Price!D521</f>
        <v>!</v>
      </c>
      <c r="P521" s="16"/>
      <c r="Q521" s="17">
        <f>Price!F521</f>
        <v>45.56362</v>
      </c>
      <c r="R521" s="323"/>
      <c r="S521" s="323"/>
      <c r="T521" s="12">
        <f>Price!G521</f>
        <v>7502048</v>
      </c>
      <c r="U521" s="257">
        <f>Price!H521</f>
        <v>227754</v>
      </c>
      <c r="V521" s="13"/>
      <c r="W521" s="13"/>
      <c r="X521" s="19"/>
      <c r="Y521" s="19"/>
    </row>
    <row r="522" spans="1:25" x14ac:dyDescent="0.35">
      <c r="A522" s="76"/>
      <c r="B522" s="162"/>
      <c r="C522" s="162"/>
      <c r="D522" s="540"/>
      <c r="E522" s="82"/>
      <c r="F522" s="64"/>
      <c r="G522" s="64"/>
      <c r="H522" s="64"/>
      <c r="I522" s="175"/>
      <c r="J522" s="175"/>
      <c r="K522" s="62"/>
      <c r="L522" s="60" t="str">
        <f>Price!A522</f>
        <v>Rámečky pro výsuvy, od 400mm, Tennessee/TS-M</v>
      </c>
      <c r="M522" s="15" t="str">
        <f>Price!B522</f>
        <v>ZC7S400RHP</v>
      </c>
      <c r="N522" s="15" t="str">
        <f>Price!C522</f>
        <v>N01T</v>
      </c>
      <c r="O522" s="537" t="str">
        <f>Price!D522</f>
        <v>!</v>
      </c>
      <c r="P522" s="16"/>
      <c r="Q522" s="17">
        <f>Price!F522</f>
        <v>45.56362</v>
      </c>
      <c r="R522" s="323"/>
      <c r="S522" s="323"/>
      <c r="T522" s="12">
        <f>Price!G522</f>
        <v>7842844</v>
      </c>
      <c r="U522" s="257">
        <f>Price!H522</f>
        <v>227755</v>
      </c>
      <c r="V522" s="13"/>
      <c r="W522" s="22"/>
      <c r="X522" s="19"/>
      <c r="Y522" s="19"/>
    </row>
    <row r="523" spans="1:25" ht="15" thickBot="1" x14ac:dyDescent="0.4">
      <c r="A523" s="325" t="str">
        <f>IF($C$2=1,L523,IF($C$2=2,L524,IF($C$2=3,L525,IF($C$2=4,L525,"  chyba"))))</f>
        <v>Samostatná příčka, 100/218mm, Nebraska dub</v>
      </c>
      <c r="B523" s="331" t="str">
        <f>IF($C$2=1,M523,IF($C$2=2,M524,IF($C$2=3,M525,IF($C$2=4,M525,"  chyba"))))</f>
        <v>ZC7Q0P0SH</v>
      </c>
      <c r="C523" s="331" t="str">
        <f>IF($C$2=1,N523,IF($C$2=2,N524,IF($C$2=3,N525,IF($C$2=4,N525,"  chyba"))))</f>
        <v>E02G</v>
      </c>
      <c r="D523" s="331" t="str">
        <f>IF($C$2=1,O523,IF($C$2=2,O524,IF($C$2=3,O525,IF($C$2=4,O525,"  chyba"))))</f>
        <v>!</v>
      </c>
      <c r="E523" s="327">
        <f>IF($C$2=1,P523,IF($C$2=2,P524,IF($C$2=3,P525,IF($C$2=4,P525,"  chyba"))))</f>
        <v>0</v>
      </c>
      <c r="F523" s="328">
        <f>IF($C$2=1,Q523,IF($C$2=2,Q524,IF($C$2=3,Q525,IF($C$2=4,Q525,0))))*(100-$F$6)/100</f>
        <v>7.5180499999999997</v>
      </c>
      <c r="G523" s="329"/>
      <c r="H523" s="329"/>
      <c r="I523" s="332">
        <f>IF($C$2=1,T523,IF($C$2=2,T524,IF($C$2=3,T525,IF($C$2=4,T525,"  chyba"))))</f>
        <v>2503742</v>
      </c>
      <c r="J523" s="332">
        <f>IF($C$2=1,U523,IF($C$2=2,U524,IF($C$2=3,U525,IF($C$2=4,U525,"  chyba"))))</f>
        <v>227759</v>
      </c>
      <c r="K523" s="62"/>
      <c r="L523" s="60" t="str">
        <f>Price!A523</f>
        <v>Samostatná příčka, 100/218mm, Nebraska dub</v>
      </c>
      <c r="M523" s="15" t="str">
        <f>Price!B523</f>
        <v>ZC7Q0P0SH</v>
      </c>
      <c r="N523" s="15" t="str">
        <f>Price!C523</f>
        <v>E02G</v>
      </c>
      <c r="O523" s="537" t="str">
        <f>Price!D523</f>
        <v>!</v>
      </c>
      <c r="P523" s="16"/>
      <c r="Q523" s="17">
        <f>Price!F523</f>
        <v>7.5180499999999997</v>
      </c>
      <c r="R523" s="323"/>
      <c r="S523" s="323"/>
      <c r="T523" s="12">
        <f>Price!G523</f>
        <v>2503742</v>
      </c>
      <c r="U523" s="257">
        <f>Price!H523</f>
        <v>227759</v>
      </c>
      <c r="V523" s="13"/>
      <c r="W523" s="21"/>
      <c r="X523" s="19"/>
      <c r="Y523" s="19"/>
    </row>
    <row r="524" spans="1:25" x14ac:dyDescent="0.35">
      <c r="A524" s="76"/>
      <c r="B524" s="162"/>
      <c r="C524" s="162"/>
      <c r="D524" s="540"/>
      <c r="E524" s="82"/>
      <c r="F524" s="64"/>
      <c r="G524" s="64"/>
      <c r="H524" s="64"/>
      <c r="I524" s="175"/>
      <c r="J524" s="175"/>
      <c r="K524" s="62"/>
      <c r="L524" s="60" t="str">
        <f>Price!A524</f>
        <v>Samostatná příčka, 100/218mm, Bardolino dub</v>
      </c>
      <c r="M524" s="15" t="str">
        <f>Price!B524</f>
        <v>ZC7Q0P0SH</v>
      </c>
      <c r="N524" s="15" t="str">
        <f>Price!C524</f>
        <v>E01S</v>
      </c>
      <c r="O524" s="537" t="str">
        <f>Price!D524</f>
        <v>!</v>
      </c>
      <c r="P524" s="16"/>
      <c r="Q524" s="17">
        <f>Price!F524</f>
        <v>7.5180499999999997</v>
      </c>
      <c r="R524" s="323"/>
      <c r="S524" s="323"/>
      <c r="T524" s="12">
        <f>Price!G524</f>
        <v>5495239</v>
      </c>
      <c r="U524" s="257">
        <f>Price!H524</f>
        <v>227757</v>
      </c>
      <c r="V524" s="13"/>
      <c r="W524" s="13"/>
      <c r="X524" s="19"/>
      <c r="Y524" s="19"/>
    </row>
    <row r="525" spans="1:25" x14ac:dyDescent="0.35">
      <c r="A525" s="324"/>
      <c r="B525" s="162"/>
      <c r="C525" s="162"/>
      <c r="D525" s="540"/>
      <c r="E525" s="82"/>
      <c r="F525" s="64"/>
      <c r="G525" s="64"/>
      <c r="H525" s="64"/>
      <c r="I525" s="175"/>
      <c r="J525" s="175"/>
      <c r="K525" s="62"/>
      <c r="L525" s="60" t="str">
        <f>Price!A525</f>
        <v>Samostatná příčka, 100/218mm, Tennessee ořech</v>
      </c>
      <c r="M525" s="15" t="str">
        <f>Price!B525</f>
        <v>ZC7Q0P0SH</v>
      </c>
      <c r="N525" s="15" t="str">
        <f>Price!C525</f>
        <v>N01T</v>
      </c>
      <c r="O525" s="537" t="str">
        <f>Price!D525</f>
        <v>!</v>
      </c>
      <c r="P525" s="16"/>
      <c r="Q525" s="17">
        <f>Price!F525</f>
        <v>7.5180499999999997</v>
      </c>
      <c r="R525" s="323"/>
      <c r="S525" s="323"/>
      <c r="T525" s="12">
        <f>Price!G525</f>
        <v>7506076</v>
      </c>
      <c r="U525" s="257">
        <f>Price!H525</f>
        <v>227758</v>
      </c>
      <c r="V525" s="13"/>
      <c r="W525" s="13"/>
      <c r="X525" s="19"/>
      <c r="Y525" s="19"/>
    </row>
    <row r="526" spans="1:25" x14ac:dyDescent="0.35">
      <c r="A526" s="76"/>
      <c r="B526" s="162"/>
      <c r="C526" s="162"/>
      <c r="D526" s="540"/>
      <c r="E526" s="82"/>
      <c r="F526" s="83"/>
      <c r="G526" s="83"/>
      <c r="H526" s="83"/>
      <c r="I526" s="175"/>
      <c r="J526" s="175"/>
      <c r="K526" s="62"/>
      <c r="L526" s="60">
        <f>Price!A526</f>
        <v>0</v>
      </c>
      <c r="M526" s="15">
        <f>Price!B526</f>
        <v>0</v>
      </c>
      <c r="N526" s="15">
        <f>Price!C526</f>
        <v>0</v>
      </c>
      <c r="O526" s="537">
        <f>Price!D526</f>
        <v>0</v>
      </c>
      <c r="P526" s="16"/>
      <c r="Q526" s="17">
        <f>Price!F526</f>
        <v>0</v>
      </c>
      <c r="R526" s="323"/>
      <c r="S526" s="323"/>
      <c r="T526" s="12">
        <f>Price!G526</f>
        <v>0</v>
      </c>
      <c r="U526" s="257">
        <f>Price!H526</f>
        <v>0</v>
      </c>
      <c r="V526" s="13"/>
      <c r="W526" s="13"/>
      <c r="X526" s="19"/>
      <c r="Y526" s="19"/>
    </row>
    <row r="527" spans="1:25" x14ac:dyDescent="0.35">
      <c r="A527" s="76"/>
      <c r="B527" s="162"/>
      <c r="C527" s="162"/>
      <c r="D527" s="540"/>
      <c r="E527" s="82"/>
      <c r="F527" s="83"/>
      <c r="G527" s="83"/>
      <c r="H527" s="83"/>
      <c r="I527" s="175"/>
      <c r="J527" s="175"/>
      <c r="K527" s="62"/>
      <c r="L527" s="60">
        <f>Price!A527</f>
        <v>0</v>
      </c>
      <c r="M527" s="15">
        <f>Price!B527</f>
        <v>0</v>
      </c>
      <c r="N527" s="15">
        <f>Price!C527</f>
        <v>0</v>
      </c>
      <c r="O527" s="537">
        <f>Price!D527</f>
        <v>0</v>
      </c>
      <c r="P527" s="16"/>
      <c r="Q527" s="17">
        <f>Price!F527</f>
        <v>0</v>
      </c>
      <c r="R527" s="323"/>
      <c r="S527" s="323"/>
      <c r="T527" s="12">
        <f>Price!G527</f>
        <v>0</v>
      </c>
      <c r="U527" s="257">
        <f>Price!H527</f>
        <v>0</v>
      </c>
      <c r="V527" s="13"/>
      <c r="W527" s="13"/>
      <c r="X527" s="19"/>
      <c r="Y527" s="19"/>
    </row>
    <row r="528" spans="1:25" x14ac:dyDescent="0.35">
      <c r="A528" s="76"/>
      <c r="B528" s="162"/>
      <c r="C528" s="162"/>
      <c r="D528" s="540"/>
      <c r="E528" s="82"/>
      <c r="F528" s="83"/>
      <c r="G528" s="83"/>
      <c r="H528" s="83"/>
      <c r="I528" s="175"/>
      <c r="J528" s="175"/>
      <c r="K528" s="62"/>
      <c r="L528" s="60" t="str">
        <f>Price!A528</f>
        <v xml:space="preserve">   AMBIA-LINE souprava na lahve</v>
      </c>
      <c r="M528" s="15">
        <f>Price!B528</f>
        <v>0</v>
      </c>
      <c r="N528" s="15">
        <f>Price!C528</f>
        <v>0</v>
      </c>
      <c r="O528" s="537">
        <f>Price!D528</f>
        <v>0</v>
      </c>
      <c r="P528" s="16"/>
      <c r="Q528" s="17">
        <f>Price!F528</f>
        <v>0</v>
      </c>
      <c r="R528" s="323"/>
      <c r="S528" s="323"/>
      <c r="T528" s="12">
        <f>Price!G528</f>
        <v>0</v>
      </c>
      <c r="U528" s="257">
        <f>Price!H528</f>
        <v>0</v>
      </c>
      <c r="V528" s="13"/>
      <c r="W528" s="13"/>
      <c r="X528" s="19"/>
      <c r="Y528" s="19"/>
    </row>
    <row r="529" spans="1:25" ht="15" thickBot="1" x14ac:dyDescent="0.4">
      <c r="A529" s="325" t="str">
        <f>IF($C$2=1,L529,IF($C$2=2,L530,IF($C$2=3,L531,IF($C$2=4,L531,"  chyba"))))</f>
        <v>Souprava na lahve, pro š.rám. 100mm, Orion šedá</v>
      </c>
      <c r="B529" s="331" t="str">
        <f>IF($C$2=1,M529,IF($C$2=2,M530,IF($C$2=3,M531,IF($C$2=4,M531,"  chyba"))))</f>
        <v>ZC7B0100S</v>
      </c>
      <c r="C529" s="331" t="str">
        <f>IF($C$2=1,N529,IF($C$2=2,N530,IF($C$2=3,N531,IF($C$2=4,N531,"  chyba"))))</f>
        <v>OG-M</v>
      </c>
      <c r="D529" s="331" t="str">
        <f>IF($C$2=1,O529,IF($C$2=2,O530,IF($C$2=3,O531,IF($C$2=4,O531,"  chyba"))))</f>
        <v>!</v>
      </c>
      <c r="E529" s="327">
        <f>IF($C$2=1,P529,IF($C$2=2,P530,IF($C$2=3,P531,IF($C$2=4,P531,"  chyba"))))</f>
        <v>0</v>
      </c>
      <c r="F529" s="328">
        <f>IF($C$2=1,Q529,IF($C$2=2,Q530,IF($C$2=3,Q531,IF($C$2=4,Q531,0))))*(100-$F$6)/100</f>
        <v>0</v>
      </c>
      <c r="G529" s="329"/>
      <c r="H529" s="329"/>
      <c r="I529" s="332">
        <f>IF($C$2=1,T529,IF($C$2=2,T530,IF($C$2=3,T531,IF($C$2=4,T531,"  chyba"))))</f>
        <v>5541312</v>
      </c>
      <c r="J529" s="332" t="str">
        <f>IF($C$2=1,U529,IF($C$2=2,U530,IF($C$2=3,U531,IF($C$2=4,U531,"  chyba"))))</f>
        <v>-</v>
      </c>
      <c r="K529" s="62"/>
      <c r="L529" s="60" t="str">
        <f>Price!A529</f>
        <v>Souprava na lahve, pro š.rám. 100mm, Orion šedá</v>
      </c>
      <c r="M529" s="15" t="str">
        <f>Price!B529</f>
        <v>ZC7B0100S</v>
      </c>
      <c r="N529" s="15" t="str">
        <f>Price!C529</f>
        <v>OG-M</v>
      </c>
      <c r="O529" s="537" t="str">
        <f>Price!D529</f>
        <v>!</v>
      </c>
      <c r="P529" s="16"/>
      <c r="Q529" s="17">
        <f>Price!F529</f>
        <v>0</v>
      </c>
      <c r="R529" s="323"/>
      <c r="S529" s="323"/>
      <c r="T529" s="12">
        <f>Price!G529</f>
        <v>5541312</v>
      </c>
      <c r="U529" s="257" t="str">
        <f>Price!H529</f>
        <v>-</v>
      </c>
      <c r="V529" s="13"/>
      <c r="W529" s="13"/>
      <c r="X529" s="19"/>
      <c r="Y529" s="19"/>
    </row>
    <row r="530" spans="1:25" x14ac:dyDescent="0.35">
      <c r="A530" s="76"/>
      <c r="B530" s="162"/>
      <c r="C530" s="162"/>
      <c r="D530" s="540"/>
      <c r="E530" s="82"/>
      <c r="F530" s="83"/>
      <c r="G530" s="83"/>
      <c r="H530" s="83"/>
      <c r="I530" s="175"/>
      <c r="J530" s="175"/>
      <c r="K530" s="62"/>
      <c r="L530" s="60" t="str">
        <f>Price!A530</f>
        <v>Souprava na lahve, pro š.rám. 100mm, hedv. bílá</v>
      </c>
      <c r="M530" s="15" t="str">
        <f>Price!B530</f>
        <v>ZC7B0100S</v>
      </c>
      <c r="N530" s="15" t="str">
        <f>Price!C530</f>
        <v>SW-M</v>
      </c>
      <c r="O530" s="537" t="str">
        <f>Price!D530</f>
        <v>!</v>
      </c>
      <c r="P530" s="16"/>
      <c r="Q530" s="17">
        <f>Price!F530</f>
        <v>0</v>
      </c>
      <c r="R530" s="323"/>
      <c r="S530" s="323"/>
      <c r="T530" s="12">
        <f>Price!G530</f>
        <v>9358958</v>
      </c>
      <c r="U530" s="257" t="str">
        <f>Price!H530</f>
        <v>-</v>
      </c>
      <c r="V530" s="13"/>
      <c r="W530" s="13"/>
      <c r="X530" s="19"/>
      <c r="Y530" s="19"/>
    </row>
    <row r="531" spans="1:25" x14ac:dyDescent="0.35">
      <c r="A531" s="76"/>
      <c r="B531" s="162"/>
      <c r="C531" s="162"/>
      <c r="D531" s="540"/>
      <c r="E531" s="82"/>
      <c r="F531" s="83"/>
      <c r="G531" s="83"/>
      <c r="H531" s="83"/>
      <c r="I531" s="175"/>
      <c r="J531" s="175"/>
      <c r="K531" s="62"/>
      <c r="L531" s="60" t="str">
        <f>Price!A531</f>
        <v>Souprava na lahve, pro š.rám. 100mm, Terra černá</v>
      </c>
      <c r="M531" s="15" t="str">
        <f>Price!B531</f>
        <v>ZC7B0100S</v>
      </c>
      <c r="N531" s="15" t="str">
        <f>Price!C531</f>
        <v>TS-M</v>
      </c>
      <c r="O531" s="537" t="str">
        <f>Price!D531</f>
        <v>!</v>
      </c>
      <c r="P531" s="16"/>
      <c r="Q531" s="17">
        <f>Price!F531</f>
        <v>0</v>
      </c>
      <c r="R531" s="323"/>
      <c r="S531" s="323"/>
      <c r="T531" s="12">
        <f>Price!G531</f>
        <v>5536400</v>
      </c>
      <c r="U531" s="257" t="str">
        <f>Price!H531</f>
        <v>-</v>
      </c>
      <c r="V531" s="13"/>
      <c r="W531" s="13"/>
      <c r="X531" s="19"/>
      <c r="Y531" s="19"/>
    </row>
    <row r="532" spans="1:25" ht="15" thickBot="1" x14ac:dyDescent="0.4">
      <c r="A532" s="325" t="str">
        <f>IF($C$2=1,L532,IF($C$2=2,L533,IF($C$2=3,L534,IF($C$2=4,L534,"  chyba"))))</f>
        <v>Souprava na lahve, pro š.rám. 200mm, Orion šedá</v>
      </c>
      <c r="B532" s="331" t="str">
        <f>IF($C$2=1,M532,IF($C$2=2,M533,IF($C$2=3,M534,IF($C$2=4,M534,"  chyba"))))</f>
        <v>ZC7B0200S</v>
      </c>
      <c r="C532" s="331" t="str">
        <f>IF($C$2=1,N532,IF($C$2=2,N533,IF($C$2=3,N534,IF($C$2=4,N534,"  chyba"))))</f>
        <v>OG-M</v>
      </c>
      <c r="D532" s="331">
        <f>IF($C$2=1,O532,IF($C$2=2,O533,IF($C$2=3,O534,IF($C$2=4,O534,"  chyba"))))</f>
        <v>0</v>
      </c>
      <c r="E532" s="327">
        <f>IF($C$2=1,P532,IF($C$2=2,P533,IF($C$2=3,P534,IF($C$2=4,P534,"  chyba"))))</f>
        <v>0</v>
      </c>
      <c r="F532" s="328">
        <f>IF($C$2=1,Q532,IF($C$2=2,Q533,IF($C$2=3,Q534,IF($C$2=4,Q534,0))))*(100-$F$6)/100</f>
        <v>23.562169999999995</v>
      </c>
      <c r="G532" s="329"/>
      <c r="H532" s="329"/>
      <c r="I532" s="332">
        <f>IF($C$2=1,T532,IF($C$2=2,T533,IF($C$2=3,T534,IF($C$2=4,T534,"  chyba"))))</f>
        <v>4250192</v>
      </c>
      <c r="J532" s="332">
        <f>IF($C$2=1,U532,IF($C$2=2,U533,IF($C$2=3,U534,IF($C$2=4,U534,"  chyba"))))</f>
        <v>279426</v>
      </c>
      <c r="K532" s="62"/>
      <c r="L532" s="60" t="str">
        <f>Price!A532</f>
        <v>Souprava na lahve, pro š.rám. 200mm, Orion šedá</v>
      </c>
      <c r="M532" s="15" t="str">
        <f>Price!B532</f>
        <v>ZC7B0200S</v>
      </c>
      <c r="N532" s="15" t="str">
        <f>Price!C532</f>
        <v>OG-M</v>
      </c>
      <c r="O532" s="537">
        <f>Price!D532</f>
        <v>0</v>
      </c>
      <c r="P532" s="16"/>
      <c r="Q532" s="17">
        <f>Price!F532</f>
        <v>23.562169999999998</v>
      </c>
      <c r="R532" s="323"/>
      <c r="S532" s="323"/>
      <c r="T532" s="12">
        <f>Price!G532</f>
        <v>4250192</v>
      </c>
      <c r="U532" s="257">
        <f>Price!H532</f>
        <v>279426</v>
      </c>
      <c r="V532" s="13"/>
      <c r="W532" s="13"/>
      <c r="X532" s="19"/>
      <c r="Y532" s="19"/>
    </row>
    <row r="533" spans="1:25" x14ac:dyDescent="0.35">
      <c r="A533" s="76"/>
      <c r="B533" s="162"/>
      <c r="C533" s="162"/>
      <c r="D533" s="540"/>
      <c r="E533" s="82"/>
      <c r="F533" s="83"/>
      <c r="G533" s="83"/>
      <c r="H533" s="83"/>
      <c r="I533" s="175"/>
      <c r="J533" s="175"/>
      <c r="K533" s="62"/>
      <c r="L533" s="60" t="str">
        <f>Price!A533</f>
        <v>Souprava na lahve, pro š.rám. 200mm, hedv. bílá</v>
      </c>
      <c r="M533" s="15" t="str">
        <f>Price!B533</f>
        <v>ZC7B0200S</v>
      </c>
      <c r="N533" s="15" t="str">
        <f>Price!C533</f>
        <v>SW-M</v>
      </c>
      <c r="O533" s="537">
        <f>Price!D533</f>
        <v>0</v>
      </c>
      <c r="P533" s="16"/>
      <c r="Q533" s="17">
        <f>Price!F533</f>
        <v>23.562169999999998</v>
      </c>
      <c r="R533" s="323"/>
      <c r="S533" s="323"/>
      <c r="T533" s="12">
        <f>Price!G533</f>
        <v>4478837</v>
      </c>
      <c r="U533" s="257">
        <f>Price!H533</f>
        <v>279427</v>
      </c>
      <c r="V533" s="13"/>
      <c r="W533" s="13"/>
      <c r="X533" s="19"/>
      <c r="Y533" s="19"/>
    </row>
    <row r="534" spans="1:25" x14ac:dyDescent="0.35">
      <c r="A534" s="76"/>
      <c r="B534" s="162"/>
      <c r="C534" s="162"/>
      <c r="D534" s="540"/>
      <c r="E534" s="82"/>
      <c r="F534" s="83"/>
      <c r="G534" s="83"/>
      <c r="H534" s="83"/>
      <c r="I534" s="175"/>
      <c r="J534" s="175"/>
      <c r="K534" s="62"/>
      <c r="L534" s="60" t="str">
        <f>Price!A534</f>
        <v>Souprava na lahve, pro š.rám. 200mm, Terra černá</v>
      </c>
      <c r="M534" s="15" t="str">
        <f>Price!B534</f>
        <v>ZC7B0200S</v>
      </c>
      <c r="N534" s="15" t="str">
        <f>Price!C534</f>
        <v>TS-M</v>
      </c>
      <c r="O534" s="537" t="str">
        <f>Price!D534</f>
        <v>!</v>
      </c>
      <c r="P534" s="16"/>
      <c r="Q534" s="17">
        <f>Price!F534</f>
        <v>0</v>
      </c>
      <c r="R534" s="323"/>
      <c r="S534" s="323"/>
      <c r="T534" s="12">
        <f>Price!G534</f>
        <v>7762103</v>
      </c>
      <c r="U534" s="257" t="str">
        <f>Price!H534</f>
        <v>-</v>
      </c>
      <c r="V534" s="13"/>
      <c r="W534" s="13"/>
      <c r="X534" s="19"/>
      <c r="Y534" s="19"/>
    </row>
    <row r="535" spans="1:25" x14ac:dyDescent="0.35">
      <c r="A535" s="76"/>
      <c r="B535" s="162"/>
      <c r="C535" s="162"/>
      <c r="D535" s="540"/>
      <c r="E535" s="77"/>
      <c r="F535" s="64"/>
      <c r="G535" s="64"/>
      <c r="H535" s="64"/>
      <c r="I535" s="175"/>
      <c r="J535" s="175"/>
      <c r="K535" s="62"/>
      <c r="L535" s="60">
        <f>Price!A535</f>
        <v>0</v>
      </c>
      <c r="M535" s="15">
        <f>Price!B535</f>
        <v>0</v>
      </c>
      <c r="N535" s="15">
        <f>Price!C535</f>
        <v>0</v>
      </c>
      <c r="O535" s="537">
        <f>Price!D535</f>
        <v>0</v>
      </c>
      <c r="P535" s="16"/>
      <c r="Q535" s="17">
        <f>Price!F535</f>
        <v>0</v>
      </c>
      <c r="R535" s="323"/>
      <c r="S535" s="323"/>
      <c r="T535" s="12">
        <f>Price!G535</f>
        <v>0</v>
      </c>
      <c r="U535" s="257">
        <f>Price!H535</f>
        <v>0</v>
      </c>
      <c r="V535" s="13"/>
      <c r="W535" s="13"/>
      <c r="X535" s="19"/>
      <c r="Y535" s="19"/>
    </row>
    <row r="536" spans="1:25" x14ac:dyDescent="0.35">
      <c r="A536" s="76"/>
      <c r="B536" s="162"/>
      <c r="C536" s="162"/>
      <c r="D536" s="540"/>
      <c r="E536" s="77"/>
      <c r="F536" s="64"/>
      <c r="G536" s="64"/>
      <c r="H536" s="64"/>
      <c r="I536" s="175"/>
      <c r="J536" s="175"/>
      <c r="K536" s="62"/>
      <c r="L536" s="60">
        <f>Price!A536</f>
        <v>0</v>
      </c>
      <c r="M536" s="15">
        <f>Price!B536</f>
        <v>0</v>
      </c>
      <c r="N536" s="15">
        <f>Price!C536</f>
        <v>0</v>
      </c>
      <c r="O536" s="537">
        <f>Price!D536</f>
        <v>0</v>
      </c>
      <c r="P536" s="16"/>
      <c r="Q536" s="17">
        <f>Price!F536</f>
        <v>0</v>
      </c>
      <c r="R536" s="323"/>
      <c r="S536" s="323"/>
      <c r="T536" s="12">
        <f>Price!G536</f>
        <v>0</v>
      </c>
      <c r="U536" s="257">
        <f>Price!H536</f>
        <v>0</v>
      </c>
      <c r="V536" s="13"/>
      <c r="W536" s="13"/>
      <c r="X536" s="19"/>
      <c r="Y536" s="19"/>
    </row>
    <row r="537" spans="1:25" x14ac:dyDescent="0.35">
      <c r="A537" s="76"/>
      <c r="B537" s="162"/>
      <c r="C537" s="162"/>
      <c r="D537" s="540"/>
      <c r="E537" s="77"/>
      <c r="F537" s="64"/>
      <c r="G537" s="64"/>
      <c r="H537" s="64"/>
      <c r="I537" s="175"/>
      <c r="J537" s="175"/>
      <c r="K537" s="20"/>
      <c r="L537" s="60">
        <f>Price!A537</f>
        <v>0</v>
      </c>
      <c r="M537" s="15">
        <f>Price!B537</f>
        <v>0</v>
      </c>
      <c r="N537" s="15">
        <f>Price!C537</f>
        <v>0</v>
      </c>
      <c r="O537" s="537">
        <f>Price!D537</f>
        <v>0</v>
      </c>
      <c r="P537" s="16"/>
      <c r="Q537" s="17">
        <f>Price!F537</f>
        <v>0</v>
      </c>
      <c r="R537" s="323"/>
      <c r="S537" s="323"/>
      <c r="T537" s="12">
        <f>Price!G537</f>
        <v>0</v>
      </c>
      <c r="U537" s="257">
        <f>Price!H537</f>
        <v>0</v>
      </c>
      <c r="V537" s="13"/>
      <c r="W537" s="13"/>
      <c r="X537" s="19"/>
      <c r="Y537" s="19"/>
    </row>
    <row r="538" spans="1:25" x14ac:dyDescent="0.35">
      <c r="A538" s="76"/>
      <c r="B538" s="162"/>
      <c r="C538" s="162"/>
      <c r="D538" s="540"/>
      <c r="E538" s="77"/>
      <c r="F538" s="64"/>
      <c r="G538" s="64"/>
      <c r="H538" s="64"/>
      <c r="I538" s="175"/>
      <c r="J538" s="175"/>
      <c r="K538" s="20"/>
      <c r="L538" s="60">
        <f>Price!A538</f>
        <v>0</v>
      </c>
      <c r="M538" s="15">
        <f>Price!B538</f>
        <v>0</v>
      </c>
      <c r="N538" s="15">
        <f>Price!C538</f>
        <v>0</v>
      </c>
      <c r="O538" s="537">
        <f>Price!D538</f>
        <v>0</v>
      </c>
      <c r="P538" s="16"/>
      <c r="Q538" s="17">
        <f>Price!F538</f>
        <v>0</v>
      </c>
      <c r="R538" s="323"/>
      <c r="S538" s="323"/>
      <c r="T538" s="12">
        <f>Price!G538</f>
        <v>0</v>
      </c>
      <c r="U538" s="257">
        <f>Price!H538</f>
        <v>0</v>
      </c>
      <c r="V538" s="13"/>
      <c r="W538" s="13"/>
      <c r="X538" s="19"/>
      <c r="Y538" s="19"/>
    </row>
    <row r="539" spans="1:25" x14ac:dyDescent="0.35">
      <c r="A539" s="76"/>
      <c r="B539" s="162"/>
      <c r="C539" s="162"/>
      <c r="D539" s="540"/>
      <c r="E539" s="77"/>
      <c r="F539" s="64"/>
      <c r="G539" s="64"/>
      <c r="H539" s="64"/>
      <c r="I539" s="175"/>
      <c r="J539" s="175"/>
      <c r="K539" s="20"/>
      <c r="L539" s="60">
        <f>Price!A539</f>
        <v>0</v>
      </c>
      <c r="M539" s="15">
        <f>Price!B539</f>
        <v>0</v>
      </c>
      <c r="N539" s="15">
        <f>Price!C539</f>
        <v>0</v>
      </c>
      <c r="O539" s="537">
        <f>Price!D539</f>
        <v>0</v>
      </c>
      <c r="P539" s="16"/>
      <c r="Q539" s="17">
        <f>Price!F539</f>
        <v>0</v>
      </c>
      <c r="R539" s="323"/>
      <c r="S539" s="323"/>
      <c r="T539" s="12">
        <f>Price!G539</f>
        <v>0</v>
      </c>
      <c r="U539" s="257">
        <f>Price!H539</f>
        <v>0</v>
      </c>
      <c r="V539" s="13"/>
      <c r="W539" s="13"/>
      <c r="X539" s="19"/>
      <c r="Y539" s="19"/>
    </row>
    <row r="540" spans="1:25" x14ac:dyDescent="0.35">
      <c r="A540" s="76"/>
      <c r="B540" s="162"/>
      <c r="C540" s="162"/>
      <c r="D540" s="540"/>
      <c r="E540" s="77"/>
      <c r="F540" s="64"/>
      <c r="G540" s="64"/>
      <c r="H540" s="64"/>
      <c r="I540" s="175"/>
      <c r="J540" s="175"/>
      <c r="K540" s="20"/>
      <c r="L540" s="60" t="str">
        <f>Price!A540</f>
        <v xml:space="preserve">  AMBIA-LINE pomůcky do kuchyně</v>
      </c>
      <c r="M540" s="15">
        <f>Price!B540</f>
        <v>0</v>
      </c>
      <c r="N540" s="15">
        <f>Price!C540</f>
        <v>0</v>
      </c>
      <c r="O540" s="537">
        <f>Price!D540</f>
        <v>0</v>
      </c>
      <c r="P540" s="16"/>
      <c r="Q540" s="17">
        <f>Price!F540</f>
        <v>0</v>
      </c>
      <c r="R540" s="323"/>
      <c r="S540" s="323"/>
      <c r="T540" s="12">
        <f>Price!G540</f>
        <v>0</v>
      </c>
      <c r="U540" s="257">
        <f>Price!H540</f>
        <v>0</v>
      </c>
      <c r="V540" s="13"/>
      <c r="W540" s="13"/>
      <c r="X540" s="19"/>
      <c r="Y540" s="19"/>
    </row>
    <row r="541" spans="1:25" x14ac:dyDescent="0.35">
      <c r="A541" s="89" t="str">
        <f t="shared" ref="A541:D545" si="39">L541</f>
        <v>Držák nožů</v>
      </c>
      <c r="B541" s="90" t="str">
        <f t="shared" si="39"/>
        <v>ZC7M0200</v>
      </c>
      <c r="C541" s="90" t="str">
        <f t="shared" si="39"/>
        <v>OG-M</v>
      </c>
      <c r="D541" s="90">
        <f t="shared" si="39"/>
        <v>0</v>
      </c>
      <c r="E541" s="91">
        <f>P541</f>
        <v>0</v>
      </c>
      <c r="F541" s="17">
        <f>Q541*(100-$F$6)/100</f>
        <v>25.85746</v>
      </c>
      <c r="G541" s="64"/>
      <c r="H541" s="64"/>
      <c r="I541" s="172">
        <f t="shared" ref="I541:J545" si="40">T541</f>
        <v>9809820</v>
      </c>
      <c r="J541" s="172">
        <f t="shared" si="40"/>
        <v>227688</v>
      </c>
      <c r="K541" s="20"/>
      <c r="L541" s="60" t="str">
        <f>Price!A541</f>
        <v>Držák nožů</v>
      </c>
      <c r="M541" s="15" t="str">
        <f>Price!B541</f>
        <v>ZC7M0200</v>
      </c>
      <c r="N541" s="15" t="str">
        <f>Price!C541</f>
        <v>OG-M</v>
      </c>
      <c r="O541" s="537">
        <f>Price!D541</f>
        <v>0</v>
      </c>
      <c r="P541" s="16"/>
      <c r="Q541" s="17">
        <f>Price!F541</f>
        <v>25.85746</v>
      </c>
      <c r="R541" s="323"/>
      <c r="S541" s="323"/>
      <c r="T541" s="12">
        <f>Price!G541</f>
        <v>9809820</v>
      </c>
      <c r="U541" s="257">
        <f>Price!H541</f>
        <v>227688</v>
      </c>
      <c r="V541" s="13"/>
      <c r="W541" s="13"/>
      <c r="X541" s="19"/>
      <c r="Y541" s="19"/>
    </row>
    <row r="542" spans="1:25" x14ac:dyDescent="0.35">
      <c r="A542" s="89" t="str">
        <f t="shared" si="39"/>
        <v>Řezačka na potravinové folie, s folií</v>
      </c>
      <c r="B542" s="90" t="str">
        <f t="shared" si="39"/>
        <v>ZC7C000</v>
      </c>
      <c r="C542" s="90" t="str">
        <f t="shared" si="39"/>
        <v>OG-M</v>
      </c>
      <c r="D542" s="90">
        <f t="shared" si="39"/>
        <v>0</v>
      </c>
      <c r="E542" s="91">
        <f>P542</f>
        <v>0</v>
      </c>
      <c r="F542" s="17">
        <f>Q542*(100-$F$6)/100</f>
        <v>63.56125999999999</v>
      </c>
      <c r="G542" s="64"/>
      <c r="H542" s="64"/>
      <c r="I542" s="172">
        <f t="shared" si="40"/>
        <v>5952958</v>
      </c>
      <c r="J542" s="172">
        <f t="shared" si="40"/>
        <v>227689</v>
      </c>
      <c r="K542" s="20"/>
      <c r="L542" s="60" t="str">
        <f>Price!A542</f>
        <v>Řezačka na potravinové folie, s folií</v>
      </c>
      <c r="M542" s="15" t="str">
        <f>Price!B542</f>
        <v>ZC7C000</v>
      </c>
      <c r="N542" s="15" t="str">
        <f>Price!C542</f>
        <v>OG-M</v>
      </c>
      <c r="O542" s="537">
        <f>Price!D542</f>
        <v>0</v>
      </c>
      <c r="P542" s="16"/>
      <c r="Q542" s="17">
        <f>Price!F542</f>
        <v>63.561259999999997</v>
      </c>
      <c r="R542" s="323"/>
      <c r="S542" s="323"/>
      <c r="T542" s="12">
        <f>Price!G542</f>
        <v>5952958</v>
      </c>
      <c r="U542" s="257">
        <f>Price!H542</f>
        <v>227689</v>
      </c>
      <c r="V542" s="13"/>
      <c r="W542" s="13"/>
      <c r="X542" s="19"/>
      <c r="Y542" s="19"/>
    </row>
    <row r="543" spans="1:25" x14ac:dyDescent="0.35">
      <c r="A543" s="89" t="str">
        <f t="shared" si="39"/>
        <v>Řezačka na potravinové folie, bez folie</v>
      </c>
      <c r="B543" s="90" t="str">
        <f t="shared" si="39"/>
        <v>ZC7C001</v>
      </c>
      <c r="C543" s="90" t="str">
        <f t="shared" si="39"/>
        <v>OG-M</v>
      </c>
      <c r="D543" s="90" t="str">
        <f t="shared" si="39"/>
        <v>!</v>
      </c>
      <c r="E543" s="91">
        <f>P543</f>
        <v>0</v>
      </c>
      <c r="F543" s="17">
        <f>Q543*(100-$F$6)/100</f>
        <v>63.56125999999999</v>
      </c>
      <c r="G543" s="64"/>
      <c r="H543" s="64"/>
      <c r="I543" s="172">
        <f t="shared" si="40"/>
        <v>5241444</v>
      </c>
      <c r="J543" s="172">
        <f t="shared" si="40"/>
        <v>227690</v>
      </c>
      <c r="K543" s="20"/>
      <c r="L543" s="60" t="str">
        <f>Price!A543</f>
        <v>Řezačka na potravinové folie, bez folie</v>
      </c>
      <c r="M543" s="15" t="str">
        <f>Price!B543</f>
        <v>ZC7C001</v>
      </c>
      <c r="N543" s="15" t="str">
        <f>Price!C543</f>
        <v>OG-M</v>
      </c>
      <c r="O543" s="537" t="str">
        <f>Price!D543</f>
        <v>!</v>
      </c>
      <c r="P543" s="16"/>
      <c r="Q543" s="17">
        <f>Price!F543</f>
        <v>63.561259999999997</v>
      </c>
      <c r="R543" s="323"/>
      <c r="S543" s="323"/>
      <c r="T543" s="12">
        <f>Price!G543</f>
        <v>5241444</v>
      </c>
      <c r="U543" s="257">
        <f>Price!H543</f>
        <v>227690</v>
      </c>
      <c r="V543" s="13"/>
      <c r="W543" s="13"/>
      <c r="X543" s="19"/>
      <c r="Y543" s="19"/>
    </row>
    <row r="544" spans="1:25" x14ac:dyDescent="0.35">
      <c r="A544" s="89" t="str">
        <f t="shared" si="39"/>
        <v>Stojánek na kořenky</v>
      </c>
      <c r="B544" s="90" t="str">
        <f t="shared" si="39"/>
        <v>ZC7G0P0I</v>
      </c>
      <c r="C544" s="90" t="str">
        <f t="shared" si="39"/>
        <v>INGL</v>
      </c>
      <c r="D544" s="90">
        <f t="shared" si="39"/>
        <v>0</v>
      </c>
      <c r="E544" s="91">
        <f>P544</f>
        <v>0</v>
      </c>
      <c r="F544" s="17">
        <f>Q544*(100-$F$6)/100</f>
        <v>39.526809999999998</v>
      </c>
      <c r="G544" s="64"/>
      <c r="H544" s="64"/>
      <c r="I544" s="172">
        <f t="shared" si="40"/>
        <v>8058240</v>
      </c>
      <c r="J544" s="172">
        <f t="shared" si="40"/>
        <v>227691</v>
      </c>
      <c r="K544" s="20"/>
      <c r="L544" s="60" t="str">
        <f>Price!A544</f>
        <v>Stojánek na kořenky</v>
      </c>
      <c r="M544" s="15" t="str">
        <f>Price!B544</f>
        <v>ZC7G0P0I</v>
      </c>
      <c r="N544" s="15" t="str">
        <f>Price!C544</f>
        <v>INGL</v>
      </c>
      <c r="O544" s="537">
        <f>Price!D544</f>
        <v>0</v>
      </c>
      <c r="P544" s="16"/>
      <c r="Q544" s="17">
        <f>Price!F544</f>
        <v>39.526809999999998</v>
      </c>
      <c r="R544" s="323"/>
      <c r="S544" s="323"/>
      <c r="T544" s="12">
        <f>Price!G544</f>
        <v>8058240</v>
      </c>
      <c r="U544" s="257">
        <f>Price!H544</f>
        <v>227691</v>
      </c>
      <c r="V544" s="13"/>
      <c r="W544" s="13"/>
      <c r="X544" s="19"/>
      <c r="Y544" s="19"/>
    </row>
    <row r="545" spans="1:25" x14ac:dyDescent="0.35">
      <c r="A545" s="89" t="str">
        <f t="shared" si="39"/>
        <v>Držák talířů</v>
      </c>
      <c r="B545" s="90" t="str">
        <f t="shared" si="39"/>
        <v>ZC7T0350</v>
      </c>
      <c r="C545" s="90" t="str">
        <f t="shared" si="39"/>
        <v>OG-M</v>
      </c>
      <c r="D545" s="90">
        <f t="shared" si="39"/>
        <v>0</v>
      </c>
      <c r="E545" s="91">
        <f>P545</f>
        <v>0</v>
      </c>
      <c r="F545" s="17">
        <f>Q545*(100-$F$6)/100</f>
        <v>38.501280000000001</v>
      </c>
      <c r="G545" s="64"/>
      <c r="H545" s="64"/>
      <c r="I545" s="172">
        <f t="shared" si="40"/>
        <v>1366848</v>
      </c>
      <c r="J545" s="172">
        <f t="shared" si="40"/>
        <v>227693</v>
      </c>
      <c r="K545" s="20"/>
      <c r="L545" s="60" t="str">
        <f>Price!A545</f>
        <v>Držák talířů</v>
      </c>
      <c r="M545" s="15" t="str">
        <f>Price!B545</f>
        <v>ZC7T0350</v>
      </c>
      <c r="N545" s="15" t="str">
        <f>Price!C545</f>
        <v>OG-M</v>
      </c>
      <c r="O545" s="537">
        <f>Price!D545</f>
        <v>0</v>
      </c>
      <c r="P545" s="16"/>
      <c r="Q545" s="17">
        <f>Price!F545</f>
        <v>38.501280000000001</v>
      </c>
      <c r="R545" s="323"/>
      <c r="S545" s="323"/>
      <c r="T545" s="12">
        <f>Price!G545</f>
        <v>1366848</v>
      </c>
      <c r="U545" s="257">
        <f>Price!H545</f>
        <v>227693</v>
      </c>
      <c r="V545" s="13"/>
      <c r="W545" s="13"/>
      <c r="X545" s="19"/>
      <c r="Y545" s="19"/>
    </row>
    <row r="546" spans="1:25" x14ac:dyDescent="0.35">
      <c r="A546" s="76"/>
      <c r="B546" s="162"/>
      <c r="C546" s="162"/>
      <c r="D546" s="540"/>
      <c r="E546" s="82"/>
      <c r="F546" s="83"/>
      <c r="G546" s="83"/>
      <c r="H546" s="83"/>
      <c r="I546" s="83"/>
      <c r="J546" s="83"/>
      <c r="K546" s="20"/>
      <c r="L546" s="60">
        <f>Price!A546</f>
        <v>0</v>
      </c>
      <c r="M546" s="15">
        <f>Price!B546</f>
        <v>0</v>
      </c>
      <c r="N546" s="15">
        <f>Price!C546</f>
        <v>0</v>
      </c>
      <c r="O546" s="537">
        <f>Price!D546</f>
        <v>0</v>
      </c>
      <c r="P546" s="16"/>
      <c r="Q546" s="17">
        <f>Price!F546</f>
        <v>0</v>
      </c>
      <c r="R546" s="323"/>
      <c r="S546" s="323"/>
      <c r="T546" s="12">
        <f>Price!G546</f>
        <v>0</v>
      </c>
      <c r="U546" s="257">
        <f>Price!H546</f>
        <v>0</v>
      </c>
      <c r="V546" s="13"/>
      <c r="W546" s="13"/>
      <c r="X546" s="19"/>
      <c r="Y546" s="19"/>
    </row>
    <row r="547" spans="1:25" x14ac:dyDescent="0.35">
      <c r="A547" s="76"/>
      <c r="B547" s="162"/>
      <c r="C547" s="162"/>
      <c r="D547" s="540"/>
      <c r="E547" s="82"/>
      <c r="F547" s="83"/>
      <c r="G547" s="83"/>
      <c r="H547" s="83"/>
      <c r="I547" s="83"/>
      <c r="J547" s="83"/>
      <c r="K547" s="20"/>
      <c r="L547" s="60">
        <f>Price!A547</f>
        <v>0</v>
      </c>
      <c r="M547" s="15">
        <f>Price!B547</f>
        <v>0</v>
      </c>
      <c r="N547" s="15">
        <f>Price!C547</f>
        <v>0</v>
      </c>
      <c r="O547" s="537">
        <f>Price!D547</f>
        <v>0</v>
      </c>
      <c r="P547" s="16"/>
      <c r="Q547" s="17">
        <f>Price!F547</f>
        <v>0</v>
      </c>
      <c r="R547" s="323"/>
      <c r="S547" s="323"/>
      <c r="T547" s="12">
        <f>Price!G547</f>
        <v>0</v>
      </c>
      <c r="U547" s="257">
        <f>Price!H547</f>
        <v>0</v>
      </c>
      <c r="V547" s="13"/>
      <c r="W547" s="13"/>
      <c r="X547" s="19"/>
      <c r="Y547" s="19"/>
    </row>
    <row r="548" spans="1:25" x14ac:dyDescent="0.35">
      <c r="A548" s="76"/>
      <c r="B548" s="162"/>
      <c r="C548" s="162"/>
      <c r="D548" s="540"/>
      <c r="E548" s="82"/>
      <c r="F548" s="83"/>
      <c r="G548" s="83"/>
      <c r="H548" s="83"/>
      <c r="I548" s="83"/>
      <c r="J548" s="83"/>
      <c r="K548" s="20"/>
      <c r="L548" s="60" t="str">
        <f>Price!A548</f>
        <v xml:space="preserve">  Příslušenství</v>
      </c>
      <c r="M548" s="15">
        <f>Price!B548</f>
        <v>0</v>
      </c>
      <c r="N548" s="15">
        <f>Price!C548</f>
        <v>0</v>
      </c>
      <c r="O548" s="537">
        <f>Price!D548</f>
        <v>0</v>
      </c>
      <c r="P548" s="16"/>
      <c r="Q548" s="17">
        <f>Price!F548</f>
        <v>0</v>
      </c>
      <c r="R548" s="323"/>
      <c r="S548" s="323"/>
      <c r="T548" s="12">
        <f>Price!G548</f>
        <v>0</v>
      </c>
      <c r="U548" s="257">
        <f>Price!H548</f>
        <v>0</v>
      </c>
      <c r="V548" s="13"/>
      <c r="W548" s="13"/>
      <c r="X548" s="19"/>
      <c r="Y548" s="19"/>
    </row>
    <row r="549" spans="1:25" x14ac:dyDescent="0.35">
      <c r="A549" s="89" t="str">
        <f t="shared" ref="A549:D551" si="41">L549</f>
        <v>Upevňovací šrouby s plochou hlavou 4x15mm</v>
      </c>
      <c r="B549" s="90" t="str">
        <f t="shared" si="41"/>
        <v>61D.1500</v>
      </c>
      <c r="C549" s="90" t="str">
        <f t="shared" si="41"/>
        <v>ZN</v>
      </c>
      <c r="D549" s="90">
        <f t="shared" si="41"/>
        <v>0</v>
      </c>
      <c r="E549" s="91">
        <f t="shared" ref="E549:E554" si="42">P549</f>
        <v>0</v>
      </c>
      <c r="F549" s="17">
        <f t="shared" ref="F549:F554" si="43">Q549*(100-$F$6)/100</f>
        <v>6.13E-2</v>
      </c>
      <c r="G549" s="64"/>
      <c r="H549" s="64"/>
      <c r="I549" s="172">
        <f t="shared" ref="I549:J551" si="44">T549</f>
        <v>9508739</v>
      </c>
      <c r="J549" s="172">
        <f t="shared" si="44"/>
        <v>237597</v>
      </c>
      <c r="K549" s="20"/>
      <c r="L549" s="60" t="str">
        <f>Price!A549</f>
        <v>Upevňovací šrouby s plochou hlavou 4x15mm</v>
      </c>
      <c r="M549" s="15" t="str">
        <f>Price!B549</f>
        <v>61D.1500</v>
      </c>
      <c r="N549" s="15" t="str">
        <f>Price!C549</f>
        <v>ZN</v>
      </c>
      <c r="O549" s="537">
        <f>Price!D549</f>
        <v>0</v>
      </c>
      <c r="P549" s="16"/>
      <c r="Q549" s="17">
        <f>Price!F549</f>
        <v>6.13E-2</v>
      </c>
      <c r="R549" s="323"/>
      <c r="S549" s="323"/>
      <c r="T549" s="12">
        <f>Price!G549</f>
        <v>9508739</v>
      </c>
      <c r="U549" s="257">
        <f>Price!H549</f>
        <v>237597</v>
      </c>
      <c r="V549" s="13"/>
      <c r="W549" s="13"/>
      <c r="X549" s="19"/>
      <c r="Y549" s="19"/>
    </row>
    <row r="550" spans="1:25" x14ac:dyDescent="0.35">
      <c r="A550" s="89" t="str">
        <f t="shared" si="41"/>
        <v>Stabilizace čel</v>
      </c>
      <c r="B550" s="90" t="str">
        <f t="shared" si="41"/>
        <v>Z96.10E1</v>
      </c>
      <c r="C550" s="90" t="str">
        <f t="shared" si="41"/>
        <v>R737</v>
      </c>
      <c r="D550" s="90">
        <f t="shared" si="41"/>
        <v>0</v>
      </c>
      <c r="E550" s="91">
        <f t="shared" si="42"/>
        <v>0</v>
      </c>
      <c r="F550" s="17">
        <f t="shared" si="43"/>
        <v>1.3134000000000001</v>
      </c>
      <c r="G550" s="64"/>
      <c r="H550" s="64"/>
      <c r="I550" s="172">
        <f t="shared" si="44"/>
        <v>6448980</v>
      </c>
      <c r="J550" s="172">
        <f t="shared" si="44"/>
        <v>288080</v>
      </c>
      <c r="K550" s="20"/>
      <c r="L550" s="60" t="str">
        <f>Price!A550</f>
        <v>Stabilizace čel</v>
      </c>
      <c r="M550" s="15" t="str">
        <f>Price!B550</f>
        <v>Z96.10E1</v>
      </c>
      <c r="N550" s="15" t="str">
        <f>Price!C550</f>
        <v>R737</v>
      </c>
      <c r="O550" s="537">
        <f>Price!D550</f>
        <v>0</v>
      </c>
      <c r="P550" s="16"/>
      <c r="Q550" s="17">
        <f>Price!F550</f>
        <v>1.3133999999999999</v>
      </c>
      <c r="R550" s="323"/>
      <c r="S550" s="323"/>
      <c r="T550" s="12">
        <f>Price!G550</f>
        <v>6448980</v>
      </c>
      <c r="U550" s="257">
        <f>Price!H550</f>
        <v>288080</v>
      </c>
      <c r="V550" s="13"/>
      <c r="W550" s="13"/>
      <c r="X550" s="19"/>
      <c r="Y550" s="19"/>
    </row>
    <row r="551" spans="1:25" x14ac:dyDescent="0.35">
      <c r="A551" s="89" t="str">
        <f t="shared" si="41"/>
        <v>Tlumící čočka k zavrtání</v>
      </c>
      <c r="B551" s="90" t="str">
        <f t="shared" si="41"/>
        <v>993.706</v>
      </c>
      <c r="C551" s="90" t="str">
        <f t="shared" si="41"/>
        <v>R906</v>
      </c>
      <c r="D551" s="90">
        <f t="shared" si="41"/>
        <v>0</v>
      </c>
      <c r="E551" s="91">
        <f t="shared" si="42"/>
        <v>0</v>
      </c>
      <c r="F551" s="17">
        <f t="shared" si="43"/>
        <v>0.13461999999999999</v>
      </c>
      <c r="G551" s="64"/>
      <c r="H551" s="64"/>
      <c r="I551" s="172">
        <f t="shared" si="44"/>
        <v>3283090</v>
      </c>
      <c r="J551" s="172">
        <f t="shared" si="44"/>
        <v>12388</v>
      </c>
      <c r="K551" s="20"/>
      <c r="L551" s="60" t="str">
        <f>Price!A551</f>
        <v>Tlumící čočka k zavrtání</v>
      </c>
      <c r="M551" s="15" t="str">
        <f>Price!B551</f>
        <v>993.706</v>
      </c>
      <c r="N551" s="15" t="str">
        <f>Price!C551</f>
        <v>R906</v>
      </c>
      <c r="O551" s="537">
        <f>Price!D551</f>
        <v>0</v>
      </c>
      <c r="P551" s="16"/>
      <c r="Q551" s="17">
        <f>Price!F551</f>
        <v>0.13461999999999999</v>
      </c>
      <c r="R551" s="323"/>
      <c r="S551" s="323"/>
      <c r="T551" s="12">
        <f>Price!G551</f>
        <v>3283090</v>
      </c>
      <c r="U551" s="257">
        <f>Price!H551</f>
        <v>12388</v>
      </c>
      <c r="V551" s="13"/>
      <c r="W551" s="13"/>
      <c r="X551" s="19"/>
      <c r="Y551" s="19"/>
    </row>
    <row r="552" spans="1:25" x14ac:dyDescent="0.35">
      <c r="A552" s="89" t="str">
        <f t="shared" ref="A552:D553" si="45">L552</f>
        <v>Torxový šroubovák, T20</v>
      </c>
      <c r="B552" s="90" t="str">
        <f t="shared" si="45"/>
        <v>209.093.7</v>
      </c>
      <c r="C552" s="90" t="str">
        <f t="shared" si="45"/>
        <v>OR</v>
      </c>
      <c r="D552" s="90">
        <f t="shared" si="45"/>
        <v>0</v>
      </c>
      <c r="E552" s="91">
        <f t="shared" si="42"/>
        <v>0</v>
      </c>
      <c r="F552" s="17">
        <f t="shared" si="43"/>
        <v>6.1465699999999996</v>
      </c>
      <c r="G552" s="64"/>
      <c r="H552" s="64"/>
      <c r="I552" s="172">
        <f t="shared" ref="I552:J554" si="46">T552</f>
        <v>2090937</v>
      </c>
      <c r="J552" s="172">
        <f t="shared" si="46"/>
        <v>288389</v>
      </c>
      <c r="K552" s="20"/>
      <c r="L552" s="60" t="str">
        <f>Price!A552</f>
        <v>Torxový šroubovák, T20</v>
      </c>
      <c r="M552" s="15" t="str">
        <f>Price!B552</f>
        <v>209.093.7</v>
      </c>
      <c r="N552" s="15" t="str">
        <f>Price!C552</f>
        <v>OR</v>
      </c>
      <c r="O552" s="537">
        <f>Price!D552</f>
        <v>0</v>
      </c>
      <c r="P552" s="16"/>
      <c r="Q552" s="17">
        <f>Price!F552</f>
        <v>6.1465699999999996</v>
      </c>
      <c r="R552" s="323"/>
      <c r="S552" s="323"/>
      <c r="T552" s="12">
        <f>Price!G552</f>
        <v>2090937</v>
      </c>
      <c r="U552" s="257">
        <f>Price!H552</f>
        <v>288389</v>
      </c>
      <c r="V552" s="13"/>
      <c r="W552" s="13"/>
      <c r="X552" s="19"/>
      <c r="Y552" s="19"/>
    </row>
    <row r="553" spans="1:25" x14ac:dyDescent="0.35">
      <c r="A553" s="89" t="str">
        <f t="shared" si="45"/>
        <v>Transportní pojistka</v>
      </c>
      <c r="B553" s="90" t="str">
        <f t="shared" si="45"/>
        <v>780C0009</v>
      </c>
      <c r="C553" s="90" t="str">
        <f t="shared" si="45"/>
        <v>GELB</v>
      </c>
      <c r="D553" s="90">
        <f t="shared" si="45"/>
        <v>0</v>
      </c>
      <c r="E553" s="91">
        <f t="shared" si="42"/>
        <v>0</v>
      </c>
      <c r="F553" s="17">
        <f t="shared" si="43"/>
        <v>1.1208199999999999</v>
      </c>
      <c r="G553" s="64"/>
      <c r="H553" s="64"/>
      <c r="I553" s="172">
        <f t="shared" si="46"/>
        <v>1290697</v>
      </c>
      <c r="J553" s="172">
        <f t="shared" si="46"/>
        <v>267764</v>
      </c>
      <c r="K553" s="20"/>
      <c r="L553" s="60" t="str">
        <f>Price!A553</f>
        <v>Transportní pojistka</v>
      </c>
      <c r="M553" s="15" t="str">
        <f>Price!B553</f>
        <v>780C0009</v>
      </c>
      <c r="N553" s="15" t="str">
        <f>Price!C553</f>
        <v>GELB</v>
      </c>
      <c r="O553" s="537">
        <f>Price!D553</f>
        <v>0</v>
      </c>
      <c r="P553" s="16"/>
      <c r="Q553" s="17">
        <f>Price!F553</f>
        <v>1.1208199999999999</v>
      </c>
      <c r="R553" s="323"/>
      <c r="S553" s="323"/>
      <c r="T553" s="12">
        <f>Price!G553</f>
        <v>1290697</v>
      </c>
      <c r="U553" s="257">
        <f>Price!H553</f>
        <v>267764</v>
      </c>
      <c r="V553" s="13"/>
      <c r="W553" s="13"/>
      <c r="X553" s="19"/>
      <c r="Y553" s="19"/>
    </row>
    <row r="554" spans="1:25" x14ac:dyDescent="0.35">
      <c r="A554" s="89" t="str">
        <f>L554</f>
        <v>Šablona pro nastavení mezery čela</v>
      </c>
      <c r="B554" s="90" t="str">
        <f>M554</f>
        <v>65.5631</v>
      </c>
      <c r="C554" s="90" t="str">
        <f>N554</f>
        <v>OR</v>
      </c>
      <c r="D554" s="90">
        <f>O554</f>
        <v>0</v>
      </c>
      <c r="E554" s="91">
        <f t="shared" si="42"/>
        <v>0</v>
      </c>
      <c r="F554" s="17">
        <f t="shared" si="43"/>
        <v>5.57395</v>
      </c>
      <c r="G554" s="64"/>
      <c r="H554" s="64"/>
      <c r="I554" s="172">
        <f t="shared" si="46"/>
        <v>8946234</v>
      </c>
      <c r="J554" s="172">
        <f t="shared" si="46"/>
        <v>275419</v>
      </c>
      <c r="K554" s="20"/>
      <c r="L554" s="60" t="str">
        <f>Price!A554</f>
        <v>Šablona pro nastavení mezery čela</v>
      </c>
      <c r="M554" s="15" t="str">
        <f>Price!B554</f>
        <v>65.5631</v>
      </c>
      <c r="N554" s="15" t="str">
        <f>Price!C554</f>
        <v>OR</v>
      </c>
      <c r="O554" s="537">
        <f>Price!D554</f>
        <v>0</v>
      </c>
      <c r="P554" s="16"/>
      <c r="Q554" s="17">
        <f>Price!F554</f>
        <v>5.57395</v>
      </c>
      <c r="R554" s="323"/>
      <c r="S554" s="323"/>
      <c r="T554" s="12">
        <f>Price!G554</f>
        <v>8946234</v>
      </c>
      <c r="U554" s="257">
        <f>Price!H554</f>
        <v>275419</v>
      </c>
      <c r="V554" s="13"/>
      <c r="W554" s="13"/>
      <c r="X554" s="19"/>
      <c r="Y554" s="19"/>
    </row>
    <row r="555" spans="1:25" x14ac:dyDescent="0.35">
      <c r="A555" s="76"/>
      <c r="B555" s="162"/>
      <c r="C555" s="162"/>
      <c r="D555" s="540"/>
      <c r="E555" s="82"/>
      <c r="F555" s="83"/>
      <c r="G555" s="83"/>
      <c r="H555" s="83"/>
      <c r="I555" s="83"/>
      <c r="J555" s="83"/>
      <c r="K555" s="20"/>
      <c r="L555" s="60">
        <f>Price!A555</f>
        <v>0</v>
      </c>
      <c r="M555" s="15">
        <f>Price!B555</f>
        <v>0</v>
      </c>
      <c r="N555" s="15">
        <f>Price!C555</f>
        <v>0</v>
      </c>
      <c r="O555" s="537">
        <f>Price!D555</f>
        <v>0</v>
      </c>
      <c r="P555" s="16"/>
      <c r="Q555" s="17">
        <f>Price!F555</f>
        <v>0</v>
      </c>
      <c r="R555" s="323"/>
      <c r="S555" s="323"/>
      <c r="T555" s="12">
        <f>Price!G555</f>
        <v>0</v>
      </c>
      <c r="U555" s="257">
        <f>Price!H555</f>
        <v>0</v>
      </c>
      <c r="V555" s="13"/>
      <c r="W555" s="13"/>
      <c r="X555" s="19"/>
      <c r="Y555" s="19"/>
    </row>
    <row r="556" spans="1:25" x14ac:dyDescent="0.35">
      <c r="A556" s="57"/>
      <c r="B556" s="162"/>
      <c r="C556" s="162"/>
      <c r="D556" s="540"/>
      <c r="E556" s="82"/>
      <c r="F556" s="64"/>
      <c r="G556" s="64"/>
      <c r="H556" s="64"/>
      <c r="I556" s="64"/>
      <c r="J556" s="64"/>
      <c r="K556" s="20"/>
      <c r="L556" s="60">
        <f>Price!A556</f>
        <v>0</v>
      </c>
      <c r="M556" s="15">
        <f>Price!B556</f>
        <v>0</v>
      </c>
      <c r="N556" s="15">
        <f>Price!C556</f>
        <v>0</v>
      </c>
      <c r="O556" s="537">
        <f>Price!D556</f>
        <v>0</v>
      </c>
      <c r="P556" s="16"/>
      <c r="Q556" s="17">
        <f>Price!F556</f>
        <v>0</v>
      </c>
      <c r="R556" s="323"/>
      <c r="S556" s="323"/>
      <c r="T556" s="12">
        <f>Price!G556</f>
        <v>0</v>
      </c>
      <c r="U556" s="257">
        <f>Price!H556</f>
        <v>0</v>
      </c>
      <c r="V556" s="13"/>
      <c r="W556" s="13"/>
      <c r="X556" s="19"/>
      <c r="Y556" s="19"/>
    </row>
    <row r="557" spans="1:25" x14ac:dyDescent="0.35">
      <c r="A557" s="57"/>
      <c r="B557" s="162"/>
      <c r="C557" s="162"/>
      <c r="D557" s="540"/>
      <c r="E557" s="82"/>
      <c r="F557" s="64"/>
      <c r="G557" s="64"/>
      <c r="H557" s="64"/>
      <c r="I557" s="64"/>
      <c r="J557" s="64"/>
      <c r="K557" s="20"/>
      <c r="L557" s="60">
        <f>Price!A557</f>
        <v>0</v>
      </c>
      <c r="M557" s="15">
        <f>Price!B557</f>
        <v>0</v>
      </c>
      <c r="N557" s="15">
        <f>Price!C557</f>
        <v>0</v>
      </c>
      <c r="O557" s="537">
        <f>Price!D557</f>
        <v>0</v>
      </c>
      <c r="P557" s="16"/>
      <c r="Q557" s="17">
        <f>Price!F557</f>
        <v>0</v>
      </c>
      <c r="R557" s="323"/>
      <c r="S557" s="323"/>
      <c r="T557" s="12">
        <f>Price!G557</f>
        <v>0</v>
      </c>
      <c r="U557" s="257">
        <f>Price!H557</f>
        <v>0</v>
      </c>
      <c r="V557" s="13"/>
      <c r="W557" s="13"/>
      <c r="X557" s="19"/>
      <c r="Y557" s="19"/>
    </row>
    <row r="558" spans="1:25" x14ac:dyDescent="0.35">
      <c r="A558" s="57"/>
      <c r="B558" s="162"/>
      <c r="C558" s="162"/>
      <c r="D558" s="540"/>
      <c r="E558" s="82"/>
      <c r="F558" s="64"/>
      <c r="G558" s="64"/>
      <c r="H558" s="64"/>
      <c r="I558" s="64"/>
      <c r="J558" s="64"/>
      <c r="K558" s="20"/>
      <c r="L558" s="60">
        <f>Price!A558</f>
        <v>0</v>
      </c>
      <c r="M558" s="15">
        <f>Price!B558</f>
        <v>0</v>
      </c>
      <c r="N558" s="15">
        <f>Price!C558</f>
        <v>0</v>
      </c>
      <c r="O558" s="537">
        <f>Price!D558</f>
        <v>0</v>
      </c>
      <c r="P558" s="16"/>
      <c r="Q558" s="17">
        <f>Price!F558</f>
        <v>0</v>
      </c>
      <c r="R558" s="323"/>
      <c r="S558" s="323"/>
      <c r="T558" s="12">
        <f>Price!G558</f>
        <v>0</v>
      </c>
      <c r="U558" s="257">
        <f>Price!H558</f>
        <v>0</v>
      </c>
      <c r="V558" s="13"/>
      <c r="W558" s="13"/>
      <c r="X558" s="19"/>
      <c r="Y558" s="19"/>
    </row>
    <row r="559" spans="1:25" x14ac:dyDescent="0.35">
      <c r="A559" s="57"/>
      <c r="B559" s="162"/>
      <c r="C559" s="162"/>
      <c r="D559" s="540"/>
      <c r="E559" s="82"/>
      <c r="F559" s="64"/>
      <c r="G559" s="64"/>
      <c r="H559" s="64"/>
      <c r="I559" s="64"/>
      <c r="J559" s="64"/>
      <c r="K559" s="20"/>
      <c r="L559" s="60">
        <f>Price!A559</f>
        <v>0</v>
      </c>
      <c r="M559" s="15">
        <f>Price!B559</f>
        <v>0</v>
      </c>
      <c r="N559" s="15">
        <f>Price!C559</f>
        <v>0</v>
      </c>
      <c r="O559" s="537">
        <f>Price!D559</f>
        <v>0</v>
      </c>
      <c r="P559" s="16"/>
      <c r="Q559" s="17">
        <f>Price!F559</f>
        <v>0</v>
      </c>
      <c r="R559" s="323"/>
      <c r="S559" s="323"/>
      <c r="T559" s="12">
        <f>Price!G559</f>
        <v>0</v>
      </c>
      <c r="U559" s="257">
        <f>Price!H559</f>
        <v>0</v>
      </c>
      <c r="V559" s="13"/>
      <c r="W559" s="13"/>
      <c r="X559" s="19"/>
      <c r="Y559" s="19"/>
    </row>
    <row r="560" spans="1:25" x14ac:dyDescent="0.35">
      <c r="A560" s="76"/>
      <c r="B560" s="162"/>
      <c r="C560" s="162"/>
      <c r="D560" s="540"/>
      <c r="E560" s="82"/>
      <c r="F560" s="83"/>
      <c r="G560" s="83"/>
      <c r="H560" s="83"/>
      <c r="I560" s="83"/>
      <c r="J560" s="83"/>
      <c r="K560" s="20"/>
      <c r="L560" s="60">
        <f>Price!A560</f>
        <v>0</v>
      </c>
      <c r="M560" s="15">
        <f>Price!B560</f>
        <v>0</v>
      </c>
      <c r="N560" s="15">
        <f>Price!C560</f>
        <v>0</v>
      </c>
      <c r="O560" s="537">
        <f>Price!D560</f>
        <v>0</v>
      </c>
      <c r="P560" s="16"/>
      <c r="Q560" s="17">
        <f>Price!F560</f>
        <v>0</v>
      </c>
      <c r="R560" s="323"/>
      <c r="S560" s="323"/>
      <c r="T560" s="12">
        <f>Price!G560</f>
        <v>0</v>
      </c>
      <c r="U560" s="257">
        <f>Price!H560</f>
        <v>0</v>
      </c>
      <c r="V560" s="13"/>
      <c r="W560" s="13"/>
      <c r="X560" s="19"/>
      <c r="Y560" s="19"/>
    </row>
    <row r="561" spans="1:25" x14ac:dyDescent="0.35">
      <c r="A561" s="76"/>
      <c r="B561" s="162"/>
      <c r="C561" s="162"/>
      <c r="D561" s="540"/>
      <c r="E561" s="77"/>
      <c r="F561" s="64"/>
      <c r="G561" s="64"/>
      <c r="H561" s="64"/>
      <c r="I561" s="175"/>
      <c r="J561" s="175"/>
      <c r="K561" s="20"/>
      <c r="L561" s="60">
        <f>Price!A561</f>
        <v>0</v>
      </c>
      <c r="M561" s="15">
        <f>Price!B561</f>
        <v>0</v>
      </c>
      <c r="N561" s="15">
        <f>Price!C561</f>
        <v>0</v>
      </c>
      <c r="O561" s="537">
        <f>Price!D561</f>
        <v>0</v>
      </c>
      <c r="P561" s="16"/>
      <c r="Q561" s="17">
        <f>Price!F561</f>
        <v>0</v>
      </c>
      <c r="R561" s="323"/>
      <c r="S561" s="323"/>
      <c r="T561" s="12">
        <f>Price!G561</f>
        <v>0</v>
      </c>
      <c r="U561" s="257">
        <f>Price!H561</f>
        <v>0</v>
      </c>
      <c r="V561" s="13"/>
      <c r="W561" s="13"/>
      <c r="X561" s="19"/>
      <c r="Y561" s="19"/>
    </row>
    <row r="562" spans="1:25" x14ac:dyDescent="0.35">
      <c r="A562" s="76"/>
      <c r="B562" s="162"/>
      <c r="C562" s="162"/>
      <c r="D562" s="540"/>
      <c r="E562" s="77"/>
      <c r="F562" s="64"/>
      <c r="G562" s="64"/>
      <c r="H562" s="64"/>
      <c r="I562" s="175"/>
      <c r="J562" s="175"/>
      <c r="K562" s="20"/>
      <c r="L562" s="60">
        <f>Price!A562</f>
        <v>0</v>
      </c>
      <c r="M562" s="15">
        <f>Price!B562</f>
        <v>0</v>
      </c>
      <c r="N562" s="15">
        <f>Price!C562</f>
        <v>0</v>
      </c>
      <c r="O562" s="537">
        <f>Price!D562</f>
        <v>0</v>
      </c>
      <c r="P562" s="16"/>
      <c r="Q562" s="17">
        <f>Price!F562</f>
        <v>0</v>
      </c>
      <c r="R562" s="323"/>
      <c r="S562" s="323"/>
      <c r="T562" s="12">
        <f>Price!G562</f>
        <v>0</v>
      </c>
      <c r="U562" s="257">
        <f>Price!H562</f>
        <v>0</v>
      </c>
      <c r="V562" s="13"/>
      <c r="W562" s="13"/>
      <c r="X562" s="19"/>
      <c r="Y562" s="19"/>
    </row>
    <row r="563" spans="1:25" x14ac:dyDescent="0.35">
      <c r="A563" s="76"/>
      <c r="B563" s="162"/>
      <c r="C563" s="162"/>
      <c r="D563" s="540"/>
      <c r="E563" s="77"/>
      <c r="F563" s="64"/>
      <c r="G563" s="64"/>
      <c r="H563" s="64"/>
      <c r="I563" s="175"/>
      <c r="J563" s="175"/>
      <c r="K563" s="20"/>
      <c r="L563" s="60">
        <f>Price!A563</f>
        <v>0</v>
      </c>
      <c r="M563" s="15">
        <f>Price!B563</f>
        <v>0</v>
      </c>
      <c r="N563" s="15">
        <f>Price!C563</f>
        <v>0</v>
      </c>
      <c r="O563" s="537">
        <f>Price!D563</f>
        <v>0</v>
      </c>
      <c r="P563" s="16"/>
      <c r="Q563" s="17">
        <f>Price!F563</f>
        <v>0</v>
      </c>
      <c r="R563" s="323"/>
      <c r="S563" s="323"/>
      <c r="T563" s="12">
        <f>Price!G563</f>
        <v>0</v>
      </c>
      <c r="U563" s="257">
        <f>Price!H563</f>
        <v>0</v>
      </c>
      <c r="V563" s="13"/>
      <c r="W563" s="13"/>
      <c r="X563" s="19"/>
      <c r="Y563" s="19"/>
    </row>
    <row r="564" spans="1:25" x14ac:dyDescent="0.35">
      <c r="A564" s="76"/>
      <c r="B564" s="162"/>
      <c r="C564" s="162"/>
      <c r="D564" s="540"/>
      <c r="E564" s="77"/>
      <c r="F564" s="64"/>
      <c r="G564" s="64"/>
      <c r="H564" s="64"/>
      <c r="I564" s="175"/>
      <c r="J564" s="175"/>
      <c r="K564" s="20"/>
      <c r="L564" s="60">
        <f>Price!A564</f>
        <v>0</v>
      </c>
      <c r="M564" s="15">
        <f>Price!B564</f>
        <v>0</v>
      </c>
      <c r="N564" s="15">
        <f>Price!C564</f>
        <v>0</v>
      </c>
      <c r="O564" s="537">
        <f>Price!D564</f>
        <v>0</v>
      </c>
      <c r="P564" s="16"/>
      <c r="Q564" s="17">
        <f>Price!F564</f>
        <v>0</v>
      </c>
      <c r="R564" s="323"/>
      <c r="S564" s="323"/>
      <c r="T564" s="12">
        <f>Price!G564</f>
        <v>0</v>
      </c>
      <c r="U564" s="257">
        <f>Price!H564</f>
        <v>0</v>
      </c>
      <c r="V564" s="13"/>
      <c r="W564" s="13"/>
      <c r="X564" s="19"/>
      <c r="Y564" s="19"/>
    </row>
    <row r="565" spans="1:25" x14ac:dyDescent="0.35">
      <c r="A565" s="76"/>
      <c r="B565" s="162"/>
      <c r="C565" s="162"/>
      <c r="D565" s="540"/>
      <c r="E565" s="77"/>
      <c r="F565" s="64"/>
      <c r="G565" s="64"/>
      <c r="H565" s="64"/>
      <c r="I565" s="175"/>
      <c r="J565" s="175"/>
      <c r="K565" s="62"/>
      <c r="L565" s="60">
        <f>Price!A565</f>
        <v>0</v>
      </c>
      <c r="M565" s="15">
        <f>Price!B565</f>
        <v>0</v>
      </c>
      <c r="N565" s="15">
        <f>Price!C565</f>
        <v>0</v>
      </c>
      <c r="O565" s="537">
        <f>Price!D565</f>
        <v>0</v>
      </c>
      <c r="P565" s="16"/>
      <c r="Q565" s="17">
        <f>Price!F565</f>
        <v>0</v>
      </c>
      <c r="R565" s="323"/>
      <c r="S565" s="323"/>
      <c r="T565" s="12">
        <f>Price!G565</f>
        <v>0</v>
      </c>
      <c r="U565" s="257">
        <f>Price!H565</f>
        <v>0</v>
      </c>
      <c r="V565" s="13"/>
      <c r="W565" s="13"/>
      <c r="X565" s="19"/>
      <c r="Y565" s="19"/>
    </row>
    <row r="566" spans="1:25" x14ac:dyDescent="0.35">
      <c r="A566" s="76"/>
      <c r="B566" s="162"/>
      <c r="C566" s="162"/>
      <c r="D566" s="540"/>
      <c r="E566" s="77"/>
      <c r="F566" s="64"/>
      <c r="G566" s="64"/>
      <c r="H566" s="64"/>
      <c r="I566" s="175"/>
      <c r="J566" s="175"/>
      <c r="K566" s="62"/>
      <c r="L566" s="60" t="str">
        <f>Price!A566</f>
        <v xml:space="preserve">   SERVO-DRIVE</v>
      </c>
      <c r="M566" s="15">
        <f>Price!B566</f>
        <v>0</v>
      </c>
      <c r="N566" s="15">
        <f>Price!C566</f>
        <v>0</v>
      </c>
      <c r="O566" s="537">
        <f>Price!D566</f>
        <v>0</v>
      </c>
      <c r="P566" s="16"/>
      <c r="Q566" s="17">
        <f>Price!F566</f>
        <v>0</v>
      </c>
      <c r="R566" s="323"/>
      <c r="S566" s="323"/>
      <c r="T566" s="12">
        <f>Price!G566</f>
        <v>0</v>
      </c>
      <c r="U566" s="257">
        <f>Price!H566</f>
        <v>0</v>
      </c>
      <c r="V566" s="13"/>
      <c r="W566" s="13"/>
      <c r="X566" s="19"/>
      <c r="Y566" s="19"/>
    </row>
    <row r="567" spans="1:25" x14ac:dyDescent="0.35">
      <c r="A567" s="89" t="str">
        <f t="shared" ref="A567:A593" si="47">L567</f>
        <v>Distanční doraz Blum, 5mm</v>
      </c>
      <c r="B567" s="90" t="str">
        <f t="shared" ref="B567:B593" si="48">M567</f>
        <v>993.0530</v>
      </c>
      <c r="C567" s="90" t="str">
        <f t="shared" ref="C567:D593" si="49">N567</f>
        <v>R737</v>
      </c>
      <c r="D567" s="90">
        <f t="shared" si="49"/>
        <v>0</v>
      </c>
      <c r="E567" s="91">
        <f t="shared" ref="E567:E593" si="50">P567</f>
        <v>0</v>
      </c>
      <c r="F567" s="17">
        <f t="shared" ref="F567:F593" si="51">Q567*(100-$F$6)/100</f>
        <v>0.69091000000000014</v>
      </c>
      <c r="G567" s="64"/>
      <c r="H567" s="64"/>
      <c r="I567" s="172">
        <f t="shared" ref="I567:I593" si="52">T567</f>
        <v>7834990</v>
      </c>
      <c r="J567" s="172">
        <f t="shared" ref="J567:J593" si="53">U567</f>
        <v>99131</v>
      </c>
      <c r="K567" s="62"/>
      <c r="L567" s="60" t="str">
        <f>Price!A567</f>
        <v>Distanční doraz Blum, 5mm</v>
      </c>
      <c r="M567" s="15" t="str">
        <f>Price!B567</f>
        <v>993.0530</v>
      </c>
      <c r="N567" s="15" t="str">
        <f>Price!C567</f>
        <v>R737</v>
      </c>
      <c r="O567" s="537">
        <f>Price!D567</f>
        <v>0</v>
      </c>
      <c r="P567" s="16"/>
      <c r="Q567" s="17">
        <f>Price!F567</f>
        <v>0.69091000000000002</v>
      </c>
      <c r="R567" s="323"/>
      <c r="S567" s="323"/>
      <c r="T567" s="12">
        <f>Price!G567</f>
        <v>7834990</v>
      </c>
      <c r="U567" s="257">
        <f>Price!H567</f>
        <v>99131</v>
      </c>
      <c r="V567" s="13"/>
      <c r="W567" s="13"/>
      <c r="X567" s="19"/>
      <c r="Y567" s="19"/>
    </row>
    <row r="568" spans="1:25" x14ac:dyDescent="0.35">
      <c r="A568" s="89" t="str">
        <f t="shared" si="47"/>
        <v>Distanční doraz Blum, 8mm</v>
      </c>
      <c r="B568" s="90" t="str">
        <f t="shared" si="48"/>
        <v>993.0830.01</v>
      </c>
      <c r="C568" s="90" t="str">
        <f t="shared" si="49"/>
        <v>R737</v>
      </c>
      <c r="D568" s="90">
        <f t="shared" si="49"/>
        <v>0</v>
      </c>
      <c r="E568" s="91">
        <f t="shared" si="50"/>
        <v>0</v>
      </c>
      <c r="F568" s="17">
        <f t="shared" si="51"/>
        <v>0.62067000000000005</v>
      </c>
      <c r="G568" s="64"/>
      <c r="H568" s="64"/>
      <c r="I568" s="172">
        <f t="shared" si="52"/>
        <v>7402930</v>
      </c>
      <c r="J568" s="172">
        <f t="shared" si="53"/>
        <v>99120</v>
      </c>
      <c r="K568" s="62"/>
      <c r="L568" s="60" t="str">
        <f>Price!A568</f>
        <v>Distanční doraz Blum, 8mm</v>
      </c>
      <c r="M568" s="15" t="str">
        <f>Price!B568</f>
        <v>993.0830.01</v>
      </c>
      <c r="N568" s="15" t="str">
        <f>Price!C568</f>
        <v>R737</v>
      </c>
      <c r="O568" s="537">
        <f>Price!D568</f>
        <v>0</v>
      </c>
      <c r="P568" s="16"/>
      <c r="Q568" s="17">
        <f>Price!F568</f>
        <v>0.62067000000000005</v>
      </c>
      <c r="R568" s="323"/>
      <c r="S568" s="323"/>
      <c r="T568" s="12">
        <f>Price!G568</f>
        <v>7402930</v>
      </c>
      <c r="U568" s="257">
        <f>Price!H568</f>
        <v>99120</v>
      </c>
      <c r="V568" s="13"/>
      <c r="W568" s="13"/>
      <c r="X568" s="19"/>
      <c r="Y568" s="19"/>
    </row>
    <row r="569" spans="1:25" x14ac:dyDescent="0.35">
      <c r="A569" s="89" t="str">
        <f t="shared" si="47"/>
        <v>Pohonná servo jednotka</v>
      </c>
      <c r="B569" s="90" t="str">
        <f t="shared" si="48"/>
        <v>Z10A3000.02</v>
      </c>
      <c r="C569" s="90" t="str">
        <f t="shared" si="49"/>
        <v>R737</v>
      </c>
      <c r="D569" s="90">
        <f t="shared" si="49"/>
        <v>0</v>
      </c>
      <c r="E569" s="91">
        <f t="shared" si="50"/>
        <v>0</v>
      </c>
      <c r="F569" s="17">
        <f t="shared" si="51"/>
        <v>67.216899999999995</v>
      </c>
      <c r="G569" s="64"/>
      <c r="H569" s="64"/>
      <c r="I569" s="172">
        <f t="shared" si="52"/>
        <v>1195106</v>
      </c>
      <c r="J569" s="172">
        <f t="shared" si="53"/>
        <v>99100</v>
      </c>
      <c r="K569" s="62"/>
      <c r="L569" s="60" t="str">
        <f>Price!A569</f>
        <v>Pohonná servo jednotka</v>
      </c>
      <c r="M569" s="15" t="str">
        <f>Price!B569</f>
        <v>Z10A3000.02</v>
      </c>
      <c r="N569" s="15" t="str">
        <f>Price!C569</f>
        <v>R737</v>
      </c>
      <c r="O569" s="537">
        <f>Price!D569</f>
        <v>0</v>
      </c>
      <c r="P569" s="16"/>
      <c r="Q569" s="17">
        <f>Price!F569</f>
        <v>67.216899999999995</v>
      </c>
      <c r="R569" s="323"/>
      <c r="S569" s="323"/>
      <c r="T569" s="12">
        <f>Price!G569</f>
        <v>1195106</v>
      </c>
      <c r="U569" s="257">
        <f>Price!H569</f>
        <v>99100</v>
      </c>
      <c r="V569" s="13"/>
      <c r="W569" s="13"/>
      <c r="X569" s="19"/>
      <c r="Y569" s="19"/>
    </row>
    <row r="570" spans="1:25" x14ac:dyDescent="0.35">
      <c r="A570" s="89" t="str">
        <f t="shared" si="47"/>
        <v>Držák nosníku, vlys naležato</v>
      </c>
      <c r="B570" s="90" t="str">
        <f t="shared" si="48"/>
        <v>Z10D01E0.01</v>
      </c>
      <c r="C570" s="90" t="str">
        <f t="shared" si="49"/>
        <v>R737</v>
      </c>
      <c r="D570" s="90">
        <f t="shared" si="49"/>
        <v>0</v>
      </c>
      <c r="E570" s="91">
        <f t="shared" si="50"/>
        <v>0</v>
      </c>
      <c r="F570" s="17">
        <f t="shared" si="51"/>
        <v>3.29522</v>
      </c>
      <c r="G570" s="64"/>
      <c r="H570" s="64"/>
      <c r="I570" s="172">
        <f t="shared" si="52"/>
        <v>3061821</v>
      </c>
      <c r="J570" s="172">
        <f t="shared" si="53"/>
        <v>99101</v>
      </c>
      <c r="K570" s="62"/>
      <c r="L570" s="60" t="str">
        <f>Price!A570</f>
        <v>Držák nosníku, vlys naležato</v>
      </c>
      <c r="M570" s="15" t="str">
        <f>Price!B570</f>
        <v>Z10D01E0.01</v>
      </c>
      <c r="N570" s="15" t="str">
        <f>Price!C570</f>
        <v>R737</v>
      </c>
      <c r="O570" s="537">
        <f>Price!D570</f>
        <v>0</v>
      </c>
      <c r="P570" s="16"/>
      <c r="Q570" s="17">
        <f>Price!F570</f>
        <v>3.29522</v>
      </c>
      <c r="R570" s="323"/>
      <c r="S570" s="323"/>
      <c r="T570" s="12">
        <f>Price!G570</f>
        <v>3061821</v>
      </c>
      <c r="U570" s="257">
        <f>Price!H570</f>
        <v>99101</v>
      </c>
      <c r="V570" s="13"/>
      <c r="W570" s="13"/>
      <c r="X570" s="19"/>
      <c r="Y570" s="19"/>
    </row>
    <row r="571" spans="1:25" x14ac:dyDescent="0.35">
      <c r="A571" s="89" t="str">
        <f t="shared" si="47"/>
        <v>Držák nosníku, vlys nastojato</v>
      </c>
      <c r="B571" s="90" t="str">
        <f t="shared" si="48"/>
        <v>Z10D01EA.01</v>
      </c>
      <c r="C571" s="90" t="str">
        <f t="shared" si="49"/>
        <v>R737</v>
      </c>
      <c r="D571" s="90">
        <f t="shared" si="49"/>
        <v>0</v>
      </c>
      <c r="E571" s="91">
        <f t="shared" si="50"/>
        <v>0</v>
      </c>
      <c r="F571" s="17">
        <f t="shared" si="51"/>
        <v>4.1090900000000001</v>
      </c>
      <c r="G571" s="64"/>
      <c r="H571" s="64"/>
      <c r="I571" s="172">
        <f t="shared" si="52"/>
        <v>9879558</v>
      </c>
      <c r="J571" s="172">
        <f t="shared" si="53"/>
        <v>99102</v>
      </c>
      <c r="K571" s="62"/>
      <c r="L571" s="60" t="str">
        <f>Price!A571</f>
        <v>Držák nosníku, vlys nastojato</v>
      </c>
      <c r="M571" s="15" t="str">
        <f>Price!B571</f>
        <v>Z10D01EA.01</v>
      </c>
      <c r="N571" s="15" t="str">
        <f>Price!C571</f>
        <v>R737</v>
      </c>
      <c r="O571" s="537">
        <f>Price!D571</f>
        <v>0</v>
      </c>
      <c r="P571" s="16"/>
      <c r="Q571" s="17">
        <f>Price!F571</f>
        <v>4.1090900000000001</v>
      </c>
      <c r="R571" s="323"/>
      <c r="S571" s="323"/>
      <c r="T571" s="12">
        <f>Price!G571</f>
        <v>9879558</v>
      </c>
      <c r="U571" s="257">
        <f>Price!H571</f>
        <v>99102</v>
      </c>
      <c r="V571" s="13"/>
      <c r="W571" s="13"/>
      <c r="X571" s="19"/>
      <c r="Y571" s="19"/>
    </row>
    <row r="572" spans="1:25" x14ac:dyDescent="0.35">
      <c r="A572" s="89" t="str">
        <f t="shared" si="47"/>
        <v>Držák servo jednotky jednoduchý</v>
      </c>
      <c r="B572" s="90" t="str">
        <f t="shared" si="48"/>
        <v>Z10D0311</v>
      </c>
      <c r="C572" s="90" t="str">
        <f t="shared" si="49"/>
        <v>R737</v>
      </c>
      <c r="D572" s="90">
        <f t="shared" si="49"/>
        <v>0</v>
      </c>
      <c r="E572" s="91">
        <f t="shared" si="50"/>
        <v>0</v>
      </c>
      <c r="F572" s="17">
        <f t="shared" si="51"/>
        <v>6.7205600000000008</v>
      </c>
      <c r="G572" s="64"/>
      <c r="H572" s="64"/>
      <c r="I572" s="172">
        <f t="shared" si="52"/>
        <v>4805174</v>
      </c>
      <c r="J572" s="172">
        <f t="shared" si="53"/>
        <v>99103</v>
      </c>
      <c r="K572" s="62"/>
      <c r="L572" s="60" t="str">
        <f>Price!A572</f>
        <v>Držák servo jednotky jednoduchý</v>
      </c>
      <c r="M572" s="15" t="str">
        <f>Price!B572</f>
        <v>Z10D0311</v>
      </c>
      <c r="N572" s="15" t="str">
        <f>Price!C572</f>
        <v>R737</v>
      </c>
      <c r="O572" s="537">
        <f>Price!D572</f>
        <v>0</v>
      </c>
      <c r="P572" s="16"/>
      <c r="Q572" s="17">
        <f>Price!F572</f>
        <v>6.7205599999999999</v>
      </c>
      <c r="R572" s="323"/>
      <c r="S572" s="323"/>
      <c r="T572" s="12">
        <f>Price!G572</f>
        <v>4805174</v>
      </c>
      <c r="U572" s="257">
        <f>Price!H572</f>
        <v>99103</v>
      </c>
      <c r="V572" s="13"/>
      <c r="W572" s="13"/>
      <c r="X572" s="19"/>
      <c r="Y572" s="19"/>
    </row>
    <row r="573" spans="1:25" x14ac:dyDescent="0.35">
      <c r="A573" s="89" t="str">
        <f t="shared" si="47"/>
        <v>Držák servo jednotky zdvojený</v>
      </c>
      <c r="B573" s="90" t="str">
        <f t="shared" si="48"/>
        <v>Z10D7201.01</v>
      </c>
      <c r="C573" s="90" t="str">
        <f t="shared" si="49"/>
        <v>R737</v>
      </c>
      <c r="D573" s="90">
        <f t="shared" si="49"/>
        <v>0</v>
      </c>
      <c r="E573" s="91">
        <f t="shared" si="50"/>
        <v>0</v>
      </c>
      <c r="F573" s="17">
        <f t="shared" si="51"/>
        <v>13.40591</v>
      </c>
      <c r="G573" s="64"/>
      <c r="H573" s="64"/>
      <c r="I573" s="172">
        <f t="shared" si="52"/>
        <v>1640683</v>
      </c>
      <c r="J573" s="172">
        <f t="shared" si="53"/>
        <v>99104</v>
      </c>
      <c r="K573" s="62"/>
      <c r="L573" s="60" t="str">
        <f>Price!A573</f>
        <v>Držák servo jednotky zdvojený</v>
      </c>
      <c r="M573" s="15" t="str">
        <f>Price!B573</f>
        <v>Z10D7201.01</v>
      </c>
      <c r="N573" s="15" t="str">
        <f>Price!C573</f>
        <v>R737</v>
      </c>
      <c r="O573" s="537">
        <f>Price!D573</f>
        <v>0</v>
      </c>
      <c r="P573" s="16"/>
      <c r="Q573" s="17">
        <f>Price!F573</f>
        <v>13.40591</v>
      </c>
      <c r="R573" s="323"/>
      <c r="S573" s="323"/>
      <c r="T573" s="12">
        <f>Price!G573</f>
        <v>1640683</v>
      </c>
      <c r="U573" s="257">
        <f>Price!H573</f>
        <v>99104</v>
      </c>
      <c r="V573" s="13"/>
      <c r="W573" s="13"/>
      <c r="X573" s="19"/>
      <c r="Y573" s="19"/>
    </row>
    <row r="574" spans="1:25" x14ac:dyDescent="0.35">
      <c r="A574" s="89" t="str">
        <f t="shared" si="47"/>
        <v>Držák servo jednotky horní</v>
      </c>
      <c r="B574" s="90" t="str">
        <f t="shared" si="48"/>
        <v>Z10D6252</v>
      </c>
      <c r="C574" s="90" t="str">
        <f t="shared" si="49"/>
        <v>R737</v>
      </c>
      <c r="D574" s="90">
        <f t="shared" si="49"/>
        <v>0</v>
      </c>
      <c r="E574" s="91">
        <f t="shared" si="50"/>
        <v>0</v>
      </c>
      <c r="F574" s="17">
        <f t="shared" si="51"/>
        <v>18.91206</v>
      </c>
      <c r="G574" s="64"/>
      <c r="H574" s="64"/>
      <c r="I574" s="172">
        <f t="shared" si="52"/>
        <v>8010962</v>
      </c>
      <c r="J574" s="172">
        <f t="shared" si="53"/>
        <v>99127</v>
      </c>
      <c r="K574" s="62"/>
      <c r="L574" s="60" t="str">
        <f>Price!A574</f>
        <v>Držák servo jednotky horní</v>
      </c>
      <c r="M574" s="15" t="str">
        <f>Price!B574</f>
        <v>Z10D6252</v>
      </c>
      <c r="N574" s="15" t="str">
        <f>Price!C574</f>
        <v>R737</v>
      </c>
      <c r="O574" s="537">
        <f>Price!D574</f>
        <v>0</v>
      </c>
      <c r="P574" s="16"/>
      <c r="Q574" s="17">
        <f>Price!F574</f>
        <v>18.91206</v>
      </c>
      <c r="R574" s="323"/>
      <c r="S574" s="323"/>
      <c r="T574" s="12">
        <f>Price!G574</f>
        <v>8010962</v>
      </c>
      <c r="U574" s="257">
        <f>Price!H574</f>
        <v>99127</v>
      </c>
      <c r="V574" s="13"/>
      <c r="W574" s="13"/>
      <c r="X574" s="19"/>
      <c r="Y574" s="19"/>
    </row>
    <row r="575" spans="1:25" x14ac:dyDescent="0.35">
      <c r="A575" s="89" t="str">
        <f t="shared" si="47"/>
        <v>Držák kabelu s Klebesockel</v>
      </c>
      <c r="B575" s="90" t="str">
        <f t="shared" si="48"/>
        <v>Z10K0009</v>
      </c>
      <c r="C575" s="90" t="str">
        <f t="shared" si="49"/>
        <v>NA</v>
      </c>
      <c r="D575" s="90">
        <f t="shared" si="49"/>
        <v>0</v>
      </c>
      <c r="E575" s="91">
        <f t="shared" si="50"/>
        <v>0</v>
      </c>
      <c r="F575" s="17">
        <f t="shared" si="51"/>
        <v>0.75662999999999991</v>
      </c>
      <c r="G575" s="64"/>
      <c r="H575" s="64"/>
      <c r="I575" s="172">
        <f t="shared" si="52"/>
        <v>7283231</v>
      </c>
      <c r="J575" s="172">
        <f t="shared" si="53"/>
        <v>99105</v>
      </c>
      <c r="K575" s="62"/>
      <c r="L575" s="60" t="str">
        <f>Price!A575</f>
        <v>Držák kabelu s Klebesockel</v>
      </c>
      <c r="M575" s="15" t="str">
        <f>Price!B575</f>
        <v>Z10K0009</v>
      </c>
      <c r="N575" s="15" t="str">
        <f>Price!C575</f>
        <v>NA</v>
      </c>
      <c r="O575" s="537">
        <f>Price!D575</f>
        <v>0</v>
      </c>
      <c r="P575" s="16"/>
      <c r="Q575" s="17">
        <f>Price!F575</f>
        <v>0.75663000000000002</v>
      </c>
      <c r="R575" s="323"/>
      <c r="S575" s="323"/>
      <c r="T575" s="12">
        <f>Price!G575</f>
        <v>7283231</v>
      </c>
      <c r="U575" s="257">
        <f>Price!H575</f>
        <v>99105</v>
      </c>
      <c r="V575" s="13"/>
      <c r="W575" s="13"/>
      <c r="X575" s="19"/>
      <c r="Y575" s="19"/>
    </row>
    <row r="576" spans="1:25" x14ac:dyDescent="0.35">
      <c r="A576" s="89" t="str">
        <f t="shared" si="47"/>
        <v>Synchronizační kabel 8cm</v>
      </c>
      <c r="B576" s="90" t="str">
        <f t="shared" si="48"/>
        <v xml:space="preserve">Z10K008S </v>
      </c>
      <c r="C576" s="90" t="str">
        <f t="shared" si="49"/>
        <v>W</v>
      </c>
      <c r="D576" s="90">
        <f t="shared" si="49"/>
        <v>0</v>
      </c>
      <c r="E576" s="91">
        <f t="shared" si="50"/>
        <v>0</v>
      </c>
      <c r="F576" s="17">
        <f t="shared" si="51"/>
        <v>4.2158600000000002</v>
      </c>
      <c r="G576" s="64"/>
      <c r="H576" s="64"/>
      <c r="I576" s="172">
        <f t="shared" si="52"/>
        <v>7288466</v>
      </c>
      <c r="J576" s="172">
        <f t="shared" si="53"/>
        <v>99106</v>
      </c>
      <c r="K576" s="62"/>
      <c r="L576" s="60" t="str">
        <f>Price!A576</f>
        <v>Synchronizační kabel 8cm</v>
      </c>
      <c r="M576" s="15" t="str">
        <f>Price!B576</f>
        <v xml:space="preserve">Z10K008S </v>
      </c>
      <c r="N576" s="15" t="str">
        <f>Price!C576</f>
        <v>W</v>
      </c>
      <c r="O576" s="537">
        <f>Price!D576</f>
        <v>0</v>
      </c>
      <c r="P576" s="16"/>
      <c r="Q576" s="17">
        <f>Price!F576</f>
        <v>4.2158600000000002</v>
      </c>
      <c r="R576" s="323"/>
      <c r="S576" s="323"/>
      <c r="T576" s="12">
        <f>Price!G576</f>
        <v>7288466</v>
      </c>
      <c r="U576" s="257">
        <f>Price!H576</f>
        <v>99106</v>
      </c>
      <c r="V576" s="13"/>
      <c r="W576" s="13"/>
      <c r="X576" s="19"/>
      <c r="Y576" s="19"/>
    </row>
    <row r="577" spans="1:21" x14ac:dyDescent="0.35">
      <c r="A577" s="89" t="str">
        <f t="shared" si="47"/>
        <v>Synchronizační kabel 50cm</v>
      </c>
      <c r="B577" s="90" t="str">
        <f t="shared" si="48"/>
        <v>Z10K050S</v>
      </c>
      <c r="C577" s="90" t="str">
        <f t="shared" si="49"/>
        <v>W</v>
      </c>
      <c r="D577" s="90">
        <f t="shared" si="49"/>
        <v>0</v>
      </c>
      <c r="E577" s="91">
        <f t="shared" si="50"/>
        <v>0</v>
      </c>
      <c r="F577" s="17">
        <f t="shared" si="51"/>
        <v>5.8548999999999998</v>
      </c>
      <c r="G577" s="64"/>
      <c r="H577" s="64"/>
      <c r="I577" s="172">
        <f t="shared" si="52"/>
        <v>8013626</v>
      </c>
      <c r="J577" s="172">
        <f t="shared" si="53"/>
        <v>246077</v>
      </c>
      <c r="K577" s="62"/>
      <c r="L577" s="60" t="str">
        <f>Price!A577</f>
        <v>Synchronizační kabel 50cm</v>
      </c>
      <c r="M577" s="15" t="str">
        <f>Price!B577</f>
        <v>Z10K050S</v>
      </c>
      <c r="N577" s="15" t="str">
        <f>Price!C577</f>
        <v>W</v>
      </c>
      <c r="O577" s="537">
        <f>Price!D577</f>
        <v>0</v>
      </c>
      <c r="P577" s="16"/>
      <c r="Q577" s="17">
        <f>Price!F577</f>
        <v>5.8548999999999998</v>
      </c>
      <c r="R577" s="323"/>
      <c r="S577" s="323"/>
      <c r="T577" s="12">
        <f>Price!G577</f>
        <v>8013626</v>
      </c>
      <c r="U577" s="257">
        <f>Price!H577</f>
        <v>246077</v>
      </c>
    </row>
    <row r="578" spans="1:21" x14ac:dyDescent="0.35">
      <c r="A578" s="89" t="str">
        <f t="shared" si="47"/>
        <v>Synchronizační kabel 120cm</v>
      </c>
      <c r="B578" s="90" t="str">
        <f t="shared" si="48"/>
        <v>Z10K120S</v>
      </c>
      <c r="C578" s="90" t="str">
        <f t="shared" si="49"/>
        <v>W</v>
      </c>
      <c r="D578" s="90">
        <f t="shared" si="49"/>
        <v>0</v>
      </c>
      <c r="E578" s="91">
        <f t="shared" si="50"/>
        <v>0</v>
      </c>
      <c r="F578" s="17">
        <f t="shared" si="51"/>
        <v>9.0636899999999994</v>
      </c>
      <c r="G578" s="64"/>
      <c r="H578" s="64"/>
      <c r="I578" s="172">
        <f t="shared" si="52"/>
        <v>7288546</v>
      </c>
      <c r="J578" s="172">
        <f t="shared" si="53"/>
        <v>99128</v>
      </c>
      <c r="L578" s="60" t="str">
        <f>Price!A578</f>
        <v>Synchronizační kabel 120cm</v>
      </c>
      <c r="M578" s="15" t="str">
        <f>Price!B578</f>
        <v>Z10K120S</v>
      </c>
      <c r="N578" s="15" t="str">
        <f>Price!C578</f>
        <v>W</v>
      </c>
      <c r="O578" s="537">
        <f>Price!D578</f>
        <v>0</v>
      </c>
      <c r="P578" s="16"/>
      <c r="Q578" s="17">
        <f>Price!F578</f>
        <v>9.0636899999999994</v>
      </c>
      <c r="R578" s="323"/>
      <c r="S578" s="323"/>
      <c r="T578" s="12">
        <f>Price!G578</f>
        <v>7288546</v>
      </c>
      <c r="U578" s="257">
        <f>Price!H578</f>
        <v>99128</v>
      </c>
    </row>
    <row r="579" spans="1:21" x14ac:dyDescent="0.35">
      <c r="A579" s="89" t="str">
        <f t="shared" si="47"/>
        <v>Synchronizační kabel 160cm</v>
      </c>
      <c r="B579" s="90" t="str">
        <f t="shared" si="48"/>
        <v>Z10K160S</v>
      </c>
      <c r="C579" s="90" t="str">
        <f t="shared" si="49"/>
        <v>W</v>
      </c>
      <c r="D579" s="90">
        <f t="shared" si="49"/>
        <v>0</v>
      </c>
      <c r="E579" s="91">
        <f t="shared" si="50"/>
        <v>0</v>
      </c>
      <c r="F579" s="17">
        <f t="shared" si="51"/>
        <v>10.234780000000001</v>
      </c>
      <c r="G579" s="64"/>
      <c r="H579" s="64"/>
      <c r="I579" s="172">
        <f t="shared" si="52"/>
        <v>7361306</v>
      </c>
      <c r="J579" s="172">
        <f t="shared" si="53"/>
        <v>99118</v>
      </c>
      <c r="L579" s="60" t="str">
        <f>Price!A579</f>
        <v>Synchronizační kabel 160cm</v>
      </c>
      <c r="M579" s="15" t="str">
        <f>Price!B579</f>
        <v>Z10K160S</v>
      </c>
      <c r="N579" s="15" t="str">
        <f>Price!C579</f>
        <v>W</v>
      </c>
      <c r="O579" s="537">
        <f>Price!D579</f>
        <v>0</v>
      </c>
      <c r="P579" s="16"/>
      <c r="Q579" s="17">
        <f>Price!F579</f>
        <v>10.234780000000001</v>
      </c>
      <c r="R579" s="323"/>
      <c r="S579" s="323"/>
      <c r="T579" s="12">
        <f>Price!G579</f>
        <v>7361306</v>
      </c>
      <c r="U579" s="257">
        <f>Price!H579</f>
        <v>99118</v>
      </c>
    </row>
    <row r="580" spans="1:21" x14ac:dyDescent="0.35">
      <c r="A580" s="89" t="str">
        <f t="shared" si="47"/>
        <v>Elektrokabel, délka 8m + 5 krytek</v>
      </c>
      <c r="B580" s="90" t="str">
        <f t="shared" si="48"/>
        <v>Z10K800AE</v>
      </c>
      <c r="C580" s="90" t="str">
        <f t="shared" si="49"/>
        <v>S</v>
      </c>
      <c r="D580" s="90">
        <f t="shared" si="49"/>
        <v>0</v>
      </c>
      <c r="E580" s="91">
        <f t="shared" si="50"/>
        <v>0</v>
      </c>
      <c r="F580" s="17">
        <f t="shared" si="51"/>
        <v>26.267219999999998</v>
      </c>
      <c r="G580" s="64"/>
      <c r="H580" s="64"/>
      <c r="I580" s="172">
        <f t="shared" si="52"/>
        <v>7550294</v>
      </c>
      <c r="J580" s="172">
        <f t="shared" si="53"/>
        <v>99107</v>
      </c>
      <c r="L580" s="60" t="str">
        <f>Price!A580</f>
        <v>Elektrokabel, délka 8m + 5 krytek</v>
      </c>
      <c r="M580" s="15" t="str">
        <f>Price!B580</f>
        <v>Z10K800AE</v>
      </c>
      <c r="N580" s="15" t="str">
        <f>Price!C580</f>
        <v>S</v>
      </c>
      <c r="O580" s="537">
        <f>Price!D580</f>
        <v>0</v>
      </c>
      <c r="P580" s="16"/>
      <c r="Q580" s="17">
        <f>Price!F580</f>
        <v>26.267219999999998</v>
      </c>
      <c r="R580" s="323"/>
      <c r="S580" s="323"/>
      <c r="T580" s="12">
        <f>Price!G580</f>
        <v>7550294</v>
      </c>
      <c r="U580" s="257">
        <f>Price!H580</f>
        <v>99107</v>
      </c>
    </row>
    <row r="581" spans="1:21" x14ac:dyDescent="0.35">
      <c r="A581" s="89" t="str">
        <f t="shared" si="47"/>
        <v>Napájecí kabel se zástrčkou, 2m</v>
      </c>
      <c r="B581" s="90" t="str">
        <f t="shared" si="48"/>
        <v xml:space="preserve">Z10M200E </v>
      </c>
      <c r="C581" s="90" t="str">
        <f t="shared" si="49"/>
        <v>S</v>
      </c>
      <c r="D581" s="90">
        <f t="shared" si="49"/>
        <v>0</v>
      </c>
      <c r="E581" s="91">
        <f t="shared" si="50"/>
        <v>0</v>
      </c>
      <c r="F581" s="17">
        <f t="shared" si="51"/>
        <v>6.3704900000000002</v>
      </c>
      <c r="G581" s="64"/>
      <c r="H581" s="64"/>
      <c r="I581" s="172">
        <f t="shared" si="52"/>
        <v>7205784</v>
      </c>
      <c r="J581" s="172">
        <f t="shared" si="53"/>
        <v>99108</v>
      </c>
      <c r="L581" s="60" t="str">
        <f>Price!A581</f>
        <v>Napájecí kabel se zástrčkou, 2m</v>
      </c>
      <c r="M581" s="15" t="str">
        <f>Price!B581</f>
        <v xml:space="preserve">Z10M200E </v>
      </c>
      <c r="N581" s="15" t="str">
        <f>Price!C581</f>
        <v>S</v>
      </c>
      <c r="O581" s="537">
        <f>Price!D581</f>
        <v>0</v>
      </c>
      <c r="P581" s="16"/>
      <c r="Q581" s="17">
        <f>Price!F581</f>
        <v>6.3704900000000002</v>
      </c>
      <c r="R581" s="323"/>
      <c r="S581" s="323"/>
      <c r="T581" s="12">
        <f>Price!G581</f>
        <v>7205784</v>
      </c>
      <c r="U581" s="257">
        <f>Price!H581</f>
        <v>99108</v>
      </c>
    </row>
    <row r="582" spans="1:21" x14ac:dyDescent="0.35">
      <c r="A582" s="89" t="str">
        <f t="shared" si="47"/>
        <v>Napájecí zdroj 72W</v>
      </c>
      <c r="B582" s="90" t="str">
        <f t="shared" si="48"/>
        <v>Z10NE020E</v>
      </c>
      <c r="C582" s="90" t="str">
        <f t="shared" si="49"/>
        <v>S</v>
      </c>
      <c r="D582" s="90">
        <f t="shared" si="49"/>
        <v>0</v>
      </c>
      <c r="E582" s="91">
        <f t="shared" si="50"/>
        <v>0</v>
      </c>
      <c r="F582" s="17">
        <f t="shared" si="51"/>
        <v>96.961060000000003</v>
      </c>
      <c r="G582" s="64"/>
      <c r="H582" s="64"/>
      <c r="I582" s="172">
        <f t="shared" si="52"/>
        <v>6960549</v>
      </c>
      <c r="J582" s="172">
        <f t="shared" si="53"/>
        <v>129576</v>
      </c>
      <c r="L582" s="60" t="str">
        <f>Price!A582</f>
        <v>Napájecí zdroj 72W</v>
      </c>
      <c r="M582" s="15" t="str">
        <f>Price!B582</f>
        <v>Z10NE020E</v>
      </c>
      <c r="N582" s="15" t="str">
        <f>Price!C582</f>
        <v>S</v>
      </c>
      <c r="O582" s="537">
        <f>Price!D582</f>
        <v>0</v>
      </c>
      <c r="P582" s="16"/>
      <c r="Q582" s="17">
        <f>Price!F582</f>
        <v>96.961060000000003</v>
      </c>
      <c r="R582" s="323"/>
      <c r="S582" s="323"/>
      <c r="T582" s="12">
        <f>Price!G582</f>
        <v>6960549</v>
      </c>
      <c r="U582" s="257">
        <f>Price!H582</f>
        <v>129576</v>
      </c>
    </row>
    <row r="583" spans="1:21" x14ac:dyDescent="0.35">
      <c r="A583" s="89" t="str">
        <f t="shared" si="47"/>
        <v>Držák napájecího zdroje - montáž do dna</v>
      </c>
      <c r="B583" s="90" t="str">
        <f t="shared" si="48"/>
        <v>Z10NG000</v>
      </c>
      <c r="C583" s="90" t="str">
        <f t="shared" si="49"/>
        <v>R737</v>
      </c>
      <c r="D583" s="90">
        <f t="shared" si="49"/>
        <v>0</v>
      </c>
      <c r="E583" s="91">
        <f t="shared" si="50"/>
        <v>0</v>
      </c>
      <c r="F583" s="17">
        <f t="shared" si="51"/>
        <v>6.557669999999999</v>
      </c>
      <c r="G583" s="64"/>
      <c r="H583" s="64"/>
      <c r="I583" s="172">
        <f t="shared" si="52"/>
        <v>7282180</v>
      </c>
      <c r="J583" s="172">
        <f t="shared" si="53"/>
        <v>991110</v>
      </c>
      <c r="L583" s="60" t="str">
        <f>Price!A583</f>
        <v>Držák napájecího zdroje - montáž do dna</v>
      </c>
      <c r="M583" s="15" t="str">
        <f>Price!B583</f>
        <v>Z10NG000</v>
      </c>
      <c r="N583" s="15" t="str">
        <f>Price!C583</f>
        <v>R737</v>
      </c>
      <c r="O583" s="537">
        <f>Price!D583</f>
        <v>0</v>
      </c>
      <c r="P583" s="16"/>
      <c r="Q583" s="17">
        <f>Price!F583</f>
        <v>6.5576699999999999</v>
      </c>
      <c r="R583" s="323"/>
      <c r="S583" s="323"/>
      <c r="T583" s="12">
        <f>Price!G583</f>
        <v>7282180</v>
      </c>
      <c r="U583" s="257">
        <f>Price!H583</f>
        <v>991110</v>
      </c>
    </row>
    <row r="584" spans="1:21" x14ac:dyDescent="0.35">
      <c r="A584" s="89" t="str">
        <f t="shared" si="47"/>
        <v>Držák napájecího zdroje - montáž na stěnu</v>
      </c>
      <c r="B584" s="90" t="str">
        <f t="shared" si="48"/>
        <v>Z10NG120</v>
      </c>
      <c r="C584" s="90" t="str">
        <f t="shared" si="49"/>
        <v>WGR</v>
      </c>
      <c r="D584" s="90">
        <f t="shared" si="49"/>
        <v>0</v>
      </c>
      <c r="E584" s="91">
        <f t="shared" si="50"/>
        <v>0</v>
      </c>
      <c r="F584" s="17">
        <f t="shared" si="51"/>
        <v>3.5366300000000002</v>
      </c>
      <c r="G584" s="64"/>
      <c r="H584" s="64"/>
      <c r="I584" s="172">
        <f t="shared" si="52"/>
        <v>9327076</v>
      </c>
      <c r="J584" s="172">
        <f t="shared" si="53"/>
        <v>131344</v>
      </c>
      <c r="L584" s="60" t="str">
        <f>Price!A584</f>
        <v>Držák napájecího zdroje - montáž na stěnu</v>
      </c>
      <c r="M584" s="15" t="str">
        <f>Price!B584</f>
        <v>Z10NG120</v>
      </c>
      <c r="N584" s="15" t="str">
        <f>Price!C584</f>
        <v>WGR</v>
      </c>
      <c r="O584" s="537">
        <f>Price!D584</f>
        <v>0</v>
      </c>
      <c r="P584" s="16"/>
      <c r="Q584" s="17">
        <f>Price!F584</f>
        <v>3.5366300000000002</v>
      </c>
      <c r="R584" s="323"/>
      <c r="S584" s="323"/>
      <c r="T584" s="12">
        <f>Price!G584</f>
        <v>9327076</v>
      </c>
      <c r="U584" s="257">
        <f>Price!H584</f>
        <v>131344</v>
      </c>
    </row>
    <row r="585" spans="1:21" x14ac:dyDescent="0.35">
      <c r="A585" s="89" t="str">
        <f t="shared" si="47"/>
        <v>Propojovací svorka s hroty + krytka</v>
      </c>
      <c r="B585" s="90" t="str">
        <f t="shared" si="48"/>
        <v>Z10V100E.01</v>
      </c>
      <c r="C585" s="90" t="str">
        <f t="shared" si="49"/>
        <v>S</v>
      </c>
      <c r="D585" s="90">
        <f t="shared" si="49"/>
        <v>0</v>
      </c>
      <c r="E585" s="91">
        <f t="shared" si="50"/>
        <v>0</v>
      </c>
      <c r="F585" s="17">
        <f t="shared" si="51"/>
        <v>6.2567500000000003</v>
      </c>
      <c r="G585" s="64"/>
      <c r="H585" s="64"/>
      <c r="I585" s="172">
        <f t="shared" si="52"/>
        <v>8820285</v>
      </c>
      <c r="J585" s="172">
        <f t="shared" si="53"/>
        <v>132954</v>
      </c>
      <c r="L585" s="60" t="str">
        <f>Price!A585</f>
        <v>Propojovací svorka s hroty + krytka</v>
      </c>
      <c r="M585" s="15" t="str">
        <f>Price!B585</f>
        <v>Z10V100E.01</v>
      </c>
      <c r="N585" s="15" t="str">
        <f>Price!C585</f>
        <v>S</v>
      </c>
      <c r="O585" s="537">
        <f>Price!D585</f>
        <v>0</v>
      </c>
      <c r="P585" s="16"/>
      <c r="Q585" s="17">
        <f>Price!F585</f>
        <v>6.2567500000000003</v>
      </c>
      <c r="R585" s="323"/>
      <c r="S585" s="323"/>
      <c r="T585" s="12">
        <f>Price!G585</f>
        <v>8820285</v>
      </c>
      <c r="U585" s="257">
        <f>Price!H585</f>
        <v>132954</v>
      </c>
    </row>
    <row r="586" spans="1:21" x14ac:dyDescent="0.35">
      <c r="A586" s="89" t="str">
        <f t="shared" si="47"/>
        <v xml:space="preserve">Nosník, 670mm, s předmont. kabelem </v>
      </c>
      <c r="B586" s="90" t="str">
        <f t="shared" si="48"/>
        <v xml:space="preserve">Z10T670AA </v>
      </c>
      <c r="C586" s="90" t="str">
        <f t="shared" si="49"/>
        <v>Alu</v>
      </c>
      <c r="D586" s="90">
        <f t="shared" si="49"/>
        <v>0</v>
      </c>
      <c r="E586" s="91">
        <f t="shared" si="50"/>
        <v>0</v>
      </c>
      <c r="F586" s="17">
        <f t="shared" si="51"/>
        <v>34.334380000000003</v>
      </c>
      <c r="G586" s="64"/>
      <c r="H586" s="64"/>
      <c r="I586" s="172">
        <f t="shared" si="52"/>
        <v>7716441</v>
      </c>
      <c r="J586" s="172">
        <f t="shared" si="53"/>
        <v>99125</v>
      </c>
      <c r="L586" s="60" t="str">
        <f>Price!A586</f>
        <v xml:space="preserve">Nosník, 670mm, s předmont. kabelem </v>
      </c>
      <c r="M586" s="15" t="str">
        <f>Price!B586</f>
        <v xml:space="preserve">Z10T670AA </v>
      </c>
      <c r="N586" s="15" t="str">
        <f>Price!C586</f>
        <v>Alu</v>
      </c>
      <c r="O586" s="537">
        <f>Price!D586</f>
        <v>0</v>
      </c>
      <c r="P586" s="16"/>
      <c r="Q586" s="17">
        <f>Price!F586</f>
        <v>34.334380000000003</v>
      </c>
      <c r="R586" s="323"/>
      <c r="S586" s="323"/>
      <c r="T586" s="12">
        <f>Price!G586</f>
        <v>7716441</v>
      </c>
      <c r="U586" s="257">
        <f>Price!H586</f>
        <v>99125</v>
      </c>
    </row>
    <row r="587" spans="1:21" x14ac:dyDescent="0.35">
      <c r="A587" s="89" t="str">
        <f t="shared" si="47"/>
        <v xml:space="preserve">Nosník, 750mm, s předmont. kabelem </v>
      </c>
      <c r="B587" s="90" t="str">
        <f t="shared" si="48"/>
        <v xml:space="preserve">Z10T750AA </v>
      </c>
      <c r="C587" s="90" t="str">
        <f t="shared" si="49"/>
        <v>Alu</v>
      </c>
      <c r="D587" s="90">
        <f t="shared" si="49"/>
        <v>0</v>
      </c>
      <c r="E587" s="91">
        <f t="shared" si="50"/>
        <v>0</v>
      </c>
      <c r="F587" s="17">
        <f t="shared" si="51"/>
        <v>37.613590000000002</v>
      </c>
      <c r="G587" s="64"/>
      <c r="H587" s="64"/>
      <c r="I587" s="172">
        <f t="shared" si="52"/>
        <v>7466401</v>
      </c>
      <c r="J587" s="172">
        <f t="shared" si="53"/>
        <v>99115</v>
      </c>
      <c r="L587" s="60" t="str">
        <f>Price!A587</f>
        <v xml:space="preserve">Nosník, 750mm, s předmont. kabelem </v>
      </c>
      <c r="M587" s="15" t="str">
        <f>Price!B587</f>
        <v xml:space="preserve">Z10T750AA </v>
      </c>
      <c r="N587" s="15" t="str">
        <f>Price!C587</f>
        <v>Alu</v>
      </c>
      <c r="O587" s="537">
        <f>Price!D587</f>
        <v>0</v>
      </c>
      <c r="P587" s="16"/>
      <c r="Q587" s="17">
        <f>Price!F587</f>
        <v>37.613590000000002</v>
      </c>
      <c r="R587" s="323"/>
      <c r="S587" s="323"/>
      <c r="T587" s="12">
        <f>Price!G587</f>
        <v>7466401</v>
      </c>
      <c r="U587" s="257">
        <f>Price!H587</f>
        <v>99115</v>
      </c>
    </row>
    <row r="588" spans="1:21" x14ac:dyDescent="0.35">
      <c r="A588" s="89" t="str">
        <f t="shared" si="47"/>
        <v>Nosník 1170mm, bez kabelu</v>
      </c>
      <c r="B588" s="90" t="str">
        <f t="shared" si="48"/>
        <v>Z10T1170A</v>
      </c>
      <c r="C588" s="90" t="str">
        <f t="shared" si="49"/>
        <v>Alu</v>
      </c>
      <c r="D588" s="90">
        <f t="shared" si="49"/>
        <v>0</v>
      </c>
      <c r="E588" s="91">
        <f t="shared" si="50"/>
        <v>0</v>
      </c>
      <c r="F588" s="17">
        <f t="shared" si="51"/>
        <v>40.049750000000003</v>
      </c>
      <c r="G588" s="64"/>
      <c r="H588" s="64"/>
      <c r="I588" s="172">
        <f t="shared" si="52"/>
        <v>7287731</v>
      </c>
      <c r="J588" s="172">
        <f t="shared" si="53"/>
        <v>99116</v>
      </c>
      <c r="L588" s="60" t="str">
        <f>Price!A588</f>
        <v>Nosník 1170mm, bez kabelu</v>
      </c>
      <c r="M588" s="15" t="str">
        <f>Price!B588</f>
        <v>Z10T1170A</v>
      </c>
      <c r="N588" s="15" t="str">
        <f>Price!C588</f>
        <v>Alu</v>
      </c>
      <c r="O588" s="537">
        <f>Price!D588</f>
        <v>0</v>
      </c>
      <c r="P588" s="16"/>
      <c r="Q588" s="17">
        <f>Price!F588</f>
        <v>40.049750000000003</v>
      </c>
      <c r="R588" s="323"/>
      <c r="S588" s="323"/>
      <c r="T588" s="12">
        <f>Price!G588</f>
        <v>7287731</v>
      </c>
      <c r="U588" s="257">
        <f>Price!H588</f>
        <v>99116</v>
      </c>
    </row>
    <row r="589" spans="1:21" x14ac:dyDescent="0.35">
      <c r="A589" s="89" t="str">
        <f t="shared" si="47"/>
        <v xml:space="preserve">Mechanizmus vyhazovače </v>
      </c>
      <c r="B589" s="90" t="str">
        <f t="shared" si="48"/>
        <v>Z10A3H00</v>
      </c>
      <c r="C589" s="90" t="str">
        <f t="shared" si="49"/>
        <v>R737</v>
      </c>
      <c r="D589" s="90">
        <f t="shared" si="49"/>
        <v>0</v>
      </c>
      <c r="E589" s="91">
        <f t="shared" si="50"/>
        <v>0</v>
      </c>
      <c r="F589" s="17">
        <f t="shared" si="51"/>
        <v>2.8103199999999999</v>
      </c>
      <c r="G589" s="64"/>
      <c r="H589" s="64"/>
      <c r="I589" s="172">
        <f t="shared" si="52"/>
        <v>7472980</v>
      </c>
      <c r="J589" s="172">
        <f t="shared" si="53"/>
        <v>99126</v>
      </c>
      <c r="L589" s="60" t="str">
        <f>Price!A589</f>
        <v xml:space="preserve">Mechanizmus vyhazovače </v>
      </c>
      <c r="M589" s="15" t="str">
        <f>Price!B589</f>
        <v>Z10A3H00</v>
      </c>
      <c r="N589" s="15" t="str">
        <f>Price!C589</f>
        <v>R737</v>
      </c>
      <c r="O589" s="537">
        <f>Price!D589</f>
        <v>0</v>
      </c>
      <c r="P589" s="16"/>
      <c r="Q589" s="17">
        <f>Price!F589</f>
        <v>2.8103199999999999</v>
      </c>
      <c r="R589" s="323"/>
      <c r="S589" s="323"/>
      <c r="T589" s="12">
        <f>Price!G589</f>
        <v>7472980</v>
      </c>
      <c r="U589" s="257">
        <f>Price!H589</f>
        <v>99126</v>
      </c>
    </row>
    <row r="590" spans="1:21" x14ac:dyDescent="0.35">
      <c r="A590" s="89" t="str">
        <f t="shared" si="47"/>
        <v>Horizontální nosník</v>
      </c>
      <c r="B590" s="90" t="str">
        <f t="shared" si="48"/>
        <v>Z10T1143B</v>
      </c>
      <c r="C590" s="90" t="str">
        <f t="shared" si="49"/>
        <v>Alu</v>
      </c>
      <c r="D590" s="90">
        <f t="shared" si="49"/>
        <v>0</v>
      </c>
      <c r="E590" s="91">
        <f t="shared" si="50"/>
        <v>0</v>
      </c>
      <c r="F590" s="17">
        <f t="shared" si="51"/>
        <v>16.558009999999999</v>
      </c>
      <c r="G590" s="64"/>
      <c r="H590" s="64"/>
      <c r="I590" s="172">
        <f t="shared" si="52"/>
        <v>7922191</v>
      </c>
      <c r="J590" s="172">
        <f t="shared" si="53"/>
        <v>99124</v>
      </c>
      <c r="L590" s="60" t="str">
        <f>Price!A590</f>
        <v>Horizontální nosník</v>
      </c>
      <c r="M590" s="15" t="str">
        <f>Price!B590</f>
        <v>Z10T1143B</v>
      </c>
      <c r="N590" s="15" t="str">
        <f>Price!C590</f>
        <v>Alu</v>
      </c>
      <c r="O590" s="537">
        <f>Price!D590</f>
        <v>0</v>
      </c>
      <c r="P590" s="16"/>
      <c r="Q590" s="17">
        <f>Price!F590</f>
        <v>16.558009999999999</v>
      </c>
      <c r="R590" s="323"/>
      <c r="S590" s="323"/>
      <c r="T590" s="12">
        <f>Price!G590</f>
        <v>7922191</v>
      </c>
      <c r="U590" s="257">
        <f>Price!H590</f>
        <v>99124</v>
      </c>
    </row>
    <row r="591" spans="1:21" x14ac:dyDescent="0.35">
      <c r="A591" s="89" t="str">
        <f t="shared" si="47"/>
        <v>Adaptér + držák horizont. nosníku</v>
      </c>
      <c r="B591" s="90" t="str">
        <f t="shared" si="48"/>
        <v>Z10D5210</v>
      </c>
      <c r="C591" s="90" t="str">
        <f t="shared" si="49"/>
        <v>R737</v>
      </c>
      <c r="D591" s="90">
        <f t="shared" si="49"/>
        <v>0</v>
      </c>
      <c r="E591" s="91">
        <f t="shared" si="50"/>
        <v>0</v>
      </c>
      <c r="F591" s="17">
        <f t="shared" si="51"/>
        <v>5.199209999999999</v>
      </c>
      <c r="G591" s="64"/>
      <c r="H591" s="64"/>
      <c r="I591" s="172">
        <f t="shared" si="52"/>
        <v>7867370</v>
      </c>
      <c r="J591" s="172">
        <f t="shared" si="53"/>
        <v>99123</v>
      </c>
      <c r="L591" s="60" t="str">
        <f>Price!A591</f>
        <v>Adaptér + držák horizont. nosníku</v>
      </c>
      <c r="M591" s="15" t="str">
        <f>Price!B591</f>
        <v>Z10D5210</v>
      </c>
      <c r="N591" s="15" t="str">
        <f>Price!C591</f>
        <v>R737</v>
      </c>
      <c r="O591" s="537">
        <f>Price!D591</f>
        <v>0</v>
      </c>
      <c r="P591" s="16"/>
      <c r="Q591" s="17">
        <f>Price!F591</f>
        <v>5.1992099999999999</v>
      </c>
      <c r="R591" s="323"/>
      <c r="S591" s="323"/>
      <c r="T591" s="12">
        <f>Price!G591</f>
        <v>7867370</v>
      </c>
      <c r="U591" s="257">
        <f>Price!H591</f>
        <v>99123</v>
      </c>
    </row>
    <row r="592" spans="1:21" x14ac:dyDescent="0.35">
      <c r="A592" s="89" t="str">
        <f t="shared" si="47"/>
        <v>COMBOX</v>
      </c>
      <c r="B592" s="90" t="str">
        <f t="shared" si="48"/>
        <v>Z10ZC00A</v>
      </c>
      <c r="C592" s="90" t="str">
        <f t="shared" si="49"/>
        <v>S</v>
      </c>
      <c r="D592" s="90">
        <f t="shared" si="49"/>
        <v>0</v>
      </c>
      <c r="E592" s="91">
        <f t="shared" si="50"/>
        <v>0</v>
      </c>
      <c r="F592" s="17">
        <f t="shared" si="51"/>
        <v>110.51904999999999</v>
      </c>
      <c r="G592" s="64"/>
      <c r="H592" s="64"/>
      <c r="I592" s="172">
        <f t="shared" si="52"/>
        <v>5202593</v>
      </c>
      <c r="J592" s="172">
        <f t="shared" si="53"/>
        <v>159530</v>
      </c>
      <c r="L592" s="60" t="str">
        <f>Price!A592</f>
        <v>COMBOX</v>
      </c>
      <c r="M592" s="15" t="str">
        <f>Price!B592</f>
        <v>Z10ZC00A</v>
      </c>
      <c r="N592" s="15" t="str">
        <f>Price!C592</f>
        <v>S</v>
      </c>
      <c r="O592" s="537">
        <f>Price!D592</f>
        <v>0</v>
      </c>
      <c r="P592" s="16"/>
      <c r="Q592" s="17">
        <f>Price!F592</f>
        <v>110.51904999999999</v>
      </c>
      <c r="R592" s="323"/>
      <c r="S592" s="323"/>
      <c r="T592" s="12">
        <f>Price!G592</f>
        <v>5202593</v>
      </c>
      <c r="U592" s="257">
        <f>Price!H592</f>
        <v>159530</v>
      </c>
    </row>
    <row r="593" spans="1:21" x14ac:dyDescent="0.35">
      <c r="A593" s="89" t="str">
        <f t="shared" si="47"/>
        <v>SD uno - sada pro výsuv na odpad</v>
      </c>
      <c r="B593" s="90" t="str">
        <f t="shared" si="48"/>
        <v>Z10NA20EE01</v>
      </c>
      <c r="C593" s="90" t="str">
        <f t="shared" si="49"/>
        <v>R737</v>
      </c>
      <c r="D593" s="90">
        <f t="shared" si="49"/>
        <v>0</v>
      </c>
      <c r="E593" s="91">
        <f t="shared" si="50"/>
        <v>0</v>
      </c>
      <c r="F593" s="17">
        <f t="shared" si="51"/>
        <v>132.19479999999999</v>
      </c>
      <c r="G593" s="64"/>
      <c r="H593" s="64"/>
      <c r="I593" s="172">
        <f t="shared" si="52"/>
        <v>9820785</v>
      </c>
      <c r="J593" s="172">
        <f t="shared" si="53"/>
        <v>130787</v>
      </c>
      <c r="L593" s="60" t="str">
        <f>Price!A593</f>
        <v>SD uno - sada pro výsuv na odpad</v>
      </c>
      <c r="M593" s="15" t="str">
        <f>Price!B593</f>
        <v>Z10NA20EE01</v>
      </c>
      <c r="N593" s="15" t="str">
        <f>Price!C593</f>
        <v>R737</v>
      </c>
      <c r="O593" s="537">
        <f>Price!D593</f>
        <v>0</v>
      </c>
      <c r="P593" s="16"/>
      <c r="Q593" s="17">
        <f>Price!F593</f>
        <v>132.19479999999999</v>
      </c>
      <c r="R593" s="323"/>
      <c r="S593" s="323"/>
      <c r="T593" s="12">
        <f>Price!G593</f>
        <v>9820785</v>
      </c>
      <c r="U593" s="257">
        <f>Price!H593</f>
        <v>130787</v>
      </c>
    </row>
    <row r="594" spans="1:21" x14ac:dyDescent="0.35">
      <c r="A594" s="89" t="str">
        <f t="shared" ref="A594:A599" si="54">L594</f>
        <v>SERVO-DRIVE flex - jednotka (sada)</v>
      </c>
      <c r="B594" s="90" t="str">
        <f t="shared" ref="B594:B599" si="55">M594</f>
        <v>Z10C500A</v>
      </c>
      <c r="C594" s="90" t="str">
        <f t="shared" ref="C594:C599" si="56">N594</f>
        <v>R736</v>
      </c>
      <c r="D594" s="90">
        <f t="shared" ref="D594:D599" si="57">O594</f>
        <v>0</v>
      </c>
      <c r="E594" s="91">
        <f t="shared" ref="E594:E599" si="58">P594</f>
        <v>0</v>
      </c>
      <c r="F594" s="17">
        <f t="shared" ref="F594:F599" si="59">Q594*(100-$F$6)/100</f>
        <v>156.82427999999999</v>
      </c>
      <c r="G594" s="64"/>
      <c r="H594" s="64"/>
      <c r="I594" s="172">
        <f t="shared" ref="I594:I599" si="60">T594</f>
        <v>4784397</v>
      </c>
      <c r="J594" s="172">
        <f t="shared" ref="J594:J599" si="61">U594</f>
        <v>265145</v>
      </c>
      <c r="L594" s="60" t="str">
        <f>Price!A594</f>
        <v>SERVO-DRIVE flex - jednotka (sada)</v>
      </c>
      <c r="M594" s="15" t="str">
        <f>Price!B594</f>
        <v>Z10C500A</v>
      </c>
      <c r="N594" s="15" t="str">
        <f>Price!C594</f>
        <v>R736</v>
      </c>
      <c r="O594" s="537">
        <f>Price!D594</f>
        <v>0</v>
      </c>
      <c r="P594" s="16"/>
      <c r="Q594" s="17">
        <f>Price!F594</f>
        <v>156.82427999999999</v>
      </c>
      <c r="R594" s="323"/>
      <c r="S594" s="323"/>
      <c r="T594" s="12">
        <f>Price!G594</f>
        <v>4784397</v>
      </c>
      <c r="U594" s="257">
        <f>Price!H594</f>
        <v>265145</v>
      </c>
    </row>
    <row r="595" spans="1:21" x14ac:dyDescent="0.35">
      <c r="A595" s="89" t="str">
        <f t="shared" si="54"/>
        <v>SERVO-DRIVE flex - bezdrátový přijímač</v>
      </c>
      <c r="B595" s="90" t="str">
        <f t="shared" si="55"/>
        <v>Z10C5007</v>
      </c>
      <c r="C595" s="90" t="str">
        <f t="shared" si="56"/>
        <v>R736</v>
      </c>
      <c r="D595" s="90">
        <f t="shared" si="57"/>
        <v>0</v>
      </c>
      <c r="E595" s="91">
        <f t="shared" si="58"/>
        <v>0</v>
      </c>
      <c r="F595" s="17">
        <f t="shared" si="59"/>
        <v>61.456240000000001</v>
      </c>
      <c r="G595" s="64"/>
      <c r="H595" s="64"/>
      <c r="I595" s="172">
        <f t="shared" si="60"/>
        <v>1120793</v>
      </c>
      <c r="J595" s="172">
        <f t="shared" si="61"/>
        <v>265355</v>
      </c>
      <c r="L595" s="60" t="str">
        <f>Price!A595</f>
        <v>SERVO-DRIVE flex - bezdrátový přijímač</v>
      </c>
      <c r="M595" s="15" t="str">
        <f>Price!B595</f>
        <v>Z10C5007</v>
      </c>
      <c r="N595" s="15" t="str">
        <f>Price!C595</f>
        <v>R736</v>
      </c>
      <c r="O595" s="537">
        <f>Price!D595</f>
        <v>0</v>
      </c>
      <c r="P595" s="16"/>
      <c r="Q595" s="17">
        <f>Price!F595</f>
        <v>61.456240000000001</v>
      </c>
      <c r="R595" s="323"/>
      <c r="S595" s="323"/>
      <c r="T595" s="12">
        <f>Price!G595</f>
        <v>1120793</v>
      </c>
      <c r="U595" s="257">
        <f>Price!H595</f>
        <v>265355</v>
      </c>
    </row>
    <row r="596" spans="1:21" x14ac:dyDescent="0.35">
      <c r="A596" s="89" t="str">
        <f t="shared" si="54"/>
        <v>Spínač SERVO-DRIVE, světle šedý</v>
      </c>
      <c r="B596" s="90" t="str">
        <f t="shared" si="55"/>
        <v>21P5020</v>
      </c>
      <c r="C596" s="90" t="str">
        <f t="shared" si="56"/>
        <v>HGR</v>
      </c>
      <c r="D596" s="90">
        <f t="shared" si="57"/>
        <v>0</v>
      </c>
      <c r="E596" s="91">
        <f t="shared" si="58"/>
        <v>0</v>
      </c>
      <c r="F596" s="17">
        <f t="shared" si="59"/>
        <v>29.275839999999999</v>
      </c>
      <c r="G596" s="64"/>
      <c r="H596" s="64"/>
      <c r="I596" s="172">
        <f t="shared" si="60"/>
        <v>8978398</v>
      </c>
      <c r="J596" s="172">
        <f t="shared" si="61"/>
        <v>123015</v>
      </c>
      <c r="L596" s="60" t="str">
        <f>Price!A596</f>
        <v>Spínač SERVO-DRIVE, světle šedý</v>
      </c>
      <c r="M596" s="15" t="str">
        <f>Price!B596</f>
        <v>21P5020</v>
      </c>
      <c r="N596" s="15" t="str">
        <f>Price!C596</f>
        <v>HGR</v>
      </c>
      <c r="O596" s="537">
        <f>Price!D596</f>
        <v>0</v>
      </c>
      <c r="P596" s="16"/>
      <c r="Q596" s="17">
        <f>Price!F596</f>
        <v>29.275839999999999</v>
      </c>
      <c r="R596" s="323"/>
      <c r="S596" s="323"/>
      <c r="T596" s="12">
        <f>Price!G596</f>
        <v>8978398</v>
      </c>
      <c r="U596" s="257">
        <f>Price!H596</f>
        <v>123015</v>
      </c>
    </row>
    <row r="597" spans="1:21" x14ac:dyDescent="0.35">
      <c r="A597" s="89" t="str">
        <f t="shared" si="54"/>
        <v>Spínač SERVO-DRIVE, hedvábně bílý</v>
      </c>
      <c r="B597" s="90" t="str">
        <f t="shared" si="55"/>
        <v>21P5020</v>
      </c>
      <c r="C597" s="90" t="str">
        <f t="shared" si="56"/>
        <v>SW</v>
      </c>
      <c r="D597" s="90">
        <f t="shared" si="57"/>
        <v>0</v>
      </c>
      <c r="E597" s="91">
        <f t="shared" si="58"/>
        <v>0</v>
      </c>
      <c r="F597" s="17">
        <f t="shared" si="59"/>
        <v>30.447119999999998</v>
      </c>
      <c r="G597" s="64"/>
      <c r="H597" s="64"/>
      <c r="I597" s="172">
        <f t="shared" si="60"/>
        <v>8978392</v>
      </c>
      <c r="J597" s="172">
        <f t="shared" si="61"/>
        <v>123016</v>
      </c>
      <c r="L597" s="60" t="str">
        <f>Price!A597</f>
        <v>Spínač SERVO-DRIVE, hedvábně bílý</v>
      </c>
      <c r="M597" s="15" t="str">
        <f>Price!B597</f>
        <v>21P5020</v>
      </c>
      <c r="N597" s="15" t="str">
        <f>Price!C597</f>
        <v>SW</v>
      </c>
      <c r="O597" s="537">
        <f>Price!D597</f>
        <v>0</v>
      </c>
      <c r="P597" s="16"/>
      <c r="Q597" s="17">
        <f>Price!F597</f>
        <v>30.447120000000002</v>
      </c>
      <c r="R597" s="323"/>
      <c r="S597" s="323"/>
      <c r="T597" s="12">
        <f>Price!G597</f>
        <v>8978392</v>
      </c>
      <c r="U597" s="257">
        <f>Price!H597</f>
        <v>123016</v>
      </c>
    </row>
    <row r="598" spans="1:21" x14ac:dyDescent="0.35">
      <c r="A598" s="89">
        <f t="shared" si="54"/>
        <v>0</v>
      </c>
      <c r="B598" s="90">
        <f t="shared" si="55"/>
        <v>0</v>
      </c>
      <c r="C598" s="90">
        <f t="shared" si="56"/>
        <v>0</v>
      </c>
      <c r="D598" s="90">
        <f t="shared" si="57"/>
        <v>0</v>
      </c>
      <c r="E598" s="91">
        <f t="shared" si="58"/>
        <v>0</v>
      </c>
      <c r="F598" s="17">
        <f t="shared" si="59"/>
        <v>0</v>
      </c>
      <c r="G598" s="64"/>
      <c r="H598" s="64"/>
      <c r="I598" s="172">
        <f t="shared" si="60"/>
        <v>0</v>
      </c>
      <c r="J598" s="172">
        <f t="shared" si="61"/>
        <v>0</v>
      </c>
      <c r="L598" s="60">
        <f>Price!A598</f>
        <v>0</v>
      </c>
      <c r="M598" s="15">
        <f>Price!B598</f>
        <v>0</v>
      </c>
      <c r="N598" s="15">
        <f>Price!C598</f>
        <v>0</v>
      </c>
      <c r="O598" s="537">
        <f>Price!D598</f>
        <v>0</v>
      </c>
      <c r="P598" s="16"/>
      <c r="Q598" s="17">
        <f>Price!F598</f>
        <v>0</v>
      </c>
      <c r="R598" s="323"/>
      <c r="S598" s="323"/>
      <c r="T598" s="12">
        <f>Price!G598</f>
        <v>0</v>
      </c>
      <c r="U598" s="257">
        <f>Price!H598</f>
        <v>0</v>
      </c>
    </row>
    <row r="599" spans="1:21" x14ac:dyDescent="0.35">
      <c r="A599" s="89" t="str">
        <f t="shared" si="54"/>
        <v>Synchronizační kabel 300 cm, světle šedý</v>
      </c>
      <c r="B599" s="90" t="str">
        <f t="shared" si="55"/>
        <v>Z10K300A</v>
      </c>
      <c r="C599" s="90" t="str">
        <f t="shared" si="56"/>
        <v>R735</v>
      </c>
      <c r="D599" s="90" t="str">
        <f t="shared" si="57"/>
        <v>!</v>
      </c>
      <c r="E599" s="91">
        <f t="shared" si="58"/>
        <v>0</v>
      </c>
      <c r="F599" s="17">
        <f t="shared" si="59"/>
        <v>5.2473000000000001</v>
      </c>
      <c r="G599" s="64"/>
      <c r="H599" s="64"/>
      <c r="I599" s="172">
        <f t="shared" si="60"/>
        <v>4340633</v>
      </c>
      <c r="J599" s="172">
        <f t="shared" si="61"/>
        <v>304165</v>
      </c>
      <c r="L599" s="60" t="str">
        <f>Price!A599</f>
        <v>Synchronizační kabel 300 cm, světle šedý</v>
      </c>
      <c r="M599" s="15" t="str">
        <f>Price!B599</f>
        <v>Z10K300A</v>
      </c>
      <c r="N599" s="15" t="str">
        <f>Price!C599</f>
        <v>R735</v>
      </c>
      <c r="O599" s="537" t="str">
        <f>Price!D599</f>
        <v>!</v>
      </c>
      <c r="P599" s="16"/>
      <c r="Q599" s="17">
        <f>Price!F599</f>
        <v>5.2473000000000001</v>
      </c>
      <c r="R599" s="323"/>
      <c r="S599" s="323"/>
      <c r="T599" s="12">
        <f>Price!G599</f>
        <v>4340633</v>
      </c>
      <c r="U599" s="257">
        <f>Price!H599</f>
        <v>304165</v>
      </c>
    </row>
    <row r="600" spans="1:21" x14ac:dyDescent="0.35">
      <c r="A600" s="76"/>
      <c r="B600" s="162"/>
      <c r="C600" s="162"/>
      <c r="D600" s="540"/>
      <c r="E600" s="77"/>
      <c r="F600" s="64"/>
      <c r="G600" s="64"/>
      <c r="H600" s="64"/>
      <c r="I600" s="175"/>
      <c r="J600" s="175"/>
      <c r="L600" s="60">
        <f>Price!A600</f>
        <v>0</v>
      </c>
      <c r="M600" s="15">
        <f>Price!B600</f>
        <v>0</v>
      </c>
      <c r="N600" s="15">
        <f>Price!C600</f>
        <v>0</v>
      </c>
      <c r="O600" s="537">
        <f>Price!D600</f>
        <v>0</v>
      </c>
      <c r="P600" s="16"/>
      <c r="Q600" s="17">
        <f>Price!F600</f>
        <v>0</v>
      </c>
      <c r="R600" s="323"/>
      <c r="S600" s="323"/>
      <c r="T600" s="12">
        <f>Price!G600</f>
        <v>0</v>
      </c>
      <c r="U600" s="257">
        <f>Price!H600</f>
        <v>0</v>
      </c>
    </row>
    <row r="601" spans="1:21" x14ac:dyDescent="0.35">
      <c r="A601" s="78"/>
      <c r="B601" s="163"/>
      <c r="C601" s="163"/>
      <c r="D601" s="541"/>
      <c r="E601" s="81"/>
      <c r="F601" s="64"/>
      <c r="G601" s="64"/>
      <c r="H601" s="64"/>
      <c r="I601" s="64"/>
      <c r="J601" s="64"/>
      <c r="L601" s="60">
        <f>Price!A601</f>
        <v>0</v>
      </c>
      <c r="M601" s="15">
        <f>Price!B601</f>
        <v>0</v>
      </c>
      <c r="N601" s="15">
        <f>Price!C601</f>
        <v>0</v>
      </c>
      <c r="O601" s="537">
        <f>Price!D601</f>
        <v>0</v>
      </c>
      <c r="P601" s="16"/>
      <c r="Q601" s="17">
        <f>Price!F601</f>
        <v>0</v>
      </c>
      <c r="R601" s="323"/>
      <c r="S601" s="323"/>
      <c r="T601" s="12">
        <f>Price!G601</f>
        <v>0</v>
      </c>
      <c r="U601" s="257">
        <f>Price!H601</f>
        <v>0</v>
      </c>
    </row>
    <row r="602" spans="1:21" x14ac:dyDescent="0.35">
      <c r="A602" s="78"/>
      <c r="B602" s="163"/>
      <c r="C602" s="163"/>
      <c r="D602" s="541"/>
      <c r="E602" s="81"/>
      <c r="F602" s="64"/>
      <c r="G602" s="64"/>
      <c r="H602" s="64"/>
      <c r="I602" s="64"/>
      <c r="J602" s="64"/>
      <c r="L602" s="60">
        <f>Price!A602</f>
        <v>0</v>
      </c>
      <c r="M602" s="15">
        <f>Price!B602</f>
        <v>0</v>
      </c>
      <c r="N602" s="15">
        <f>Price!C602</f>
        <v>0</v>
      </c>
      <c r="O602" s="537">
        <f>Price!D602</f>
        <v>0</v>
      </c>
      <c r="P602" s="16"/>
      <c r="Q602" s="17">
        <f>Price!F602</f>
        <v>0</v>
      </c>
      <c r="R602" s="323"/>
      <c r="S602" s="323"/>
      <c r="T602" s="12">
        <f>Price!G602</f>
        <v>0</v>
      </c>
      <c r="U602" s="257">
        <f>Price!H602</f>
        <v>0</v>
      </c>
    </row>
    <row r="603" spans="1:21" x14ac:dyDescent="0.35">
      <c r="A603" s="78"/>
      <c r="B603" s="163"/>
      <c r="C603" s="163"/>
      <c r="D603" s="541"/>
      <c r="E603" s="81"/>
      <c r="F603" s="64"/>
      <c r="G603" s="64"/>
      <c r="H603" s="64"/>
      <c r="I603" s="64"/>
      <c r="J603" s="64"/>
      <c r="L603" s="60" t="str">
        <f>Price!A603</f>
        <v xml:space="preserve">   Ostatní</v>
      </c>
      <c r="M603" s="15">
        <f>Price!B603</f>
        <v>0</v>
      </c>
      <c r="N603" s="15">
        <f>Price!C603</f>
        <v>0</v>
      </c>
      <c r="O603" s="537">
        <f>Price!D603</f>
        <v>0</v>
      </c>
      <c r="P603" s="16"/>
      <c r="Q603" s="17">
        <f>Price!F603</f>
        <v>0</v>
      </c>
      <c r="R603" s="323"/>
      <c r="S603" s="323"/>
      <c r="T603" s="12">
        <f>Price!G603</f>
        <v>0</v>
      </c>
      <c r="U603" s="257">
        <f>Price!H603</f>
        <v>0</v>
      </c>
    </row>
    <row r="604" spans="1:21" x14ac:dyDescent="0.35">
      <c r="A604" s="78"/>
      <c r="B604" s="163"/>
      <c r="C604" s="163"/>
      <c r="D604" s="541"/>
      <c r="E604" s="81"/>
      <c r="F604" s="64"/>
      <c r="G604" s="64"/>
      <c r="H604" s="64"/>
      <c r="I604" s="64"/>
      <c r="J604" s="64"/>
      <c r="L604" s="60">
        <f>Price!A604</f>
        <v>0</v>
      </c>
      <c r="M604" s="15">
        <f>Price!B604</f>
        <v>0</v>
      </c>
      <c r="N604" s="15">
        <f>Price!C604</f>
        <v>0</v>
      </c>
      <c r="O604" s="537">
        <f>Price!D604</f>
        <v>0</v>
      </c>
      <c r="P604" s="16"/>
      <c r="Q604" s="17">
        <f>Price!F604</f>
        <v>0</v>
      </c>
      <c r="R604" s="323"/>
      <c r="S604" s="323"/>
      <c r="T604" s="12">
        <f>Price!G604</f>
        <v>0</v>
      </c>
      <c r="U604" s="257">
        <f>Price!H604</f>
        <v>0</v>
      </c>
    </row>
    <row r="605" spans="1:21" x14ac:dyDescent="0.35">
      <c r="A605" s="76"/>
      <c r="B605" s="162"/>
      <c r="C605" s="162"/>
      <c r="D605" s="540"/>
      <c r="E605" s="82"/>
      <c r="F605" s="83"/>
      <c r="G605" s="83"/>
      <c r="H605" s="83"/>
      <c r="I605" s="83"/>
      <c r="J605" s="83"/>
      <c r="L605" s="60">
        <f>Price!A605</f>
        <v>0</v>
      </c>
      <c r="M605" s="15">
        <f>Price!B605</f>
        <v>0</v>
      </c>
      <c r="N605" s="15">
        <f>Price!C605</f>
        <v>0</v>
      </c>
      <c r="O605" s="537">
        <f>Price!D605</f>
        <v>0</v>
      </c>
      <c r="P605" s="16"/>
      <c r="Q605" s="17">
        <f>Price!F605</f>
        <v>0</v>
      </c>
      <c r="R605" s="323"/>
      <c r="S605" s="323"/>
      <c r="T605" s="12">
        <f>Price!G605</f>
        <v>0</v>
      </c>
      <c r="U605" s="257">
        <f>Price!H605</f>
        <v>0</v>
      </c>
    </row>
    <row r="606" spans="1:21" x14ac:dyDescent="0.35">
      <c r="A606" s="333"/>
      <c r="B606" s="162"/>
      <c r="C606" s="162"/>
      <c r="D606" s="540"/>
      <c r="E606" s="82"/>
      <c r="F606" s="83"/>
      <c r="G606" s="83"/>
      <c r="H606" s="83"/>
      <c r="I606" s="83"/>
      <c r="J606" s="83"/>
      <c r="L606" s="60">
        <f>Price!A606</f>
        <v>0</v>
      </c>
      <c r="M606" s="15">
        <f>Price!B606</f>
        <v>0</v>
      </c>
      <c r="N606" s="15">
        <f>Price!C606</f>
        <v>0</v>
      </c>
      <c r="O606" s="537">
        <f>Price!D606</f>
        <v>0</v>
      </c>
      <c r="P606" s="16"/>
      <c r="Q606" s="17">
        <f>Price!F606</f>
        <v>0</v>
      </c>
      <c r="R606" s="323"/>
      <c r="S606" s="323"/>
      <c r="T606" s="12">
        <f>Price!G606</f>
        <v>0</v>
      </c>
      <c r="U606" s="257">
        <f>Price!H606</f>
        <v>0</v>
      </c>
    </row>
    <row r="607" spans="1:21" x14ac:dyDescent="0.35">
      <c r="A607" s="324"/>
      <c r="B607" s="162"/>
      <c r="C607" s="162"/>
      <c r="D607" s="540"/>
      <c r="E607" s="82"/>
      <c r="F607" s="64"/>
      <c r="G607" s="64"/>
      <c r="H607" s="64"/>
      <c r="I607" s="64"/>
      <c r="J607" s="64"/>
      <c r="L607" s="60">
        <f>Price!A607</f>
        <v>0</v>
      </c>
      <c r="M607" s="15">
        <f>Price!B607</f>
        <v>0</v>
      </c>
      <c r="N607" s="15">
        <f>Price!C607</f>
        <v>0</v>
      </c>
      <c r="O607" s="537">
        <f>Price!D607</f>
        <v>0</v>
      </c>
      <c r="P607" s="16"/>
      <c r="Q607" s="17">
        <f>Price!F607</f>
        <v>0</v>
      </c>
      <c r="R607" s="323"/>
      <c r="S607" s="323"/>
      <c r="T607" s="12">
        <f>Price!G607</f>
        <v>0</v>
      </c>
      <c r="U607" s="257">
        <f>Price!H607</f>
        <v>0</v>
      </c>
    </row>
    <row r="608" spans="1:21" x14ac:dyDescent="0.35">
      <c r="A608" s="76"/>
      <c r="B608" s="162"/>
      <c r="C608" s="162"/>
      <c r="D608" s="540"/>
      <c r="E608" s="82"/>
      <c r="F608" s="83"/>
      <c r="G608" s="83"/>
      <c r="H608" s="83"/>
      <c r="I608" s="83"/>
      <c r="J608" s="83"/>
      <c r="L608" s="60">
        <f>Price!A608</f>
        <v>0</v>
      </c>
      <c r="M608" s="15">
        <f>Price!B608</f>
        <v>0</v>
      </c>
      <c r="N608" s="15">
        <f>Price!C608</f>
        <v>0</v>
      </c>
      <c r="O608" s="537">
        <f>Price!D608</f>
        <v>0</v>
      </c>
      <c r="P608" s="16"/>
      <c r="Q608" s="17">
        <f>Price!F608</f>
        <v>0</v>
      </c>
      <c r="R608" s="323"/>
      <c r="S608" s="323"/>
      <c r="T608" s="12">
        <f>Price!G608</f>
        <v>0</v>
      </c>
      <c r="U608" s="257">
        <f>Price!H608</f>
        <v>0</v>
      </c>
    </row>
    <row r="609" spans="1:21" x14ac:dyDescent="0.35">
      <c r="A609" s="76"/>
      <c r="B609" s="162"/>
      <c r="C609" s="162"/>
      <c r="D609" s="540"/>
      <c r="E609" s="82"/>
      <c r="F609" s="83"/>
      <c r="G609" s="83"/>
      <c r="H609" s="83"/>
      <c r="I609" s="83"/>
      <c r="J609" s="83"/>
      <c r="L609" s="60">
        <f>Price!A609</f>
        <v>0</v>
      </c>
      <c r="M609" s="15">
        <f>Price!B609</f>
        <v>0</v>
      </c>
      <c r="N609" s="15">
        <f>Price!C609</f>
        <v>0</v>
      </c>
      <c r="O609" s="537">
        <f>Price!D609</f>
        <v>0</v>
      </c>
      <c r="P609" s="16"/>
      <c r="Q609" s="17">
        <f>Price!F609</f>
        <v>0</v>
      </c>
      <c r="R609" s="323"/>
      <c r="S609" s="323"/>
      <c r="T609" s="12">
        <f>Price!G609</f>
        <v>0</v>
      </c>
      <c r="U609" s="257">
        <f>Price!H609</f>
        <v>0</v>
      </c>
    </row>
    <row r="610" spans="1:21" x14ac:dyDescent="0.35">
      <c r="A610" s="76"/>
      <c r="B610" s="162"/>
      <c r="C610" s="162"/>
      <c r="D610" s="540"/>
      <c r="E610" s="82"/>
      <c r="F610" s="83"/>
      <c r="G610" s="83"/>
      <c r="H610" s="83"/>
      <c r="I610" s="83"/>
      <c r="J610" s="83"/>
      <c r="L610" s="60">
        <f>Price!A610</f>
        <v>0</v>
      </c>
      <c r="M610" s="15">
        <f>Price!B610</f>
        <v>0</v>
      </c>
      <c r="N610" s="15">
        <f>Price!C610</f>
        <v>0</v>
      </c>
      <c r="O610" s="537">
        <f>Price!D610</f>
        <v>0</v>
      </c>
      <c r="P610" s="16"/>
      <c r="Q610" s="17">
        <f>Price!F610</f>
        <v>0</v>
      </c>
      <c r="R610" s="323"/>
      <c r="S610" s="323"/>
      <c r="T610" s="12">
        <f>Price!G610</f>
        <v>0</v>
      </c>
      <c r="U610" s="257">
        <f>Price!H610</f>
        <v>0</v>
      </c>
    </row>
    <row r="611" spans="1:21" x14ac:dyDescent="0.35">
      <c r="A611" s="76"/>
      <c r="B611" s="162"/>
      <c r="C611" s="162"/>
      <c r="D611" s="540"/>
      <c r="E611" s="82"/>
      <c r="F611" s="64"/>
      <c r="G611" s="64"/>
      <c r="H611" s="64"/>
      <c r="I611" s="64"/>
      <c r="J611" s="64"/>
      <c r="L611" s="60">
        <f>Price!A611</f>
        <v>0</v>
      </c>
      <c r="M611" s="15">
        <f>Price!B611</f>
        <v>0</v>
      </c>
      <c r="N611" s="15">
        <f>Price!C611</f>
        <v>0</v>
      </c>
      <c r="O611" s="537">
        <f>Price!D611</f>
        <v>0</v>
      </c>
      <c r="P611" s="16"/>
      <c r="Q611" s="17">
        <f>Price!F611</f>
        <v>0</v>
      </c>
      <c r="R611" s="323"/>
      <c r="S611" s="323"/>
      <c r="T611" s="12">
        <f>Price!G611</f>
        <v>0</v>
      </c>
      <c r="U611" s="257">
        <f>Price!H611</f>
        <v>0</v>
      </c>
    </row>
    <row r="612" spans="1:21" x14ac:dyDescent="0.35">
      <c r="A612" s="76"/>
      <c r="B612" s="162"/>
      <c r="C612" s="162"/>
      <c r="D612" s="540"/>
      <c r="E612" s="82"/>
      <c r="F612" s="83"/>
      <c r="G612" s="83"/>
      <c r="H612" s="83"/>
      <c r="I612" s="83"/>
      <c r="J612" s="83"/>
      <c r="L612" s="60">
        <f>Price!A612</f>
        <v>0</v>
      </c>
      <c r="M612" s="15">
        <f>Price!B612</f>
        <v>0</v>
      </c>
      <c r="N612" s="15">
        <f>Price!C612</f>
        <v>0</v>
      </c>
      <c r="O612" s="537">
        <f>Price!D612</f>
        <v>0</v>
      </c>
      <c r="P612" s="16"/>
      <c r="Q612" s="17">
        <f>Price!F612</f>
        <v>0</v>
      </c>
      <c r="R612" s="323"/>
      <c r="S612" s="323"/>
      <c r="T612" s="12">
        <f>Price!G612</f>
        <v>0</v>
      </c>
      <c r="U612" s="257">
        <f>Price!H612</f>
        <v>0</v>
      </c>
    </row>
    <row r="613" spans="1:21" x14ac:dyDescent="0.35">
      <c r="A613" s="76"/>
      <c r="B613" s="162"/>
      <c r="C613" s="162"/>
      <c r="D613" s="540"/>
      <c r="E613" s="82"/>
      <c r="F613" s="64"/>
      <c r="G613" s="64"/>
      <c r="H613" s="64"/>
      <c r="I613" s="64"/>
      <c r="J613" s="64"/>
      <c r="L613" s="60">
        <f>Price!A613</f>
        <v>0</v>
      </c>
      <c r="M613" s="15">
        <f>Price!B613</f>
        <v>0</v>
      </c>
      <c r="N613" s="15">
        <f>Price!C613</f>
        <v>0</v>
      </c>
      <c r="O613" s="537">
        <f>Price!D613</f>
        <v>0</v>
      </c>
      <c r="P613" s="16"/>
      <c r="Q613" s="17">
        <f>Price!F613</f>
        <v>0</v>
      </c>
      <c r="R613" s="323"/>
      <c r="S613" s="323"/>
      <c r="T613" s="12">
        <f>Price!G613</f>
        <v>0</v>
      </c>
      <c r="U613" s="257">
        <f>Price!H613</f>
        <v>0</v>
      </c>
    </row>
    <row r="614" spans="1:21" x14ac:dyDescent="0.35">
      <c r="A614" s="76"/>
      <c r="B614" s="162"/>
      <c r="C614" s="162"/>
      <c r="D614" s="540"/>
      <c r="E614" s="77"/>
      <c r="F614" s="64"/>
      <c r="G614" s="64"/>
      <c r="H614" s="64"/>
      <c r="I614" s="175"/>
      <c r="J614" s="175"/>
      <c r="L614" s="60">
        <f>Price!A614</f>
        <v>0</v>
      </c>
      <c r="M614" s="15">
        <f>Price!B614</f>
        <v>0</v>
      </c>
      <c r="N614" s="15">
        <f>Price!C614</f>
        <v>0</v>
      </c>
      <c r="O614" s="537">
        <f>Price!D614</f>
        <v>0</v>
      </c>
      <c r="P614" s="16"/>
      <c r="Q614" s="17">
        <f>Price!F614</f>
        <v>0</v>
      </c>
      <c r="R614" s="323"/>
      <c r="S614" s="323"/>
      <c r="T614" s="12">
        <f>Price!G614</f>
        <v>0</v>
      </c>
      <c r="U614" s="257">
        <f>Price!H614</f>
        <v>0</v>
      </c>
    </row>
    <row r="615" spans="1:21" x14ac:dyDescent="0.35">
      <c r="A615" s="76"/>
      <c r="B615" s="162"/>
      <c r="C615" s="162"/>
      <c r="D615" s="540"/>
      <c r="E615" s="77"/>
      <c r="F615" s="64"/>
      <c r="G615" s="64"/>
      <c r="H615" s="64"/>
      <c r="I615" s="175"/>
      <c r="J615" s="175"/>
      <c r="L615" s="60">
        <f>Price!A615</f>
        <v>0</v>
      </c>
      <c r="M615" s="15">
        <f>Price!B615</f>
        <v>0</v>
      </c>
      <c r="N615" s="15">
        <f>Price!C615</f>
        <v>0</v>
      </c>
      <c r="O615" s="537">
        <f>Price!D615</f>
        <v>0</v>
      </c>
      <c r="P615" s="16"/>
      <c r="Q615" s="17">
        <f>Price!F615</f>
        <v>0</v>
      </c>
      <c r="R615" s="323"/>
      <c r="S615" s="323"/>
      <c r="T615" s="12">
        <f>Price!G615</f>
        <v>0</v>
      </c>
      <c r="U615" s="257">
        <f>Price!H615</f>
        <v>0</v>
      </c>
    </row>
    <row r="616" spans="1:21" x14ac:dyDescent="0.35">
      <c r="A616" s="76"/>
      <c r="B616" s="162"/>
      <c r="C616" s="162"/>
      <c r="D616" s="540"/>
      <c r="E616" s="77"/>
      <c r="F616" s="64"/>
      <c r="G616" s="64"/>
      <c r="H616" s="64"/>
      <c r="I616" s="175"/>
      <c r="J616" s="175"/>
      <c r="L616" s="60">
        <f>Price!A616</f>
        <v>0</v>
      </c>
      <c r="M616" s="15">
        <f>Price!B616</f>
        <v>0</v>
      </c>
      <c r="N616" s="15">
        <f>Price!C616</f>
        <v>0</v>
      </c>
      <c r="O616" s="537">
        <f>Price!D616</f>
        <v>0</v>
      </c>
      <c r="P616" s="16"/>
      <c r="Q616" s="17">
        <f>Price!F616</f>
        <v>0</v>
      </c>
      <c r="R616" s="323"/>
      <c r="S616" s="323"/>
      <c r="T616" s="12">
        <f>Price!G616</f>
        <v>0</v>
      </c>
      <c r="U616" s="257">
        <f>Price!H616</f>
        <v>0</v>
      </c>
    </row>
    <row r="617" spans="1:21" x14ac:dyDescent="0.35">
      <c r="A617" s="76"/>
      <c r="B617" s="162"/>
      <c r="C617" s="162"/>
      <c r="D617" s="540"/>
      <c r="E617" s="77"/>
      <c r="F617" s="64"/>
      <c r="G617" s="64"/>
      <c r="H617" s="64"/>
      <c r="I617" s="175"/>
      <c r="J617" s="175"/>
      <c r="L617" s="60">
        <f>Price!A617</f>
        <v>0</v>
      </c>
      <c r="M617" s="15">
        <f>Price!B617</f>
        <v>0</v>
      </c>
      <c r="N617" s="15">
        <f>Price!C617</f>
        <v>0</v>
      </c>
      <c r="O617" s="537">
        <f>Price!D617</f>
        <v>0</v>
      </c>
      <c r="P617" s="16"/>
      <c r="Q617" s="17">
        <f>Price!F617</f>
        <v>0</v>
      </c>
      <c r="R617" s="323"/>
      <c r="S617" s="323"/>
      <c r="T617" s="12">
        <f>Price!G617</f>
        <v>0</v>
      </c>
      <c r="U617" s="257">
        <f>Price!H617</f>
        <v>0</v>
      </c>
    </row>
    <row r="618" spans="1:21" x14ac:dyDescent="0.35">
      <c r="A618" s="76"/>
      <c r="B618" s="162"/>
      <c r="C618" s="162"/>
      <c r="D618" s="540"/>
      <c r="E618" s="77"/>
      <c r="F618" s="64"/>
      <c r="G618" s="64"/>
      <c r="H618" s="64"/>
      <c r="I618" s="175"/>
      <c r="J618" s="175"/>
      <c r="L618" s="60">
        <f>Price!A618</f>
        <v>0</v>
      </c>
      <c r="M618" s="15">
        <f>Price!B618</f>
        <v>0</v>
      </c>
      <c r="N618" s="15">
        <f>Price!C618</f>
        <v>0</v>
      </c>
      <c r="O618" s="537">
        <f>Price!D618</f>
        <v>0</v>
      </c>
      <c r="P618" s="16"/>
      <c r="Q618" s="17">
        <f>Price!F618</f>
        <v>0</v>
      </c>
      <c r="R618" s="323"/>
      <c r="S618" s="323"/>
      <c r="T618" s="12">
        <f>Price!G618</f>
        <v>0</v>
      </c>
      <c r="U618" s="257">
        <f>Price!H618</f>
        <v>0</v>
      </c>
    </row>
    <row r="619" spans="1:21" x14ac:dyDescent="0.35">
      <c r="A619" s="76"/>
      <c r="B619" s="162"/>
      <c r="C619" s="162"/>
      <c r="D619" s="540"/>
      <c r="E619" s="77"/>
      <c r="F619" s="64"/>
      <c r="G619" s="64"/>
      <c r="H619" s="64"/>
      <c r="I619" s="175"/>
      <c r="J619" s="175"/>
      <c r="L619" s="60" t="str">
        <f>Price!A619</f>
        <v xml:space="preserve">   Závěsy</v>
      </c>
      <c r="M619" s="15">
        <f>Price!B619</f>
        <v>0</v>
      </c>
      <c r="N619" s="15">
        <f>Price!C619</f>
        <v>0</v>
      </c>
      <c r="O619" s="537">
        <f>Price!D619</f>
        <v>0</v>
      </c>
      <c r="P619" s="16"/>
      <c r="Q619" s="17">
        <f>Price!F619</f>
        <v>0</v>
      </c>
      <c r="R619" s="323"/>
      <c r="S619" s="323"/>
      <c r="T619" s="12">
        <f>Price!G619</f>
        <v>0</v>
      </c>
      <c r="U619" s="257">
        <f>Price!H619</f>
        <v>0</v>
      </c>
    </row>
    <row r="620" spans="1:21" x14ac:dyDescent="0.35">
      <c r="A620" s="89" t="str">
        <f t="shared" ref="A620:A641" si="62">L620</f>
        <v>CLIP top 155° s nulovým přesahem</v>
      </c>
      <c r="B620" s="90" t="str">
        <f t="shared" ref="B620:B641" si="63">M620</f>
        <v>71T7500N</v>
      </c>
      <c r="C620" s="90" t="str">
        <f t="shared" ref="C620:D641" si="64">N620</f>
        <v>NI</v>
      </c>
      <c r="D620" s="90">
        <f t="shared" si="64"/>
        <v>0</v>
      </c>
      <c r="E620" s="91">
        <f t="shared" ref="E620:E641" si="65">P620</f>
        <v>0</v>
      </c>
      <c r="F620" s="17">
        <f t="shared" ref="F620:F641" si="66">Q620*(100-$F$6)/100</f>
        <v>4.4192400000000003</v>
      </c>
      <c r="G620" s="64"/>
      <c r="H620" s="64"/>
      <c r="I620" s="172">
        <f t="shared" ref="I620:I641" si="67">T620</f>
        <v>9064013</v>
      </c>
      <c r="J620" s="172">
        <f t="shared" ref="J620:J641" si="68">U620</f>
        <v>12236</v>
      </c>
      <c r="L620" s="60" t="str">
        <f>Price!A620</f>
        <v>CLIP top 155° s nulovým přesahem</v>
      </c>
      <c r="M620" s="15" t="str">
        <f>Price!B620</f>
        <v>71T7500N</v>
      </c>
      <c r="N620" s="15" t="str">
        <f>Price!C620</f>
        <v>NI</v>
      </c>
      <c r="O620" s="537">
        <f>Price!D620</f>
        <v>0</v>
      </c>
      <c r="P620" s="16"/>
      <c r="Q620" s="17">
        <f>Price!F620</f>
        <v>4.4192400000000003</v>
      </c>
      <c r="R620" s="323"/>
      <c r="S620" s="323"/>
      <c r="T620" s="12">
        <f>Price!G620</f>
        <v>9064013</v>
      </c>
      <c r="U620" s="257">
        <f>Price!H620</f>
        <v>12236</v>
      </c>
    </row>
    <row r="621" spans="1:21" x14ac:dyDescent="0.35">
      <c r="A621" s="89" t="str">
        <f t="shared" si="62"/>
        <v>CLIP top 155° s nulovým přesahem, EXPANDO</v>
      </c>
      <c r="B621" s="90" t="str">
        <f t="shared" si="63"/>
        <v>71T753EN</v>
      </c>
      <c r="C621" s="90" t="str">
        <f t="shared" si="64"/>
        <v>NI</v>
      </c>
      <c r="D621" s="90">
        <f t="shared" si="64"/>
        <v>0</v>
      </c>
      <c r="E621" s="91">
        <f t="shared" si="65"/>
        <v>0</v>
      </c>
      <c r="F621" s="17">
        <f t="shared" si="66"/>
        <v>4.42394</v>
      </c>
      <c r="G621" s="64"/>
      <c r="H621" s="64"/>
      <c r="I621" s="172">
        <f t="shared" si="67"/>
        <v>9064323</v>
      </c>
      <c r="J621" s="172">
        <f t="shared" si="68"/>
        <v>179415</v>
      </c>
      <c r="L621" s="60" t="str">
        <f>Price!A621</f>
        <v>CLIP top 155° s nulovým přesahem, EXPANDO</v>
      </c>
      <c r="M621" s="15" t="str">
        <f>Price!B621</f>
        <v>71T753EN</v>
      </c>
      <c r="N621" s="15" t="str">
        <f>Price!C621</f>
        <v>NI</v>
      </c>
      <c r="O621" s="537">
        <f>Price!D621</f>
        <v>0</v>
      </c>
      <c r="P621" s="16"/>
      <c r="Q621" s="17">
        <f>Price!F621</f>
        <v>4.42394</v>
      </c>
      <c r="R621" s="323"/>
      <c r="S621" s="323"/>
      <c r="T621" s="12">
        <f>Price!G621</f>
        <v>9064323</v>
      </c>
      <c r="U621" s="257">
        <f>Price!H621</f>
        <v>179415</v>
      </c>
    </row>
    <row r="622" spans="1:21" x14ac:dyDescent="0.35">
      <c r="A622" s="89" t="str">
        <f t="shared" si="62"/>
        <v>CLIP top 155° s nulovým přesahem, bez pružiny</v>
      </c>
      <c r="B622" s="90" t="str">
        <f t="shared" si="63"/>
        <v>70T7500NTL</v>
      </c>
      <c r="C622" s="90" t="str">
        <f t="shared" si="64"/>
        <v>NI</v>
      </c>
      <c r="D622" s="90">
        <f t="shared" si="64"/>
        <v>0</v>
      </c>
      <c r="E622" s="91">
        <f t="shared" si="65"/>
        <v>0</v>
      </c>
      <c r="F622" s="17">
        <f t="shared" si="66"/>
        <v>4.4192400000000003</v>
      </c>
      <c r="G622" s="64"/>
      <c r="H622" s="64"/>
      <c r="I622" s="172">
        <f t="shared" si="67"/>
        <v>9141613</v>
      </c>
      <c r="J622" s="172">
        <f t="shared" si="68"/>
        <v>12237</v>
      </c>
      <c r="L622" s="60" t="str">
        <f>Price!A622</f>
        <v>CLIP top 155° s nulovým přesahem, bez pružiny</v>
      </c>
      <c r="M622" s="15" t="str">
        <f>Price!B622</f>
        <v>70T7500NTL</v>
      </c>
      <c r="N622" s="15" t="str">
        <f>Price!C622</f>
        <v>NI</v>
      </c>
      <c r="O622" s="537">
        <f>Price!D622</f>
        <v>0</v>
      </c>
      <c r="P622" s="16"/>
      <c r="Q622" s="17">
        <f>Price!F622</f>
        <v>4.4192400000000003</v>
      </c>
      <c r="R622" s="323"/>
      <c r="S622" s="323"/>
      <c r="T622" s="12">
        <f>Price!G622</f>
        <v>9141613</v>
      </c>
      <c r="U622" s="257">
        <f>Price!H622</f>
        <v>12237</v>
      </c>
    </row>
    <row r="623" spans="1:21" x14ac:dyDescent="0.35">
      <c r="A623" s="89" t="str">
        <f t="shared" ref="A623:D624" si="69">L623</f>
        <v>CLIP top 125° s nulovým přesahem</v>
      </c>
      <c r="B623" s="90" t="str">
        <f t="shared" si="69"/>
        <v>71T7500D</v>
      </c>
      <c r="C623" s="90" t="str">
        <f t="shared" si="69"/>
        <v>NI</v>
      </c>
      <c r="D623" s="90">
        <f t="shared" si="69"/>
        <v>0</v>
      </c>
      <c r="E623" s="91">
        <f>P623</f>
        <v>0</v>
      </c>
      <c r="F623" s="17">
        <f>Q623*(100-$F$6)/100</f>
        <v>6.0096900000000009</v>
      </c>
      <c r="G623" s="64"/>
      <c r="H623" s="64"/>
      <c r="I623" s="172">
        <f>T623</f>
        <v>8298184</v>
      </c>
      <c r="J623" s="172">
        <f>U623</f>
        <v>246059</v>
      </c>
      <c r="L623" s="60" t="str">
        <f>Price!A623</f>
        <v>CLIP top 125° s nulovým přesahem</v>
      </c>
      <c r="M623" s="15" t="str">
        <f>Price!B623</f>
        <v>71T7500D</v>
      </c>
      <c r="N623" s="15" t="str">
        <f>Price!C623</f>
        <v>NI</v>
      </c>
      <c r="O623" s="537">
        <f>Price!D623</f>
        <v>0</v>
      </c>
      <c r="P623" s="16"/>
      <c r="Q623" s="17">
        <f>Price!F623</f>
        <v>6.00969</v>
      </c>
      <c r="R623" s="323"/>
      <c r="S623" s="323"/>
      <c r="T623" s="12">
        <f>Price!G623</f>
        <v>8298184</v>
      </c>
      <c r="U623" s="257">
        <f>Price!H623</f>
        <v>246059</v>
      </c>
    </row>
    <row r="624" spans="1:21" x14ac:dyDescent="0.35">
      <c r="A624" s="89">
        <f t="shared" si="69"/>
        <v>0</v>
      </c>
      <c r="B624" s="90">
        <f t="shared" si="69"/>
        <v>0</v>
      </c>
      <c r="C624" s="90">
        <f t="shared" si="69"/>
        <v>0</v>
      </c>
      <c r="D624" s="90">
        <f t="shared" si="69"/>
        <v>0</v>
      </c>
      <c r="E624" s="91">
        <f>P624</f>
        <v>0</v>
      </c>
      <c r="F624" s="17">
        <f>Q624*(100-$F$6)/100</f>
        <v>0</v>
      </c>
      <c r="G624" s="64"/>
      <c r="H624" s="64"/>
      <c r="I624" s="172">
        <f>T624</f>
        <v>0</v>
      </c>
      <c r="J624" s="172">
        <f>U624</f>
        <v>0</v>
      </c>
      <c r="L624" s="60">
        <f>Price!A624</f>
        <v>0</v>
      </c>
      <c r="M624" s="15">
        <f>Price!B624</f>
        <v>0</v>
      </c>
      <c r="N624" s="15">
        <f>Price!C624</f>
        <v>0</v>
      </c>
      <c r="O624" s="537">
        <f>Price!D624</f>
        <v>0</v>
      </c>
      <c r="P624" s="16"/>
      <c r="Q624" s="17">
        <f>Price!F624</f>
        <v>0</v>
      </c>
      <c r="R624" s="323"/>
      <c r="S624" s="323"/>
      <c r="T624" s="12">
        <f>Price!G624</f>
        <v>0</v>
      </c>
      <c r="U624" s="257">
        <f>Price!H624</f>
        <v>0</v>
      </c>
    </row>
    <row r="625" spans="1:21" x14ac:dyDescent="0.35">
      <c r="A625" s="89" t="str">
        <f t="shared" si="62"/>
        <v>Podložka CLIP na vruty</v>
      </c>
      <c r="B625" s="90" t="str">
        <f t="shared" si="63"/>
        <v>173L6100</v>
      </c>
      <c r="C625" s="90" t="str">
        <f t="shared" si="64"/>
        <v>NI</v>
      </c>
      <c r="D625" s="90">
        <f t="shared" si="64"/>
        <v>0</v>
      </c>
      <c r="E625" s="91">
        <f t="shared" si="65"/>
        <v>0</v>
      </c>
      <c r="F625" s="17">
        <f t="shared" si="66"/>
        <v>0.18021000000000001</v>
      </c>
      <c r="G625" s="64"/>
      <c r="H625" s="64"/>
      <c r="I625" s="172">
        <f t="shared" si="67"/>
        <v>1925383</v>
      </c>
      <c r="J625" s="172">
        <f t="shared" si="68"/>
        <v>12306</v>
      </c>
      <c r="L625" s="60" t="str">
        <f>Price!A625</f>
        <v>Podložka CLIP na vruty</v>
      </c>
      <c r="M625" s="15" t="str">
        <f>Price!B625</f>
        <v>173L6100</v>
      </c>
      <c r="N625" s="15" t="str">
        <f>Price!C625</f>
        <v>NI</v>
      </c>
      <c r="O625" s="537">
        <f>Price!D625</f>
        <v>0</v>
      </c>
      <c r="P625" s="16"/>
      <c r="Q625" s="17">
        <f>Price!F625</f>
        <v>0.18021000000000001</v>
      </c>
      <c r="R625" s="323"/>
      <c r="S625" s="323"/>
      <c r="T625" s="12">
        <f>Price!G625</f>
        <v>1925383</v>
      </c>
      <c r="U625" s="257">
        <f>Price!H625</f>
        <v>12306</v>
      </c>
    </row>
    <row r="626" spans="1:21" x14ac:dyDescent="0.35">
      <c r="A626" s="89" t="str">
        <f t="shared" si="62"/>
        <v>Podložka CLIP EXPANDO</v>
      </c>
      <c r="B626" s="90" t="str">
        <f t="shared" si="63"/>
        <v>174E6100.01</v>
      </c>
      <c r="C626" s="90" t="str">
        <f t="shared" si="64"/>
        <v>NI</v>
      </c>
      <c r="D626" s="90">
        <f t="shared" si="64"/>
        <v>0</v>
      </c>
      <c r="E626" s="91">
        <f t="shared" si="65"/>
        <v>0</v>
      </c>
      <c r="F626" s="17">
        <f t="shared" si="66"/>
        <v>0.2883</v>
      </c>
      <c r="G626" s="64"/>
      <c r="H626" s="64"/>
      <c r="I626" s="172">
        <f t="shared" si="67"/>
        <v>1863003</v>
      </c>
      <c r="J626" s="172">
        <f t="shared" si="68"/>
        <v>12302</v>
      </c>
      <c r="L626" s="60" t="str">
        <f>Price!A626</f>
        <v>Podložka CLIP EXPANDO</v>
      </c>
      <c r="M626" s="15" t="str">
        <f>Price!B626</f>
        <v>174E6100.01</v>
      </c>
      <c r="N626" s="15" t="str">
        <f>Price!C626</f>
        <v>NI</v>
      </c>
      <c r="O626" s="537">
        <f>Price!D626</f>
        <v>0</v>
      </c>
      <c r="P626" s="16"/>
      <c r="Q626" s="17">
        <f>Price!F626</f>
        <v>0.2883</v>
      </c>
      <c r="R626" s="323"/>
      <c r="S626" s="323"/>
      <c r="T626" s="12">
        <f>Price!G626</f>
        <v>1863003</v>
      </c>
      <c r="U626" s="257">
        <f>Price!H626</f>
        <v>12302</v>
      </c>
    </row>
    <row r="627" spans="1:21" x14ac:dyDescent="0.35">
      <c r="A627" s="89" t="str">
        <f t="shared" si="62"/>
        <v>Podložka CLIP s excentrem</v>
      </c>
      <c r="B627" s="90" t="str">
        <f t="shared" si="63"/>
        <v>173H7100</v>
      </c>
      <c r="C627" s="90" t="str">
        <f t="shared" si="64"/>
        <v>NI</v>
      </c>
      <c r="D627" s="90">
        <f t="shared" si="64"/>
        <v>0</v>
      </c>
      <c r="E627" s="91">
        <f t="shared" si="65"/>
        <v>0</v>
      </c>
      <c r="F627" s="17">
        <f t="shared" si="66"/>
        <v>0.4849</v>
      </c>
      <c r="G627" s="64"/>
      <c r="H627" s="64"/>
      <c r="I627" s="172">
        <f t="shared" si="67"/>
        <v>2364043</v>
      </c>
      <c r="J627" s="172">
        <f t="shared" si="68"/>
        <v>12340</v>
      </c>
      <c r="L627" s="60" t="str">
        <f>Price!A627</f>
        <v>Podložka CLIP s excentrem</v>
      </c>
      <c r="M627" s="15" t="str">
        <f>Price!B627</f>
        <v>173H7100</v>
      </c>
      <c r="N627" s="15" t="str">
        <f>Price!C627</f>
        <v>NI</v>
      </c>
      <c r="O627" s="537">
        <f>Price!D627</f>
        <v>0</v>
      </c>
      <c r="P627" s="16"/>
      <c r="Q627" s="17">
        <f>Price!F627</f>
        <v>0.4849</v>
      </c>
      <c r="R627" s="323"/>
      <c r="S627" s="323"/>
      <c r="T627" s="12">
        <f>Price!G627</f>
        <v>2364043</v>
      </c>
      <c r="U627" s="257">
        <f>Price!H627</f>
        <v>12340</v>
      </c>
    </row>
    <row r="628" spans="1:21" x14ac:dyDescent="0.35">
      <c r="A628" s="89" t="str">
        <f t="shared" si="62"/>
        <v>Podložka CLIP s excentrem, EXPANDO</v>
      </c>
      <c r="B628" s="90" t="str">
        <f t="shared" si="63"/>
        <v>174H7100E</v>
      </c>
      <c r="C628" s="90" t="str">
        <f t="shared" si="64"/>
        <v>NI</v>
      </c>
      <c r="D628" s="90">
        <f t="shared" si="64"/>
        <v>0</v>
      </c>
      <c r="E628" s="91">
        <f t="shared" si="65"/>
        <v>0</v>
      </c>
      <c r="F628" s="17">
        <f t="shared" si="66"/>
        <v>0.59260999999999997</v>
      </c>
      <c r="G628" s="64"/>
      <c r="H628" s="64"/>
      <c r="I628" s="172">
        <f t="shared" si="67"/>
        <v>2364983</v>
      </c>
      <c r="J628" s="172">
        <f t="shared" si="68"/>
        <v>266981</v>
      </c>
      <c r="L628" s="60" t="str">
        <f>Price!A628</f>
        <v>Podložka CLIP s excentrem, EXPANDO</v>
      </c>
      <c r="M628" s="15" t="str">
        <f>Price!B628</f>
        <v>174H7100E</v>
      </c>
      <c r="N628" s="15" t="str">
        <f>Price!C628</f>
        <v>NI</v>
      </c>
      <c r="O628" s="537">
        <f>Price!D628</f>
        <v>0</v>
      </c>
      <c r="P628" s="16"/>
      <c r="Q628" s="17">
        <f>Price!F628</f>
        <v>0.59260999999999997</v>
      </c>
      <c r="R628" s="323"/>
      <c r="S628" s="323"/>
      <c r="T628" s="12">
        <f>Price!G628</f>
        <v>2364983</v>
      </c>
      <c r="U628" s="257">
        <f>Price!H628</f>
        <v>266981</v>
      </c>
    </row>
    <row r="629" spans="1:21" x14ac:dyDescent="0.35">
      <c r="A629" s="89" t="str">
        <f t="shared" si="62"/>
        <v>Podložka CLIP top přímá</v>
      </c>
      <c r="B629" s="90" t="str">
        <f t="shared" si="63"/>
        <v>175H5400</v>
      </c>
      <c r="C629" s="90" t="str">
        <f t="shared" si="64"/>
        <v>NI</v>
      </c>
      <c r="D629" s="90">
        <f t="shared" si="64"/>
        <v>0</v>
      </c>
      <c r="E629" s="91">
        <f t="shared" si="65"/>
        <v>0</v>
      </c>
      <c r="F629" s="17">
        <f t="shared" si="66"/>
        <v>0.70503000000000005</v>
      </c>
      <c r="G629" s="64"/>
      <c r="H629" s="64"/>
      <c r="I629" s="172">
        <f t="shared" si="67"/>
        <v>8002803</v>
      </c>
      <c r="J629" s="172">
        <f t="shared" si="68"/>
        <v>12323</v>
      </c>
      <c r="L629" s="60" t="str">
        <f>Price!A629</f>
        <v>Podložka CLIP top přímá</v>
      </c>
      <c r="M629" s="15" t="str">
        <f>Price!B629</f>
        <v>175H5400</v>
      </c>
      <c r="N629" s="15" t="str">
        <f>Price!C629</f>
        <v>NI</v>
      </c>
      <c r="O629" s="537">
        <f>Price!D629</f>
        <v>0</v>
      </c>
      <c r="P629" s="16"/>
      <c r="Q629" s="17">
        <f>Price!F629</f>
        <v>0.70503000000000005</v>
      </c>
      <c r="R629" s="323"/>
      <c r="S629" s="323"/>
      <c r="T629" s="12">
        <f>Price!G629</f>
        <v>8002803</v>
      </c>
      <c r="U629" s="257">
        <f>Price!H629</f>
        <v>12323</v>
      </c>
    </row>
    <row r="630" spans="1:21" x14ac:dyDescent="0.35">
      <c r="A630" s="89" t="str">
        <f t="shared" si="62"/>
        <v>Podložka CLIP top přímá, EXPANDO</v>
      </c>
      <c r="B630" s="90" t="str">
        <f t="shared" si="63"/>
        <v>177H5400E</v>
      </c>
      <c r="C630" s="90" t="str">
        <f t="shared" si="64"/>
        <v>NI</v>
      </c>
      <c r="D630" s="90">
        <f t="shared" si="64"/>
        <v>0</v>
      </c>
      <c r="E630" s="91">
        <f t="shared" si="65"/>
        <v>0</v>
      </c>
      <c r="F630" s="17">
        <f t="shared" si="66"/>
        <v>0.81311999999999995</v>
      </c>
      <c r="G630" s="64"/>
      <c r="H630" s="64"/>
      <c r="I630" s="172">
        <f t="shared" si="67"/>
        <v>8003033</v>
      </c>
      <c r="J630" s="172">
        <f t="shared" si="68"/>
        <v>12326</v>
      </c>
      <c r="L630" s="60" t="str">
        <f>Price!A630</f>
        <v>Podložka CLIP top přímá, EXPANDO</v>
      </c>
      <c r="M630" s="15" t="str">
        <f>Price!B630</f>
        <v>177H5400E</v>
      </c>
      <c r="N630" s="15" t="str">
        <f>Price!C630</f>
        <v>NI</v>
      </c>
      <c r="O630" s="537">
        <f>Price!D630</f>
        <v>0</v>
      </c>
      <c r="P630" s="16"/>
      <c r="Q630" s="17">
        <f>Price!F630</f>
        <v>0.81311999999999995</v>
      </c>
      <c r="R630" s="323"/>
      <c r="S630" s="323"/>
      <c r="T630" s="12">
        <f>Price!G630</f>
        <v>8003033</v>
      </c>
      <c r="U630" s="257">
        <f>Price!H630</f>
        <v>12326</v>
      </c>
    </row>
    <row r="631" spans="1:21" x14ac:dyDescent="0.35">
      <c r="A631" s="89" t="str">
        <f t="shared" si="62"/>
        <v>Podložka CLIP top přímá, ocel.</v>
      </c>
      <c r="B631" s="90" t="str">
        <f t="shared" si="63"/>
        <v>175H3100</v>
      </c>
      <c r="C631" s="90" t="str">
        <f t="shared" si="64"/>
        <v>NI</v>
      </c>
      <c r="D631" s="90">
        <f t="shared" si="64"/>
        <v>0</v>
      </c>
      <c r="E631" s="91">
        <f t="shared" si="65"/>
        <v>0</v>
      </c>
      <c r="F631" s="17">
        <f t="shared" si="66"/>
        <v>0.46155000000000002</v>
      </c>
      <c r="G631" s="64"/>
      <c r="H631" s="64"/>
      <c r="I631" s="172">
        <f t="shared" si="67"/>
        <v>1037431</v>
      </c>
      <c r="J631" s="172">
        <f t="shared" si="68"/>
        <v>279798</v>
      </c>
      <c r="L631" s="60" t="str">
        <f>Price!A631</f>
        <v>Podložka CLIP top přímá, ocel.</v>
      </c>
      <c r="M631" s="15" t="str">
        <f>Price!B631</f>
        <v>175H3100</v>
      </c>
      <c r="N631" s="15" t="str">
        <f>Price!C631</f>
        <v>NI</v>
      </c>
      <c r="O631" s="537">
        <f>Price!D631</f>
        <v>0</v>
      </c>
      <c r="P631" s="16"/>
      <c r="Q631" s="17">
        <f>Price!F631</f>
        <v>0.46155000000000002</v>
      </c>
      <c r="R631" s="323"/>
      <c r="S631" s="323"/>
      <c r="T631" s="12">
        <f>Price!G631</f>
        <v>1037431</v>
      </c>
      <c r="U631" s="257">
        <f>Price!H631</f>
        <v>279798</v>
      </c>
    </row>
    <row r="632" spans="1:21" x14ac:dyDescent="0.35">
      <c r="A632" s="89" t="str">
        <f t="shared" si="62"/>
        <v>Podložka CLIP top přímá, ocel., EXPANDO</v>
      </c>
      <c r="B632" s="90" t="str">
        <f t="shared" si="63"/>
        <v>177H3100E</v>
      </c>
      <c r="C632" s="90" t="str">
        <f t="shared" si="64"/>
        <v>NI</v>
      </c>
      <c r="D632" s="90">
        <f t="shared" si="64"/>
        <v>0</v>
      </c>
      <c r="E632" s="91">
        <f t="shared" si="65"/>
        <v>0</v>
      </c>
      <c r="F632" s="17">
        <f t="shared" si="66"/>
        <v>0.46936999999999995</v>
      </c>
      <c r="G632" s="64"/>
      <c r="H632" s="64"/>
      <c r="I632" s="172">
        <f t="shared" si="67"/>
        <v>3120329</v>
      </c>
      <c r="J632" s="172">
        <f t="shared" si="68"/>
        <v>303889</v>
      </c>
      <c r="L632" s="60" t="str">
        <f>Price!A632</f>
        <v>Podložka CLIP top přímá, ocel., EXPANDO</v>
      </c>
      <c r="M632" s="15" t="str">
        <f>Price!B632</f>
        <v>177H3100E</v>
      </c>
      <c r="N632" s="15" t="str">
        <f>Price!C632</f>
        <v>NI</v>
      </c>
      <c r="O632" s="537">
        <f>Price!D632</f>
        <v>0</v>
      </c>
      <c r="P632" s="16"/>
      <c r="Q632" s="17">
        <f>Price!F632</f>
        <v>0.46937000000000001</v>
      </c>
      <c r="R632" s="323"/>
      <c r="S632" s="323"/>
      <c r="T632" s="12">
        <f>Price!G632</f>
        <v>3120329</v>
      </c>
      <c r="U632" s="257">
        <f>Price!H632</f>
        <v>303889</v>
      </c>
    </row>
    <row r="633" spans="1:21" x14ac:dyDescent="0.35">
      <c r="A633" s="89" t="str">
        <f t="shared" si="62"/>
        <v>BLUMOTION pro nasazení na závěs 155° a 125°</v>
      </c>
      <c r="B633" s="90" t="str">
        <f t="shared" si="63"/>
        <v>973A7000</v>
      </c>
      <c r="C633" s="90" t="str">
        <f t="shared" si="64"/>
        <v>NI</v>
      </c>
      <c r="D633" s="90">
        <f t="shared" si="64"/>
        <v>0</v>
      </c>
      <c r="E633" s="91">
        <f t="shared" si="65"/>
        <v>0</v>
      </c>
      <c r="F633" s="17">
        <f t="shared" si="66"/>
        <v>1.5222899999999999</v>
      </c>
      <c r="G633" s="64"/>
      <c r="H633" s="64"/>
      <c r="I633" s="172">
        <f t="shared" si="67"/>
        <v>8975943</v>
      </c>
      <c r="J633" s="172">
        <f t="shared" si="68"/>
        <v>12223</v>
      </c>
      <c r="L633" s="60" t="str">
        <f>Price!A633</f>
        <v>BLUMOTION pro nasazení na závěs 155° a 125°</v>
      </c>
      <c r="M633" s="15" t="str">
        <f>Price!B633</f>
        <v>973A7000</v>
      </c>
      <c r="N633" s="15" t="str">
        <f>Price!C633</f>
        <v>NI</v>
      </c>
      <c r="O633" s="537">
        <f>Price!D633</f>
        <v>0</v>
      </c>
      <c r="P633" s="16"/>
      <c r="Q633" s="17">
        <f>Price!F633</f>
        <v>1.5222899999999999</v>
      </c>
      <c r="R633" s="323"/>
      <c r="S633" s="323"/>
      <c r="T633" s="12">
        <f>Price!G633</f>
        <v>8975943</v>
      </c>
      <c r="U633" s="257">
        <f>Price!H633</f>
        <v>12223</v>
      </c>
    </row>
    <row r="634" spans="1:21" x14ac:dyDescent="0.35">
      <c r="A634" s="89" t="str">
        <f t="shared" si="62"/>
        <v>BLUMOTION v křížovém adaptéru</v>
      </c>
      <c r="B634" s="90" t="str">
        <f t="shared" si="63"/>
        <v>971A0500</v>
      </c>
      <c r="C634" s="90" t="str">
        <f t="shared" si="64"/>
        <v>NI</v>
      </c>
      <c r="D634" s="90">
        <f t="shared" si="64"/>
        <v>0</v>
      </c>
      <c r="E634" s="91">
        <f t="shared" si="65"/>
        <v>0</v>
      </c>
      <c r="F634" s="17">
        <f t="shared" si="66"/>
        <v>2.7470500000000002</v>
      </c>
      <c r="G634" s="64"/>
      <c r="H634" s="64"/>
      <c r="I634" s="172">
        <f t="shared" si="67"/>
        <v>6823663</v>
      </c>
      <c r="J634" s="172">
        <f t="shared" si="68"/>
        <v>12392</v>
      </c>
      <c r="L634" s="60" t="str">
        <f>Price!A634</f>
        <v>BLUMOTION v křížovém adaptéru</v>
      </c>
      <c r="M634" s="15" t="str">
        <f>Price!B634</f>
        <v>971A0500</v>
      </c>
      <c r="N634" s="15" t="str">
        <f>Price!C634</f>
        <v>NI</v>
      </c>
      <c r="O634" s="537">
        <f>Price!D634</f>
        <v>0</v>
      </c>
      <c r="P634" s="16"/>
      <c r="Q634" s="17">
        <f>Price!F634</f>
        <v>2.7470500000000002</v>
      </c>
      <c r="R634" s="323"/>
      <c r="S634" s="323"/>
      <c r="T634" s="12">
        <f>Price!G634</f>
        <v>6823663</v>
      </c>
      <c r="U634" s="257">
        <f>Price!H634</f>
        <v>12392</v>
      </c>
    </row>
    <row r="635" spans="1:21" ht="15" thickBot="1" x14ac:dyDescent="0.4">
      <c r="A635" s="325" t="str">
        <f>IF($C$2=1,L635,IF($C$2=2,L636,IF($C$2=3,L637,IF($C$2=4,L637,"  chyba"))))</f>
        <v>TIP-ON, prodloužená délka, šedý</v>
      </c>
      <c r="B635" s="331" t="str">
        <f>IF($C$2=1,M635,IF($C$2=2,M636,IF($C$2=3,M637,IF($C$2=4,M637,"  chyba"))))</f>
        <v>956A1004</v>
      </c>
      <c r="C635" s="331" t="str">
        <f>IF($C$2=1,N635,IF($C$2=2,N636,IF($C$2=3,N637,IF($C$2=4,N637,"  chyba"))))</f>
        <v>PG</v>
      </c>
      <c r="D635" s="331">
        <f>IF($C$2=1,O635,IF($C$2=2,O636,IF($C$2=3,O637,IF($C$2=4,O637,"  chyba"))))</f>
        <v>0</v>
      </c>
      <c r="E635" s="327">
        <f>IF($C$2=1,P635,IF($C$2=2,P636,IF($C$2=3,P637,IF($C$2=4,P637,"  chyba"))))</f>
        <v>0</v>
      </c>
      <c r="F635" s="328">
        <f>IF($C$2=1,Q635,IF($C$2=2,Q636,IF($C$2=3,Q637,IF($C$2=4,Q637,0))))*(100-$F$6)/100</f>
        <v>4.4877799999999999</v>
      </c>
      <c r="G635" s="329"/>
      <c r="H635" s="329"/>
      <c r="I635" s="332">
        <f>IF($C$2=1,T635,IF($C$2=2,T636,IF($C$2=3,T637,IF($C$2=4,T637,"  chyba"))))</f>
        <v>6484096</v>
      </c>
      <c r="J635" s="332">
        <f>IF($C$2=1,U635,IF($C$2=2,U636,IF($C$2=3,U637,IF($C$2=4,U637,"  chyba"))))</f>
        <v>250833</v>
      </c>
      <c r="L635" s="60" t="str">
        <f>Price!A635</f>
        <v>TIP-ON, prodloužená délka, šedý</v>
      </c>
      <c r="M635" s="15" t="str">
        <f>Price!B635</f>
        <v>956A1004</v>
      </c>
      <c r="N635" s="15" t="str">
        <f>Price!C635</f>
        <v>PG</v>
      </c>
      <c r="O635" s="537">
        <f>Price!D635</f>
        <v>0</v>
      </c>
      <c r="P635" s="16"/>
      <c r="Q635" s="17">
        <f>Price!F635</f>
        <v>4.4877799999999999</v>
      </c>
      <c r="R635" s="323"/>
      <c r="S635" s="323"/>
      <c r="T635" s="12">
        <f>Price!G635</f>
        <v>6484096</v>
      </c>
      <c r="U635" s="257">
        <f>Price!H635</f>
        <v>250833</v>
      </c>
    </row>
    <row r="636" spans="1:21" x14ac:dyDescent="0.35">
      <c r="A636" s="89"/>
      <c r="B636" s="90"/>
      <c r="C636" s="90"/>
      <c r="D636" s="90"/>
      <c r="E636" s="91"/>
      <c r="F636" s="17"/>
      <c r="G636" s="64"/>
      <c r="H636" s="64"/>
      <c r="I636" s="172"/>
      <c r="J636" s="172"/>
      <c r="L636" s="60" t="str">
        <f>Price!A636</f>
        <v>TIP-ON, prodloužená délka, hedvábně bílý</v>
      </c>
      <c r="M636" s="15" t="str">
        <f>Price!B636</f>
        <v>956A1004</v>
      </c>
      <c r="N636" s="15" t="str">
        <f>Price!C636</f>
        <v>WA</v>
      </c>
      <c r="O636" s="537">
        <f>Price!D636</f>
        <v>0</v>
      </c>
      <c r="P636" s="16"/>
      <c r="Q636" s="17">
        <f>Price!F636</f>
        <v>4.4877799999999999</v>
      </c>
      <c r="R636" s="323"/>
      <c r="S636" s="323"/>
      <c r="T636" s="12">
        <f>Price!G636</f>
        <v>6856758</v>
      </c>
      <c r="U636" s="257">
        <f>Price!H636</f>
        <v>250831</v>
      </c>
    </row>
    <row r="637" spans="1:21" x14ac:dyDescent="0.35">
      <c r="A637" s="89"/>
      <c r="B637" s="90"/>
      <c r="C637" s="90"/>
      <c r="D637" s="90"/>
      <c r="E637" s="91"/>
      <c r="F637" s="17"/>
      <c r="G637" s="64"/>
      <c r="H637" s="64"/>
      <c r="I637" s="172"/>
      <c r="J637" s="172"/>
      <c r="L637" s="60" t="str">
        <f>Price!A637</f>
        <v>TIP-ON, prodloužená délka, Terra černý</v>
      </c>
      <c r="M637" s="15" t="str">
        <f>Price!B637</f>
        <v>956A1004</v>
      </c>
      <c r="N637" s="15" t="str">
        <f>Price!C637</f>
        <v>TS</v>
      </c>
      <c r="O637" s="537">
        <f>Price!D637</f>
        <v>0</v>
      </c>
      <c r="P637" s="16"/>
      <c r="Q637" s="17">
        <f>Price!F637</f>
        <v>4.4877799999999999</v>
      </c>
      <c r="R637" s="323"/>
      <c r="S637" s="323"/>
      <c r="T637" s="12">
        <f>Price!G637</f>
        <v>2019241</v>
      </c>
      <c r="U637" s="257">
        <f>Price!H637</f>
        <v>250834</v>
      </c>
    </row>
    <row r="638" spans="1:21" ht="15" thickBot="1" x14ac:dyDescent="0.4">
      <c r="A638" s="325" t="str">
        <f>IF($C$2=1,L638,IF($C$2=2,L639,IF($C$2=3,L640,IF($C$2=4,L640,"  chyba"))))</f>
        <v>TIP-ON přímý adaptér, prodl.délka, šedý</v>
      </c>
      <c r="B638" s="331" t="str">
        <f>IF($C$2=1,M638,IF($C$2=2,M639,IF($C$2=3,M640,IF($C$2=4,M640,"  chyba"))))</f>
        <v>956A1201</v>
      </c>
      <c r="C638" s="331" t="str">
        <f>IF($C$2=1,N638,IF($C$2=2,N639,IF($C$2=3,N640,IF($C$2=4,N640,"  chyba"))))</f>
        <v>PG</v>
      </c>
      <c r="D638" s="331">
        <f>IF($C$2=1,O638,IF($C$2=2,O639,IF($C$2=3,O640,IF($C$2=4,O640,"  chyba"))))</f>
        <v>0</v>
      </c>
      <c r="E638" s="327">
        <f>IF($C$2=1,P638,IF($C$2=2,P639,IF($C$2=3,P640,IF($C$2=4,P640,"  chyba"))))</f>
        <v>0</v>
      </c>
      <c r="F638" s="328">
        <f>IF($C$2=1,Q638,IF($C$2=2,Q639,IF($C$2=3,Q640,IF($C$2=4,Q640,0))))*(100-$F$6)/100</f>
        <v>0.88392000000000015</v>
      </c>
      <c r="G638" s="329"/>
      <c r="H638" s="329"/>
      <c r="I638" s="332">
        <f>IF($C$2=1,T638,IF($C$2=2,T639,IF($C$2=3,T640,IF($C$2=4,T640,"  chyba"))))</f>
        <v>8849808</v>
      </c>
      <c r="J638" s="332">
        <f>IF($C$2=1,U638,IF($C$2=2,U639,IF($C$2=3,U640,IF($C$2=4,U640,"  chyba"))))</f>
        <v>250842</v>
      </c>
      <c r="L638" s="60" t="str">
        <f>Price!A638</f>
        <v>TIP-ON přímý adaptér, prodl.délka, šedý</v>
      </c>
      <c r="M638" s="15" t="str">
        <f>Price!B638</f>
        <v>956A1201</v>
      </c>
      <c r="N638" s="15" t="str">
        <f>Price!C638</f>
        <v>PG</v>
      </c>
      <c r="O638" s="537">
        <f>Price!D638</f>
        <v>0</v>
      </c>
      <c r="P638" s="16"/>
      <c r="Q638" s="17">
        <f>Price!F638</f>
        <v>0.88392000000000004</v>
      </c>
      <c r="R638" s="323"/>
      <c r="S638" s="323"/>
      <c r="T638" s="12">
        <f>Price!G638</f>
        <v>8849808</v>
      </c>
      <c r="U638" s="257">
        <f>Price!H638</f>
        <v>250842</v>
      </c>
    </row>
    <row r="639" spans="1:21" x14ac:dyDescent="0.35">
      <c r="A639" s="89"/>
      <c r="B639" s="90"/>
      <c r="C639" s="90"/>
      <c r="D639" s="90"/>
      <c r="E639" s="91"/>
      <c r="F639" s="17"/>
      <c r="G639" s="64"/>
      <c r="H639" s="64"/>
      <c r="I639" s="172"/>
      <c r="J639" s="172"/>
      <c r="L639" s="60" t="str">
        <f>Price!A639</f>
        <v>TIP-ON přímý adaptér, prodl.délka, hedv. bílý</v>
      </c>
      <c r="M639" s="15" t="str">
        <f>Price!B639</f>
        <v>956A1201</v>
      </c>
      <c r="N639" s="15" t="str">
        <f>Price!C639</f>
        <v>WA</v>
      </c>
      <c r="O639" s="537">
        <f>Price!D639</f>
        <v>0</v>
      </c>
      <c r="P639" s="16"/>
      <c r="Q639" s="17">
        <f>Price!F639</f>
        <v>0.88392000000000004</v>
      </c>
      <c r="R639" s="323"/>
      <c r="S639" s="323"/>
      <c r="T639" s="12">
        <f>Price!G639</f>
        <v>4619688</v>
      </c>
      <c r="U639" s="257">
        <f>Price!H639</f>
        <v>250841</v>
      </c>
    </row>
    <row r="640" spans="1:21" x14ac:dyDescent="0.35">
      <c r="A640" s="89"/>
      <c r="B640" s="90"/>
      <c r="C640" s="90"/>
      <c r="D640" s="90"/>
      <c r="E640" s="91"/>
      <c r="F640" s="17"/>
      <c r="G640" s="64"/>
      <c r="H640" s="64"/>
      <c r="I640" s="172"/>
      <c r="J640" s="172"/>
      <c r="L640" s="60" t="str">
        <f>Price!A640</f>
        <v>TIP-ON přímý adaptér, prodl.délka, Terra černý</v>
      </c>
      <c r="M640" s="15" t="str">
        <f>Price!B640</f>
        <v>956A1201</v>
      </c>
      <c r="N640" s="15" t="str">
        <f>Price!C640</f>
        <v>TS</v>
      </c>
      <c r="O640" s="537">
        <f>Price!D640</f>
        <v>0</v>
      </c>
      <c r="P640" s="16"/>
      <c r="Q640" s="17">
        <f>Price!F640</f>
        <v>0.88392000000000004</v>
      </c>
      <c r="R640" s="323"/>
      <c r="S640" s="323"/>
      <c r="T640" s="12">
        <f>Price!G640</f>
        <v>5730134</v>
      </c>
      <c r="U640" s="257">
        <f>Price!H640</f>
        <v>250843</v>
      </c>
    </row>
    <row r="641" spans="1:21" x14ac:dyDescent="0.35">
      <c r="A641" s="89" t="str">
        <f t="shared" si="62"/>
        <v>TIP-ON křížový adaptér, šedý</v>
      </c>
      <c r="B641" s="90" t="str">
        <f t="shared" si="63"/>
        <v>956A1501</v>
      </c>
      <c r="C641" s="90" t="str">
        <f t="shared" si="64"/>
        <v>PG</v>
      </c>
      <c r="D641" s="90">
        <f t="shared" si="64"/>
        <v>0</v>
      </c>
      <c r="E641" s="91">
        <f t="shared" si="65"/>
        <v>0</v>
      </c>
      <c r="F641" s="17">
        <f t="shared" si="66"/>
        <v>0.65625999999999995</v>
      </c>
      <c r="G641" s="64"/>
      <c r="H641" s="64"/>
      <c r="I641" s="172">
        <f t="shared" si="67"/>
        <v>2583646</v>
      </c>
      <c r="J641" s="172">
        <f t="shared" si="68"/>
        <v>250844</v>
      </c>
      <c r="L641" s="60" t="str">
        <f>Price!A641</f>
        <v>TIP-ON křížový adaptér, šedý</v>
      </c>
      <c r="M641" s="15" t="str">
        <f>Price!B641</f>
        <v>956A1501</v>
      </c>
      <c r="N641" s="15" t="str">
        <f>Price!C641</f>
        <v>PG</v>
      </c>
      <c r="O641" s="537">
        <f>Price!D641</f>
        <v>0</v>
      </c>
      <c r="P641" s="16"/>
      <c r="Q641" s="17">
        <f>Price!F641</f>
        <v>0.65625999999999995</v>
      </c>
      <c r="R641" s="323"/>
      <c r="S641" s="323"/>
      <c r="T641" s="12">
        <f>Price!G641</f>
        <v>2583646</v>
      </c>
      <c r="U641" s="257">
        <f>Price!H641</f>
        <v>250844</v>
      </c>
    </row>
    <row r="642" spans="1:21" x14ac:dyDescent="0.35">
      <c r="A642" s="89">
        <f>L642</f>
        <v>0</v>
      </c>
      <c r="B642" s="90">
        <f>M642</f>
        <v>0</v>
      </c>
      <c r="C642" s="90">
        <f>N642</f>
        <v>0</v>
      </c>
      <c r="D642" s="90">
        <f>O642</f>
        <v>0</v>
      </c>
      <c r="E642" s="91">
        <f>P642</f>
        <v>0</v>
      </c>
      <c r="F642" s="17">
        <f>Q642*(100-$F$6)/100</f>
        <v>0</v>
      </c>
      <c r="G642" s="64"/>
      <c r="H642" s="64"/>
      <c r="I642" s="172">
        <f>T642</f>
        <v>0</v>
      </c>
      <c r="J642" s="172">
        <f>U642</f>
        <v>0</v>
      </c>
      <c r="L642" s="60">
        <f>Price!A642</f>
        <v>0</v>
      </c>
      <c r="M642" s="15">
        <f>Price!B642</f>
        <v>0</v>
      </c>
      <c r="N642" s="15">
        <f>Price!C642</f>
        <v>0</v>
      </c>
      <c r="O642" s="537">
        <f>Price!D642</f>
        <v>0</v>
      </c>
      <c r="P642" s="16"/>
      <c r="Q642" s="17">
        <f>Price!F642</f>
        <v>0</v>
      </c>
      <c r="R642" s="323"/>
      <c r="S642" s="323"/>
      <c r="T642" s="12">
        <f>Price!G642</f>
        <v>0</v>
      </c>
      <c r="U642" s="257">
        <f>Price!H642</f>
        <v>0</v>
      </c>
    </row>
    <row r="643" spans="1:21" x14ac:dyDescent="0.35">
      <c r="A643" s="76"/>
      <c r="B643" s="162"/>
      <c r="C643" s="162"/>
      <c r="D643" s="540"/>
      <c r="E643" s="82"/>
      <c r="F643" s="64"/>
      <c r="G643" s="64"/>
      <c r="H643" s="64"/>
      <c r="I643" s="64"/>
      <c r="J643" s="64"/>
      <c r="L643" s="60">
        <f>Price!A643</f>
        <v>0</v>
      </c>
      <c r="M643" s="15">
        <f>Price!B643</f>
        <v>0</v>
      </c>
      <c r="N643" s="15">
        <f>Price!C643</f>
        <v>0</v>
      </c>
      <c r="O643" s="537">
        <f>Price!D643</f>
        <v>0</v>
      </c>
      <c r="P643" s="16"/>
      <c r="Q643" s="17">
        <f>Price!F643</f>
        <v>0</v>
      </c>
      <c r="R643" s="323"/>
      <c r="S643" s="323"/>
      <c r="T643" s="12">
        <f>Price!G643</f>
        <v>0</v>
      </c>
      <c r="U643" s="257">
        <f>Price!H643</f>
        <v>0</v>
      </c>
    </row>
    <row r="644" spans="1:21" x14ac:dyDescent="0.35">
      <c r="A644" s="76"/>
      <c r="B644" s="162"/>
      <c r="C644" s="162"/>
      <c r="D644" s="540"/>
      <c r="E644" s="82"/>
      <c r="F644" s="64"/>
      <c r="G644" s="64"/>
      <c r="H644" s="64"/>
      <c r="I644" s="64"/>
      <c r="J644" s="64"/>
      <c r="L644" s="60">
        <f>Price!A644</f>
        <v>0</v>
      </c>
      <c r="M644" s="15">
        <f>Price!B644</f>
        <v>0</v>
      </c>
      <c r="N644" s="15">
        <f>Price!C644</f>
        <v>0</v>
      </c>
      <c r="O644" s="537">
        <f>Price!D644</f>
        <v>0</v>
      </c>
      <c r="P644" s="16"/>
      <c r="Q644" s="17">
        <f>Price!F644</f>
        <v>0</v>
      </c>
      <c r="R644" s="323"/>
      <c r="S644" s="323"/>
      <c r="T644" s="12">
        <f>Price!G644</f>
        <v>0</v>
      </c>
      <c r="U644" s="257">
        <f>Price!H644</f>
        <v>0</v>
      </c>
    </row>
    <row r="645" spans="1:21" x14ac:dyDescent="0.35">
      <c r="A645" s="76"/>
      <c r="B645" s="162"/>
      <c r="C645" s="162"/>
      <c r="D645" s="540"/>
      <c r="E645" s="82"/>
      <c r="F645" s="64"/>
      <c r="G645" s="64"/>
      <c r="H645" s="64"/>
      <c r="I645" s="64"/>
      <c r="J645" s="64"/>
      <c r="L645" s="60">
        <f>Price!A645</f>
        <v>0</v>
      </c>
      <c r="M645" s="15">
        <f>Price!B645</f>
        <v>0</v>
      </c>
      <c r="N645" s="15">
        <f>Price!C645</f>
        <v>0</v>
      </c>
      <c r="O645" s="537">
        <f>Price!D645</f>
        <v>0</v>
      </c>
      <c r="P645" s="16"/>
      <c r="Q645" s="17">
        <f>Price!F645</f>
        <v>0</v>
      </c>
      <c r="R645" s="323"/>
      <c r="S645" s="323"/>
      <c r="T645" s="12">
        <f>Price!G645</f>
        <v>0</v>
      </c>
      <c r="U645" s="257">
        <f>Price!H645</f>
        <v>0</v>
      </c>
    </row>
    <row r="646" spans="1:21" x14ac:dyDescent="0.35">
      <c r="A646" s="76"/>
      <c r="B646" s="162"/>
      <c r="C646" s="162"/>
      <c r="D646" s="540"/>
      <c r="E646" s="82"/>
      <c r="F646" s="64"/>
      <c r="G646" s="64"/>
      <c r="H646" s="64"/>
      <c r="I646" s="64"/>
      <c r="J646" s="64"/>
      <c r="L646" s="60">
        <f>Price!A646</f>
        <v>0</v>
      </c>
      <c r="M646" s="15">
        <f>Price!B646</f>
        <v>0</v>
      </c>
      <c r="N646" s="15">
        <f>Price!C646</f>
        <v>0</v>
      </c>
      <c r="O646" s="537">
        <f>Price!D646</f>
        <v>0</v>
      </c>
      <c r="P646" s="16"/>
      <c r="Q646" s="17">
        <f>Price!F646</f>
        <v>0</v>
      </c>
      <c r="R646" s="323"/>
      <c r="S646" s="323"/>
      <c r="T646" s="12">
        <f>Price!G646</f>
        <v>0</v>
      </c>
      <c r="U646" s="257">
        <f>Price!H646</f>
        <v>0</v>
      </c>
    </row>
    <row r="647" spans="1:21" x14ac:dyDescent="0.35">
      <c r="A647" s="76"/>
      <c r="B647" s="162"/>
      <c r="C647" s="162"/>
      <c r="D647" s="540"/>
      <c r="E647" s="82"/>
      <c r="F647" s="64"/>
      <c r="G647" s="64"/>
      <c r="H647" s="64"/>
      <c r="I647" s="64"/>
      <c r="J647" s="64"/>
      <c r="L647" s="60">
        <f>Price!A647</f>
        <v>0</v>
      </c>
      <c r="M647" s="15">
        <f>Price!B647</f>
        <v>0</v>
      </c>
      <c r="N647" s="15">
        <f>Price!C647</f>
        <v>0</v>
      </c>
      <c r="O647" s="537">
        <f>Price!D647</f>
        <v>0</v>
      </c>
      <c r="P647" s="16"/>
      <c r="Q647" s="17">
        <f>Price!F647</f>
        <v>0</v>
      </c>
      <c r="R647" s="323"/>
      <c r="S647" s="323"/>
      <c r="T647" s="12">
        <f>Price!G647</f>
        <v>0</v>
      </c>
      <c r="U647" s="257">
        <f>Price!H647</f>
        <v>0</v>
      </c>
    </row>
    <row r="648" spans="1:21" x14ac:dyDescent="0.35">
      <c r="A648" s="76"/>
      <c r="B648" s="162"/>
      <c r="C648" s="162"/>
      <c r="D648" s="540"/>
      <c r="E648" s="82"/>
      <c r="F648" s="64"/>
      <c r="G648" s="64"/>
      <c r="H648" s="64"/>
      <c r="I648" s="64"/>
      <c r="J648" s="64"/>
      <c r="L648" s="60">
        <f>Price!A648</f>
        <v>0</v>
      </c>
      <c r="M648" s="15">
        <f>Price!B648</f>
        <v>0</v>
      </c>
      <c r="N648" s="15">
        <f>Price!C648</f>
        <v>0</v>
      </c>
      <c r="O648" s="537">
        <f>Price!D648</f>
        <v>0</v>
      </c>
      <c r="P648" s="16"/>
      <c r="Q648" s="17">
        <f>Price!F648</f>
        <v>0</v>
      </c>
      <c r="R648" s="323"/>
      <c r="S648" s="323"/>
      <c r="T648" s="12">
        <f>Price!G648</f>
        <v>0</v>
      </c>
      <c r="U648" s="257">
        <f>Price!H648</f>
        <v>0</v>
      </c>
    </row>
    <row r="649" spans="1:21" x14ac:dyDescent="0.35">
      <c r="A649" s="76"/>
      <c r="B649" s="162"/>
      <c r="C649" s="162"/>
      <c r="D649" s="540"/>
      <c r="E649" s="82"/>
      <c r="F649" s="64"/>
      <c r="G649" s="64"/>
      <c r="H649" s="64"/>
      <c r="I649" s="64"/>
      <c r="J649" s="64"/>
      <c r="L649" s="60">
        <f>Price!A649</f>
        <v>0</v>
      </c>
      <c r="M649" s="15">
        <f>Price!B649</f>
        <v>0</v>
      </c>
      <c r="N649" s="15">
        <f>Price!C649</f>
        <v>0</v>
      </c>
      <c r="O649" s="537">
        <f>Price!D649</f>
        <v>0</v>
      </c>
      <c r="P649" s="16"/>
      <c r="Q649" s="17">
        <f>Price!F649</f>
        <v>0</v>
      </c>
      <c r="R649" s="323"/>
      <c r="S649" s="323"/>
      <c r="T649" s="12">
        <f>Price!G649</f>
        <v>0</v>
      </c>
      <c r="U649" s="257">
        <f>Price!H649</f>
        <v>0</v>
      </c>
    </row>
    <row r="650" spans="1:21" x14ac:dyDescent="0.35">
      <c r="A650" s="76"/>
      <c r="B650" s="162"/>
      <c r="C650" s="162"/>
      <c r="D650" s="540"/>
      <c r="E650" s="82"/>
      <c r="F650" s="64"/>
      <c r="G650" s="64"/>
      <c r="H650" s="64"/>
      <c r="I650" s="64"/>
      <c r="J650" s="64"/>
      <c r="L650" s="60">
        <f>Price!A650</f>
        <v>0</v>
      </c>
      <c r="M650" s="15">
        <f>Price!B650</f>
        <v>0</v>
      </c>
      <c r="N650" s="15">
        <f>Price!C650</f>
        <v>0</v>
      </c>
      <c r="O650" s="537">
        <f>Price!D650</f>
        <v>0</v>
      </c>
      <c r="P650" s="16"/>
      <c r="Q650" s="17">
        <f>Price!F650</f>
        <v>0</v>
      </c>
      <c r="R650" s="323"/>
      <c r="S650" s="323"/>
      <c r="T650" s="12">
        <f>Price!G650</f>
        <v>0</v>
      </c>
      <c r="U650" s="257">
        <f>Price!H650</f>
        <v>0</v>
      </c>
    </row>
    <row r="651" spans="1:21" x14ac:dyDescent="0.35">
      <c r="A651" s="76"/>
      <c r="B651" s="162"/>
      <c r="C651" s="162"/>
      <c r="D651" s="540"/>
      <c r="E651" s="77"/>
      <c r="F651" s="64"/>
      <c r="G651" s="64"/>
      <c r="H651" s="64"/>
      <c r="I651" s="175"/>
      <c r="J651" s="175"/>
      <c r="L651" s="60">
        <f>Price!A651</f>
        <v>0</v>
      </c>
      <c r="M651" s="15">
        <f>Price!B651</f>
        <v>0</v>
      </c>
      <c r="N651" s="15">
        <f>Price!C651</f>
        <v>0</v>
      </c>
      <c r="O651" s="537">
        <f>Price!D651</f>
        <v>0</v>
      </c>
      <c r="P651" s="16"/>
      <c r="Q651" s="17">
        <f>Price!F651</f>
        <v>0</v>
      </c>
      <c r="R651" s="323"/>
      <c r="S651" s="323"/>
      <c r="T651" s="12">
        <f>Price!G651</f>
        <v>0</v>
      </c>
      <c r="U651" s="257">
        <f>Price!H651</f>
        <v>0</v>
      </c>
    </row>
    <row r="652" spans="1:21" x14ac:dyDescent="0.35">
      <c r="A652" s="76"/>
      <c r="B652" s="162"/>
      <c r="C652" s="162"/>
      <c r="D652" s="540"/>
      <c r="E652" s="77"/>
      <c r="F652" s="64"/>
      <c r="G652" s="64"/>
      <c r="H652" s="64"/>
      <c r="I652" s="175"/>
      <c r="J652" s="175"/>
      <c r="L652" s="60">
        <f>Price!A652</f>
        <v>0</v>
      </c>
      <c r="M652" s="15">
        <f>Price!B652</f>
        <v>0</v>
      </c>
      <c r="N652" s="15">
        <f>Price!C652</f>
        <v>0</v>
      </c>
      <c r="O652" s="537">
        <f>Price!D652</f>
        <v>0</v>
      </c>
      <c r="P652" s="16"/>
      <c r="Q652" s="17">
        <f>Price!F652</f>
        <v>0</v>
      </c>
      <c r="R652" s="323"/>
      <c r="S652" s="323"/>
      <c r="T652" s="12">
        <f>Price!G652</f>
        <v>0</v>
      </c>
      <c r="U652" s="257">
        <f>Price!H652</f>
        <v>0</v>
      </c>
    </row>
    <row r="653" spans="1:21" x14ac:dyDescent="0.35">
      <c r="A653" s="76"/>
      <c r="B653" s="162"/>
      <c r="C653" s="162"/>
      <c r="D653" s="540"/>
      <c r="E653" s="77"/>
      <c r="F653" s="64"/>
      <c r="G653" s="64"/>
      <c r="H653" s="64"/>
      <c r="I653" s="175"/>
      <c r="J653" s="175"/>
      <c r="L653" s="60">
        <f>Price!A653</f>
        <v>0</v>
      </c>
      <c r="M653" s="15">
        <f>Price!B653</f>
        <v>0</v>
      </c>
      <c r="N653" s="15">
        <f>Price!C653</f>
        <v>0</v>
      </c>
      <c r="O653" s="537">
        <f>Price!D653</f>
        <v>0</v>
      </c>
      <c r="P653" s="16"/>
      <c r="Q653" s="17">
        <f>Price!F653</f>
        <v>0</v>
      </c>
      <c r="R653" s="323"/>
      <c r="S653" s="323"/>
      <c r="T653" s="12">
        <f>Price!G653</f>
        <v>0</v>
      </c>
      <c r="U653" s="257">
        <f>Price!H653</f>
        <v>0</v>
      </c>
    </row>
    <row r="654" spans="1:21" x14ac:dyDescent="0.35">
      <c r="A654" s="76"/>
      <c r="B654" s="162"/>
      <c r="C654" s="162"/>
      <c r="D654" s="540"/>
      <c r="E654" s="77"/>
      <c r="F654" s="64"/>
      <c r="G654" s="64"/>
      <c r="H654" s="64"/>
      <c r="I654" s="175"/>
      <c r="J654" s="175"/>
      <c r="L654" s="60">
        <f>Price!A654</f>
        <v>0</v>
      </c>
      <c r="M654" s="15">
        <f>Price!B654</f>
        <v>0</v>
      </c>
      <c r="N654" s="15">
        <f>Price!C654</f>
        <v>0</v>
      </c>
      <c r="O654" s="537">
        <f>Price!D654</f>
        <v>0</v>
      </c>
      <c r="P654" s="16"/>
      <c r="Q654" s="17">
        <f>Price!F654</f>
        <v>0</v>
      </c>
      <c r="R654" s="323"/>
      <c r="S654" s="323"/>
      <c r="T654" s="12">
        <f>Price!G654</f>
        <v>0</v>
      </c>
      <c r="U654" s="257">
        <f>Price!H654</f>
        <v>0</v>
      </c>
    </row>
    <row r="655" spans="1:21" x14ac:dyDescent="0.35">
      <c r="A655" s="76"/>
      <c r="B655" s="162"/>
      <c r="C655" s="162"/>
      <c r="D655" s="540"/>
      <c r="E655" s="77"/>
      <c r="F655" s="64"/>
      <c r="G655" s="64"/>
      <c r="H655" s="64"/>
      <c r="I655" s="175"/>
      <c r="J655" s="175"/>
      <c r="L655" s="60">
        <f>Price!A655</f>
        <v>0</v>
      </c>
      <c r="M655" s="15">
        <f>Price!B655</f>
        <v>0</v>
      </c>
      <c r="N655" s="15">
        <f>Price!C655</f>
        <v>0</v>
      </c>
      <c r="O655" s="537">
        <f>Price!D655</f>
        <v>0</v>
      </c>
      <c r="P655" s="16"/>
      <c r="Q655" s="17">
        <f>Price!F655</f>
        <v>0</v>
      </c>
      <c r="R655" s="323"/>
      <c r="S655" s="323"/>
      <c r="T655" s="12">
        <f>Price!G655</f>
        <v>0</v>
      </c>
      <c r="U655" s="257">
        <f>Price!H655</f>
        <v>0</v>
      </c>
    </row>
    <row r="656" spans="1:21" x14ac:dyDescent="0.35">
      <c r="A656" s="76"/>
      <c r="B656" s="162"/>
      <c r="C656" s="162"/>
      <c r="D656" s="540"/>
      <c r="E656" s="77"/>
      <c r="F656" s="64"/>
      <c r="G656" s="64"/>
      <c r="H656" s="64"/>
      <c r="I656" s="175"/>
      <c r="J656" s="175"/>
      <c r="L656" s="60" t="str">
        <f>Price!A656</f>
        <v>Zde můžete vložit vlastní položky (následujících 10 řádků, zobrazí se v objednávce)</v>
      </c>
      <c r="M656" s="15">
        <f>Price!B656</f>
        <v>0</v>
      </c>
      <c r="N656" s="15">
        <f>Price!C656</f>
        <v>0</v>
      </c>
      <c r="O656" s="537"/>
      <c r="P656" s="16"/>
      <c r="Q656" s="17">
        <f>Price!F656</f>
        <v>0</v>
      </c>
      <c r="R656" s="323"/>
      <c r="S656" s="323"/>
      <c r="T656" s="12">
        <f>Price!G656</f>
        <v>0</v>
      </c>
      <c r="U656" s="257">
        <f>Price!H656</f>
        <v>0</v>
      </c>
    </row>
    <row r="657" spans="1:21" x14ac:dyDescent="0.35">
      <c r="A657" s="89">
        <f>L657</f>
        <v>0</v>
      </c>
      <c r="B657" s="90">
        <f>M657</f>
        <v>0</v>
      </c>
      <c r="C657" s="90">
        <f>N657</f>
        <v>0</v>
      </c>
      <c r="D657" s="90">
        <f>O657</f>
        <v>0</v>
      </c>
      <c r="E657" s="91">
        <f>P657</f>
        <v>0</v>
      </c>
      <c r="F657" s="17">
        <f>Q657*(100-$F$6)/100</f>
        <v>0</v>
      </c>
      <c r="G657" s="64"/>
      <c r="H657" s="64"/>
      <c r="I657" s="172">
        <f>T657</f>
        <v>0</v>
      </c>
      <c r="J657" s="172">
        <f>U657</f>
        <v>0</v>
      </c>
      <c r="L657" s="60">
        <f>Price!A657</f>
        <v>0</v>
      </c>
      <c r="M657" s="15">
        <f>Price!B657</f>
        <v>0</v>
      </c>
      <c r="N657" s="15">
        <f>Price!C657</f>
        <v>0</v>
      </c>
      <c r="O657" s="537"/>
      <c r="P657" s="16"/>
      <c r="Q657" s="17">
        <f>Price!F657</f>
        <v>0</v>
      </c>
      <c r="R657" s="323"/>
      <c r="S657" s="323"/>
      <c r="T657" s="12">
        <f>Price!G657</f>
        <v>0</v>
      </c>
      <c r="U657" s="257">
        <f>Price!H657</f>
        <v>0</v>
      </c>
    </row>
    <row r="658" spans="1:21" x14ac:dyDescent="0.35">
      <c r="A658" s="89">
        <f t="shared" ref="A658:A666" si="70">L658</f>
        <v>0</v>
      </c>
      <c r="B658" s="90">
        <f t="shared" ref="B658:B666" si="71">M658</f>
        <v>0</v>
      </c>
      <c r="C658" s="90">
        <f t="shared" ref="C658:C666" si="72">N658</f>
        <v>0</v>
      </c>
      <c r="D658" s="90">
        <f t="shared" ref="D658:D666" si="73">O658</f>
        <v>0</v>
      </c>
      <c r="E658" s="91">
        <f t="shared" ref="E658:E666" si="74">P658</f>
        <v>0</v>
      </c>
      <c r="F658" s="17">
        <f t="shared" ref="F658:F666" si="75">Q658*(100-$F$6)/100</f>
        <v>0</v>
      </c>
      <c r="G658" s="64"/>
      <c r="H658" s="64"/>
      <c r="I658" s="172">
        <f t="shared" ref="I658:I666" si="76">T658</f>
        <v>0</v>
      </c>
      <c r="J658" s="172">
        <f t="shared" ref="J658:J666" si="77">U658</f>
        <v>0</v>
      </c>
      <c r="L658" s="60">
        <f>Price!A658</f>
        <v>0</v>
      </c>
      <c r="M658" s="15">
        <f>Price!B658</f>
        <v>0</v>
      </c>
      <c r="N658" s="15">
        <f>Price!C658</f>
        <v>0</v>
      </c>
      <c r="O658" s="537"/>
      <c r="P658" s="16"/>
      <c r="Q658" s="17">
        <f>Price!F658</f>
        <v>0</v>
      </c>
      <c r="R658" s="323"/>
      <c r="S658" s="323"/>
      <c r="T658" s="12">
        <f>Price!G658</f>
        <v>0</v>
      </c>
      <c r="U658" s="257">
        <f>Price!H658</f>
        <v>0</v>
      </c>
    </row>
    <row r="659" spans="1:21" x14ac:dyDescent="0.35">
      <c r="A659" s="89">
        <f t="shared" si="70"/>
        <v>0</v>
      </c>
      <c r="B659" s="90">
        <f t="shared" si="71"/>
        <v>0</v>
      </c>
      <c r="C659" s="90">
        <f t="shared" si="72"/>
        <v>0</v>
      </c>
      <c r="D659" s="90">
        <f t="shared" si="73"/>
        <v>0</v>
      </c>
      <c r="E659" s="91">
        <f t="shared" si="74"/>
        <v>0</v>
      </c>
      <c r="F659" s="17">
        <f t="shared" si="75"/>
        <v>0</v>
      </c>
      <c r="G659" s="64"/>
      <c r="H659" s="64"/>
      <c r="I659" s="172">
        <f t="shared" si="76"/>
        <v>0</v>
      </c>
      <c r="J659" s="172">
        <f t="shared" si="77"/>
        <v>0</v>
      </c>
      <c r="L659" s="60">
        <f>Price!A659</f>
        <v>0</v>
      </c>
      <c r="M659" s="15">
        <f>Price!B659</f>
        <v>0</v>
      </c>
      <c r="N659" s="15">
        <f>Price!C659</f>
        <v>0</v>
      </c>
      <c r="O659" s="537"/>
      <c r="P659" s="16"/>
      <c r="Q659" s="17">
        <f>Price!F659</f>
        <v>0</v>
      </c>
      <c r="R659" s="323"/>
      <c r="S659" s="323"/>
      <c r="T659" s="12">
        <f>Price!G659</f>
        <v>0</v>
      </c>
      <c r="U659" s="257">
        <f>Price!H659</f>
        <v>0</v>
      </c>
    </row>
    <row r="660" spans="1:21" x14ac:dyDescent="0.35">
      <c r="A660" s="89">
        <f t="shared" si="70"/>
        <v>0</v>
      </c>
      <c r="B660" s="90">
        <f t="shared" si="71"/>
        <v>0</v>
      </c>
      <c r="C660" s="90">
        <f t="shared" si="72"/>
        <v>0</v>
      </c>
      <c r="D660" s="90">
        <f t="shared" si="73"/>
        <v>0</v>
      </c>
      <c r="E660" s="91">
        <f t="shared" si="74"/>
        <v>0</v>
      </c>
      <c r="F660" s="17">
        <f t="shared" si="75"/>
        <v>0</v>
      </c>
      <c r="G660" s="64"/>
      <c r="H660" s="64"/>
      <c r="I660" s="172">
        <f t="shared" si="76"/>
        <v>0</v>
      </c>
      <c r="J660" s="172">
        <f t="shared" si="77"/>
        <v>0</v>
      </c>
      <c r="L660" s="60">
        <f>Price!A660</f>
        <v>0</v>
      </c>
      <c r="M660" s="15">
        <f>Price!B660</f>
        <v>0</v>
      </c>
      <c r="N660" s="15">
        <f>Price!C660</f>
        <v>0</v>
      </c>
      <c r="O660" s="537"/>
      <c r="P660" s="16"/>
      <c r="Q660" s="17">
        <f>Price!F660</f>
        <v>0</v>
      </c>
      <c r="R660" s="323"/>
      <c r="S660" s="323"/>
      <c r="T660" s="12">
        <f>Price!G660</f>
        <v>0</v>
      </c>
      <c r="U660" s="257">
        <f>Price!H660</f>
        <v>0</v>
      </c>
    </row>
    <row r="661" spans="1:21" x14ac:dyDescent="0.35">
      <c r="A661" s="89">
        <f t="shared" si="70"/>
        <v>0</v>
      </c>
      <c r="B661" s="90">
        <f t="shared" si="71"/>
        <v>0</v>
      </c>
      <c r="C661" s="90">
        <f t="shared" si="72"/>
        <v>0</v>
      </c>
      <c r="D661" s="90">
        <f t="shared" si="73"/>
        <v>0</v>
      </c>
      <c r="E661" s="91">
        <f t="shared" si="74"/>
        <v>0</v>
      </c>
      <c r="F661" s="17">
        <f t="shared" si="75"/>
        <v>0</v>
      </c>
      <c r="G661" s="64"/>
      <c r="H661" s="64"/>
      <c r="I661" s="172">
        <f t="shared" si="76"/>
        <v>0</v>
      </c>
      <c r="J661" s="172">
        <f t="shared" si="77"/>
        <v>0</v>
      </c>
      <c r="L661" s="60">
        <f>Price!A661</f>
        <v>0</v>
      </c>
      <c r="M661" s="15">
        <f>Price!B661</f>
        <v>0</v>
      </c>
      <c r="N661" s="15">
        <f>Price!C661</f>
        <v>0</v>
      </c>
      <c r="O661" s="537"/>
      <c r="P661" s="16"/>
      <c r="Q661" s="17">
        <f>Price!F661</f>
        <v>0</v>
      </c>
      <c r="R661" s="323"/>
      <c r="S661" s="323"/>
      <c r="T661" s="12">
        <f>Price!G661</f>
        <v>0</v>
      </c>
      <c r="U661" s="257">
        <f>Price!H661</f>
        <v>0</v>
      </c>
    </row>
    <row r="662" spans="1:21" x14ac:dyDescent="0.35">
      <c r="A662" s="89">
        <f t="shared" si="70"/>
        <v>0</v>
      </c>
      <c r="B662" s="90">
        <f t="shared" si="71"/>
        <v>0</v>
      </c>
      <c r="C662" s="90">
        <f t="shared" si="72"/>
        <v>0</v>
      </c>
      <c r="D662" s="90">
        <f t="shared" si="73"/>
        <v>0</v>
      </c>
      <c r="E662" s="91">
        <f t="shared" si="74"/>
        <v>0</v>
      </c>
      <c r="F662" s="17">
        <f t="shared" si="75"/>
        <v>0</v>
      </c>
      <c r="G662" s="64"/>
      <c r="H662" s="64"/>
      <c r="I662" s="172">
        <f t="shared" si="76"/>
        <v>0</v>
      </c>
      <c r="J662" s="172">
        <f t="shared" si="77"/>
        <v>0</v>
      </c>
      <c r="L662" s="60">
        <f>Price!A662</f>
        <v>0</v>
      </c>
      <c r="M662" s="15">
        <f>Price!B662</f>
        <v>0</v>
      </c>
      <c r="N662" s="15">
        <f>Price!C662</f>
        <v>0</v>
      </c>
      <c r="O662" s="537"/>
      <c r="P662" s="16"/>
      <c r="Q662" s="17">
        <f>Price!F662</f>
        <v>0</v>
      </c>
      <c r="R662" s="323"/>
      <c r="S662" s="323"/>
      <c r="T662" s="12">
        <f>Price!G662</f>
        <v>0</v>
      </c>
      <c r="U662" s="257">
        <f>Price!H662</f>
        <v>0</v>
      </c>
    </row>
    <row r="663" spans="1:21" x14ac:dyDescent="0.35">
      <c r="A663" s="89">
        <f t="shared" si="70"/>
        <v>0</v>
      </c>
      <c r="B663" s="90">
        <f t="shared" si="71"/>
        <v>0</v>
      </c>
      <c r="C663" s="90">
        <f t="shared" si="72"/>
        <v>0</v>
      </c>
      <c r="D663" s="90">
        <f t="shared" si="73"/>
        <v>0</v>
      </c>
      <c r="E663" s="91">
        <f t="shared" si="74"/>
        <v>0</v>
      </c>
      <c r="F663" s="17">
        <f t="shared" si="75"/>
        <v>0</v>
      </c>
      <c r="G663" s="64"/>
      <c r="H663" s="64"/>
      <c r="I663" s="172">
        <f t="shared" si="76"/>
        <v>0</v>
      </c>
      <c r="J663" s="172">
        <f t="shared" si="77"/>
        <v>0</v>
      </c>
      <c r="L663" s="60">
        <f>Price!A663</f>
        <v>0</v>
      </c>
      <c r="M663" s="15">
        <f>Price!B663</f>
        <v>0</v>
      </c>
      <c r="N663" s="15">
        <f>Price!C663</f>
        <v>0</v>
      </c>
      <c r="O663" s="537"/>
      <c r="P663" s="16"/>
      <c r="Q663" s="17">
        <f>Price!F663</f>
        <v>0</v>
      </c>
      <c r="R663" s="323"/>
      <c r="S663" s="323"/>
      <c r="T663" s="12">
        <f>Price!G663</f>
        <v>0</v>
      </c>
      <c r="U663" s="257">
        <f>Price!H663</f>
        <v>0</v>
      </c>
    </row>
    <row r="664" spans="1:21" x14ac:dyDescent="0.35">
      <c r="A664" s="89">
        <f t="shared" si="70"/>
        <v>0</v>
      </c>
      <c r="B664" s="90">
        <f t="shared" si="71"/>
        <v>0</v>
      </c>
      <c r="C664" s="90">
        <f t="shared" si="72"/>
        <v>0</v>
      </c>
      <c r="D664" s="90">
        <f t="shared" si="73"/>
        <v>0</v>
      </c>
      <c r="E664" s="91">
        <f t="shared" si="74"/>
        <v>0</v>
      </c>
      <c r="F664" s="17">
        <f t="shared" si="75"/>
        <v>0</v>
      </c>
      <c r="G664" s="64"/>
      <c r="H664" s="64"/>
      <c r="I664" s="172">
        <f t="shared" si="76"/>
        <v>0</v>
      </c>
      <c r="J664" s="172">
        <f t="shared" si="77"/>
        <v>0</v>
      </c>
      <c r="L664" s="60">
        <f>Price!A664</f>
        <v>0</v>
      </c>
      <c r="M664" s="15">
        <f>Price!B664</f>
        <v>0</v>
      </c>
      <c r="N664" s="15">
        <f>Price!C664</f>
        <v>0</v>
      </c>
      <c r="O664" s="537"/>
      <c r="P664" s="16"/>
      <c r="Q664" s="17">
        <f>Price!F664</f>
        <v>0</v>
      </c>
      <c r="R664" s="323"/>
      <c r="S664" s="323"/>
      <c r="T664" s="12">
        <f>Price!G664</f>
        <v>0</v>
      </c>
      <c r="U664" s="257">
        <f>Price!H664</f>
        <v>0</v>
      </c>
    </row>
    <row r="665" spans="1:21" x14ac:dyDescent="0.35">
      <c r="A665" s="89">
        <f t="shared" si="70"/>
        <v>0</v>
      </c>
      <c r="B665" s="90">
        <f t="shared" si="71"/>
        <v>0</v>
      </c>
      <c r="C665" s="90">
        <f t="shared" si="72"/>
        <v>0</v>
      </c>
      <c r="D665" s="90">
        <f t="shared" si="73"/>
        <v>0</v>
      </c>
      <c r="E665" s="91">
        <f t="shared" si="74"/>
        <v>0</v>
      </c>
      <c r="F665" s="17">
        <f t="shared" si="75"/>
        <v>0</v>
      </c>
      <c r="G665" s="64"/>
      <c r="H665" s="64"/>
      <c r="I665" s="172">
        <f t="shared" si="76"/>
        <v>0</v>
      </c>
      <c r="J665" s="172">
        <f t="shared" si="77"/>
        <v>0</v>
      </c>
      <c r="L665" s="60">
        <f>Price!A665</f>
        <v>0</v>
      </c>
      <c r="M665" s="15">
        <f>Price!B665</f>
        <v>0</v>
      </c>
      <c r="N665" s="15">
        <f>Price!C665</f>
        <v>0</v>
      </c>
      <c r="O665" s="537"/>
      <c r="P665" s="16"/>
      <c r="Q665" s="17">
        <f>Price!F665</f>
        <v>0</v>
      </c>
      <c r="R665" s="323"/>
      <c r="S665" s="323"/>
      <c r="T665" s="12">
        <f>Price!G665</f>
        <v>0</v>
      </c>
      <c r="U665" s="257">
        <f>Price!H665</f>
        <v>0</v>
      </c>
    </row>
    <row r="666" spans="1:21" x14ac:dyDescent="0.35">
      <c r="A666" s="89">
        <f t="shared" si="70"/>
        <v>0</v>
      </c>
      <c r="B666" s="90">
        <f t="shared" si="71"/>
        <v>0</v>
      </c>
      <c r="C666" s="90">
        <f t="shared" si="72"/>
        <v>0</v>
      </c>
      <c r="D666" s="90">
        <f t="shared" si="73"/>
        <v>0</v>
      </c>
      <c r="E666" s="91">
        <f t="shared" si="74"/>
        <v>0</v>
      </c>
      <c r="F666" s="17">
        <f t="shared" si="75"/>
        <v>0</v>
      </c>
      <c r="G666" s="64"/>
      <c r="H666" s="64"/>
      <c r="I666" s="172">
        <f t="shared" si="76"/>
        <v>0</v>
      </c>
      <c r="J666" s="172">
        <f t="shared" si="77"/>
        <v>0</v>
      </c>
      <c r="L666" s="60">
        <f>Price!A666</f>
        <v>0</v>
      </c>
      <c r="M666" s="15">
        <f>Price!B666</f>
        <v>0</v>
      </c>
      <c r="N666" s="15">
        <f>Price!C666</f>
        <v>0</v>
      </c>
      <c r="O666" s="537"/>
      <c r="P666" s="16"/>
      <c r="Q666" s="17">
        <f>Price!F666</f>
        <v>0</v>
      </c>
      <c r="R666" s="323"/>
      <c r="S666" s="323"/>
      <c r="T666" s="12">
        <f>Price!G666</f>
        <v>0</v>
      </c>
      <c r="U666" s="257">
        <f>Price!H666</f>
        <v>0</v>
      </c>
    </row>
    <row r="667" spans="1:21" x14ac:dyDescent="0.35">
      <c r="A667" s="76"/>
      <c r="B667" s="162"/>
      <c r="C667" s="162"/>
      <c r="D667" s="540"/>
      <c r="E667" s="82"/>
      <c r="F667" s="20"/>
      <c r="G667" s="20"/>
      <c r="H667" s="20"/>
      <c r="I667" s="20"/>
      <c r="J667" s="20"/>
      <c r="L667" s="60">
        <f>Price!A667</f>
        <v>0</v>
      </c>
      <c r="M667" s="15">
        <f>Price!B667</f>
        <v>0</v>
      </c>
      <c r="N667" s="15">
        <f>Price!C667</f>
        <v>0</v>
      </c>
      <c r="O667" s="537"/>
      <c r="P667" s="16"/>
      <c r="Q667" s="17">
        <f>Price!F667</f>
        <v>0</v>
      </c>
      <c r="R667" s="323"/>
      <c r="S667" s="323"/>
      <c r="T667" s="12">
        <f>Price!G667</f>
        <v>0</v>
      </c>
      <c r="U667" s="257">
        <f>Price!H667</f>
        <v>0</v>
      </c>
    </row>
    <row r="668" spans="1:21" x14ac:dyDescent="0.35">
      <c r="A668" s="76"/>
      <c r="B668" s="162"/>
      <c r="C668" s="162"/>
      <c r="D668" s="540"/>
      <c r="E668" s="82"/>
      <c r="F668" s="20"/>
      <c r="G668" s="20"/>
      <c r="H668" s="20"/>
      <c r="I668" s="20"/>
      <c r="J668" s="20"/>
      <c r="L668" s="60">
        <f>Price!A668</f>
        <v>0</v>
      </c>
      <c r="M668" s="15">
        <f>Price!B668</f>
        <v>0</v>
      </c>
      <c r="N668" s="15">
        <f>Price!C668</f>
        <v>0</v>
      </c>
      <c r="O668" s="537"/>
      <c r="P668" s="16"/>
      <c r="Q668" s="17">
        <f>Price!F668</f>
        <v>0</v>
      </c>
      <c r="R668" s="323"/>
      <c r="S668" s="323"/>
      <c r="T668" s="12">
        <f>Price!G668</f>
        <v>0</v>
      </c>
      <c r="U668" s="257">
        <f>Price!H668</f>
        <v>0</v>
      </c>
    </row>
    <row r="669" spans="1:21" x14ac:dyDescent="0.35">
      <c r="A669" s="76"/>
      <c r="B669" s="162"/>
      <c r="C669" s="162"/>
      <c r="D669" s="540"/>
      <c r="E669" s="82"/>
      <c r="F669" s="20"/>
      <c r="G669" s="20"/>
      <c r="H669" s="20"/>
      <c r="I669" s="20"/>
      <c r="J669" s="20"/>
      <c r="L669" s="60">
        <f>Price!A669</f>
        <v>0</v>
      </c>
      <c r="M669" s="15">
        <f>Price!B669</f>
        <v>0</v>
      </c>
      <c r="N669" s="15">
        <f>Price!C669</f>
        <v>0</v>
      </c>
      <c r="O669" s="537"/>
      <c r="P669" s="16"/>
      <c r="Q669" s="17">
        <f>Price!F669</f>
        <v>0</v>
      </c>
      <c r="R669" s="323"/>
      <c r="S669" s="323"/>
      <c r="T669" s="12">
        <f>Price!G669</f>
        <v>0</v>
      </c>
      <c r="U669" s="257">
        <f>Price!H669</f>
        <v>0</v>
      </c>
    </row>
    <row r="670" spans="1:21" x14ac:dyDescent="0.35">
      <c r="A670" s="76"/>
      <c r="B670" s="162"/>
      <c r="C670" s="162"/>
      <c r="D670" s="540"/>
      <c r="E670" s="82"/>
      <c r="F670" s="20"/>
      <c r="G670" s="20"/>
      <c r="H670" s="20"/>
      <c r="I670" s="20"/>
      <c r="J670" s="20"/>
      <c r="L670" s="60">
        <f>Price!A670</f>
        <v>0</v>
      </c>
      <c r="M670" s="15">
        <f>Price!B670</f>
        <v>0</v>
      </c>
      <c r="N670" s="15">
        <f>Price!C670</f>
        <v>0</v>
      </c>
      <c r="O670" s="537"/>
      <c r="P670" s="16"/>
      <c r="Q670" s="17">
        <f>Price!F670</f>
        <v>0</v>
      </c>
      <c r="R670" s="323"/>
      <c r="S670" s="323"/>
      <c r="T670" s="12">
        <f>Price!G670</f>
        <v>0</v>
      </c>
      <c r="U670" s="257">
        <f>Price!H670</f>
        <v>0</v>
      </c>
    </row>
    <row r="671" spans="1:21" x14ac:dyDescent="0.35">
      <c r="A671" s="76"/>
      <c r="B671" s="162"/>
      <c r="C671" s="162"/>
      <c r="D671" s="540"/>
      <c r="E671" s="82"/>
      <c r="F671" s="20"/>
      <c r="G671" s="20"/>
      <c r="H671" s="20"/>
      <c r="I671" s="20"/>
      <c r="J671" s="20"/>
      <c r="L671" s="60">
        <f>Price!A671</f>
        <v>0</v>
      </c>
      <c r="M671" s="15">
        <f>Price!B671</f>
        <v>0</v>
      </c>
      <c r="N671" s="15">
        <f>Price!C671</f>
        <v>0</v>
      </c>
      <c r="O671" s="537"/>
      <c r="P671" s="16"/>
      <c r="Q671" s="17">
        <f>Price!F671</f>
        <v>0</v>
      </c>
      <c r="R671" s="323"/>
      <c r="S671" s="323"/>
      <c r="T671" s="12">
        <f>Price!G671</f>
        <v>0</v>
      </c>
      <c r="U671" s="257">
        <f>Price!H671</f>
        <v>0</v>
      </c>
    </row>
    <row r="672" spans="1:21" x14ac:dyDescent="0.35">
      <c r="L672" s="60">
        <f>Price!A672</f>
        <v>0</v>
      </c>
      <c r="M672" s="15">
        <f>Price!B672</f>
        <v>0</v>
      </c>
      <c r="N672" s="15">
        <f>Price!C672</f>
        <v>0</v>
      </c>
      <c r="O672" s="537"/>
      <c r="P672" s="16"/>
      <c r="Q672" s="17">
        <f>Price!F672</f>
        <v>0</v>
      </c>
      <c r="R672" s="323"/>
      <c r="S672" s="323"/>
      <c r="T672" s="12">
        <f>Price!G672</f>
        <v>0</v>
      </c>
      <c r="U672" s="257">
        <f>Price!H672</f>
        <v>0</v>
      </c>
    </row>
    <row r="673" spans="12:21" x14ac:dyDescent="0.35">
      <c r="L673" s="60">
        <f>Price!A673</f>
        <v>0</v>
      </c>
      <c r="M673" s="15">
        <f>Price!B673</f>
        <v>0</v>
      </c>
      <c r="N673" s="15">
        <f>Price!C673</f>
        <v>0</v>
      </c>
      <c r="O673" s="537"/>
      <c r="P673" s="16"/>
      <c r="Q673" s="17">
        <f>Price!F673</f>
        <v>0</v>
      </c>
      <c r="R673" s="323"/>
      <c r="S673" s="323"/>
      <c r="T673" s="12">
        <f>Price!G673</f>
        <v>0</v>
      </c>
      <c r="U673" s="257">
        <f>Price!H673</f>
        <v>0</v>
      </c>
    </row>
    <row r="674" spans="12:21" x14ac:dyDescent="0.35">
      <c r="L674" s="60">
        <f>Price!A674</f>
        <v>0</v>
      </c>
      <c r="M674" s="15">
        <f>Price!B674</f>
        <v>0</v>
      </c>
      <c r="N674" s="15">
        <f>Price!C674</f>
        <v>0</v>
      </c>
      <c r="O674" s="537"/>
      <c r="P674" s="16"/>
      <c r="Q674" s="17">
        <f>Price!F674</f>
        <v>0</v>
      </c>
      <c r="R674" s="323"/>
      <c r="S674" s="323"/>
      <c r="T674" s="12">
        <f>Price!G674</f>
        <v>0</v>
      </c>
      <c r="U674" s="257">
        <f>Price!H674</f>
        <v>0</v>
      </c>
    </row>
    <row r="675" spans="12:21" x14ac:dyDescent="0.35">
      <c r="L675" s="60">
        <f>Price!A675</f>
        <v>0</v>
      </c>
      <c r="M675" s="15">
        <f>Price!B675</f>
        <v>0</v>
      </c>
      <c r="N675" s="15">
        <f>Price!C675</f>
        <v>0</v>
      </c>
      <c r="O675" s="537"/>
      <c r="P675" s="16"/>
      <c r="Q675" s="17">
        <f>Price!F675</f>
        <v>0</v>
      </c>
      <c r="R675" s="323"/>
      <c r="S675" s="323"/>
      <c r="T675" s="12">
        <f>Price!G675</f>
        <v>0</v>
      </c>
      <c r="U675" s="257">
        <f>Price!H675</f>
        <v>0</v>
      </c>
    </row>
    <row r="676" spans="12:21" x14ac:dyDescent="0.35">
      <c r="L676" s="60">
        <f>Price!A676</f>
        <v>0</v>
      </c>
      <c r="M676" s="15">
        <f>Price!B676</f>
        <v>0</v>
      </c>
      <c r="N676" s="15">
        <f>Price!C676</f>
        <v>0</v>
      </c>
      <c r="O676" s="537"/>
      <c r="P676" s="16"/>
      <c r="Q676" s="17">
        <f>Price!F676</f>
        <v>0</v>
      </c>
      <c r="R676" s="323"/>
      <c r="S676" s="323"/>
      <c r="T676" s="12">
        <f>Price!G676</f>
        <v>0</v>
      </c>
      <c r="U676" s="257">
        <f>Price!H676</f>
        <v>0</v>
      </c>
    </row>
    <row r="677" spans="12:21" x14ac:dyDescent="0.35">
      <c r="L677" s="60">
        <f>Price!A677</f>
        <v>0</v>
      </c>
      <c r="M677" s="15">
        <f>Price!B677</f>
        <v>0</v>
      </c>
      <c r="N677" s="15">
        <f>Price!C677</f>
        <v>0</v>
      </c>
      <c r="O677" s="537"/>
      <c r="P677" s="16"/>
      <c r="Q677" s="17">
        <f>Price!F677</f>
        <v>0</v>
      </c>
      <c r="R677" s="323"/>
      <c r="S677" s="323"/>
      <c r="T677" s="12">
        <f>Price!G677</f>
        <v>0</v>
      </c>
      <c r="U677" s="257">
        <f>Price!H677</f>
        <v>0</v>
      </c>
    </row>
    <row r="678" spans="12:21" x14ac:dyDescent="0.35">
      <c r="L678" s="60">
        <f>Price!A678</f>
        <v>0</v>
      </c>
      <c r="M678" s="15">
        <f>Price!B678</f>
        <v>0</v>
      </c>
      <c r="N678" s="15">
        <f>Price!C678</f>
        <v>0</v>
      </c>
      <c r="O678" s="537"/>
      <c r="P678" s="16"/>
      <c r="Q678" s="17">
        <f>Price!F678</f>
        <v>0</v>
      </c>
      <c r="R678" s="323"/>
      <c r="S678" s="323"/>
      <c r="T678" s="12">
        <f>Price!G678</f>
        <v>0</v>
      </c>
      <c r="U678" s="257">
        <f>Price!H678</f>
        <v>0</v>
      </c>
    </row>
    <row r="679" spans="12:21" x14ac:dyDescent="0.35">
      <c r="L679" s="60">
        <f>Price!A679</f>
        <v>0</v>
      </c>
      <c r="M679" s="15">
        <f>Price!B679</f>
        <v>0</v>
      </c>
      <c r="N679" s="15">
        <f>Price!C679</f>
        <v>0</v>
      </c>
      <c r="O679" s="537"/>
      <c r="P679" s="16"/>
      <c r="Q679" s="17">
        <f>Price!F679</f>
        <v>0</v>
      </c>
      <c r="R679" s="323"/>
      <c r="S679" s="323"/>
      <c r="T679" s="12">
        <f>Price!G679</f>
        <v>0</v>
      </c>
      <c r="U679" s="257">
        <f>Price!H679</f>
        <v>0</v>
      </c>
    </row>
    <row r="680" spans="12:21" x14ac:dyDescent="0.35">
      <c r="L680" s="60">
        <f>Price!A680</f>
        <v>0</v>
      </c>
      <c r="M680" s="15">
        <f>Price!B680</f>
        <v>0</v>
      </c>
      <c r="N680" s="15">
        <f>Price!C680</f>
        <v>0</v>
      </c>
      <c r="O680" s="537"/>
      <c r="P680" s="16"/>
      <c r="Q680" s="17">
        <f>Price!F680</f>
        <v>0</v>
      </c>
      <c r="R680" s="323"/>
      <c r="S680" s="323"/>
      <c r="T680" s="12">
        <f>Price!G680</f>
        <v>0</v>
      </c>
      <c r="U680" s="257">
        <f>Price!H680</f>
        <v>0</v>
      </c>
    </row>
    <row r="681" spans="12:21" x14ac:dyDescent="0.35">
      <c r="L681" s="60">
        <f>Price!A681</f>
        <v>0</v>
      </c>
      <c r="M681" s="15">
        <f>Price!B681</f>
        <v>0</v>
      </c>
      <c r="N681" s="15">
        <f>Price!C681</f>
        <v>0</v>
      </c>
      <c r="O681" s="537"/>
      <c r="P681" s="16"/>
      <c r="Q681" s="17">
        <f>Price!F681</f>
        <v>0</v>
      </c>
      <c r="R681" s="323"/>
      <c r="S681" s="323"/>
      <c r="T681" s="12">
        <f>Price!G681</f>
        <v>0</v>
      </c>
      <c r="U681" s="257">
        <f>Price!H681</f>
        <v>0</v>
      </c>
    </row>
    <row r="682" spans="12:21" x14ac:dyDescent="0.35">
      <c r="L682" s="60">
        <f>Price!A682</f>
        <v>0</v>
      </c>
      <c r="M682" s="15">
        <f>Price!B682</f>
        <v>0</v>
      </c>
      <c r="N682" s="15">
        <f>Price!C682</f>
        <v>0</v>
      </c>
      <c r="O682" s="537"/>
      <c r="P682" s="16"/>
      <c r="Q682" s="17">
        <f>Price!F682</f>
        <v>0</v>
      </c>
      <c r="R682" s="323"/>
      <c r="S682" s="323"/>
      <c r="T682" s="12">
        <f>Price!G682</f>
        <v>0</v>
      </c>
      <c r="U682" s="257">
        <f>Price!H682</f>
        <v>0</v>
      </c>
    </row>
    <row r="683" spans="12:21" x14ac:dyDescent="0.35">
      <c r="L683" s="60">
        <f>Price!A683</f>
        <v>0</v>
      </c>
      <c r="M683" s="15">
        <f>Price!B683</f>
        <v>0</v>
      </c>
      <c r="N683" s="15">
        <f>Price!C683</f>
        <v>0</v>
      </c>
      <c r="O683" s="537"/>
      <c r="P683" s="16"/>
      <c r="Q683" s="17">
        <f>Price!F683</f>
        <v>0</v>
      </c>
      <c r="R683" s="323"/>
      <c r="S683" s="323"/>
      <c r="T683" s="12">
        <f>Price!G683</f>
        <v>0</v>
      </c>
      <c r="U683" s="257">
        <f>Price!H683</f>
        <v>0</v>
      </c>
    </row>
    <row r="684" spans="12:21" x14ac:dyDescent="0.35">
      <c r="L684" s="60">
        <f>Price!A684</f>
        <v>0</v>
      </c>
      <c r="M684" s="15">
        <f>Price!B684</f>
        <v>0</v>
      </c>
      <c r="N684" s="15">
        <f>Price!C684</f>
        <v>0</v>
      </c>
      <c r="O684" s="537"/>
      <c r="P684" s="16"/>
      <c r="Q684" s="17">
        <f>Price!F684</f>
        <v>0</v>
      </c>
      <c r="R684" s="323"/>
      <c r="S684" s="323"/>
      <c r="T684" s="12">
        <f>Price!G684</f>
        <v>0</v>
      </c>
      <c r="U684" s="257">
        <f>Price!H684</f>
        <v>0</v>
      </c>
    </row>
    <row r="685" spans="12:21" x14ac:dyDescent="0.35">
      <c r="L685" s="60">
        <f>Price!A685</f>
        <v>0</v>
      </c>
      <c r="M685" s="15">
        <f>Price!B685</f>
        <v>0</v>
      </c>
      <c r="N685" s="15">
        <f>Price!C685</f>
        <v>0</v>
      </c>
      <c r="O685" s="537"/>
      <c r="P685" s="16"/>
      <c r="Q685" s="17">
        <f>Price!F685</f>
        <v>0</v>
      </c>
      <c r="R685" s="323"/>
      <c r="S685" s="323"/>
      <c r="T685" s="12">
        <f>Price!G685</f>
        <v>0</v>
      </c>
      <c r="U685" s="257">
        <f>Price!H685</f>
        <v>0</v>
      </c>
    </row>
    <row r="686" spans="12:21" x14ac:dyDescent="0.35">
      <c r="L686" s="60">
        <f>Price!A686</f>
        <v>0</v>
      </c>
      <c r="M686" s="15">
        <f>Price!B686</f>
        <v>0</v>
      </c>
      <c r="N686" s="15">
        <f>Price!C686</f>
        <v>0</v>
      </c>
      <c r="O686" s="537"/>
      <c r="P686" s="16"/>
      <c r="Q686" s="17">
        <f>Price!F686</f>
        <v>0</v>
      </c>
      <c r="R686" s="323"/>
      <c r="S686" s="323"/>
      <c r="T686" s="12">
        <f>Price!G686</f>
        <v>0</v>
      </c>
      <c r="U686" s="257">
        <f>Price!H686</f>
        <v>0</v>
      </c>
    </row>
    <row r="687" spans="12:21" x14ac:dyDescent="0.35">
      <c r="L687" s="60">
        <f>Price!A687</f>
        <v>0</v>
      </c>
      <c r="M687" s="15">
        <f>Price!B687</f>
        <v>0</v>
      </c>
      <c r="N687" s="15">
        <f>Price!C687</f>
        <v>0</v>
      </c>
      <c r="O687" s="537"/>
      <c r="P687" s="16"/>
      <c r="Q687" s="17">
        <f>Price!F687</f>
        <v>0</v>
      </c>
      <c r="R687" s="323"/>
      <c r="S687" s="323"/>
      <c r="T687" s="12">
        <f>Price!G687</f>
        <v>0</v>
      </c>
      <c r="U687" s="257">
        <f>Price!H687</f>
        <v>0</v>
      </c>
    </row>
    <row r="688" spans="12:21" x14ac:dyDescent="0.35">
      <c r="L688" s="60">
        <f>Price!A688</f>
        <v>0</v>
      </c>
      <c r="M688" s="15">
        <f>Price!B688</f>
        <v>0</v>
      </c>
      <c r="N688" s="15">
        <f>Price!C688</f>
        <v>0</v>
      </c>
      <c r="O688" s="537"/>
      <c r="P688" s="16"/>
      <c r="Q688" s="17">
        <f>Price!F688</f>
        <v>0</v>
      </c>
      <c r="R688" s="323"/>
      <c r="S688" s="323"/>
      <c r="T688" s="12">
        <f>Price!G688</f>
        <v>0</v>
      </c>
      <c r="U688" s="257">
        <f>Price!H688</f>
        <v>0</v>
      </c>
    </row>
    <row r="689" spans="12:21" x14ac:dyDescent="0.35">
      <c r="L689" s="60">
        <f>Price!A689</f>
        <v>0</v>
      </c>
      <c r="M689" s="15">
        <f>Price!B689</f>
        <v>0</v>
      </c>
      <c r="N689" s="15">
        <f>Price!C689</f>
        <v>0</v>
      </c>
      <c r="O689" s="537"/>
      <c r="P689" s="16"/>
      <c r="Q689" s="17">
        <f>Price!F689</f>
        <v>0</v>
      </c>
      <c r="R689" s="323"/>
      <c r="S689" s="323"/>
      <c r="T689" s="12">
        <f>Price!G689</f>
        <v>0</v>
      </c>
      <c r="U689" s="257">
        <f>Price!H689</f>
        <v>0</v>
      </c>
    </row>
    <row r="690" spans="12:21" x14ac:dyDescent="0.35">
      <c r="L690" s="60">
        <f>Price!A690</f>
        <v>0</v>
      </c>
      <c r="M690" s="15">
        <f>Price!B690</f>
        <v>0</v>
      </c>
      <c r="N690" s="15">
        <f>Price!C690</f>
        <v>0</v>
      </c>
      <c r="O690" s="537"/>
      <c r="P690" s="16"/>
      <c r="Q690" s="17">
        <f>Price!F690</f>
        <v>0</v>
      </c>
      <c r="R690" s="323"/>
      <c r="S690" s="323"/>
      <c r="T690" s="12">
        <f>Price!G690</f>
        <v>0</v>
      </c>
      <c r="U690" s="257">
        <f>Price!H690</f>
        <v>0</v>
      </c>
    </row>
    <row r="691" spans="12:21" x14ac:dyDescent="0.35">
      <c r="L691" s="60">
        <f>Price!A691</f>
        <v>0</v>
      </c>
      <c r="M691" s="15">
        <f>Price!B691</f>
        <v>0</v>
      </c>
      <c r="N691" s="15">
        <f>Price!C691</f>
        <v>0</v>
      </c>
      <c r="O691" s="537"/>
      <c r="P691" s="16"/>
      <c r="Q691" s="17">
        <f>Price!F691</f>
        <v>0</v>
      </c>
      <c r="R691" s="323"/>
      <c r="S691" s="323"/>
      <c r="T691" s="12">
        <f>Price!G691</f>
        <v>0</v>
      </c>
      <c r="U691" s="257">
        <f>Price!H691</f>
        <v>0</v>
      </c>
    </row>
    <row r="692" spans="12:21" x14ac:dyDescent="0.35">
      <c r="L692" s="60">
        <f>Price!A692</f>
        <v>0</v>
      </c>
      <c r="M692" s="15">
        <f>Price!B692</f>
        <v>0</v>
      </c>
      <c r="N692" s="15">
        <f>Price!C692</f>
        <v>0</v>
      </c>
      <c r="O692" s="537"/>
      <c r="P692" s="16"/>
      <c r="Q692" s="17">
        <f>Price!F692</f>
        <v>0</v>
      </c>
      <c r="R692" s="323"/>
      <c r="S692" s="323"/>
      <c r="T692" s="12">
        <f>Price!G692</f>
        <v>0</v>
      </c>
      <c r="U692" s="257">
        <f>Price!H692</f>
        <v>0</v>
      </c>
    </row>
    <row r="693" spans="12:21" x14ac:dyDescent="0.35">
      <c r="L693" s="60">
        <f>Price!A693</f>
        <v>0</v>
      </c>
      <c r="M693" s="15">
        <f>Price!B693</f>
        <v>0</v>
      </c>
      <c r="N693" s="15">
        <f>Price!C693</f>
        <v>0</v>
      </c>
      <c r="O693" s="537"/>
      <c r="P693" s="16"/>
      <c r="Q693" s="17">
        <f>Price!F693</f>
        <v>0</v>
      </c>
      <c r="R693" s="323"/>
      <c r="S693" s="323"/>
      <c r="T693" s="12">
        <f>Price!G693</f>
        <v>0</v>
      </c>
      <c r="U693" s="257">
        <f>Price!H693</f>
        <v>0</v>
      </c>
    </row>
    <row r="694" spans="12:21" x14ac:dyDescent="0.35">
      <c r="L694" s="60">
        <f>Price!A694</f>
        <v>0</v>
      </c>
      <c r="M694" s="15">
        <f>Price!B694</f>
        <v>0</v>
      </c>
      <c r="N694" s="15">
        <f>Price!C694</f>
        <v>0</v>
      </c>
      <c r="O694" s="537"/>
      <c r="P694" s="16"/>
      <c r="Q694" s="17">
        <f>Price!F694</f>
        <v>0</v>
      </c>
      <c r="R694" s="323"/>
      <c r="S694" s="323"/>
      <c r="T694" s="12">
        <f>Price!G694</f>
        <v>0</v>
      </c>
      <c r="U694" s="257">
        <f>Price!H694</f>
        <v>0</v>
      </c>
    </row>
    <row r="695" spans="12:21" x14ac:dyDescent="0.35">
      <c r="L695" s="60">
        <f>Price!A695</f>
        <v>0</v>
      </c>
      <c r="M695" s="15">
        <f>Price!B695</f>
        <v>0</v>
      </c>
      <c r="N695" s="15">
        <f>Price!C695</f>
        <v>0</v>
      </c>
      <c r="O695" s="537"/>
      <c r="P695" s="16"/>
      <c r="Q695" s="17">
        <f>Price!F695</f>
        <v>0</v>
      </c>
      <c r="R695" s="323"/>
      <c r="S695" s="323"/>
      <c r="T695" s="12">
        <f>Price!G695</f>
        <v>0</v>
      </c>
      <c r="U695" s="257">
        <f>Price!H695</f>
        <v>0</v>
      </c>
    </row>
    <row r="696" spans="12:21" x14ac:dyDescent="0.35">
      <c r="L696" s="60">
        <f>Price!A696</f>
        <v>0</v>
      </c>
      <c r="M696" s="15">
        <f>Price!B696</f>
        <v>0</v>
      </c>
      <c r="N696" s="15">
        <f>Price!C696</f>
        <v>0</v>
      </c>
      <c r="O696" s="537"/>
      <c r="P696" s="16"/>
      <c r="Q696" s="17">
        <f>Price!F696</f>
        <v>0</v>
      </c>
      <c r="R696" s="323"/>
      <c r="S696" s="323"/>
      <c r="T696" s="12">
        <f>Price!G696</f>
        <v>0</v>
      </c>
      <c r="U696" s="257">
        <f>Price!H696</f>
        <v>0</v>
      </c>
    </row>
    <row r="697" spans="12:21" x14ac:dyDescent="0.35">
      <c r="L697" s="60">
        <f>Price!A697</f>
        <v>0</v>
      </c>
      <c r="M697" s="15">
        <f>Price!B697</f>
        <v>0</v>
      </c>
      <c r="N697" s="15">
        <f>Price!C697</f>
        <v>0</v>
      </c>
      <c r="O697" s="537"/>
      <c r="P697" s="16"/>
      <c r="Q697" s="17">
        <f>Price!F697</f>
        <v>0</v>
      </c>
      <c r="R697" s="323"/>
      <c r="S697" s="323"/>
      <c r="T697" s="12">
        <f>Price!G697</f>
        <v>0</v>
      </c>
      <c r="U697" s="257">
        <f>Price!H697</f>
        <v>0</v>
      </c>
    </row>
    <row r="698" spans="12:21" x14ac:dyDescent="0.35">
      <c r="L698" s="60">
        <f>Price!A698</f>
        <v>0</v>
      </c>
      <c r="M698" s="15">
        <f>Price!B698</f>
        <v>0</v>
      </c>
      <c r="N698" s="15">
        <f>Price!C698</f>
        <v>0</v>
      </c>
      <c r="O698" s="537"/>
      <c r="P698" s="16"/>
      <c r="Q698" s="17">
        <f>Price!F698</f>
        <v>0</v>
      </c>
      <c r="R698" s="323"/>
      <c r="S698" s="323"/>
      <c r="T698" s="12">
        <f>Price!G698</f>
        <v>0</v>
      </c>
      <c r="U698" s="257">
        <f>Price!H698</f>
        <v>0</v>
      </c>
    </row>
    <row r="699" spans="12:21" x14ac:dyDescent="0.35">
      <c r="L699" s="60">
        <f>Price!A699</f>
        <v>0</v>
      </c>
      <c r="M699" s="15">
        <f>Price!B699</f>
        <v>0</v>
      </c>
      <c r="N699" s="15">
        <f>Price!C699</f>
        <v>0</v>
      </c>
      <c r="O699" s="537"/>
      <c r="P699" s="16"/>
      <c r="Q699" s="17">
        <f>Price!F699</f>
        <v>0</v>
      </c>
      <c r="R699" s="323"/>
      <c r="S699" s="323"/>
      <c r="T699" s="12">
        <f>Price!G699</f>
        <v>0</v>
      </c>
      <c r="U699" s="257">
        <f>Price!H699</f>
        <v>0</v>
      </c>
    </row>
    <row r="700" spans="12:21" x14ac:dyDescent="0.35">
      <c r="L700" s="60">
        <f>Price!A700</f>
        <v>0</v>
      </c>
      <c r="M700" s="15">
        <f>Price!B700</f>
        <v>0</v>
      </c>
      <c r="N700" s="15">
        <f>Price!C700</f>
        <v>0</v>
      </c>
      <c r="O700" s="537"/>
      <c r="P700" s="16"/>
      <c r="Q700" s="17">
        <f>Price!F700</f>
        <v>0</v>
      </c>
      <c r="R700" s="323"/>
      <c r="S700" s="323"/>
      <c r="T700" s="12">
        <f>Price!G700</f>
        <v>0</v>
      </c>
      <c r="U700" s="257">
        <f>Price!H700</f>
        <v>0</v>
      </c>
    </row>
    <row r="701" spans="12:21" x14ac:dyDescent="0.35">
      <c r="L701" s="60">
        <f>Price!A701</f>
        <v>0</v>
      </c>
      <c r="M701" s="15">
        <f>Price!B701</f>
        <v>0</v>
      </c>
      <c r="N701" s="15">
        <f>Price!C701</f>
        <v>0</v>
      </c>
      <c r="O701" s="537"/>
      <c r="P701" s="16"/>
      <c r="Q701" s="17">
        <f>Price!F701</f>
        <v>0</v>
      </c>
      <c r="R701" s="323"/>
      <c r="S701" s="323"/>
      <c r="T701" s="12">
        <f>Price!G701</f>
        <v>0</v>
      </c>
      <c r="U701" s="257">
        <f>Price!H701</f>
        <v>0</v>
      </c>
    </row>
    <row r="702" spans="12:21" x14ac:dyDescent="0.35">
      <c r="L702" s="60">
        <f>Price!A702</f>
        <v>0</v>
      </c>
      <c r="M702" s="15">
        <f>Price!B702</f>
        <v>0</v>
      </c>
      <c r="N702" s="15">
        <f>Price!C702</f>
        <v>0</v>
      </c>
      <c r="O702" s="537"/>
      <c r="P702" s="16"/>
      <c r="Q702" s="17">
        <f>Price!F702</f>
        <v>0</v>
      </c>
      <c r="R702" s="323"/>
      <c r="S702" s="323"/>
      <c r="T702" s="12">
        <f>Price!G702</f>
        <v>0</v>
      </c>
      <c r="U702" s="257">
        <f>Price!H702</f>
        <v>0</v>
      </c>
    </row>
    <row r="703" spans="12:21" x14ac:dyDescent="0.35">
      <c r="L703" s="60">
        <f>Price!A703</f>
        <v>0</v>
      </c>
      <c r="M703" s="15">
        <f>Price!B703</f>
        <v>0</v>
      </c>
      <c r="N703" s="15">
        <f>Price!C703</f>
        <v>0</v>
      </c>
      <c r="O703" s="537"/>
      <c r="P703" s="16"/>
      <c r="Q703" s="17">
        <f>Price!F703</f>
        <v>0</v>
      </c>
      <c r="R703" s="323"/>
      <c r="S703" s="323"/>
      <c r="T703" s="12">
        <f>Price!G703</f>
        <v>0</v>
      </c>
      <c r="U703" s="257">
        <f>Price!H703</f>
        <v>0</v>
      </c>
    </row>
    <row r="704" spans="12:21" x14ac:dyDescent="0.35">
      <c r="L704" s="60">
        <f>Price!A704</f>
        <v>0</v>
      </c>
      <c r="M704" s="15">
        <f>Price!B704</f>
        <v>0</v>
      </c>
      <c r="N704" s="15">
        <f>Price!C704</f>
        <v>0</v>
      </c>
      <c r="O704" s="537"/>
      <c r="P704" s="16"/>
      <c r="Q704" s="17">
        <f>Price!F704</f>
        <v>0</v>
      </c>
      <c r="R704" s="323"/>
      <c r="S704" s="323"/>
      <c r="T704" s="12">
        <f>Price!G704</f>
        <v>0</v>
      </c>
      <c r="U704" s="257">
        <f>Price!H704</f>
        <v>0</v>
      </c>
    </row>
    <row r="705" spans="12:21" x14ac:dyDescent="0.35">
      <c r="L705" s="60">
        <f>Price!A705</f>
        <v>0</v>
      </c>
      <c r="M705" s="15">
        <f>Price!B705</f>
        <v>0</v>
      </c>
      <c r="N705" s="15">
        <f>Price!C705</f>
        <v>0</v>
      </c>
      <c r="O705" s="537"/>
      <c r="P705" s="16"/>
      <c r="Q705" s="17">
        <f>Price!F705</f>
        <v>0</v>
      </c>
      <c r="R705" s="323"/>
      <c r="S705" s="323"/>
      <c r="T705" s="12">
        <f>Price!G705</f>
        <v>0</v>
      </c>
      <c r="U705" s="257">
        <f>Price!H705</f>
        <v>0</v>
      </c>
    </row>
    <row r="706" spans="12:21" x14ac:dyDescent="0.35">
      <c r="L706" s="60">
        <f>Price!A706</f>
        <v>0</v>
      </c>
      <c r="M706" s="15">
        <f>Price!B706</f>
        <v>0</v>
      </c>
      <c r="N706" s="15">
        <f>Price!C706</f>
        <v>0</v>
      </c>
      <c r="O706" s="537"/>
      <c r="P706" s="16"/>
      <c r="Q706" s="17">
        <f>Price!F706</f>
        <v>0</v>
      </c>
      <c r="R706" s="323"/>
      <c r="S706" s="323"/>
      <c r="T706" s="12">
        <f>Price!G706</f>
        <v>0</v>
      </c>
      <c r="U706" s="257">
        <f>Price!H706</f>
        <v>0</v>
      </c>
    </row>
    <row r="707" spans="12:21" x14ac:dyDescent="0.35">
      <c r="L707" s="60">
        <f>Price!A707</f>
        <v>0</v>
      </c>
      <c r="M707" s="15">
        <f>Price!B707</f>
        <v>0</v>
      </c>
      <c r="N707" s="15">
        <f>Price!C707</f>
        <v>0</v>
      </c>
      <c r="O707" s="537"/>
      <c r="P707" s="16"/>
      <c r="Q707" s="17">
        <f>Price!F707</f>
        <v>0</v>
      </c>
      <c r="R707" s="323"/>
      <c r="S707" s="323"/>
      <c r="T707" s="12">
        <f>Price!G707</f>
        <v>0</v>
      </c>
      <c r="U707" s="257">
        <f>Price!H707</f>
        <v>0</v>
      </c>
    </row>
    <row r="708" spans="12:21" x14ac:dyDescent="0.35">
      <c r="L708" s="60">
        <f>Price!A708</f>
        <v>0</v>
      </c>
      <c r="M708" s="15">
        <f>Price!B708</f>
        <v>0</v>
      </c>
      <c r="N708" s="15">
        <f>Price!C708</f>
        <v>0</v>
      </c>
      <c r="O708" s="537"/>
      <c r="P708" s="16"/>
      <c r="Q708" s="17">
        <f>Price!F708</f>
        <v>0</v>
      </c>
      <c r="R708" s="323"/>
      <c r="S708" s="323"/>
      <c r="T708" s="12">
        <f>Price!G708</f>
        <v>0</v>
      </c>
      <c r="U708" s="257">
        <f>Price!H708</f>
        <v>0</v>
      </c>
    </row>
    <row r="709" spans="12:21" x14ac:dyDescent="0.35">
      <c r="L709" s="60">
        <f>Price!A709</f>
        <v>0</v>
      </c>
      <c r="M709" s="15">
        <f>Price!B709</f>
        <v>0</v>
      </c>
      <c r="N709" s="15">
        <f>Price!C709</f>
        <v>0</v>
      </c>
      <c r="O709" s="537"/>
      <c r="P709" s="16"/>
      <c r="Q709" s="17">
        <f>Price!F709</f>
        <v>0</v>
      </c>
      <c r="R709" s="323"/>
      <c r="S709" s="323"/>
      <c r="T709" s="12">
        <f>Price!G709</f>
        <v>0</v>
      </c>
      <c r="U709" s="257">
        <f>Price!H709</f>
        <v>0</v>
      </c>
    </row>
    <row r="710" spans="12:21" x14ac:dyDescent="0.35">
      <c r="L710" s="60">
        <f>Price!A710</f>
        <v>0</v>
      </c>
      <c r="M710" s="15">
        <f>Price!B710</f>
        <v>0</v>
      </c>
      <c r="N710" s="15">
        <f>Price!C710</f>
        <v>0</v>
      </c>
      <c r="O710" s="537"/>
      <c r="P710" s="16"/>
      <c r="Q710" s="17">
        <f>Price!F710</f>
        <v>0</v>
      </c>
      <c r="R710" s="323"/>
      <c r="S710" s="323"/>
      <c r="T710" s="12">
        <f>Price!G710</f>
        <v>0</v>
      </c>
      <c r="U710" s="257">
        <f>Price!H710</f>
        <v>0</v>
      </c>
    </row>
    <row r="711" spans="12:21" x14ac:dyDescent="0.35">
      <c r="L711" s="60">
        <f>Price!A711</f>
        <v>0</v>
      </c>
      <c r="M711" s="15">
        <f>Price!B711</f>
        <v>0</v>
      </c>
      <c r="N711" s="15">
        <f>Price!C711</f>
        <v>0</v>
      </c>
      <c r="O711" s="537"/>
      <c r="P711" s="16"/>
      <c r="Q711" s="17">
        <f>Price!F711</f>
        <v>0</v>
      </c>
      <c r="R711" s="323"/>
      <c r="S711" s="323"/>
      <c r="T711" s="12">
        <f>Price!G711</f>
        <v>0</v>
      </c>
      <c r="U711" s="257">
        <f>Price!H711</f>
        <v>0</v>
      </c>
    </row>
    <row r="712" spans="12:21" x14ac:dyDescent="0.35">
      <c r="L712" s="60">
        <f>Price!A712</f>
        <v>0</v>
      </c>
      <c r="M712" s="15">
        <f>Price!B712</f>
        <v>0</v>
      </c>
      <c r="N712" s="15">
        <f>Price!C712</f>
        <v>0</v>
      </c>
      <c r="O712" s="537"/>
      <c r="P712" s="16"/>
      <c r="Q712" s="17">
        <f>Price!F712</f>
        <v>0</v>
      </c>
      <c r="R712" s="323"/>
      <c r="S712" s="323"/>
      <c r="T712" s="12">
        <f>Price!G712</f>
        <v>0</v>
      </c>
      <c r="U712" s="257">
        <f>Price!H712</f>
        <v>0</v>
      </c>
    </row>
    <row r="713" spans="12:21" x14ac:dyDescent="0.35">
      <c r="L713" s="60">
        <f>Price!A713</f>
        <v>0</v>
      </c>
      <c r="M713" s="15">
        <f>Price!B713</f>
        <v>0</v>
      </c>
      <c r="N713" s="15">
        <f>Price!C713</f>
        <v>0</v>
      </c>
      <c r="O713" s="537"/>
      <c r="P713" s="16"/>
      <c r="Q713" s="17">
        <f>Price!F713</f>
        <v>0</v>
      </c>
      <c r="R713" s="323"/>
      <c r="S713" s="323"/>
      <c r="T713" s="12">
        <f>Price!G713</f>
        <v>0</v>
      </c>
      <c r="U713" s="257">
        <f>Price!H713</f>
        <v>0</v>
      </c>
    </row>
    <row r="714" spans="12:21" x14ac:dyDescent="0.35">
      <c r="L714" s="60">
        <f>Price!A714</f>
        <v>0</v>
      </c>
      <c r="M714" s="15">
        <f>Price!B714</f>
        <v>0</v>
      </c>
      <c r="N714" s="15">
        <f>Price!C714</f>
        <v>0</v>
      </c>
      <c r="O714" s="537"/>
      <c r="P714" s="16"/>
      <c r="Q714" s="17">
        <f>Price!F714</f>
        <v>0</v>
      </c>
      <c r="R714" s="323"/>
      <c r="S714" s="323"/>
      <c r="T714" s="12">
        <f>Price!G714</f>
        <v>0</v>
      </c>
      <c r="U714" s="257">
        <f>Price!H714</f>
        <v>0</v>
      </c>
    </row>
  </sheetData>
  <sheetProtection algorithmName="SHA-512" hashValue="9cNMYOAxG9SAdQp/L0IHMnA2MjtfsJ/5WQY6UPRSWbbTXQXtDcI6PH3upMyp5iNufKkwVSc76d7XS+3w7gMUpg==" saltValue="2ikLae7F8UhFYIQkEqnVZQ==" spinCount="100000" sheet="1" objects="1" scenarios="1" selectLockedCells="1" selectUnlockedCells="1"/>
  <phoneticPr fontId="51" type="noConversion"/>
  <hyperlinks>
    <hyperlink ref="L2" location="Form!A1" tooltip=" " display="Zpět na úvod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L666"/>
  <sheetViews>
    <sheetView workbookViewId="0">
      <selection activeCell="H2" sqref="H2"/>
    </sheetView>
  </sheetViews>
  <sheetFormatPr defaultRowHeight="14.5" x14ac:dyDescent="0.35"/>
  <cols>
    <col min="1" max="1" width="44.26953125" customWidth="1"/>
    <col min="2" max="2" width="17.7265625" customWidth="1"/>
    <col min="4" max="4" width="2.7265625" style="535" customWidth="1"/>
    <col min="5" max="5" width="2.54296875" customWidth="1"/>
    <col min="6" max="8" width="13.7265625" customWidth="1"/>
    <col min="9" max="9" width="3.7265625" customWidth="1"/>
    <col min="10" max="10" width="24.1796875" style="854" customWidth="1"/>
    <col min="11" max="12" width="8.7265625" style="24"/>
  </cols>
  <sheetData>
    <row r="1" spans="1:10" x14ac:dyDescent="0.35">
      <c r="A1" s="2"/>
      <c r="B1" s="2"/>
      <c r="C1" s="2"/>
      <c r="D1" s="72"/>
      <c r="E1" s="2"/>
      <c r="F1" s="2"/>
      <c r="G1" s="2"/>
      <c r="H1" s="72" t="str">
        <f>Form!I17</f>
        <v>2.0.1</v>
      </c>
    </row>
    <row r="2" spans="1:10" x14ac:dyDescent="0.35">
      <c r="A2" s="2" t="str">
        <f>List!$B$251&amp;":"</f>
        <v>Prodejce:</v>
      </c>
      <c r="B2" s="2"/>
      <c r="C2" s="2"/>
      <c r="D2" s="72"/>
      <c r="E2" s="2"/>
      <c r="F2" s="2"/>
      <c r="G2" s="2"/>
      <c r="H2" s="161" t="str">
        <f>List!$B$110</f>
        <v>Zpět na úvod</v>
      </c>
    </row>
    <row r="3" spans="1:10" x14ac:dyDescent="0.35">
      <c r="A3" s="126" t="s">
        <v>1275</v>
      </c>
      <c r="B3" s="126"/>
      <c r="C3" s="2"/>
      <c r="D3" s="72"/>
      <c r="E3" s="2"/>
      <c r="F3" s="2"/>
      <c r="G3" s="2"/>
      <c r="H3" s="28"/>
    </row>
    <row r="4" spans="1:10" x14ac:dyDescent="0.35">
      <c r="A4" s="127" t="s">
        <v>1276</v>
      </c>
      <c r="B4" s="127"/>
      <c r="C4" s="2"/>
      <c r="D4" s="72"/>
      <c r="E4" s="2"/>
      <c r="F4" s="2"/>
    </row>
    <row r="5" spans="1:10" x14ac:dyDescent="0.35">
      <c r="A5" s="127" t="s">
        <v>1277</v>
      </c>
      <c r="B5" s="127"/>
      <c r="C5" s="2"/>
      <c r="D5" s="72"/>
      <c r="E5" s="2"/>
      <c r="F5" s="2"/>
      <c r="G5" s="2"/>
    </row>
    <row r="6" spans="1:10" x14ac:dyDescent="0.35">
      <c r="A6" s="127" t="s">
        <v>1278</v>
      </c>
      <c r="B6" s="127"/>
      <c r="C6" s="2"/>
      <c r="D6" s="72"/>
      <c r="E6" s="2"/>
      <c r="F6" s="2"/>
      <c r="G6" s="2"/>
      <c r="H6" s="2"/>
    </row>
    <row r="7" spans="1:10" ht="15" thickBot="1" x14ac:dyDescent="0.4">
      <c r="A7" s="127" t="s">
        <v>1279</v>
      </c>
      <c r="B7" s="2"/>
      <c r="C7" s="2"/>
      <c r="D7" s="72"/>
      <c r="E7" s="2"/>
      <c r="F7" s="2"/>
      <c r="G7" s="51"/>
      <c r="H7" s="2"/>
    </row>
    <row r="8" spans="1:10" ht="15" thickBot="1" x14ac:dyDescent="0.4">
      <c r="A8" s="52"/>
      <c r="B8" s="2"/>
      <c r="C8" s="2"/>
      <c r="D8" s="72"/>
      <c r="E8" s="2"/>
      <c r="F8" s="2"/>
      <c r="G8" s="53" t="str">
        <f>List!$B$249&amp;": "</f>
        <v xml:space="preserve">Platnost ceníku od: </v>
      </c>
      <c r="H8" s="30">
        <v>43009</v>
      </c>
      <c r="J8" s="855"/>
    </row>
    <row r="9" spans="1:10" x14ac:dyDescent="0.35">
      <c r="A9" s="51"/>
      <c r="B9" s="51"/>
      <c r="C9" s="51"/>
      <c r="D9" s="523"/>
      <c r="E9" s="51"/>
      <c r="F9" s="51"/>
      <c r="G9" s="51"/>
      <c r="H9" s="51"/>
      <c r="J9" s="855"/>
    </row>
    <row r="10" spans="1:10" ht="45" customHeight="1" x14ac:dyDescent="0.35">
      <c r="A10" s="54" t="str">
        <f>List!$B$95</f>
        <v>Název</v>
      </c>
      <c r="B10" s="11" t="str">
        <f>List!$B$96</f>
        <v>Číslo artiklu</v>
      </c>
      <c r="C10" s="11" t="str">
        <f>List!$B$97</f>
        <v>Barva</v>
      </c>
      <c r="D10" s="524" t="str">
        <f>List!B101</f>
        <v>Dostupnost</v>
      </c>
      <c r="E10" s="11"/>
      <c r="F10" s="55" t="str">
        <f>List!$B$103</f>
        <v>Jednotková cena</v>
      </c>
      <c r="G10" s="522" t="s">
        <v>212</v>
      </c>
      <c r="H10" s="249"/>
      <c r="I10" s="13"/>
      <c r="J10" s="856"/>
    </row>
    <row r="11" spans="1:10" x14ac:dyDescent="0.35">
      <c r="A11" s="596" t="s">
        <v>635</v>
      </c>
      <c r="B11" s="578" t="s">
        <v>820</v>
      </c>
      <c r="C11" s="578" t="s">
        <v>353</v>
      </c>
      <c r="D11" s="579" t="s">
        <v>936</v>
      </c>
      <c r="E11" s="597"/>
      <c r="F11" s="780">
        <v>18.978459999999998</v>
      </c>
      <c r="G11" s="743">
        <v>9950830</v>
      </c>
      <c r="H11" s="742">
        <v>227434</v>
      </c>
      <c r="I11" s="13"/>
      <c r="J11" s="857"/>
    </row>
    <row r="12" spans="1:10" x14ac:dyDescent="0.35">
      <c r="A12" s="598" t="s">
        <v>636</v>
      </c>
      <c r="B12" s="582" t="s">
        <v>820</v>
      </c>
      <c r="C12" s="582" t="s">
        <v>354</v>
      </c>
      <c r="D12" s="583" t="s">
        <v>936</v>
      </c>
      <c r="E12" s="599"/>
      <c r="F12" s="780">
        <v>18.978459999999998</v>
      </c>
      <c r="G12" s="744">
        <v>9968111</v>
      </c>
      <c r="H12" s="742">
        <v>227433</v>
      </c>
      <c r="I12" s="13"/>
      <c r="J12" s="857"/>
    </row>
    <row r="13" spans="1:10" x14ac:dyDescent="0.35">
      <c r="A13" s="600" t="s">
        <v>637</v>
      </c>
      <c r="B13" s="601" t="s">
        <v>820</v>
      </c>
      <c r="C13" s="601" t="s">
        <v>422</v>
      </c>
      <c r="D13" s="602" t="s">
        <v>936</v>
      </c>
      <c r="E13" s="599"/>
      <c r="F13" s="780">
        <v>18.978459999999998</v>
      </c>
      <c r="G13" s="681">
        <v>9976170</v>
      </c>
      <c r="H13" s="742">
        <v>227435</v>
      </c>
      <c r="I13" s="13"/>
      <c r="J13" s="857"/>
    </row>
    <row r="14" spans="1:10" x14ac:dyDescent="0.35">
      <c r="A14" s="585" t="s">
        <v>638</v>
      </c>
      <c r="B14" s="589" t="s">
        <v>821</v>
      </c>
      <c r="C14" s="589" t="s">
        <v>496</v>
      </c>
      <c r="D14" s="590" t="s">
        <v>936</v>
      </c>
      <c r="E14" s="591"/>
      <c r="F14" s="780">
        <v>35.365110000000001</v>
      </c>
      <c r="G14" s="682">
        <v>9929474</v>
      </c>
      <c r="H14" s="742">
        <v>227436</v>
      </c>
      <c r="I14" s="13"/>
      <c r="J14" s="857"/>
    </row>
    <row r="15" spans="1:10" x14ac:dyDescent="0.35">
      <c r="A15" s="268" t="s">
        <v>441</v>
      </c>
      <c r="B15" s="269" t="s">
        <v>355</v>
      </c>
      <c r="C15" s="269" t="s">
        <v>353</v>
      </c>
      <c r="D15" s="525"/>
      <c r="E15" s="270"/>
      <c r="F15" s="780">
        <v>19.201000000000001</v>
      </c>
      <c r="G15" s="745">
        <v>9978373</v>
      </c>
      <c r="H15" s="742">
        <v>227438</v>
      </c>
      <c r="I15" s="13"/>
      <c r="J15" s="857"/>
    </row>
    <row r="16" spans="1:10" x14ac:dyDescent="0.35">
      <c r="A16" s="271" t="s">
        <v>317</v>
      </c>
      <c r="B16" s="272" t="s">
        <v>355</v>
      </c>
      <c r="C16" s="272" t="s">
        <v>354</v>
      </c>
      <c r="D16" s="526"/>
      <c r="E16" s="273"/>
      <c r="F16" s="780">
        <v>19.201000000000001</v>
      </c>
      <c r="G16" s="746">
        <v>9980005</v>
      </c>
      <c r="H16" s="742">
        <v>227437</v>
      </c>
      <c r="I16" s="13"/>
      <c r="J16" s="857"/>
    </row>
    <row r="17" spans="1:10" x14ac:dyDescent="0.35">
      <c r="A17" s="490" t="s">
        <v>318</v>
      </c>
      <c r="B17" s="491" t="s">
        <v>355</v>
      </c>
      <c r="C17" s="491" t="s">
        <v>422</v>
      </c>
      <c r="D17" s="527"/>
      <c r="E17" s="273"/>
      <c r="F17" s="780">
        <v>19.201000000000001</v>
      </c>
      <c r="G17" s="683">
        <v>9995392</v>
      </c>
      <c r="H17" s="742">
        <v>227439</v>
      </c>
      <c r="I17" s="13"/>
      <c r="J17" s="857"/>
    </row>
    <row r="18" spans="1:10" x14ac:dyDescent="0.35">
      <c r="A18" s="585" t="s">
        <v>352</v>
      </c>
      <c r="B18" s="589" t="s">
        <v>356</v>
      </c>
      <c r="C18" s="589" t="s">
        <v>496</v>
      </c>
      <c r="D18" s="590" t="s">
        <v>936</v>
      </c>
      <c r="E18" s="591"/>
      <c r="F18" s="780">
        <v>36.143830000000001</v>
      </c>
      <c r="G18" s="682">
        <v>1181705</v>
      </c>
      <c r="H18" s="742">
        <v>227440</v>
      </c>
      <c r="I18" s="13"/>
      <c r="J18" s="857"/>
    </row>
    <row r="19" spans="1:10" x14ac:dyDescent="0.35">
      <c r="A19" s="268" t="s">
        <v>639</v>
      </c>
      <c r="B19" s="269" t="s">
        <v>651</v>
      </c>
      <c r="C19" s="269" t="s">
        <v>353</v>
      </c>
      <c r="D19" s="525"/>
      <c r="E19" s="270"/>
      <c r="F19" s="780">
        <v>18.533550000000002</v>
      </c>
      <c r="G19" s="745">
        <v>8145106</v>
      </c>
      <c r="H19" s="742">
        <v>227442</v>
      </c>
      <c r="I19" s="13"/>
      <c r="J19" s="857"/>
    </row>
    <row r="20" spans="1:10" x14ac:dyDescent="0.35">
      <c r="A20" s="271" t="s">
        <v>640</v>
      </c>
      <c r="B20" s="272" t="s">
        <v>651</v>
      </c>
      <c r="C20" s="272" t="s">
        <v>354</v>
      </c>
      <c r="D20" s="526"/>
      <c r="E20" s="273"/>
      <c r="F20" s="780">
        <v>18.46576</v>
      </c>
      <c r="G20" s="746">
        <v>8156603</v>
      </c>
      <c r="H20" s="742">
        <v>227441</v>
      </c>
      <c r="I20" s="13"/>
      <c r="J20" s="857"/>
    </row>
    <row r="21" spans="1:10" x14ac:dyDescent="0.35">
      <c r="A21" s="490" t="s">
        <v>641</v>
      </c>
      <c r="B21" s="491" t="s">
        <v>651</v>
      </c>
      <c r="C21" s="491" t="s">
        <v>422</v>
      </c>
      <c r="D21" s="527"/>
      <c r="E21" s="273"/>
      <c r="F21" s="780">
        <v>18.533550000000002</v>
      </c>
      <c r="G21" s="683">
        <v>8161028</v>
      </c>
      <c r="H21" s="742">
        <v>227443</v>
      </c>
      <c r="I21" s="13"/>
      <c r="J21" s="857"/>
    </row>
    <row r="22" spans="1:10" x14ac:dyDescent="0.35">
      <c r="A22" s="585" t="s">
        <v>642</v>
      </c>
      <c r="B22" s="589" t="s">
        <v>652</v>
      </c>
      <c r="C22" s="589" t="s">
        <v>496</v>
      </c>
      <c r="D22" s="590" t="s">
        <v>936</v>
      </c>
      <c r="E22" s="591"/>
      <c r="F22" s="780">
        <v>33.807659999999998</v>
      </c>
      <c r="G22" s="682">
        <v>9847326</v>
      </c>
      <c r="H22" s="742">
        <v>227444</v>
      </c>
      <c r="I22" s="13"/>
      <c r="J22" s="857"/>
    </row>
    <row r="23" spans="1:10" x14ac:dyDescent="0.35">
      <c r="A23" s="268" t="s">
        <v>643</v>
      </c>
      <c r="B23" s="269" t="s">
        <v>653</v>
      </c>
      <c r="C23" s="269" t="s">
        <v>353</v>
      </c>
      <c r="D23" s="525"/>
      <c r="E23" s="270"/>
      <c r="F23" s="780">
        <v>18.533550000000002</v>
      </c>
      <c r="G23" s="745">
        <v>8163892</v>
      </c>
      <c r="H23" s="742">
        <v>227446</v>
      </c>
      <c r="I23" s="13"/>
      <c r="J23" s="857"/>
    </row>
    <row r="24" spans="1:10" x14ac:dyDescent="0.35">
      <c r="A24" s="271" t="s">
        <v>644</v>
      </c>
      <c r="B24" s="272" t="s">
        <v>653</v>
      </c>
      <c r="C24" s="272" t="s">
        <v>354</v>
      </c>
      <c r="D24" s="526"/>
      <c r="E24" s="273"/>
      <c r="F24" s="780">
        <v>18.533550000000002</v>
      </c>
      <c r="G24" s="746">
        <v>8169927</v>
      </c>
      <c r="H24" s="742">
        <v>227445</v>
      </c>
      <c r="I24" s="13"/>
      <c r="J24" s="857"/>
    </row>
    <row r="25" spans="1:10" x14ac:dyDescent="0.35">
      <c r="A25" s="490" t="s">
        <v>645</v>
      </c>
      <c r="B25" s="491" t="s">
        <v>653</v>
      </c>
      <c r="C25" s="491" t="s">
        <v>422</v>
      </c>
      <c r="D25" s="527"/>
      <c r="E25" s="273"/>
      <c r="F25" s="780">
        <v>18.533550000000002</v>
      </c>
      <c r="G25" s="683">
        <v>8217950</v>
      </c>
      <c r="H25" s="742">
        <v>227447</v>
      </c>
      <c r="I25" s="13"/>
      <c r="J25" s="857"/>
    </row>
    <row r="26" spans="1:10" x14ac:dyDescent="0.35">
      <c r="A26" s="585" t="s">
        <v>646</v>
      </c>
      <c r="B26" s="589" t="s">
        <v>654</v>
      </c>
      <c r="C26" s="589" t="s">
        <v>496</v>
      </c>
      <c r="D26" s="590" t="s">
        <v>936</v>
      </c>
      <c r="E26" s="591"/>
      <c r="F26" s="780">
        <v>33.807659999999998</v>
      </c>
      <c r="G26" s="682">
        <v>9861747</v>
      </c>
      <c r="H26" s="742">
        <v>227448</v>
      </c>
      <c r="I26" s="13"/>
      <c r="J26" s="857"/>
    </row>
    <row r="27" spans="1:10" x14ac:dyDescent="0.35">
      <c r="A27" s="268" t="s">
        <v>647</v>
      </c>
      <c r="B27" s="269" t="s">
        <v>655</v>
      </c>
      <c r="C27" s="269" t="s">
        <v>353</v>
      </c>
      <c r="D27" s="525"/>
      <c r="E27" s="270"/>
      <c r="F27" s="780">
        <v>18.533550000000002</v>
      </c>
      <c r="G27" s="745">
        <v>8232508</v>
      </c>
      <c r="H27" s="742">
        <v>227450</v>
      </c>
      <c r="I27" s="13"/>
      <c r="J27" s="857"/>
    </row>
    <row r="28" spans="1:10" x14ac:dyDescent="0.35">
      <c r="A28" s="271" t="s">
        <v>648</v>
      </c>
      <c r="B28" s="272" t="s">
        <v>655</v>
      </c>
      <c r="C28" s="272" t="s">
        <v>354</v>
      </c>
      <c r="D28" s="526"/>
      <c r="E28" s="273"/>
      <c r="F28" s="780">
        <v>18.533550000000002</v>
      </c>
      <c r="G28" s="746">
        <v>8292779</v>
      </c>
      <c r="H28" s="742">
        <v>227449</v>
      </c>
      <c r="I28" s="13"/>
      <c r="J28" s="857"/>
    </row>
    <row r="29" spans="1:10" x14ac:dyDescent="0.35">
      <c r="A29" s="490" t="s">
        <v>649</v>
      </c>
      <c r="B29" s="491" t="s">
        <v>655</v>
      </c>
      <c r="C29" s="491" t="s">
        <v>422</v>
      </c>
      <c r="D29" s="527"/>
      <c r="E29" s="273"/>
      <c r="F29" s="780">
        <v>18.533550000000002</v>
      </c>
      <c r="G29" s="683">
        <v>8345870</v>
      </c>
      <c r="H29" s="742">
        <v>227451</v>
      </c>
      <c r="I29" s="13"/>
      <c r="J29" s="857"/>
    </row>
    <row r="30" spans="1:10" x14ac:dyDescent="0.35">
      <c r="A30" s="585" t="s">
        <v>650</v>
      </c>
      <c r="B30" s="589" t="s">
        <v>656</v>
      </c>
      <c r="C30" s="589" t="s">
        <v>496</v>
      </c>
      <c r="D30" s="590" t="s">
        <v>936</v>
      </c>
      <c r="E30" s="591"/>
      <c r="F30" s="780">
        <v>33.807659999999998</v>
      </c>
      <c r="G30" s="682">
        <v>9900227</v>
      </c>
      <c r="H30" s="742">
        <v>227452</v>
      </c>
      <c r="I30" s="13"/>
      <c r="J30" s="857"/>
    </row>
    <row r="31" spans="1:10" x14ac:dyDescent="0.35">
      <c r="A31" s="268" t="s">
        <v>445</v>
      </c>
      <c r="B31" s="269" t="s">
        <v>657</v>
      </c>
      <c r="C31" s="269" t="s">
        <v>353</v>
      </c>
      <c r="D31" s="525"/>
      <c r="E31" s="270"/>
      <c r="F31" s="780">
        <v>18.75609</v>
      </c>
      <c r="G31" s="745">
        <v>8385764</v>
      </c>
      <c r="H31" s="742">
        <v>227454</v>
      </c>
      <c r="I31" s="13"/>
      <c r="J31" s="857"/>
    </row>
    <row r="32" spans="1:10" x14ac:dyDescent="0.35">
      <c r="A32" s="271" t="s">
        <v>321</v>
      </c>
      <c r="B32" s="272" t="s">
        <v>657</v>
      </c>
      <c r="C32" s="272" t="s">
        <v>354</v>
      </c>
      <c r="D32" s="526"/>
      <c r="E32" s="273"/>
      <c r="F32" s="780">
        <v>18.687480000000001</v>
      </c>
      <c r="G32" s="746">
        <v>8395424</v>
      </c>
      <c r="H32" s="742">
        <v>227453</v>
      </c>
      <c r="I32" s="13"/>
      <c r="J32" s="857"/>
    </row>
    <row r="33" spans="1:10" x14ac:dyDescent="0.35">
      <c r="A33" s="490" t="s">
        <v>322</v>
      </c>
      <c r="B33" s="491" t="s">
        <v>657</v>
      </c>
      <c r="C33" s="491" t="s">
        <v>422</v>
      </c>
      <c r="D33" s="527"/>
      <c r="E33" s="273"/>
      <c r="F33" s="780">
        <v>18.75609</v>
      </c>
      <c r="G33" s="683">
        <v>8401192</v>
      </c>
      <c r="H33" s="742">
        <v>227455</v>
      </c>
      <c r="I33" s="13"/>
      <c r="J33" s="857"/>
    </row>
    <row r="34" spans="1:10" x14ac:dyDescent="0.35">
      <c r="A34" s="585" t="s">
        <v>373</v>
      </c>
      <c r="B34" s="589" t="s">
        <v>658</v>
      </c>
      <c r="C34" s="589" t="s">
        <v>496</v>
      </c>
      <c r="D34" s="590" t="s">
        <v>936</v>
      </c>
      <c r="E34" s="591"/>
      <c r="F34" s="780">
        <v>34.586379999999998</v>
      </c>
      <c r="G34" s="682">
        <v>9901658</v>
      </c>
      <c r="H34" s="742">
        <v>227456</v>
      </c>
      <c r="I34" s="13"/>
      <c r="J34" s="857"/>
    </row>
    <row r="35" spans="1:10" x14ac:dyDescent="0.35">
      <c r="A35" s="268" t="s">
        <v>446</v>
      </c>
      <c r="B35" s="269" t="s">
        <v>371</v>
      </c>
      <c r="C35" s="269" t="s">
        <v>353</v>
      </c>
      <c r="D35" s="525"/>
      <c r="E35" s="270"/>
      <c r="F35" s="780">
        <v>19.977319999999999</v>
      </c>
      <c r="G35" s="745">
        <v>8435320</v>
      </c>
      <c r="H35" s="742">
        <v>227458</v>
      </c>
      <c r="I35" s="13"/>
      <c r="J35" s="857"/>
    </row>
    <row r="36" spans="1:10" x14ac:dyDescent="0.35">
      <c r="A36" s="271" t="s">
        <v>323</v>
      </c>
      <c r="B36" s="272" t="s">
        <v>371</v>
      </c>
      <c r="C36" s="272" t="s">
        <v>354</v>
      </c>
      <c r="D36" s="526"/>
      <c r="E36" s="273"/>
      <c r="F36" s="780">
        <v>19.977319999999999</v>
      </c>
      <c r="G36" s="746">
        <v>8441668</v>
      </c>
      <c r="H36" s="742">
        <v>227457</v>
      </c>
      <c r="I36" s="13"/>
      <c r="J36" s="857"/>
    </row>
    <row r="37" spans="1:10" x14ac:dyDescent="0.35">
      <c r="A37" s="490" t="s">
        <v>324</v>
      </c>
      <c r="B37" s="491" t="s">
        <v>371</v>
      </c>
      <c r="C37" s="491" t="s">
        <v>422</v>
      </c>
      <c r="D37" s="527"/>
      <c r="E37" s="273"/>
      <c r="F37" s="780">
        <v>19.977319999999999</v>
      </c>
      <c r="G37" s="683">
        <v>8463442</v>
      </c>
      <c r="H37" s="742">
        <v>227459</v>
      </c>
      <c r="I37" s="13"/>
      <c r="J37" s="857"/>
    </row>
    <row r="38" spans="1:10" x14ac:dyDescent="0.35">
      <c r="A38" s="585" t="s">
        <v>370</v>
      </c>
      <c r="B38" s="589" t="s">
        <v>372</v>
      </c>
      <c r="C38" s="589" t="s">
        <v>496</v>
      </c>
      <c r="D38" s="590" t="s">
        <v>936</v>
      </c>
      <c r="E38" s="591"/>
      <c r="F38" s="780">
        <v>35.365110000000001</v>
      </c>
      <c r="G38" s="682">
        <v>9904142</v>
      </c>
      <c r="H38" s="742">
        <v>227460</v>
      </c>
      <c r="I38" s="13"/>
      <c r="J38" s="857"/>
    </row>
    <row r="39" spans="1:10" x14ac:dyDescent="0.35">
      <c r="A39" s="268" t="s">
        <v>442</v>
      </c>
      <c r="B39" s="269" t="s">
        <v>358</v>
      </c>
      <c r="C39" s="269" t="s">
        <v>353</v>
      </c>
      <c r="D39" s="525"/>
      <c r="E39" s="270"/>
      <c r="F39" s="780">
        <v>20.211580000000001</v>
      </c>
      <c r="G39" s="745">
        <v>8477460</v>
      </c>
      <c r="H39" s="742">
        <v>227462</v>
      </c>
      <c r="I39" s="13"/>
      <c r="J39" s="857"/>
    </row>
    <row r="40" spans="1:10" x14ac:dyDescent="0.35">
      <c r="A40" s="271" t="s">
        <v>319</v>
      </c>
      <c r="B40" s="272" t="s">
        <v>358</v>
      </c>
      <c r="C40" s="272" t="s">
        <v>354</v>
      </c>
      <c r="D40" s="526"/>
      <c r="E40" s="273"/>
      <c r="F40" s="780">
        <v>19.130739999999999</v>
      </c>
      <c r="G40" s="746">
        <v>8505699</v>
      </c>
      <c r="H40" s="742">
        <v>227461</v>
      </c>
      <c r="I40" s="13"/>
      <c r="J40" s="857"/>
    </row>
    <row r="41" spans="1:10" x14ac:dyDescent="0.35">
      <c r="A41" s="490" t="s">
        <v>320</v>
      </c>
      <c r="B41" s="491" t="s">
        <v>358</v>
      </c>
      <c r="C41" s="491" t="s">
        <v>422</v>
      </c>
      <c r="D41" s="527"/>
      <c r="E41" s="273"/>
      <c r="F41" s="780">
        <v>20.211580000000001</v>
      </c>
      <c r="G41" s="683">
        <v>8577103</v>
      </c>
      <c r="H41" s="742">
        <v>227463</v>
      </c>
      <c r="I41" s="13"/>
      <c r="J41" s="857"/>
    </row>
    <row r="42" spans="1:10" x14ac:dyDescent="0.35">
      <c r="A42" s="585" t="s">
        <v>357</v>
      </c>
      <c r="B42" s="589" t="s">
        <v>359</v>
      </c>
      <c r="C42" s="589" t="s">
        <v>496</v>
      </c>
      <c r="D42" s="590" t="s">
        <v>936</v>
      </c>
      <c r="E42" s="591"/>
      <c r="F42" s="780">
        <v>36.143830000000001</v>
      </c>
      <c r="G42" s="682">
        <v>9913559</v>
      </c>
      <c r="H42" s="742">
        <v>227464</v>
      </c>
      <c r="I42" s="13"/>
      <c r="J42" s="857"/>
    </row>
    <row r="43" spans="1:10" x14ac:dyDescent="0.35">
      <c r="A43" s="268" t="s">
        <v>659</v>
      </c>
      <c r="B43" s="269" t="s">
        <v>663</v>
      </c>
      <c r="C43" s="269" t="s">
        <v>353</v>
      </c>
      <c r="D43" s="525"/>
      <c r="E43" s="270"/>
      <c r="F43" s="780">
        <v>20.980989999999998</v>
      </c>
      <c r="G43" s="745">
        <v>8616258</v>
      </c>
      <c r="H43" s="742">
        <v>227466</v>
      </c>
      <c r="I43" s="13"/>
      <c r="J43" s="857"/>
    </row>
    <row r="44" spans="1:10" x14ac:dyDescent="0.35">
      <c r="A44" s="271" t="s">
        <v>660</v>
      </c>
      <c r="B44" s="272" t="s">
        <v>663</v>
      </c>
      <c r="C44" s="272" t="s">
        <v>354</v>
      </c>
      <c r="D44" s="526"/>
      <c r="E44" s="273"/>
      <c r="F44" s="780">
        <v>20.980989999999998</v>
      </c>
      <c r="G44" s="746">
        <v>8627776</v>
      </c>
      <c r="H44" s="742">
        <v>227465</v>
      </c>
      <c r="I44" s="13"/>
      <c r="J44" s="857"/>
    </row>
    <row r="45" spans="1:10" x14ac:dyDescent="0.35">
      <c r="A45" s="490" t="s">
        <v>661</v>
      </c>
      <c r="B45" s="491" t="s">
        <v>663</v>
      </c>
      <c r="C45" s="491" t="s">
        <v>422</v>
      </c>
      <c r="D45" s="527"/>
      <c r="E45" s="273"/>
      <c r="F45" s="780">
        <v>20.980989999999998</v>
      </c>
      <c r="G45" s="683">
        <v>8635792</v>
      </c>
      <c r="H45" s="742">
        <v>227467</v>
      </c>
      <c r="I45" s="13"/>
      <c r="J45" s="857"/>
    </row>
    <row r="46" spans="1:10" x14ac:dyDescent="0.35">
      <c r="A46" s="585" t="s">
        <v>662</v>
      </c>
      <c r="B46" s="589" t="s">
        <v>664</v>
      </c>
      <c r="C46" s="589" t="s">
        <v>496</v>
      </c>
      <c r="D46" s="590" t="s">
        <v>936</v>
      </c>
      <c r="E46" s="591"/>
      <c r="F46" s="780">
        <v>38.334919999999997</v>
      </c>
      <c r="G46" s="682">
        <v>9924108</v>
      </c>
      <c r="H46" s="742">
        <v>227468</v>
      </c>
      <c r="I46" s="13"/>
      <c r="J46" s="857"/>
    </row>
    <row r="47" spans="1:10" x14ac:dyDescent="0.35">
      <c r="A47" s="268" t="s">
        <v>665</v>
      </c>
      <c r="B47" s="269" t="s">
        <v>669</v>
      </c>
      <c r="C47" s="269" t="s">
        <v>353</v>
      </c>
      <c r="D47" s="525"/>
      <c r="E47" s="270"/>
      <c r="F47" s="780">
        <v>23.762070000000001</v>
      </c>
      <c r="G47" s="745">
        <v>8684084</v>
      </c>
      <c r="H47" s="742">
        <v>227470</v>
      </c>
      <c r="I47" s="13"/>
      <c r="J47" s="857"/>
    </row>
    <row r="48" spans="1:10" x14ac:dyDescent="0.35">
      <c r="A48" s="271" t="s">
        <v>666</v>
      </c>
      <c r="B48" s="272" t="s">
        <v>669</v>
      </c>
      <c r="C48" s="272" t="s">
        <v>354</v>
      </c>
      <c r="D48" s="526"/>
      <c r="E48" s="273"/>
      <c r="F48" s="780">
        <v>23.762070000000001</v>
      </c>
      <c r="G48" s="746">
        <v>8696445</v>
      </c>
      <c r="H48" s="742">
        <v>227469</v>
      </c>
      <c r="I48" s="13"/>
      <c r="J48" s="857"/>
    </row>
    <row r="49" spans="1:10" x14ac:dyDescent="0.35">
      <c r="A49" s="490" t="s">
        <v>667</v>
      </c>
      <c r="B49" s="491" t="s">
        <v>669</v>
      </c>
      <c r="C49" s="491" t="s">
        <v>422</v>
      </c>
      <c r="D49" s="527"/>
      <c r="E49" s="273"/>
      <c r="F49" s="780">
        <v>23.762070000000001</v>
      </c>
      <c r="G49" s="683">
        <v>8702548</v>
      </c>
      <c r="H49" s="742">
        <v>227471</v>
      </c>
      <c r="I49" s="13"/>
      <c r="J49" s="857"/>
    </row>
    <row r="50" spans="1:10" x14ac:dyDescent="0.35">
      <c r="A50" s="585" t="s">
        <v>668</v>
      </c>
      <c r="B50" s="589" t="s">
        <v>670</v>
      </c>
      <c r="C50" s="589" t="s">
        <v>496</v>
      </c>
      <c r="D50" s="590" t="s">
        <v>936</v>
      </c>
      <c r="E50" s="591"/>
      <c r="F50" s="780">
        <v>43.109769999999997</v>
      </c>
      <c r="G50" s="682">
        <v>9924301</v>
      </c>
      <c r="H50" s="742">
        <v>227472</v>
      </c>
      <c r="I50" s="13"/>
      <c r="J50" s="857"/>
    </row>
    <row r="51" spans="1:10" x14ac:dyDescent="0.35">
      <c r="A51" s="268" t="s">
        <v>972</v>
      </c>
      <c r="B51" s="269" t="s">
        <v>975</v>
      </c>
      <c r="C51" s="269" t="s">
        <v>353</v>
      </c>
      <c r="D51" s="525"/>
      <c r="E51" s="270"/>
      <c r="F51" s="780">
        <v>24.808240000000001</v>
      </c>
      <c r="G51" s="745">
        <v>8777716</v>
      </c>
      <c r="H51" s="742">
        <v>256454</v>
      </c>
      <c r="I51" s="13"/>
      <c r="J51" s="857"/>
    </row>
    <row r="52" spans="1:10" x14ac:dyDescent="0.35">
      <c r="A52" s="271" t="s">
        <v>973</v>
      </c>
      <c r="B52" s="272" t="s">
        <v>975</v>
      </c>
      <c r="C52" s="272" t="s">
        <v>354</v>
      </c>
      <c r="D52" s="526"/>
      <c r="E52" s="273"/>
      <c r="F52" s="780">
        <v>24.808240000000001</v>
      </c>
      <c r="G52" s="746">
        <v>7776578</v>
      </c>
      <c r="H52" s="742">
        <v>256453</v>
      </c>
      <c r="I52" s="13"/>
      <c r="J52" s="857"/>
    </row>
    <row r="53" spans="1:10" x14ac:dyDescent="0.35">
      <c r="A53" s="490" t="s">
        <v>974</v>
      </c>
      <c r="B53" s="491" t="s">
        <v>975</v>
      </c>
      <c r="C53" s="491" t="s">
        <v>422</v>
      </c>
      <c r="D53" s="527"/>
      <c r="E53" s="273"/>
      <c r="F53" s="780">
        <v>24.808240000000001</v>
      </c>
      <c r="G53" s="683">
        <v>9771845</v>
      </c>
      <c r="H53" s="742">
        <v>256455</v>
      </c>
      <c r="I53" s="13"/>
      <c r="J53" s="857"/>
    </row>
    <row r="54" spans="1:10" x14ac:dyDescent="0.35">
      <c r="A54" s="585" t="s">
        <v>668</v>
      </c>
      <c r="B54" s="589" t="s">
        <v>976</v>
      </c>
      <c r="C54" s="589" t="s">
        <v>496</v>
      </c>
      <c r="D54" s="590" t="s">
        <v>936</v>
      </c>
      <c r="E54" s="591"/>
      <c r="F54" s="780">
        <v>45.597819999999999</v>
      </c>
      <c r="G54" s="682">
        <v>8204879</v>
      </c>
      <c r="H54" s="742">
        <v>256456</v>
      </c>
      <c r="I54" s="13"/>
      <c r="J54" s="857"/>
    </row>
    <row r="55" spans="1:10" x14ac:dyDescent="0.35">
      <c r="A55" s="603" t="s">
        <v>671</v>
      </c>
      <c r="B55" s="604" t="s">
        <v>840</v>
      </c>
      <c r="C55" s="604" t="s">
        <v>353</v>
      </c>
      <c r="D55" s="605" t="s">
        <v>936</v>
      </c>
      <c r="E55" s="597"/>
      <c r="F55" s="780">
        <v>23.039159999999999</v>
      </c>
      <c r="G55" s="684">
        <v>9340962</v>
      </c>
      <c r="H55" s="742">
        <v>227474</v>
      </c>
      <c r="I55" s="13"/>
      <c r="J55" s="857"/>
    </row>
    <row r="56" spans="1:10" x14ac:dyDescent="0.35">
      <c r="A56" s="600" t="s">
        <v>672</v>
      </c>
      <c r="B56" s="601" t="s">
        <v>840</v>
      </c>
      <c r="C56" s="601" t="s">
        <v>354</v>
      </c>
      <c r="D56" s="602" t="s">
        <v>936</v>
      </c>
      <c r="E56" s="599"/>
      <c r="F56" s="780">
        <v>23.039159999999999</v>
      </c>
      <c r="G56" s="681">
        <v>9360049</v>
      </c>
      <c r="H56" s="742">
        <v>227473</v>
      </c>
      <c r="I56" s="13"/>
      <c r="J56" s="857"/>
    </row>
    <row r="57" spans="1:10" x14ac:dyDescent="0.35">
      <c r="A57" s="600" t="s">
        <v>673</v>
      </c>
      <c r="B57" s="601" t="s">
        <v>840</v>
      </c>
      <c r="C57" s="601" t="s">
        <v>422</v>
      </c>
      <c r="D57" s="602" t="s">
        <v>936</v>
      </c>
      <c r="E57" s="599"/>
      <c r="F57" s="780">
        <v>23.039159999999999</v>
      </c>
      <c r="G57" s="681">
        <v>9376787</v>
      </c>
      <c r="H57" s="742">
        <v>227475</v>
      </c>
      <c r="I57" s="13"/>
      <c r="J57" s="857"/>
    </row>
    <row r="58" spans="1:10" x14ac:dyDescent="0.35">
      <c r="A58" s="585" t="s">
        <v>674</v>
      </c>
      <c r="B58" s="589" t="s">
        <v>841</v>
      </c>
      <c r="C58" s="589" t="s">
        <v>496</v>
      </c>
      <c r="D58" s="590" t="s">
        <v>936</v>
      </c>
      <c r="E58" s="591"/>
      <c r="F58" s="780">
        <v>43.254849999999998</v>
      </c>
      <c r="G58" s="682">
        <v>1478096</v>
      </c>
      <c r="H58" s="742">
        <v>227476</v>
      </c>
      <c r="I58" s="13"/>
      <c r="J58" s="857"/>
    </row>
    <row r="59" spans="1:10" x14ac:dyDescent="0.35">
      <c r="A59" s="603" t="s">
        <v>675</v>
      </c>
      <c r="B59" s="604" t="s">
        <v>842</v>
      </c>
      <c r="C59" s="604" t="s">
        <v>353</v>
      </c>
      <c r="D59" s="605" t="s">
        <v>936</v>
      </c>
      <c r="E59" s="597"/>
      <c r="F59" s="780">
        <v>23.363859999999999</v>
      </c>
      <c r="G59" s="684">
        <v>9409124</v>
      </c>
      <c r="H59" s="742">
        <v>227478</v>
      </c>
      <c r="I59" s="13"/>
      <c r="J59" s="857"/>
    </row>
    <row r="60" spans="1:10" x14ac:dyDescent="0.35">
      <c r="A60" s="600" t="s">
        <v>676</v>
      </c>
      <c r="B60" s="601" t="s">
        <v>842</v>
      </c>
      <c r="C60" s="601" t="s">
        <v>354</v>
      </c>
      <c r="D60" s="602" t="s">
        <v>936</v>
      </c>
      <c r="E60" s="599"/>
      <c r="F60" s="780">
        <v>23.363859999999999</v>
      </c>
      <c r="G60" s="681">
        <v>9412510</v>
      </c>
      <c r="H60" s="742">
        <v>227477</v>
      </c>
      <c r="I60" s="13"/>
      <c r="J60" s="857"/>
    </row>
    <row r="61" spans="1:10" x14ac:dyDescent="0.35">
      <c r="A61" s="600" t="s">
        <v>677</v>
      </c>
      <c r="B61" s="601" t="s">
        <v>842</v>
      </c>
      <c r="C61" s="601" t="s">
        <v>422</v>
      </c>
      <c r="D61" s="602" t="s">
        <v>936</v>
      </c>
      <c r="E61" s="599"/>
      <c r="F61" s="780">
        <v>23.363859999999999</v>
      </c>
      <c r="G61" s="681">
        <v>9477844</v>
      </c>
      <c r="H61" s="742">
        <v>227479</v>
      </c>
      <c r="I61" s="13"/>
      <c r="J61" s="857"/>
    </row>
    <row r="62" spans="1:10" x14ac:dyDescent="0.35">
      <c r="A62" s="585" t="s">
        <v>678</v>
      </c>
      <c r="B62" s="589" t="s">
        <v>843</v>
      </c>
      <c r="C62" s="589" t="s">
        <v>496</v>
      </c>
      <c r="D62" s="590" t="s">
        <v>936</v>
      </c>
      <c r="E62" s="591"/>
      <c r="F62" s="780">
        <v>44.36721</v>
      </c>
      <c r="G62" s="682">
        <v>1501198</v>
      </c>
      <c r="H62" s="742">
        <v>227480</v>
      </c>
      <c r="I62" s="13"/>
      <c r="J62" s="857"/>
    </row>
    <row r="63" spans="1:10" x14ac:dyDescent="0.35">
      <c r="A63" s="603" t="s">
        <v>679</v>
      </c>
      <c r="B63" s="604" t="s">
        <v>844</v>
      </c>
      <c r="C63" s="604" t="s">
        <v>353</v>
      </c>
      <c r="D63" s="605" t="s">
        <v>936</v>
      </c>
      <c r="E63" s="597"/>
      <c r="F63" s="780">
        <v>23.688369999999999</v>
      </c>
      <c r="G63" s="684">
        <v>9485595</v>
      </c>
      <c r="H63" s="742">
        <v>227482</v>
      </c>
      <c r="I63" s="13"/>
      <c r="J63" s="857"/>
    </row>
    <row r="64" spans="1:10" x14ac:dyDescent="0.35">
      <c r="A64" s="600" t="s">
        <v>680</v>
      </c>
      <c r="B64" s="601" t="s">
        <v>844</v>
      </c>
      <c r="C64" s="601" t="s">
        <v>354</v>
      </c>
      <c r="D64" s="602" t="s">
        <v>936</v>
      </c>
      <c r="E64" s="599"/>
      <c r="F64" s="780">
        <v>23.688369999999999</v>
      </c>
      <c r="G64" s="681">
        <v>9525482</v>
      </c>
      <c r="H64" s="742">
        <v>227481</v>
      </c>
      <c r="I64" s="13"/>
      <c r="J64" s="857"/>
    </row>
    <row r="65" spans="1:10" x14ac:dyDescent="0.35">
      <c r="A65" s="600" t="s">
        <v>681</v>
      </c>
      <c r="B65" s="601" t="s">
        <v>844</v>
      </c>
      <c r="C65" s="601" t="s">
        <v>422</v>
      </c>
      <c r="D65" s="602" t="s">
        <v>936</v>
      </c>
      <c r="E65" s="599"/>
      <c r="F65" s="780">
        <v>23.688369999999999</v>
      </c>
      <c r="G65" s="681">
        <v>9537952</v>
      </c>
      <c r="H65" s="742">
        <v>227483</v>
      </c>
      <c r="I65" s="13"/>
      <c r="J65" s="857"/>
    </row>
    <row r="66" spans="1:10" x14ac:dyDescent="0.35">
      <c r="A66" s="585" t="s">
        <v>682</v>
      </c>
      <c r="B66" s="589" t="s">
        <v>845</v>
      </c>
      <c r="C66" s="589" t="s">
        <v>496</v>
      </c>
      <c r="D66" s="590" t="s">
        <v>936</v>
      </c>
      <c r="E66" s="591"/>
      <c r="F66" s="780">
        <v>45.479570000000002</v>
      </c>
      <c r="G66" s="682">
        <v>1679728</v>
      </c>
      <c r="H66" s="742">
        <v>227484</v>
      </c>
      <c r="I66" s="13"/>
      <c r="J66" s="857"/>
    </row>
    <row r="67" spans="1:10" x14ac:dyDescent="0.35">
      <c r="A67" s="603" t="s">
        <v>443</v>
      </c>
      <c r="B67" s="604" t="s">
        <v>362</v>
      </c>
      <c r="C67" s="604" t="s">
        <v>353</v>
      </c>
      <c r="D67" s="605" t="s">
        <v>936</v>
      </c>
      <c r="E67" s="597"/>
      <c r="F67" s="780">
        <v>24.013059999999999</v>
      </c>
      <c r="G67" s="684">
        <v>9545678</v>
      </c>
      <c r="H67" s="742">
        <v>227486</v>
      </c>
      <c r="I67" s="13"/>
      <c r="J67" s="857"/>
    </row>
    <row r="68" spans="1:10" x14ac:dyDescent="0.35">
      <c r="A68" s="600" t="s">
        <v>80</v>
      </c>
      <c r="B68" s="601" t="s">
        <v>362</v>
      </c>
      <c r="C68" s="601" t="s">
        <v>354</v>
      </c>
      <c r="D68" s="602" t="s">
        <v>936</v>
      </c>
      <c r="E68" s="599"/>
      <c r="F68" s="780">
        <v>24.013059999999999</v>
      </c>
      <c r="G68" s="681">
        <v>9547141</v>
      </c>
      <c r="H68" s="742">
        <v>227485</v>
      </c>
      <c r="I68" s="13"/>
      <c r="J68" s="857"/>
    </row>
    <row r="69" spans="1:10" x14ac:dyDescent="0.35">
      <c r="A69" s="600" t="s">
        <v>81</v>
      </c>
      <c r="B69" s="601" t="s">
        <v>362</v>
      </c>
      <c r="C69" s="601" t="s">
        <v>422</v>
      </c>
      <c r="D69" s="602" t="s">
        <v>936</v>
      </c>
      <c r="E69" s="599"/>
      <c r="F69" s="780">
        <v>24.013059999999999</v>
      </c>
      <c r="G69" s="681">
        <v>9555427</v>
      </c>
      <c r="H69" s="742">
        <v>227487</v>
      </c>
      <c r="I69" s="13"/>
      <c r="J69" s="857"/>
    </row>
    <row r="70" spans="1:10" x14ac:dyDescent="0.35">
      <c r="A70" s="585" t="s">
        <v>360</v>
      </c>
      <c r="B70" s="589" t="s">
        <v>361</v>
      </c>
      <c r="C70" s="589" t="s">
        <v>496</v>
      </c>
      <c r="D70" s="590" t="s">
        <v>936</v>
      </c>
      <c r="E70" s="591"/>
      <c r="F70" s="780">
        <v>46.592109999999998</v>
      </c>
      <c r="G70" s="682">
        <v>1722370</v>
      </c>
      <c r="H70" s="742">
        <v>227488</v>
      </c>
      <c r="I70" s="13"/>
      <c r="J70" s="857"/>
    </row>
    <row r="71" spans="1:10" x14ac:dyDescent="0.35">
      <c r="A71" s="603" t="s">
        <v>683</v>
      </c>
      <c r="B71" s="604" t="s">
        <v>687</v>
      </c>
      <c r="C71" s="604" t="s">
        <v>353</v>
      </c>
      <c r="D71" s="605" t="s">
        <v>936</v>
      </c>
      <c r="E71" s="597"/>
      <c r="F71" s="780">
        <v>26.612380000000002</v>
      </c>
      <c r="G71" s="684">
        <v>9562948</v>
      </c>
      <c r="H71" s="742">
        <v>227490</v>
      </c>
      <c r="I71" s="13"/>
      <c r="J71" s="857"/>
    </row>
    <row r="72" spans="1:10" x14ac:dyDescent="0.35">
      <c r="A72" s="600" t="s">
        <v>684</v>
      </c>
      <c r="B72" s="601" t="s">
        <v>687</v>
      </c>
      <c r="C72" s="601" t="s">
        <v>354</v>
      </c>
      <c r="D72" s="602" t="s">
        <v>936</v>
      </c>
      <c r="E72" s="599"/>
      <c r="F72" s="780">
        <v>26.612380000000002</v>
      </c>
      <c r="G72" s="681">
        <v>9571190</v>
      </c>
      <c r="H72" s="742">
        <v>227489</v>
      </c>
      <c r="I72" s="13"/>
      <c r="J72" s="857"/>
    </row>
    <row r="73" spans="1:10" x14ac:dyDescent="0.35">
      <c r="A73" s="600" t="s">
        <v>685</v>
      </c>
      <c r="B73" s="601" t="s">
        <v>687</v>
      </c>
      <c r="C73" s="601" t="s">
        <v>422</v>
      </c>
      <c r="D73" s="602" t="s">
        <v>936</v>
      </c>
      <c r="E73" s="599"/>
      <c r="F73" s="780">
        <v>26.612380000000002</v>
      </c>
      <c r="G73" s="681">
        <v>9572887</v>
      </c>
      <c r="H73" s="742">
        <v>227491</v>
      </c>
      <c r="I73" s="13"/>
      <c r="J73" s="857"/>
    </row>
    <row r="74" spans="1:10" x14ac:dyDescent="0.35">
      <c r="A74" s="585" t="s">
        <v>686</v>
      </c>
      <c r="B74" s="589" t="s">
        <v>688</v>
      </c>
      <c r="C74" s="589" t="s">
        <v>496</v>
      </c>
      <c r="D74" s="590" t="s">
        <v>936</v>
      </c>
      <c r="E74" s="591"/>
      <c r="F74" s="780">
        <v>49.707360000000001</v>
      </c>
      <c r="G74" s="682">
        <v>1770080</v>
      </c>
      <c r="H74" s="742">
        <v>227492</v>
      </c>
      <c r="I74" s="13"/>
      <c r="J74" s="857"/>
    </row>
    <row r="75" spans="1:10" x14ac:dyDescent="0.35">
      <c r="A75" s="268" t="s">
        <v>981</v>
      </c>
      <c r="B75" s="269" t="s">
        <v>689</v>
      </c>
      <c r="C75" s="269" t="s">
        <v>353</v>
      </c>
      <c r="D75" s="525"/>
      <c r="E75" s="270"/>
      <c r="F75" s="780">
        <v>29.004729999999999</v>
      </c>
      <c r="G75" s="745">
        <v>8762565</v>
      </c>
      <c r="H75" s="742">
        <v>227494</v>
      </c>
      <c r="I75" s="13"/>
      <c r="J75" s="857"/>
    </row>
    <row r="76" spans="1:10" x14ac:dyDescent="0.35">
      <c r="A76" s="271" t="s">
        <v>982</v>
      </c>
      <c r="B76" s="272" t="s">
        <v>689</v>
      </c>
      <c r="C76" s="272" t="s">
        <v>354</v>
      </c>
      <c r="D76" s="526"/>
      <c r="E76" s="273"/>
      <c r="F76" s="780">
        <v>28.898599999999998</v>
      </c>
      <c r="G76" s="746">
        <v>8764832</v>
      </c>
      <c r="H76" s="742">
        <v>227493</v>
      </c>
      <c r="I76" s="13"/>
      <c r="J76" s="857"/>
    </row>
    <row r="77" spans="1:10" x14ac:dyDescent="0.35">
      <c r="A77" s="490" t="s">
        <v>983</v>
      </c>
      <c r="B77" s="491" t="s">
        <v>689</v>
      </c>
      <c r="C77" s="491" t="s">
        <v>422</v>
      </c>
      <c r="D77" s="527"/>
      <c r="E77" s="273"/>
      <c r="F77" s="780">
        <v>29.004729999999999</v>
      </c>
      <c r="G77" s="683">
        <v>8768393</v>
      </c>
      <c r="H77" s="742">
        <v>227495</v>
      </c>
      <c r="I77" s="13"/>
      <c r="J77" s="857"/>
    </row>
    <row r="78" spans="1:10" x14ac:dyDescent="0.35">
      <c r="A78" s="585" t="s">
        <v>984</v>
      </c>
      <c r="B78" s="589" t="s">
        <v>690</v>
      </c>
      <c r="C78" s="589" t="s">
        <v>496</v>
      </c>
      <c r="D78" s="590" t="s">
        <v>936</v>
      </c>
      <c r="E78" s="591"/>
      <c r="F78" s="780">
        <v>56.612650000000002</v>
      </c>
      <c r="G78" s="682">
        <v>9717715</v>
      </c>
      <c r="H78" s="742">
        <v>227496</v>
      </c>
      <c r="I78" s="13"/>
      <c r="J78" s="857"/>
    </row>
    <row r="79" spans="1:10" x14ac:dyDescent="0.35">
      <c r="A79" s="268" t="s">
        <v>985</v>
      </c>
      <c r="B79" s="269" t="s">
        <v>691</v>
      </c>
      <c r="C79" s="269" t="s">
        <v>353</v>
      </c>
      <c r="D79" s="525"/>
      <c r="E79" s="270"/>
      <c r="F79" s="780">
        <v>29.004729999999999</v>
      </c>
      <c r="G79" s="745">
        <v>8769064</v>
      </c>
      <c r="H79" s="742">
        <v>227498</v>
      </c>
      <c r="I79" s="13"/>
      <c r="J79" s="857"/>
    </row>
    <row r="80" spans="1:10" x14ac:dyDescent="0.35">
      <c r="A80" s="271" t="s">
        <v>986</v>
      </c>
      <c r="B80" s="272" t="s">
        <v>691</v>
      </c>
      <c r="C80" s="272" t="s">
        <v>354</v>
      </c>
      <c r="D80" s="526"/>
      <c r="E80" s="273"/>
      <c r="F80" s="780">
        <v>29.004729999999999</v>
      </c>
      <c r="G80" s="746">
        <v>8774453</v>
      </c>
      <c r="H80" s="742">
        <v>227497</v>
      </c>
      <c r="I80" s="13"/>
      <c r="J80" s="857"/>
    </row>
    <row r="81" spans="1:10" x14ac:dyDescent="0.35">
      <c r="A81" s="490" t="s">
        <v>987</v>
      </c>
      <c r="B81" s="491" t="s">
        <v>691</v>
      </c>
      <c r="C81" s="491" t="s">
        <v>422</v>
      </c>
      <c r="D81" s="527"/>
      <c r="E81" s="273"/>
      <c r="F81" s="780">
        <v>29.004729999999999</v>
      </c>
      <c r="G81" s="683">
        <v>8784593</v>
      </c>
      <c r="H81" s="742">
        <v>227499</v>
      </c>
      <c r="I81" s="13"/>
      <c r="J81" s="857"/>
    </row>
    <row r="82" spans="1:10" x14ac:dyDescent="0.35">
      <c r="A82" s="585" t="s">
        <v>988</v>
      </c>
      <c r="B82" s="589" t="s">
        <v>692</v>
      </c>
      <c r="C82" s="589" t="s">
        <v>496</v>
      </c>
      <c r="D82" s="590" t="s">
        <v>936</v>
      </c>
      <c r="E82" s="591"/>
      <c r="F82" s="780">
        <v>56.612650000000002</v>
      </c>
      <c r="G82" s="682">
        <v>9724625</v>
      </c>
      <c r="H82" s="742">
        <v>227500</v>
      </c>
      <c r="I82" s="13"/>
      <c r="J82" s="857"/>
    </row>
    <row r="83" spans="1:10" x14ac:dyDescent="0.35">
      <c r="A83" s="268" t="s">
        <v>989</v>
      </c>
      <c r="B83" s="269" t="s">
        <v>693</v>
      </c>
      <c r="C83" s="269" t="s">
        <v>353</v>
      </c>
      <c r="D83" s="525"/>
      <c r="E83" s="270"/>
      <c r="F83" s="780">
        <v>29.004729999999999</v>
      </c>
      <c r="G83" s="745">
        <v>8799519</v>
      </c>
      <c r="H83" s="742">
        <v>227502</v>
      </c>
      <c r="I83" s="13"/>
      <c r="J83" s="857"/>
    </row>
    <row r="84" spans="1:10" x14ac:dyDescent="0.35">
      <c r="A84" s="271" t="s">
        <v>990</v>
      </c>
      <c r="B84" s="272" t="s">
        <v>693</v>
      </c>
      <c r="C84" s="272" t="s">
        <v>354</v>
      </c>
      <c r="D84" s="526"/>
      <c r="E84" s="273"/>
      <c r="F84" s="780">
        <v>28.898599999999998</v>
      </c>
      <c r="G84" s="746">
        <v>8814169</v>
      </c>
      <c r="H84" s="742">
        <v>227501</v>
      </c>
      <c r="I84" s="13"/>
      <c r="J84" s="857"/>
    </row>
    <row r="85" spans="1:10" x14ac:dyDescent="0.35">
      <c r="A85" s="490" t="s">
        <v>991</v>
      </c>
      <c r="B85" s="491" t="s">
        <v>693</v>
      </c>
      <c r="C85" s="491" t="s">
        <v>422</v>
      </c>
      <c r="D85" s="527"/>
      <c r="E85" s="273"/>
      <c r="F85" s="780">
        <v>29.004729999999999</v>
      </c>
      <c r="G85" s="683">
        <v>8828590</v>
      </c>
      <c r="H85" s="742">
        <v>227503</v>
      </c>
      <c r="I85" s="13"/>
      <c r="J85" s="857"/>
    </row>
    <row r="86" spans="1:10" x14ac:dyDescent="0.35">
      <c r="A86" s="585" t="s">
        <v>992</v>
      </c>
      <c r="B86" s="589" t="s">
        <v>694</v>
      </c>
      <c r="C86" s="589" t="s">
        <v>496</v>
      </c>
      <c r="D86" s="590" t="s">
        <v>936</v>
      </c>
      <c r="E86" s="591"/>
      <c r="F86" s="780">
        <v>56.612650000000002</v>
      </c>
      <c r="G86" s="682">
        <v>9758672</v>
      </c>
      <c r="H86" s="742">
        <v>227504</v>
      </c>
      <c r="I86" s="13"/>
      <c r="J86" s="857"/>
    </row>
    <row r="87" spans="1:10" x14ac:dyDescent="0.35">
      <c r="A87" s="268" t="s">
        <v>993</v>
      </c>
      <c r="B87" s="269" t="s">
        <v>695</v>
      </c>
      <c r="C87" s="269" t="s">
        <v>353</v>
      </c>
      <c r="D87" s="525"/>
      <c r="E87" s="270"/>
      <c r="F87" s="780">
        <v>29.360900000000001</v>
      </c>
      <c r="G87" s="745">
        <v>8858929</v>
      </c>
      <c r="H87" s="742">
        <v>227506</v>
      </c>
      <c r="I87" s="13"/>
      <c r="J87" s="857"/>
    </row>
    <row r="88" spans="1:10" x14ac:dyDescent="0.35">
      <c r="A88" s="271" t="s">
        <v>994</v>
      </c>
      <c r="B88" s="272" t="s">
        <v>695</v>
      </c>
      <c r="C88" s="272" t="s">
        <v>354</v>
      </c>
      <c r="D88" s="526"/>
      <c r="E88" s="273"/>
      <c r="F88" s="780">
        <v>29.360900000000001</v>
      </c>
      <c r="G88" s="746">
        <v>8914227</v>
      </c>
      <c r="H88" s="742">
        <v>227505</v>
      </c>
      <c r="I88" s="13"/>
      <c r="J88" s="857"/>
    </row>
    <row r="89" spans="1:10" x14ac:dyDescent="0.35">
      <c r="A89" s="490" t="s">
        <v>995</v>
      </c>
      <c r="B89" s="491" t="s">
        <v>695</v>
      </c>
      <c r="C89" s="491" t="s">
        <v>422</v>
      </c>
      <c r="D89" s="527"/>
      <c r="E89" s="273"/>
      <c r="F89" s="780">
        <v>29.360900000000001</v>
      </c>
      <c r="G89" s="683">
        <v>8928290</v>
      </c>
      <c r="H89" s="742">
        <v>227507</v>
      </c>
      <c r="I89" s="13"/>
      <c r="J89" s="857"/>
    </row>
    <row r="90" spans="1:10" x14ac:dyDescent="0.35">
      <c r="A90" s="585" t="s">
        <v>996</v>
      </c>
      <c r="B90" s="589" t="s">
        <v>696</v>
      </c>
      <c r="C90" s="589" t="s">
        <v>496</v>
      </c>
      <c r="D90" s="590" t="s">
        <v>936</v>
      </c>
      <c r="E90" s="591"/>
      <c r="F90" s="780">
        <v>57.725189999999998</v>
      </c>
      <c r="G90" s="682">
        <v>9760627</v>
      </c>
      <c r="H90" s="742">
        <v>227508</v>
      </c>
      <c r="I90" s="13"/>
      <c r="J90" s="857"/>
    </row>
    <row r="91" spans="1:10" x14ac:dyDescent="0.35">
      <c r="A91" s="268" t="s">
        <v>997</v>
      </c>
      <c r="B91" s="269" t="s">
        <v>697</v>
      </c>
      <c r="C91" s="269" t="s">
        <v>353</v>
      </c>
      <c r="D91" s="525"/>
      <c r="E91" s="270"/>
      <c r="F91" s="780">
        <v>31.28134</v>
      </c>
      <c r="G91" s="745">
        <v>8936515</v>
      </c>
      <c r="H91" s="742">
        <v>227510</v>
      </c>
      <c r="I91" s="13"/>
      <c r="J91" s="857"/>
    </row>
    <row r="92" spans="1:10" x14ac:dyDescent="0.35">
      <c r="A92" s="271" t="s">
        <v>998</v>
      </c>
      <c r="B92" s="272" t="s">
        <v>697</v>
      </c>
      <c r="C92" s="272" t="s">
        <v>354</v>
      </c>
      <c r="D92" s="526"/>
      <c r="E92" s="273"/>
      <c r="F92" s="780">
        <v>31.28134</v>
      </c>
      <c r="G92" s="746">
        <v>8952499</v>
      </c>
      <c r="H92" s="742">
        <v>227509</v>
      </c>
      <c r="I92" s="13"/>
      <c r="J92" s="857"/>
    </row>
    <row r="93" spans="1:10" x14ac:dyDescent="0.35">
      <c r="A93" s="490" t="s">
        <v>999</v>
      </c>
      <c r="B93" s="491" t="s">
        <v>697</v>
      </c>
      <c r="C93" s="491" t="s">
        <v>422</v>
      </c>
      <c r="D93" s="527"/>
      <c r="E93" s="273"/>
      <c r="F93" s="780">
        <v>31.28134</v>
      </c>
      <c r="G93" s="683">
        <v>8959099</v>
      </c>
      <c r="H93" s="742">
        <v>227511</v>
      </c>
      <c r="I93" s="13"/>
      <c r="J93" s="857"/>
    </row>
    <row r="94" spans="1:10" x14ac:dyDescent="0.35">
      <c r="A94" s="585" t="s">
        <v>1000</v>
      </c>
      <c r="B94" s="589" t="s">
        <v>698</v>
      </c>
      <c r="C94" s="589" t="s">
        <v>496</v>
      </c>
      <c r="D94" s="590" t="s">
        <v>936</v>
      </c>
      <c r="E94" s="591"/>
      <c r="F94" s="780">
        <v>58.83755</v>
      </c>
      <c r="G94" s="682">
        <v>9778477</v>
      </c>
      <c r="H94" s="742">
        <v>227512</v>
      </c>
      <c r="I94" s="13"/>
      <c r="J94" s="857"/>
    </row>
    <row r="95" spans="1:10" x14ac:dyDescent="0.35">
      <c r="A95" s="268" t="s">
        <v>1001</v>
      </c>
      <c r="B95" s="269" t="s">
        <v>363</v>
      </c>
      <c r="C95" s="269" t="s">
        <v>353</v>
      </c>
      <c r="D95" s="525"/>
      <c r="E95" s="270"/>
      <c r="F95" s="780">
        <v>31.65626</v>
      </c>
      <c r="G95" s="745">
        <v>8962303</v>
      </c>
      <c r="H95" s="742">
        <v>227514</v>
      </c>
      <c r="I95" s="13"/>
      <c r="J95" s="857"/>
    </row>
    <row r="96" spans="1:10" x14ac:dyDescent="0.35">
      <c r="A96" s="271" t="s">
        <v>1002</v>
      </c>
      <c r="B96" s="272" t="s">
        <v>363</v>
      </c>
      <c r="C96" s="272" t="s">
        <v>354</v>
      </c>
      <c r="D96" s="526"/>
      <c r="E96" s="273"/>
      <c r="F96" s="780">
        <v>29.96341</v>
      </c>
      <c r="G96" s="746">
        <v>8965119</v>
      </c>
      <c r="H96" s="742">
        <v>227513</v>
      </c>
      <c r="I96" s="13"/>
      <c r="J96" s="857"/>
    </row>
    <row r="97" spans="1:10" x14ac:dyDescent="0.35">
      <c r="A97" s="490" t="s">
        <v>1003</v>
      </c>
      <c r="B97" s="491" t="s">
        <v>363</v>
      </c>
      <c r="C97" s="491" t="s">
        <v>422</v>
      </c>
      <c r="D97" s="527"/>
      <c r="E97" s="273"/>
      <c r="F97" s="780">
        <v>31.65626</v>
      </c>
      <c r="G97" s="683">
        <v>8979438</v>
      </c>
      <c r="H97" s="742">
        <v>227515</v>
      </c>
      <c r="I97" s="13"/>
      <c r="J97" s="857"/>
    </row>
    <row r="98" spans="1:10" x14ac:dyDescent="0.35">
      <c r="A98" s="585" t="s">
        <v>1004</v>
      </c>
      <c r="B98" s="589" t="s">
        <v>364</v>
      </c>
      <c r="C98" s="589" t="s">
        <v>496</v>
      </c>
      <c r="D98" s="590" t="s">
        <v>936</v>
      </c>
      <c r="E98" s="591"/>
      <c r="F98" s="780">
        <v>59.949910000000003</v>
      </c>
      <c r="G98" s="682">
        <v>9782673</v>
      </c>
      <c r="H98" s="742">
        <v>227516</v>
      </c>
      <c r="I98" s="13"/>
      <c r="J98" s="857"/>
    </row>
    <row r="99" spans="1:10" x14ac:dyDescent="0.35">
      <c r="A99" s="268" t="s">
        <v>1005</v>
      </c>
      <c r="B99" s="269" t="s">
        <v>699</v>
      </c>
      <c r="C99" s="269" t="s">
        <v>353</v>
      </c>
      <c r="D99" s="525"/>
      <c r="E99" s="270"/>
      <c r="F99" s="780">
        <v>31.853429999999999</v>
      </c>
      <c r="G99" s="745">
        <v>8987845</v>
      </c>
      <c r="H99" s="742">
        <v>227518</v>
      </c>
      <c r="I99" s="13"/>
      <c r="J99" s="857"/>
    </row>
    <row r="100" spans="1:10" x14ac:dyDescent="0.35">
      <c r="A100" s="271" t="s">
        <v>1006</v>
      </c>
      <c r="B100" s="272" t="s">
        <v>699</v>
      </c>
      <c r="C100" s="272" t="s">
        <v>354</v>
      </c>
      <c r="D100" s="526"/>
      <c r="E100" s="273"/>
      <c r="F100" s="780">
        <v>31.853429999999999</v>
      </c>
      <c r="G100" s="746">
        <v>9045768</v>
      </c>
      <c r="H100" s="742">
        <v>227517</v>
      </c>
      <c r="I100" s="13"/>
      <c r="J100" s="857"/>
    </row>
    <row r="101" spans="1:10" x14ac:dyDescent="0.35">
      <c r="A101" s="490" t="s">
        <v>1007</v>
      </c>
      <c r="B101" s="491" t="s">
        <v>699</v>
      </c>
      <c r="C101" s="491" t="s">
        <v>422</v>
      </c>
      <c r="D101" s="527"/>
      <c r="E101" s="273"/>
      <c r="F101" s="780">
        <v>31.853429999999999</v>
      </c>
      <c r="G101" s="683">
        <v>9054479</v>
      </c>
      <c r="H101" s="742">
        <v>227519</v>
      </c>
      <c r="I101" s="13"/>
      <c r="J101" s="857"/>
    </row>
    <row r="102" spans="1:10" x14ac:dyDescent="0.35">
      <c r="A102" s="585" t="s">
        <v>1008</v>
      </c>
      <c r="B102" s="589" t="s">
        <v>867</v>
      </c>
      <c r="C102" s="589" t="s">
        <v>496</v>
      </c>
      <c r="D102" s="590" t="s">
        <v>936</v>
      </c>
      <c r="E102" s="591"/>
      <c r="F102" s="780">
        <v>63.065159999999999</v>
      </c>
      <c r="G102" s="682">
        <v>9804991</v>
      </c>
      <c r="H102" s="742">
        <v>227520</v>
      </c>
      <c r="I102" s="13"/>
      <c r="J102" s="857"/>
    </row>
    <row r="103" spans="1:10" x14ac:dyDescent="0.35">
      <c r="A103" s="268" t="s">
        <v>1009</v>
      </c>
      <c r="B103" s="269" t="s">
        <v>868</v>
      </c>
      <c r="C103" s="269" t="s">
        <v>353</v>
      </c>
      <c r="D103" s="525"/>
      <c r="E103" s="270"/>
      <c r="F103" s="780">
        <v>35.537379999999999</v>
      </c>
      <c r="G103" s="745">
        <v>9069622</v>
      </c>
      <c r="H103" s="742">
        <v>227522</v>
      </c>
      <c r="I103" s="13"/>
      <c r="J103" s="857"/>
    </row>
    <row r="104" spans="1:10" x14ac:dyDescent="0.35">
      <c r="A104" s="271" t="s">
        <v>1010</v>
      </c>
      <c r="B104" s="272" t="s">
        <v>868</v>
      </c>
      <c r="C104" s="272" t="s">
        <v>354</v>
      </c>
      <c r="D104" s="526"/>
      <c r="E104" s="273"/>
      <c r="F104" s="780">
        <v>35.537379999999999</v>
      </c>
      <c r="G104" s="746">
        <v>9085908</v>
      </c>
      <c r="H104" s="742">
        <v>227521</v>
      </c>
      <c r="I104" s="13"/>
      <c r="J104" s="857"/>
    </row>
    <row r="105" spans="1:10" x14ac:dyDescent="0.35">
      <c r="A105" s="490" t="s">
        <v>1011</v>
      </c>
      <c r="B105" s="491" t="s">
        <v>868</v>
      </c>
      <c r="C105" s="491" t="s">
        <v>422</v>
      </c>
      <c r="D105" s="527"/>
      <c r="E105" s="273"/>
      <c r="F105" s="780">
        <v>35.537379999999999</v>
      </c>
      <c r="G105" s="683">
        <v>9087007</v>
      </c>
      <c r="H105" s="742">
        <v>227523</v>
      </c>
      <c r="I105" s="13"/>
      <c r="J105" s="857"/>
    </row>
    <row r="106" spans="1:10" x14ac:dyDescent="0.35">
      <c r="A106" s="585" t="s">
        <v>1012</v>
      </c>
      <c r="B106" s="589" t="s">
        <v>869</v>
      </c>
      <c r="C106" s="589" t="s">
        <v>496</v>
      </c>
      <c r="D106" s="590" t="s">
        <v>936</v>
      </c>
      <c r="E106" s="591"/>
      <c r="F106" s="780">
        <v>70.338440000000006</v>
      </c>
      <c r="G106" s="682">
        <v>9843329</v>
      </c>
      <c r="H106" s="742">
        <v>227524</v>
      </c>
      <c r="I106" s="13"/>
      <c r="J106" s="857"/>
    </row>
    <row r="107" spans="1:10" x14ac:dyDescent="0.35">
      <c r="A107" s="268" t="s">
        <v>1013</v>
      </c>
      <c r="B107" s="269" t="s">
        <v>970</v>
      </c>
      <c r="C107" s="269" t="s">
        <v>353</v>
      </c>
      <c r="D107" s="525"/>
      <c r="E107" s="270"/>
      <c r="F107" s="780">
        <v>36.783200000000001</v>
      </c>
      <c r="G107" s="745">
        <v>7790076</v>
      </c>
      <c r="H107" s="742">
        <v>256458</v>
      </c>
      <c r="I107" s="13"/>
      <c r="J107" s="857"/>
    </row>
    <row r="108" spans="1:10" x14ac:dyDescent="0.35">
      <c r="A108" s="271" t="s">
        <v>1014</v>
      </c>
      <c r="B108" s="272" t="s">
        <v>970</v>
      </c>
      <c r="C108" s="272" t="s">
        <v>354</v>
      </c>
      <c r="D108" s="526"/>
      <c r="E108" s="273"/>
      <c r="F108" s="780">
        <v>36.783200000000001</v>
      </c>
      <c r="G108" s="746">
        <v>9944409</v>
      </c>
      <c r="H108" s="742">
        <v>256457</v>
      </c>
      <c r="I108" s="13"/>
      <c r="J108" s="857"/>
    </row>
    <row r="109" spans="1:10" x14ac:dyDescent="0.35">
      <c r="A109" s="490" t="s">
        <v>1015</v>
      </c>
      <c r="B109" s="491" t="s">
        <v>970</v>
      </c>
      <c r="C109" s="491" t="s">
        <v>422</v>
      </c>
      <c r="D109" s="527"/>
      <c r="E109" s="273"/>
      <c r="F109" s="780">
        <v>36.783200000000001</v>
      </c>
      <c r="G109" s="683">
        <v>8859975</v>
      </c>
      <c r="H109" s="742">
        <v>256459</v>
      </c>
      <c r="I109" s="13"/>
      <c r="J109" s="857"/>
    </row>
    <row r="110" spans="1:10" x14ac:dyDescent="0.35">
      <c r="A110" s="585" t="s">
        <v>1016</v>
      </c>
      <c r="B110" s="589" t="s">
        <v>971</v>
      </c>
      <c r="C110" s="589" t="s">
        <v>496</v>
      </c>
      <c r="D110" s="590" t="s">
        <v>936</v>
      </c>
      <c r="E110" s="591"/>
      <c r="F110" s="780">
        <v>74.342429999999993</v>
      </c>
      <c r="G110" s="682">
        <v>5885172</v>
      </c>
      <c r="H110" s="742">
        <v>256460</v>
      </c>
      <c r="I110" s="13"/>
      <c r="J110" s="857"/>
    </row>
    <row r="111" spans="1:10" x14ac:dyDescent="0.35">
      <c r="A111" s="268"/>
      <c r="B111" s="269"/>
      <c r="C111" s="269"/>
      <c r="D111" s="525"/>
      <c r="E111" s="270"/>
      <c r="F111" s="780"/>
      <c r="G111" s="747"/>
      <c r="H111" s="742"/>
      <c r="I111" s="13"/>
      <c r="J111" s="857"/>
    </row>
    <row r="112" spans="1:10" x14ac:dyDescent="0.35">
      <c r="A112" s="271"/>
      <c r="B112" s="272"/>
      <c r="C112" s="272"/>
      <c r="D112" s="526"/>
      <c r="E112" s="273"/>
      <c r="F112" s="780"/>
      <c r="G112" s="748"/>
      <c r="H112" s="742"/>
      <c r="I112" s="13"/>
      <c r="J112" s="857"/>
    </row>
    <row r="113" spans="1:10" x14ac:dyDescent="0.35">
      <c r="A113" s="490"/>
      <c r="B113" s="491"/>
      <c r="C113" s="491"/>
      <c r="D113" s="527"/>
      <c r="E113" s="273"/>
      <c r="F113" s="780"/>
      <c r="G113" s="492"/>
      <c r="H113" s="742"/>
      <c r="I113" s="13"/>
      <c r="J113" s="857"/>
    </row>
    <row r="114" spans="1:10" x14ac:dyDescent="0.35">
      <c r="A114" s="503"/>
      <c r="B114" s="505"/>
      <c r="C114" s="505"/>
      <c r="D114" s="521"/>
      <c r="E114" s="506"/>
      <c r="F114" s="780"/>
      <c r="G114" s="507"/>
      <c r="H114" s="742"/>
      <c r="I114" s="13"/>
      <c r="J114" s="857"/>
    </row>
    <row r="115" spans="1:10" x14ac:dyDescent="0.35">
      <c r="A115" s="268"/>
      <c r="B115" s="269"/>
      <c r="C115" s="269"/>
      <c r="D115" s="525"/>
      <c r="E115" s="270"/>
      <c r="F115" s="780"/>
      <c r="G115" s="747"/>
      <c r="H115" s="742"/>
      <c r="I115" s="13"/>
      <c r="J115" s="857"/>
    </row>
    <row r="116" spans="1:10" x14ac:dyDescent="0.35">
      <c r="A116" s="271"/>
      <c r="B116" s="272"/>
      <c r="C116" s="272"/>
      <c r="D116" s="526"/>
      <c r="E116" s="273"/>
      <c r="F116" s="780"/>
      <c r="G116" s="748"/>
      <c r="H116" s="742"/>
      <c r="I116" s="13"/>
      <c r="J116" s="857"/>
    </row>
    <row r="117" spans="1:10" x14ac:dyDescent="0.35">
      <c r="A117" s="490"/>
      <c r="B117" s="491"/>
      <c r="C117" s="491"/>
      <c r="D117" s="527"/>
      <c r="E117" s="273"/>
      <c r="F117" s="780"/>
      <c r="G117" s="492"/>
      <c r="H117" s="742"/>
      <c r="I117" s="13"/>
      <c r="J117" s="857"/>
    </row>
    <row r="118" spans="1:10" x14ac:dyDescent="0.35">
      <c r="A118" s="275"/>
      <c r="B118" s="276"/>
      <c r="C118" s="276"/>
      <c r="D118" s="521"/>
      <c r="E118" s="277"/>
      <c r="F118" s="780"/>
      <c r="G118" s="278"/>
      <c r="H118" s="742"/>
      <c r="I118" s="13"/>
      <c r="J118" s="857"/>
    </row>
    <row r="119" spans="1:10" x14ac:dyDescent="0.35">
      <c r="A119" s="268" t="s">
        <v>1017</v>
      </c>
      <c r="B119" s="269" t="s">
        <v>1108</v>
      </c>
      <c r="C119" s="269" t="s">
        <v>353</v>
      </c>
      <c r="D119" s="525"/>
      <c r="E119" s="270"/>
      <c r="F119" s="780">
        <v>30.157520000000002</v>
      </c>
      <c r="G119" s="745">
        <v>3099055</v>
      </c>
      <c r="H119" s="742">
        <v>256471</v>
      </c>
      <c r="I119" s="13"/>
      <c r="J119" s="857"/>
    </row>
    <row r="120" spans="1:10" x14ac:dyDescent="0.35">
      <c r="A120" s="271" t="s">
        <v>1018</v>
      </c>
      <c r="B120" s="272" t="s">
        <v>1108</v>
      </c>
      <c r="C120" s="272" t="s">
        <v>354</v>
      </c>
      <c r="D120" s="526"/>
      <c r="E120" s="273"/>
      <c r="F120" s="780">
        <v>30.157520000000002</v>
      </c>
      <c r="G120" s="746">
        <v>3655321</v>
      </c>
      <c r="H120" s="742">
        <v>256470</v>
      </c>
      <c r="I120" s="13"/>
      <c r="J120" s="857"/>
    </row>
    <row r="121" spans="1:10" x14ac:dyDescent="0.35">
      <c r="A121" s="490" t="s">
        <v>1019</v>
      </c>
      <c r="B121" s="491" t="s">
        <v>1108</v>
      </c>
      <c r="C121" s="491" t="s">
        <v>422</v>
      </c>
      <c r="D121" s="527"/>
      <c r="E121" s="273"/>
      <c r="F121" s="780">
        <v>30.157520000000002</v>
      </c>
      <c r="G121" s="746">
        <v>3792680</v>
      </c>
      <c r="H121" s="742">
        <v>256472</v>
      </c>
      <c r="I121" s="13"/>
      <c r="J121" s="857"/>
    </row>
    <row r="122" spans="1:10" x14ac:dyDescent="0.35">
      <c r="A122" s="585" t="s">
        <v>1020</v>
      </c>
      <c r="B122" s="589" t="s">
        <v>1109</v>
      </c>
      <c r="C122" s="589" t="s">
        <v>496</v>
      </c>
      <c r="D122" s="590" t="s">
        <v>936</v>
      </c>
      <c r="E122" s="591"/>
      <c r="F122" s="780">
        <v>57.057200000000002</v>
      </c>
      <c r="G122" s="682">
        <v>3924789</v>
      </c>
      <c r="H122" s="742">
        <v>256473</v>
      </c>
      <c r="I122" s="13"/>
      <c r="J122" s="857"/>
    </row>
    <row r="123" spans="1:10" x14ac:dyDescent="0.35">
      <c r="A123" s="268" t="s">
        <v>1021</v>
      </c>
      <c r="B123" s="269" t="s">
        <v>1110</v>
      </c>
      <c r="C123" s="269" t="s">
        <v>353</v>
      </c>
      <c r="D123" s="525"/>
      <c r="E123" s="270"/>
      <c r="F123" s="780">
        <v>30.37988</v>
      </c>
      <c r="G123" s="745">
        <v>4025444</v>
      </c>
      <c r="H123" s="742">
        <v>256475</v>
      </c>
      <c r="I123" s="13"/>
      <c r="J123" s="857"/>
    </row>
    <row r="124" spans="1:10" x14ac:dyDescent="0.35">
      <c r="A124" s="271" t="s">
        <v>1022</v>
      </c>
      <c r="B124" s="272" t="s">
        <v>1110</v>
      </c>
      <c r="C124" s="272" t="s">
        <v>354</v>
      </c>
      <c r="D124" s="526"/>
      <c r="E124" s="273"/>
      <c r="F124" s="780">
        <v>30.37988</v>
      </c>
      <c r="G124" s="746">
        <v>4154009</v>
      </c>
      <c r="H124" s="742">
        <v>256474</v>
      </c>
      <c r="I124" s="13"/>
      <c r="J124" s="857"/>
    </row>
    <row r="125" spans="1:10" x14ac:dyDescent="0.35">
      <c r="A125" s="490" t="s">
        <v>1023</v>
      </c>
      <c r="B125" s="491" t="s">
        <v>1110</v>
      </c>
      <c r="C125" s="491" t="s">
        <v>422</v>
      </c>
      <c r="D125" s="527"/>
      <c r="E125" s="273"/>
      <c r="F125" s="780">
        <v>30.37988</v>
      </c>
      <c r="G125" s="683">
        <v>4156714</v>
      </c>
      <c r="H125" s="742">
        <v>256476</v>
      </c>
      <c r="I125" s="13"/>
      <c r="J125" s="857"/>
    </row>
    <row r="126" spans="1:10" x14ac:dyDescent="0.35">
      <c r="A126" s="275" t="s">
        <v>1024</v>
      </c>
      <c r="B126" s="276" t="s">
        <v>1111</v>
      </c>
      <c r="C126" s="276" t="s">
        <v>496</v>
      </c>
      <c r="D126" s="521" t="s">
        <v>936</v>
      </c>
      <c r="E126" s="277"/>
      <c r="F126" s="780">
        <v>57.835929999999998</v>
      </c>
      <c r="G126" s="685">
        <v>4182057</v>
      </c>
      <c r="H126" s="742">
        <v>256477</v>
      </c>
      <c r="I126" s="13"/>
      <c r="J126" s="857"/>
    </row>
    <row r="127" spans="1:10" x14ac:dyDescent="0.35">
      <c r="A127" s="268" t="s">
        <v>1025</v>
      </c>
      <c r="B127" s="269" t="s">
        <v>1112</v>
      </c>
      <c r="C127" s="269" t="s">
        <v>353</v>
      </c>
      <c r="D127" s="525"/>
      <c r="E127" s="270"/>
      <c r="F127" s="780">
        <v>30.602429999999998</v>
      </c>
      <c r="G127" s="745">
        <v>4205596</v>
      </c>
      <c r="H127" s="742">
        <v>256479</v>
      </c>
      <c r="I127" s="13"/>
      <c r="J127" s="857"/>
    </row>
    <row r="128" spans="1:10" x14ac:dyDescent="0.35">
      <c r="A128" s="271" t="s">
        <v>1026</v>
      </c>
      <c r="B128" s="272" t="s">
        <v>1112</v>
      </c>
      <c r="C128" s="272" t="s">
        <v>354</v>
      </c>
      <c r="D128" s="526"/>
      <c r="E128" s="273"/>
      <c r="F128" s="780">
        <v>30.602429999999998</v>
      </c>
      <c r="G128" s="746">
        <v>4274411</v>
      </c>
      <c r="H128" s="742">
        <v>256478</v>
      </c>
      <c r="I128" s="13"/>
      <c r="J128" s="857"/>
    </row>
    <row r="129" spans="1:10" x14ac:dyDescent="0.35">
      <c r="A129" s="490" t="s">
        <v>1027</v>
      </c>
      <c r="B129" s="491" t="s">
        <v>1112</v>
      </c>
      <c r="C129" s="491" t="s">
        <v>422</v>
      </c>
      <c r="D129" s="527"/>
      <c r="E129" s="273"/>
      <c r="F129" s="780">
        <v>30.602429999999998</v>
      </c>
      <c r="G129" s="683">
        <v>4883795</v>
      </c>
      <c r="H129" s="742">
        <v>256480</v>
      </c>
      <c r="I129" s="13"/>
      <c r="J129" s="857"/>
    </row>
    <row r="130" spans="1:10" x14ac:dyDescent="0.35">
      <c r="A130" s="275" t="s">
        <v>1028</v>
      </c>
      <c r="B130" s="276" t="s">
        <v>1113</v>
      </c>
      <c r="C130" s="276" t="s">
        <v>496</v>
      </c>
      <c r="D130" s="521" t="s">
        <v>936</v>
      </c>
      <c r="E130" s="277"/>
      <c r="F130" s="780">
        <v>58.614649999999997</v>
      </c>
      <c r="G130" s="685">
        <v>4964668</v>
      </c>
      <c r="H130" s="742">
        <v>256481</v>
      </c>
      <c r="I130" s="13"/>
      <c r="J130" s="857"/>
    </row>
    <row r="131" spans="1:10" x14ac:dyDescent="0.35">
      <c r="A131" s="268" t="s">
        <v>1029</v>
      </c>
      <c r="B131" s="269" t="s">
        <v>1114</v>
      </c>
      <c r="C131" s="269" t="s">
        <v>353</v>
      </c>
      <c r="D131" s="525"/>
      <c r="E131" s="270"/>
      <c r="F131" s="780">
        <v>30.82497</v>
      </c>
      <c r="G131" s="745">
        <v>5095220</v>
      </c>
      <c r="H131" s="742">
        <v>256483</v>
      </c>
      <c r="I131" s="13"/>
      <c r="J131" s="857"/>
    </row>
    <row r="132" spans="1:10" x14ac:dyDescent="0.35">
      <c r="A132" s="271" t="s">
        <v>1030</v>
      </c>
      <c r="B132" s="272" t="s">
        <v>1114</v>
      </c>
      <c r="C132" s="272" t="s">
        <v>354</v>
      </c>
      <c r="D132" s="526"/>
      <c r="E132" s="273"/>
      <c r="F132" s="780">
        <v>30.82497</v>
      </c>
      <c r="G132" s="746">
        <v>5222798</v>
      </c>
      <c r="H132" s="742">
        <v>256482</v>
      </c>
      <c r="I132" s="13"/>
      <c r="J132" s="857"/>
    </row>
    <row r="133" spans="1:10" x14ac:dyDescent="0.35">
      <c r="A133" s="490" t="s">
        <v>1031</v>
      </c>
      <c r="B133" s="491" t="s">
        <v>1114</v>
      </c>
      <c r="C133" s="491" t="s">
        <v>422</v>
      </c>
      <c r="D133" s="527"/>
      <c r="E133" s="273"/>
      <c r="F133" s="780">
        <v>30.82497</v>
      </c>
      <c r="G133" s="683">
        <v>5286912</v>
      </c>
      <c r="H133" s="742">
        <v>256484</v>
      </c>
      <c r="I133" s="13"/>
      <c r="J133" s="857"/>
    </row>
    <row r="134" spans="1:10" x14ac:dyDescent="0.35">
      <c r="A134" s="275" t="s">
        <v>1032</v>
      </c>
      <c r="B134" s="276" t="s">
        <v>1115</v>
      </c>
      <c r="C134" s="276" t="s">
        <v>496</v>
      </c>
      <c r="D134" s="521" t="s">
        <v>936</v>
      </c>
      <c r="E134" s="277"/>
      <c r="F134" s="780">
        <v>59.393369999999997</v>
      </c>
      <c r="G134" s="685">
        <v>5605893</v>
      </c>
      <c r="H134" s="742">
        <v>256485</v>
      </c>
      <c r="I134" s="13"/>
      <c r="J134" s="857"/>
    </row>
    <row r="135" spans="1:10" x14ac:dyDescent="0.35">
      <c r="A135" s="268" t="s">
        <v>1033</v>
      </c>
      <c r="B135" s="269" t="s">
        <v>1116</v>
      </c>
      <c r="C135" s="269" t="s">
        <v>353</v>
      </c>
      <c r="D135" s="525"/>
      <c r="E135" s="270"/>
      <c r="F135" s="780">
        <v>32.604779999999998</v>
      </c>
      <c r="G135" s="745">
        <v>7038294</v>
      </c>
      <c r="H135" s="742">
        <v>256486</v>
      </c>
      <c r="I135" s="13"/>
      <c r="J135" s="857"/>
    </row>
    <row r="136" spans="1:10" x14ac:dyDescent="0.35">
      <c r="A136" s="271" t="s">
        <v>1034</v>
      </c>
      <c r="B136" s="272" t="s">
        <v>1116</v>
      </c>
      <c r="C136" s="272" t="s">
        <v>354</v>
      </c>
      <c r="D136" s="526"/>
      <c r="E136" s="273"/>
      <c r="F136" s="780">
        <v>32.604779999999998</v>
      </c>
      <c r="G136" s="746">
        <v>7222585</v>
      </c>
      <c r="H136" s="742">
        <v>256487</v>
      </c>
      <c r="I136" s="13"/>
      <c r="J136" s="857"/>
    </row>
    <row r="137" spans="1:10" x14ac:dyDescent="0.35">
      <c r="A137" s="490" t="s">
        <v>1035</v>
      </c>
      <c r="B137" s="491" t="s">
        <v>1116</v>
      </c>
      <c r="C137" s="491" t="s">
        <v>422</v>
      </c>
      <c r="D137" s="527"/>
      <c r="E137" s="273"/>
      <c r="F137" s="780">
        <v>32.604779999999998</v>
      </c>
      <c r="G137" s="683">
        <v>7307946</v>
      </c>
      <c r="H137" s="742">
        <v>256488</v>
      </c>
      <c r="I137" s="13"/>
      <c r="J137" s="857"/>
    </row>
    <row r="138" spans="1:10" x14ac:dyDescent="0.35">
      <c r="A138" s="275" t="s">
        <v>1036</v>
      </c>
      <c r="B138" s="276" t="s">
        <v>1118</v>
      </c>
      <c r="C138" s="276" t="s">
        <v>496</v>
      </c>
      <c r="D138" s="521" t="s">
        <v>936</v>
      </c>
      <c r="E138" s="277"/>
      <c r="F138" s="780">
        <v>61.58446</v>
      </c>
      <c r="G138" s="685">
        <v>7427442</v>
      </c>
      <c r="H138" s="742">
        <v>256489</v>
      </c>
      <c r="I138" s="13"/>
      <c r="J138" s="857"/>
    </row>
    <row r="139" spans="1:10" x14ac:dyDescent="0.35">
      <c r="A139" s="268" t="s">
        <v>1037</v>
      </c>
      <c r="B139" s="269" t="s">
        <v>1119</v>
      </c>
      <c r="C139" s="269" t="s">
        <v>353</v>
      </c>
      <c r="D139" s="525"/>
      <c r="E139" s="270"/>
      <c r="F139" s="780">
        <v>35.385860000000001</v>
      </c>
      <c r="G139" s="745">
        <v>8044415</v>
      </c>
      <c r="H139" s="742">
        <v>256491</v>
      </c>
      <c r="I139" s="13"/>
      <c r="J139" s="857"/>
    </row>
    <row r="140" spans="1:10" x14ac:dyDescent="0.35">
      <c r="A140" s="271" t="s">
        <v>1038</v>
      </c>
      <c r="B140" s="272" t="s">
        <v>1119</v>
      </c>
      <c r="C140" s="272" t="s">
        <v>354</v>
      </c>
      <c r="D140" s="526"/>
      <c r="E140" s="273"/>
      <c r="F140" s="780">
        <v>35.385860000000001</v>
      </c>
      <c r="G140" s="746">
        <v>8285646</v>
      </c>
      <c r="H140" s="742">
        <v>256490</v>
      </c>
      <c r="I140" s="13"/>
      <c r="J140" s="857"/>
    </row>
    <row r="141" spans="1:10" x14ac:dyDescent="0.35">
      <c r="A141" s="490" t="s">
        <v>1039</v>
      </c>
      <c r="B141" s="491" t="s">
        <v>1119</v>
      </c>
      <c r="C141" s="491" t="s">
        <v>422</v>
      </c>
      <c r="D141" s="527"/>
      <c r="E141" s="273"/>
      <c r="F141" s="780">
        <v>35.385860000000001</v>
      </c>
      <c r="G141" s="683">
        <v>8474809</v>
      </c>
      <c r="H141" s="742">
        <v>256492</v>
      </c>
      <c r="I141" s="13"/>
      <c r="J141" s="857"/>
    </row>
    <row r="142" spans="1:10" x14ac:dyDescent="0.35">
      <c r="A142" s="275" t="s">
        <v>1040</v>
      </c>
      <c r="B142" s="276" t="s">
        <v>1120</v>
      </c>
      <c r="C142" s="276" t="s">
        <v>496</v>
      </c>
      <c r="D142" s="521" t="s">
        <v>936</v>
      </c>
      <c r="E142" s="277"/>
      <c r="F142" s="780">
        <v>66.359309999999994</v>
      </c>
      <c r="G142" s="685">
        <v>7634696</v>
      </c>
      <c r="H142" s="742">
        <v>256493</v>
      </c>
      <c r="I142" s="13"/>
      <c r="J142" s="857"/>
    </row>
    <row r="143" spans="1:10" x14ac:dyDescent="0.35">
      <c r="A143" s="268" t="s">
        <v>1041</v>
      </c>
      <c r="B143" s="269" t="s">
        <v>1121</v>
      </c>
      <c r="C143" s="269" t="s">
        <v>353</v>
      </c>
      <c r="D143" s="525"/>
      <c r="E143" s="270"/>
      <c r="F143" s="780">
        <v>36.432029999999997</v>
      </c>
      <c r="G143" s="745">
        <v>9037386</v>
      </c>
      <c r="H143" s="742">
        <v>256495</v>
      </c>
      <c r="I143" s="13"/>
      <c r="J143" s="857"/>
    </row>
    <row r="144" spans="1:10" x14ac:dyDescent="0.35">
      <c r="A144" s="271" t="s">
        <v>1042</v>
      </c>
      <c r="B144" s="272" t="s">
        <v>1121</v>
      </c>
      <c r="C144" s="272" t="s">
        <v>354</v>
      </c>
      <c r="D144" s="526"/>
      <c r="E144" s="273"/>
      <c r="F144" s="780">
        <v>36.432029999999997</v>
      </c>
      <c r="G144" s="746">
        <v>9076042</v>
      </c>
      <c r="H144" s="742">
        <v>256494</v>
      </c>
      <c r="I144" s="13"/>
      <c r="J144" s="857"/>
    </row>
    <row r="145" spans="1:10" x14ac:dyDescent="0.35">
      <c r="A145" s="490" t="s">
        <v>1043</v>
      </c>
      <c r="B145" s="491" t="s">
        <v>1121</v>
      </c>
      <c r="C145" s="491" t="s">
        <v>422</v>
      </c>
      <c r="D145" s="527"/>
      <c r="E145" s="273"/>
      <c r="F145" s="780">
        <v>36.432029999999997</v>
      </c>
      <c r="G145" s="683">
        <v>9166830</v>
      </c>
      <c r="H145" s="742">
        <v>256496</v>
      </c>
      <c r="I145" s="13"/>
      <c r="J145" s="857"/>
    </row>
    <row r="146" spans="1:10" x14ac:dyDescent="0.35">
      <c r="A146" s="275" t="s">
        <v>1044</v>
      </c>
      <c r="B146" s="276" t="s">
        <v>1117</v>
      </c>
      <c r="C146" s="276" t="s">
        <v>496</v>
      </c>
      <c r="D146" s="521" t="s">
        <v>936</v>
      </c>
      <c r="E146" s="277"/>
      <c r="F146" s="780">
        <v>68.847359999999995</v>
      </c>
      <c r="G146" s="685">
        <v>9760720</v>
      </c>
      <c r="H146" s="742">
        <v>256497</v>
      </c>
      <c r="I146" s="13"/>
      <c r="J146" s="857"/>
    </row>
    <row r="147" spans="1:10" x14ac:dyDescent="0.35">
      <c r="A147" s="268" t="s">
        <v>700</v>
      </c>
      <c r="B147" s="269" t="s">
        <v>712</v>
      </c>
      <c r="C147" s="269" t="s">
        <v>353</v>
      </c>
      <c r="D147" s="525"/>
      <c r="E147" s="270"/>
      <c r="F147" s="780">
        <v>49.551900000000003</v>
      </c>
      <c r="G147" s="745">
        <v>9096837</v>
      </c>
      <c r="H147" s="742">
        <v>227526</v>
      </c>
      <c r="I147" s="13"/>
      <c r="J147" s="857"/>
    </row>
    <row r="148" spans="1:10" x14ac:dyDescent="0.35">
      <c r="A148" s="271" t="s">
        <v>701</v>
      </c>
      <c r="B148" s="272" t="s">
        <v>712</v>
      </c>
      <c r="C148" s="272" t="s">
        <v>354</v>
      </c>
      <c r="D148" s="526"/>
      <c r="E148" s="273"/>
      <c r="F148" s="780">
        <v>49.551900000000003</v>
      </c>
      <c r="G148" s="746">
        <v>9100975</v>
      </c>
      <c r="H148" s="742">
        <v>227525</v>
      </c>
      <c r="I148" s="13"/>
      <c r="J148" s="857"/>
    </row>
    <row r="149" spans="1:10" x14ac:dyDescent="0.35">
      <c r="A149" s="271" t="s">
        <v>702</v>
      </c>
      <c r="B149" s="272" t="s">
        <v>712</v>
      </c>
      <c r="C149" s="272" t="s">
        <v>422</v>
      </c>
      <c r="D149" s="526"/>
      <c r="E149" s="273"/>
      <c r="F149" s="780">
        <v>49.551900000000003</v>
      </c>
      <c r="G149" s="746">
        <v>9123035</v>
      </c>
      <c r="H149" s="742">
        <v>227527</v>
      </c>
      <c r="I149" s="13"/>
      <c r="J149" s="857"/>
    </row>
    <row r="150" spans="1:10" x14ac:dyDescent="0.35">
      <c r="A150" s="275" t="s">
        <v>703</v>
      </c>
      <c r="B150" s="276" t="s">
        <v>713</v>
      </c>
      <c r="C150" s="276" t="s">
        <v>496</v>
      </c>
      <c r="D150" s="521" t="s">
        <v>936</v>
      </c>
      <c r="E150" s="277"/>
      <c r="F150" s="780">
        <v>83.600710000000007</v>
      </c>
      <c r="G150" s="685">
        <v>1201651</v>
      </c>
      <c r="H150" s="742">
        <v>227528</v>
      </c>
      <c r="I150" s="13"/>
      <c r="J150" s="857"/>
    </row>
    <row r="151" spans="1:10" x14ac:dyDescent="0.35">
      <c r="A151" s="268" t="s">
        <v>444</v>
      </c>
      <c r="B151" s="269" t="s">
        <v>368</v>
      </c>
      <c r="C151" s="269" t="s">
        <v>353</v>
      </c>
      <c r="D151" s="525"/>
      <c r="E151" s="270"/>
      <c r="F151" s="780">
        <v>49.984830000000002</v>
      </c>
      <c r="G151" s="745">
        <v>9153879</v>
      </c>
      <c r="H151" s="742">
        <v>227530</v>
      </c>
      <c r="I151" s="13"/>
      <c r="J151" s="857"/>
    </row>
    <row r="152" spans="1:10" x14ac:dyDescent="0.35">
      <c r="A152" s="271" t="s">
        <v>365</v>
      </c>
      <c r="B152" s="272" t="s">
        <v>368</v>
      </c>
      <c r="C152" s="272" t="s">
        <v>354</v>
      </c>
      <c r="D152" s="526"/>
      <c r="E152" s="273"/>
      <c r="F152" s="780">
        <v>49.984830000000002</v>
      </c>
      <c r="G152" s="746">
        <v>9160529</v>
      </c>
      <c r="H152" s="742">
        <v>227529</v>
      </c>
      <c r="I152" s="13"/>
      <c r="J152" s="857"/>
    </row>
    <row r="153" spans="1:10" x14ac:dyDescent="0.35">
      <c r="A153" s="271" t="s">
        <v>366</v>
      </c>
      <c r="B153" s="272" t="s">
        <v>368</v>
      </c>
      <c r="C153" s="272" t="s">
        <v>422</v>
      </c>
      <c r="D153" s="526"/>
      <c r="E153" s="273"/>
      <c r="F153" s="780">
        <v>49.984830000000002</v>
      </c>
      <c r="G153" s="746">
        <v>9177721</v>
      </c>
      <c r="H153" s="742">
        <v>227531</v>
      </c>
      <c r="I153" s="13"/>
      <c r="J153" s="857"/>
    </row>
    <row r="154" spans="1:10" x14ac:dyDescent="0.35">
      <c r="A154" s="275" t="s">
        <v>367</v>
      </c>
      <c r="B154" s="276" t="s">
        <v>369</v>
      </c>
      <c r="C154" s="276" t="s">
        <v>496</v>
      </c>
      <c r="D154" s="521" t="s">
        <v>936</v>
      </c>
      <c r="E154" s="277"/>
      <c r="F154" s="780">
        <v>84.899659999999997</v>
      </c>
      <c r="G154" s="685">
        <v>1241241</v>
      </c>
      <c r="H154" s="742">
        <v>227532</v>
      </c>
      <c r="I154" s="13"/>
      <c r="J154" s="857"/>
    </row>
    <row r="155" spans="1:10" x14ac:dyDescent="0.35">
      <c r="A155" s="268" t="s">
        <v>704</v>
      </c>
      <c r="B155" s="269" t="s">
        <v>714</v>
      </c>
      <c r="C155" s="269" t="s">
        <v>353</v>
      </c>
      <c r="D155" s="525"/>
      <c r="E155" s="270"/>
      <c r="F155" s="780">
        <v>51.93262</v>
      </c>
      <c r="G155" s="745">
        <v>9249100</v>
      </c>
      <c r="H155" s="742">
        <v>227534</v>
      </c>
      <c r="I155" s="13"/>
      <c r="J155" s="857"/>
    </row>
    <row r="156" spans="1:10" x14ac:dyDescent="0.35">
      <c r="A156" s="271" t="s">
        <v>705</v>
      </c>
      <c r="B156" s="272" t="s">
        <v>714</v>
      </c>
      <c r="C156" s="272" t="s">
        <v>354</v>
      </c>
      <c r="D156" s="526"/>
      <c r="E156" s="273"/>
      <c r="F156" s="780">
        <v>51.93262</v>
      </c>
      <c r="G156" s="746">
        <v>9253160</v>
      </c>
      <c r="H156" s="742">
        <v>227533</v>
      </c>
      <c r="I156" s="13"/>
      <c r="J156" s="857"/>
    </row>
    <row r="157" spans="1:10" x14ac:dyDescent="0.35">
      <c r="A157" s="271" t="s">
        <v>706</v>
      </c>
      <c r="B157" s="272" t="s">
        <v>714</v>
      </c>
      <c r="C157" s="272" t="s">
        <v>422</v>
      </c>
      <c r="D157" s="526"/>
      <c r="E157" s="273"/>
      <c r="F157" s="780">
        <v>51.93262</v>
      </c>
      <c r="G157" s="746">
        <v>9258019</v>
      </c>
      <c r="H157" s="742">
        <v>227535</v>
      </c>
      <c r="I157" s="13"/>
      <c r="J157" s="857"/>
    </row>
    <row r="158" spans="1:10" x14ac:dyDescent="0.35">
      <c r="A158" s="275" t="s">
        <v>707</v>
      </c>
      <c r="B158" s="276" t="s">
        <v>861</v>
      </c>
      <c r="C158" s="276" t="s">
        <v>496</v>
      </c>
      <c r="D158" s="521" t="s">
        <v>936</v>
      </c>
      <c r="E158" s="277"/>
      <c r="F158" s="780">
        <v>88.14658</v>
      </c>
      <c r="G158" s="685">
        <v>1335726</v>
      </c>
      <c r="H158" s="742">
        <v>227536</v>
      </c>
      <c r="I158" s="13"/>
      <c r="J158" s="857"/>
    </row>
    <row r="159" spans="1:10" x14ac:dyDescent="0.35">
      <c r="A159" s="268" t="s">
        <v>708</v>
      </c>
      <c r="B159" s="269" t="s">
        <v>862</v>
      </c>
      <c r="C159" s="269" t="s">
        <v>353</v>
      </c>
      <c r="D159" s="525"/>
      <c r="E159" s="270"/>
      <c r="F159" s="780">
        <v>56.477589999999999</v>
      </c>
      <c r="G159" s="745">
        <v>9299751</v>
      </c>
      <c r="H159" s="742">
        <v>227538</v>
      </c>
      <c r="I159" s="13"/>
      <c r="J159" s="857"/>
    </row>
    <row r="160" spans="1:10" x14ac:dyDescent="0.35">
      <c r="A160" s="271" t="s">
        <v>709</v>
      </c>
      <c r="B160" s="272" t="s">
        <v>862</v>
      </c>
      <c r="C160" s="272" t="s">
        <v>354</v>
      </c>
      <c r="D160" s="526"/>
      <c r="E160" s="273"/>
      <c r="F160" s="780">
        <v>56.477589999999999</v>
      </c>
      <c r="G160" s="746">
        <v>9310682</v>
      </c>
      <c r="H160" s="742">
        <v>227537</v>
      </c>
      <c r="I160" s="13"/>
      <c r="J160" s="857"/>
    </row>
    <row r="161" spans="1:10" x14ac:dyDescent="0.35">
      <c r="A161" s="271" t="s">
        <v>710</v>
      </c>
      <c r="B161" s="272" t="s">
        <v>862</v>
      </c>
      <c r="C161" s="272" t="s">
        <v>422</v>
      </c>
      <c r="D161" s="526"/>
      <c r="E161" s="273"/>
      <c r="F161" s="780">
        <v>56.477589999999999</v>
      </c>
      <c r="G161" s="746">
        <v>9313559</v>
      </c>
      <c r="H161" s="742">
        <v>227539</v>
      </c>
      <c r="I161" s="13"/>
      <c r="J161" s="857"/>
    </row>
    <row r="162" spans="1:10" x14ac:dyDescent="0.35">
      <c r="A162" s="275" t="s">
        <v>711</v>
      </c>
      <c r="B162" s="276" t="s">
        <v>863</v>
      </c>
      <c r="C162" s="276" t="s">
        <v>496</v>
      </c>
      <c r="D162" s="521" t="s">
        <v>936</v>
      </c>
      <c r="E162" s="277"/>
      <c r="F162" s="780">
        <v>97.885360000000006</v>
      </c>
      <c r="G162" s="685">
        <v>1351203</v>
      </c>
      <c r="H162" s="742">
        <v>227540</v>
      </c>
      <c r="I162" s="13"/>
      <c r="J162" s="857"/>
    </row>
    <row r="163" spans="1:10" x14ac:dyDescent="0.35">
      <c r="A163" s="268" t="s">
        <v>964</v>
      </c>
      <c r="B163" s="269" t="s">
        <v>968</v>
      </c>
      <c r="C163" s="269" t="s">
        <v>353</v>
      </c>
      <c r="D163" s="525"/>
      <c r="E163" s="270"/>
      <c r="F163" s="780">
        <v>58.03593</v>
      </c>
      <c r="G163" s="745">
        <v>1876579</v>
      </c>
      <c r="H163" s="742">
        <v>256462</v>
      </c>
      <c r="I163" s="13"/>
      <c r="J163" s="857"/>
    </row>
    <row r="164" spans="1:10" x14ac:dyDescent="0.35">
      <c r="A164" s="271" t="s">
        <v>965</v>
      </c>
      <c r="B164" s="272" t="s">
        <v>968</v>
      </c>
      <c r="C164" s="272" t="s">
        <v>354</v>
      </c>
      <c r="D164" s="526"/>
      <c r="E164" s="273"/>
      <c r="F164" s="780">
        <v>58.03593</v>
      </c>
      <c r="G164" s="746">
        <v>4138347</v>
      </c>
      <c r="H164" s="742">
        <v>256461</v>
      </c>
      <c r="I164" s="13"/>
      <c r="J164" s="857"/>
    </row>
    <row r="165" spans="1:10" x14ac:dyDescent="0.35">
      <c r="A165" s="271" t="s">
        <v>966</v>
      </c>
      <c r="B165" s="272" t="s">
        <v>968</v>
      </c>
      <c r="C165" s="272" t="s">
        <v>422</v>
      </c>
      <c r="D165" s="526"/>
      <c r="E165" s="273"/>
      <c r="F165" s="780">
        <v>58.03593</v>
      </c>
      <c r="G165" s="746">
        <v>6910399</v>
      </c>
      <c r="H165" s="742">
        <v>256463</v>
      </c>
      <c r="I165" s="13"/>
      <c r="J165" s="857"/>
    </row>
    <row r="166" spans="1:10" x14ac:dyDescent="0.35">
      <c r="A166" s="275" t="s">
        <v>967</v>
      </c>
      <c r="B166" s="276" t="s">
        <v>969</v>
      </c>
      <c r="C166" s="276" t="s">
        <v>496</v>
      </c>
      <c r="D166" s="521" t="s">
        <v>936</v>
      </c>
      <c r="E166" s="277"/>
      <c r="F166" s="780">
        <v>102.86324999999999</v>
      </c>
      <c r="G166" s="685">
        <v>3797708</v>
      </c>
      <c r="H166" s="742">
        <v>256464</v>
      </c>
      <c r="I166" s="13"/>
      <c r="J166" s="857"/>
    </row>
    <row r="167" spans="1:10" x14ac:dyDescent="0.35">
      <c r="A167" s="33"/>
      <c r="B167" s="34"/>
      <c r="C167" s="34"/>
      <c r="D167" s="529"/>
      <c r="E167" s="32"/>
      <c r="F167" s="780"/>
      <c r="G167" s="749"/>
      <c r="H167" s="742"/>
      <c r="I167" s="13"/>
      <c r="J167" s="857"/>
    </row>
    <row r="168" spans="1:10" x14ac:dyDescent="0.35">
      <c r="A168" s="574" t="s">
        <v>1047</v>
      </c>
      <c r="B168" s="575" t="s">
        <v>1054</v>
      </c>
      <c r="C168" s="575" t="s">
        <v>520</v>
      </c>
      <c r="D168" s="576"/>
      <c r="E168" s="32"/>
      <c r="F168" s="780">
        <v>20.73847</v>
      </c>
      <c r="G168" s="741">
        <v>6061082</v>
      </c>
      <c r="H168" s="742">
        <v>256611</v>
      </c>
      <c r="I168" s="13"/>
      <c r="J168" s="857"/>
    </row>
    <row r="169" spans="1:10" x14ac:dyDescent="0.35">
      <c r="A169" s="574" t="s">
        <v>1048</v>
      </c>
      <c r="B169" s="575" t="s">
        <v>1055</v>
      </c>
      <c r="C169" s="575" t="s">
        <v>520</v>
      </c>
      <c r="D169" s="576"/>
      <c r="E169" s="32"/>
      <c r="F169" s="780">
        <v>21.912769999999998</v>
      </c>
      <c r="G169" s="741">
        <v>3508415</v>
      </c>
      <c r="H169" s="742">
        <v>257252</v>
      </c>
      <c r="I169" s="13"/>
      <c r="J169" s="857"/>
    </row>
    <row r="170" spans="1:10" x14ac:dyDescent="0.35">
      <c r="A170" s="574" t="s">
        <v>1049</v>
      </c>
      <c r="B170" s="575" t="s">
        <v>1106</v>
      </c>
      <c r="C170" s="575" t="s">
        <v>520</v>
      </c>
      <c r="D170" s="576"/>
      <c r="E170" s="32"/>
      <c r="F170" s="780">
        <v>23.087060000000001</v>
      </c>
      <c r="G170" s="741">
        <v>1507620</v>
      </c>
      <c r="H170" s="742">
        <v>257253</v>
      </c>
      <c r="I170" s="13"/>
      <c r="J170" s="857"/>
    </row>
    <row r="171" spans="1:10" x14ac:dyDescent="0.35">
      <c r="A171" s="574" t="s">
        <v>1050</v>
      </c>
      <c r="B171" s="575" t="s">
        <v>1107</v>
      </c>
      <c r="C171" s="575" t="s">
        <v>520</v>
      </c>
      <c r="D171" s="576"/>
      <c r="E171" s="32"/>
      <c r="F171" s="780">
        <v>24.26136</v>
      </c>
      <c r="G171" s="741">
        <v>3863908</v>
      </c>
      <c r="H171" s="742">
        <v>257254</v>
      </c>
      <c r="I171" s="13"/>
      <c r="J171" s="857"/>
    </row>
    <row r="172" spans="1:10" x14ac:dyDescent="0.35">
      <c r="A172" s="574" t="s">
        <v>1051</v>
      </c>
      <c r="B172" s="575" t="s">
        <v>1056</v>
      </c>
      <c r="C172" s="575" t="s">
        <v>520</v>
      </c>
      <c r="D172" s="576"/>
      <c r="E172" s="32"/>
      <c r="F172" s="780">
        <v>26.609179999999999</v>
      </c>
      <c r="G172" s="741">
        <v>3232216</v>
      </c>
      <c r="H172" s="742">
        <v>257255</v>
      </c>
      <c r="I172" s="13"/>
      <c r="J172" s="857"/>
    </row>
    <row r="173" spans="1:10" x14ac:dyDescent="0.35">
      <c r="A173" s="574" t="s">
        <v>1052</v>
      </c>
      <c r="B173" s="575" t="s">
        <v>1057</v>
      </c>
      <c r="C173" s="575" t="s">
        <v>520</v>
      </c>
      <c r="D173" s="576"/>
      <c r="E173" s="32"/>
      <c r="F173" s="780">
        <v>28.95702</v>
      </c>
      <c r="G173" s="741">
        <v>4637982</v>
      </c>
      <c r="H173" s="742">
        <v>257256</v>
      </c>
      <c r="I173" s="13"/>
      <c r="J173" s="857"/>
    </row>
    <row r="174" spans="1:10" x14ac:dyDescent="0.35">
      <c r="A174" s="574" t="s">
        <v>1053</v>
      </c>
      <c r="B174" s="575" t="s">
        <v>1058</v>
      </c>
      <c r="C174" s="575" t="s">
        <v>520</v>
      </c>
      <c r="D174" s="576"/>
      <c r="E174" s="32"/>
      <c r="F174" s="780">
        <v>31.304870000000001</v>
      </c>
      <c r="G174" s="741">
        <v>5250952</v>
      </c>
      <c r="H174" s="742">
        <v>257258</v>
      </c>
      <c r="I174" s="13"/>
      <c r="J174" s="857"/>
    </row>
    <row r="175" spans="1:10" x14ac:dyDescent="0.35">
      <c r="A175" s="33"/>
      <c r="B175" s="34"/>
      <c r="C175" s="34"/>
      <c r="D175" s="529"/>
      <c r="E175" s="32"/>
      <c r="F175" s="780"/>
      <c r="G175" s="749"/>
      <c r="H175" s="742"/>
      <c r="I175" s="13"/>
      <c r="J175" s="857"/>
    </row>
    <row r="176" spans="1:10" x14ac:dyDescent="0.35">
      <c r="A176" s="38" t="s">
        <v>374</v>
      </c>
      <c r="B176" s="34"/>
      <c r="C176" s="34"/>
      <c r="D176" s="529"/>
      <c r="E176" s="32"/>
      <c r="F176" s="780"/>
      <c r="G176" s="749"/>
      <c r="H176" s="742"/>
      <c r="I176" s="13"/>
      <c r="J176" s="857"/>
    </row>
    <row r="177" spans="1:10" x14ac:dyDescent="0.35">
      <c r="A177" s="37" t="s">
        <v>620</v>
      </c>
      <c r="B177" s="31" t="s">
        <v>716</v>
      </c>
      <c r="C177" s="31" t="s">
        <v>238</v>
      </c>
      <c r="D177" s="528"/>
      <c r="E177" s="32"/>
      <c r="F177" s="780">
        <v>21.845690000000001</v>
      </c>
      <c r="G177" s="741">
        <v>1854191</v>
      </c>
      <c r="H177" s="742">
        <v>227408</v>
      </c>
      <c r="I177" s="13"/>
      <c r="J177" s="857"/>
    </row>
    <row r="178" spans="1:10" x14ac:dyDescent="0.35">
      <c r="A178" s="37" t="s">
        <v>622</v>
      </c>
      <c r="B178" s="31" t="s">
        <v>717</v>
      </c>
      <c r="C178" s="31" t="s">
        <v>238</v>
      </c>
      <c r="D178" s="528"/>
      <c r="E178" s="32"/>
      <c r="F178" s="780">
        <v>21.925909999999998</v>
      </c>
      <c r="G178" s="741">
        <v>1899809</v>
      </c>
      <c r="H178" s="742">
        <v>227409</v>
      </c>
      <c r="I178" s="13"/>
      <c r="J178" s="857"/>
    </row>
    <row r="179" spans="1:10" x14ac:dyDescent="0.35">
      <c r="A179" s="37" t="s">
        <v>624</v>
      </c>
      <c r="B179" s="31" t="s">
        <v>718</v>
      </c>
      <c r="C179" s="31" t="s">
        <v>238</v>
      </c>
      <c r="D179" s="528"/>
      <c r="E179" s="32"/>
      <c r="F179" s="780">
        <v>21.845690000000001</v>
      </c>
      <c r="G179" s="741">
        <v>2040276</v>
      </c>
      <c r="H179" s="742">
        <v>227410</v>
      </c>
      <c r="I179" s="13"/>
      <c r="J179" s="857"/>
    </row>
    <row r="180" spans="1:10" x14ac:dyDescent="0.35">
      <c r="A180" s="37" t="s">
        <v>377</v>
      </c>
      <c r="B180" s="31" t="s">
        <v>490</v>
      </c>
      <c r="C180" s="31" t="s">
        <v>238</v>
      </c>
      <c r="D180" s="528"/>
      <c r="E180" s="32"/>
      <c r="F180" s="780">
        <v>22.204979999999999</v>
      </c>
      <c r="G180" s="741">
        <v>2191349</v>
      </c>
      <c r="H180" s="742">
        <v>227411</v>
      </c>
      <c r="I180" s="13"/>
      <c r="J180" s="857"/>
    </row>
    <row r="181" spans="1:10" x14ac:dyDescent="0.35">
      <c r="A181" s="37" t="s">
        <v>378</v>
      </c>
      <c r="B181" s="31" t="s">
        <v>491</v>
      </c>
      <c r="C181" s="31" t="s">
        <v>238</v>
      </c>
      <c r="D181" s="528"/>
      <c r="E181" s="32"/>
      <c r="F181" s="780">
        <v>23.667639999999999</v>
      </c>
      <c r="G181" s="741">
        <v>2345608</v>
      </c>
      <c r="H181" s="742">
        <v>227412</v>
      </c>
      <c r="I181" s="13"/>
      <c r="J181" s="857"/>
    </row>
    <row r="182" spans="1:10" x14ac:dyDescent="0.35">
      <c r="A182" s="37" t="s">
        <v>626</v>
      </c>
      <c r="B182" s="31" t="s">
        <v>715</v>
      </c>
      <c r="C182" s="31" t="s">
        <v>238</v>
      </c>
      <c r="D182" s="528"/>
      <c r="E182" s="32"/>
      <c r="F182" s="780">
        <v>27.780560000000001</v>
      </c>
      <c r="G182" s="741">
        <v>3367546</v>
      </c>
      <c r="H182" s="742">
        <v>227416</v>
      </c>
      <c r="I182" s="13"/>
      <c r="J182" s="857"/>
    </row>
    <row r="183" spans="1:10" x14ac:dyDescent="0.35">
      <c r="A183" s="37" t="s">
        <v>375</v>
      </c>
      <c r="B183" s="31" t="s">
        <v>488</v>
      </c>
      <c r="C183" s="31" t="s">
        <v>238</v>
      </c>
      <c r="D183" s="528"/>
      <c r="E183" s="32"/>
      <c r="F183" s="780">
        <v>22.680199999999999</v>
      </c>
      <c r="G183" s="741">
        <v>2719117</v>
      </c>
      <c r="H183" s="742">
        <v>227413</v>
      </c>
      <c r="I183" s="13"/>
      <c r="J183" s="857"/>
    </row>
    <row r="184" spans="1:10" x14ac:dyDescent="0.35">
      <c r="A184" s="37" t="s">
        <v>376</v>
      </c>
      <c r="B184" s="31" t="s">
        <v>489</v>
      </c>
      <c r="C184" s="31" t="s">
        <v>238</v>
      </c>
      <c r="D184" s="528"/>
      <c r="E184" s="32"/>
      <c r="F184" s="780">
        <v>28.059809999999999</v>
      </c>
      <c r="G184" s="741">
        <v>3428699</v>
      </c>
      <c r="H184" s="742">
        <v>227417</v>
      </c>
      <c r="I184" s="13"/>
      <c r="J184" s="857"/>
    </row>
    <row r="185" spans="1:10" x14ac:dyDescent="0.35">
      <c r="A185" s="37" t="s">
        <v>628</v>
      </c>
      <c r="B185" s="31" t="s">
        <v>822</v>
      </c>
      <c r="C185" s="31" t="s">
        <v>238</v>
      </c>
      <c r="D185" s="528"/>
      <c r="E185" s="32"/>
      <c r="F185" s="780">
        <v>24.25421</v>
      </c>
      <c r="G185" s="741">
        <v>3171218</v>
      </c>
      <c r="H185" s="742">
        <v>227414</v>
      </c>
      <c r="I185" s="13"/>
      <c r="J185" s="857"/>
    </row>
    <row r="186" spans="1:10" x14ac:dyDescent="0.35">
      <c r="A186" s="37" t="s">
        <v>629</v>
      </c>
      <c r="B186" s="31" t="s">
        <v>823</v>
      </c>
      <c r="C186" s="31" t="s">
        <v>238</v>
      </c>
      <c r="D186" s="528"/>
      <c r="E186" s="32"/>
      <c r="F186" s="780">
        <v>29.550529999999998</v>
      </c>
      <c r="G186" s="741">
        <v>3574954</v>
      </c>
      <c r="H186" s="742">
        <v>227418</v>
      </c>
      <c r="I186" s="13"/>
      <c r="J186" s="857"/>
    </row>
    <row r="187" spans="1:10" x14ac:dyDescent="0.35">
      <c r="A187" s="37" t="s">
        <v>631</v>
      </c>
      <c r="B187" s="31" t="s">
        <v>824</v>
      </c>
      <c r="C187" s="31" t="s">
        <v>238</v>
      </c>
      <c r="D187" s="528"/>
      <c r="E187" s="32"/>
      <c r="F187" s="780">
        <v>27.259979999999999</v>
      </c>
      <c r="G187" s="741">
        <v>3275653</v>
      </c>
      <c r="H187" s="742">
        <v>227415</v>
      </c>
      <c r="I187" s="13"/>
      <c r="J187" s="857"/>
    </row>
    <row r="188" spans="1:10" x14ac:dyDescent="0.35">
      <c r="A188" s="37" t="s">
        <v>632</v>
      </c>
      <c r="B188" s="31" t="s">
        <v>825</v>
      </c>
      <c r="C188" s="31" t="s">
        <v>238</v>
      </c>
      <c r="D188" s="528"/>
      <c r="E188" s="32"/>
      <c r="F188" s="780">
        <v>32.5563</v>
      </c>
      <c r="G188" s="741">
        <v>3768000</v>
      </c>
      <c r="H188" s="742">
        <v>227419</v>
      </c>
      <c r="I188" s="13"/>
      <c r="J188" s="857"/>
    </row>
    <row r="189" spans="1:10" x14ac:dyDescent="0.35">
      <c r="A189" s="37" t="s">
        <v>977</v>
      </c>
      <c r="B189" s="31" t="s">
        <v>978</v>
      </c>
      <c r="C189" s="31" t="s">
        <v>238</v>
      </c>
      <c r="D189" s="528"/>
      <c r="E189" s="32"/>
      <c r="F189" s="780">
        <v>34.047020000000003</v>
      </c>
      <c r="G189" s="741">
        <v>3977695</v>
      </c>
      <c r="H189" s="742">
        <v>253716</v>
      </c>
      <c r="I189" s="13"/>
      <c r="J189" s="857"/>
    </row>
    <row r="190" spans="1:10" x14ac:dyDescent="0.35">
      <c r="A190" s="37"/>
      <c r="B190" s="31"/>
      <c r="C190" s="31"/>
      <c r="D190" s="528"/>
      <c r="E190" s="32"/>
      <c r="F190" s="780"/>
      <c r="G190" s="750"/>
      <c r="H190" s="742"/>
      <c r="I190" s="13"/>
      <c r="J190" s="857"/>
    </row>
    <row r="191" spans="1:10" x14ac:dyDescent="0.35">
      <c r="A191" s="37"/>
      <c r="B191" s="31"/>
      <c r="C191" s="31"/>
      <c r="D191" s="528"/>
      <c r="E191" s="32"/>
      <c r="F191" s="780"/>
      <c r="G191" s="750"/>
      <c r="H191" s="742"/>
      <c r="I191" s="13"/>
      <c r="J191" s="857"/>
    </row>
    <row r="192" spans="1:10" x14ac:dyDescent="0.35">
      <c r="A192" s="39" t="s">
        <v>85</v>
      </c>
      <c r="B192" s="31"/>
      <c r="C192" s="31"/>
      <c r="D192" s="528"/>
      <c r="E192" s="40"/>
      <c r="F192" s="780"/>
      <c r="G192" s="750"/>
      <c r="H192" s="742"/>
      <c r="I192" s="13"/>
      <c r="J192" s="857"/>
    </row>
    <row r="193" spans="1:12" x14ac:dyDescent="0.35">
      <c r="A193" s="37" t="s">
        <v>621</v>
      </c>
      <c r="B193" s="31" t="s">
        <v>720</v>
      </c>
      <c r="C193" s="31" t="s">
        <v>238</v>
      </c>
      <c r="D193" s="528"/>
      <c r="E193" s="32"/>
      <c r="F193" s="780">
        <v>30.36646</v>
      </c>
      <c r="G193" s="741">
        <v>3790819</v>
      </c>
      <c r="H193" s="742">
        <v>227420</v>
      </c>
      <c r="I193" s="13"/>
      <c r="J193" s="857"/>
    </row>
    <row r="194" spans="1:12" x14ac:dyDescent="0.35">
      <c r="A194" s="37" t="s">
        <v>623</v>
      </c>
      <c r="B194" s="31" t="s">
        <v>721</v>
      </c>
      <c r="C194" s="31" t="s">
        <v>238</v>
      </c>
      <c r="D194" s="528"/>
      <c r="E194" s="32"/>
      <c r="F194" s="780">
        <v>30.36646</v>
      </c>
      <c r="G194" s="741">
        <v>3867722</v>
      </c>
      <c r="H194" s="742">
        <v>227421</v>
      </c>
      <c r="I194" s="13"/>
      <c r="J194" s="857"/>
    </row>
    <row r="195" spans="1:12" x14ac:dyDescent="0.35">
      <c r="A195" s="37" t="s">
        <v>625</v>
      </c>
      <c r="B195" s="31" t="s">
        <v>722</v>
      </c>
      <c r="C195" s="31" t="s">
        <v>238</v>
      </c>
      <c r="D195" s="528"/>
      <c r="E195" s="32"/>
      <c r="F195" s="780">
        <v>30.36646</v>
      </c>
      <c r="G195" s="741">
        <v>5075795</v>
      </c>
      <c r="H195" s="742">
        <v>227422</v>
      </c>
      <c r="I195" s="13"/>
      <c r="J195" s="857"/>
    </row>
    <row r="196" spans="1:12" x14ac:dyDescent="0.35">
      <c r="A196" s="37" t="s">
        <v>381</v>
      </c>
      <c r="B196" s="31" t="s">
        <v>494</v>
      </c>
      <c r="C196" s="31" t="s">
        <v>238</v>
      </c>
      <c r="D196" s="528"/>
      <c r="E196" s="32"/>
      <c r="F196" s="780">
        <v>30.645720000000001</v>
      </c>
      <c r="G196" s="741">
        <v>5085127</v>
      </c>
      <c r="H196" s="742">
        <v>227423</v>
      </c>
      <c r="I196" s="13"/>
      <c r="J196" s="857"/>
    </row>
    <row r="197" spans="1:12" x14ac:dyDescent="0.35">
      <c r="A197" s="37" t="s">
        <v>382</v>
      </c>
      <c r="B197" s="31" t="s">
        <v>495</v>
      </c>
      <c r="C197" s="31" t="s">
        <v>238</v>
      </c>
      <c r="D197" s="528"/>
      <c r="E197" s="32"/>
      <c r="F197" s="780">
        <v>32.552599999999998</v>
      </c>
      <c r="G197" s="741">
        <v>5257996</v>
      </c>
      <c r="H197" s="742">
        <v>227424</v>
      </c>
      <c r="I197" s="13"/>
      <c r="J197" s="857"/>
    </row>
    <row r="198" spans="1:12" x14ac:dyDescent="0.35">
      <c r="A198" s="37" t="s">
        <v>627</v>
      </c>
      <c r="B198" s="31" t="s">
        <v>723</v>
      </c>
      <c r="C198" s="31" t="s">
        <v>238</v>
      </c>
      <c r="D198" s="528"/>
      <c r="E198" s="32"/>
      <c r="F198" s="780">
        <v>36.006259999999997</v>
      </c>
      <c r="G198" s="741">
        <v>5767239</v>
      </c>
      <c r="H198" s="742">
        <v>227428</v>
      </c>
      <c r="I198" s="13"/>
      <c r="J198" s="857"/>
    </row>
    <row r="199" spans="1:12" x14ac:dyDescent="0.35">
      <c r="A199" s="37" t="s">
        <v>379</v>
      </c>
      <c r="B199" s="31" t="s">
        <v>492</v>
      </c>
      <c r="C199" s="31" t="s">
        <v>238</v>
      </c>
      <c r="D199" s="528"/>
      <c r="E199" s="32"/>
      <c r="F199" s="780">
        <v>32.846359999999997</v>
      </c>
      <c r="G199" s="741">
        <v>5372007</v>
      </c>
      <c r="H199" s="742">
        <v>227425</v>
      </c>
      <c r="I199" s="13"/>
      <c r="J199" s="857"/>
    </row>
    <row r="200" spans="1:12" x14ac:dyDescent="0.35">
      <c r="A200" s="37" t="s">
        <v>380</v>
      </c>
      <c r="B200" s="31" t="s">
        <v>493</v>
      </c>
      <c r="C200" s="31" t="s">
        <v>238</v>
      </c>
      <c r="D200" s="528"/>
      <c r="E200" s="32"/>
      <c r="F200" s="780">
        <v>36.285339999999998</v>
      </c>
      <c r="G200" s="741">
        <v>5817679</v>
      </c>
      <c r="H200" s="742">
        <v>227429</v>
      </c>
      <c r="I200" s="13"/>
      <c r="J200" s="857"/>
    </row>
    <row r="201" spans="1:12" x14ac:dyDescent="0.35">
      <c r="A201" s="37" t="s">
        <v>719</v>
      </c>
      <c r="B201" s="31" t="s">
        <v>826</v>
      </c>
      <c r="C201" s="31" t="s">
        <v>238</v>
      </c>
      <c r="D201" s="528"/>
      <c r="E201" s="32"/>
      <c r="F201" s="780">
        <v>32.694760000000002</v>
      </c>
      <c r="G201" s="741">
        <v>5385115</v>
      </c>
      <c r="H201" s="742">
        <v>227426</v>
      </c>
      <c r="I201" s="13"/>
      <c r="J201" s="857"/>
    </row>
    <row r="202" spans="1:12" x14ac:dyDescent="0.35">
      <c r="A202" s="37" t="s">
        <v>630</v>
      </c>
      <c r="B202" s="31" t="s">
        <v>827</v>
      </c>
      <c r="C202" s="31" t="s">
        <v>238</v>
      </c>
      <c r="D202" s="528"/>
      <c r="E202" s="32"/>
      <c r="F202" s="780">
        <v>37.776060000000001</v>
      </c>
      <c r="G202" s="741">
        <v>6134281</v>
      </c>
      <c r="H202" s="742">
        <v>227430</v>
      </c>
      <c r="I202" s="13"/>
      <c r="J202" s="857"/>
    </row>
    <row r="203" spans="1:12" x14ac:dyDescent="0.35">
      <c r="A203" s="37" t="s">
        <v>633</v>
      </c>
      <c r="B203" s="31" t="s">
        <v>828</v>
      </c>
      <c r="C203" s="31" t="s">
        <v>238</v>
      </c>
      <c r="D203" s="528"/>
      <c r="E203" s="32"/>
      <c r="F203" s="780">
        <v>35.700530000000001</v>
      </c>
      <c r="G203" s="741">
        <v>5743471</v>
      </c>
      <c r="H203" s="742">
        <v>227427</v>
      </c>
      <c r="I203" s="13"/>
      <c r="J203" s="857"/>
    </row>
    <row r="204" spans="1:12" x14ac:dyDescent="0.35">
      <c r="A204" s="37" t="s">
        <v>634</v>
      </c>
      <c r="B204" s="31" t="s">
        <v>829</v>
      </c>
      <c r="C204" s="31" t="s">
        <v>238</v>
      </c>
      <c r="D204" s="528"/>
      <c r="E204" s="32"/>
      <c r="F204" s="780">
        <v>40.781829999999999</v>
      </c>
      <c r="G204" s="741">
        <v>6459880</v>
      </c>
      <c r="H204" s="742">
        <v>227431</v>
      </c>
      <c r="I204" s="13"/>
      <c r="J204" s="857"/>
    </row>
    <row r="205" spans="1:12" x14ac:dyDescent="0.35">
      <c r="A205" s="37" t="s">
        <v>979</v>
      </c>
      <c r="B205" s="31" t="s">
        <v>980</v>
      </c>
      <c r="C205" s="31" t="s">
        <v>238</v>
      </c>
      <c r="D205" s="528"/>
      <c r="E205" s="32"/>
      <c r="F205" s="780">
        <v>42.272550000000003</v>
      </c>
      <c r="G205" s="741">
        <v>1661174</v>
      </c>
      <c r="H205" s="742">
        <v>253717</v>
      </c>
      <c r="I205" s="13"/>
      <c r="J205" s="857"/>
    </row>
    <row r="206" spans="1:12" x14ac:dyDescent="0.35">
      <c r="A206" s="41"/>
      <c r="B206" s="31"/>
      <c r="C206" s="31"/>
      <c r="D206" s="528"/>
      <c r="E206" s="42"/>
      <c r="F206" s="780"/>
      <c r="G206" s="751"/>
      <c r="H206" s="742"/>
      <c r="I206" s="13"/>
      <c r="J206" s="857"/>
    </row>
    <row r="207" spans="1:12" s="664" customFormat="1" x14ac:dyDescent="0.35">
      <c r="A207" s="41"/>
      <c r="B207" s="31"/>
      <c r="C207" s="31"/>
      <c r="D207" s="528"/>
      <c r="E207" s="42"/>
      <c r="F207" s="780"/>
      <c r="G207" s="680"/>
      <c r="H207" s="742"/>
      <c r="I207" s="663"/>
      <c r="J207" s="857"/>
      <c r="K207" s="24"/>
      <c r="L207" s="858"/>
    </row>
    <row r="208" spans="1:12" s="664" customFormat="1" x14ac:dyDescent="0.35">
      <c r="A208" s="38" t="s">
        <v>1091</v>
      </c>
      <c r="B208" s="31"/>
      <c r="C208" s="31"/>
      <c r="D208" s="528"/>
      <c r="E208" s="32"/>
      <c r="F208" s="780"/>
      <c r="G208" s="750"/>
      <c r="H208" s="742"/>
      <c r="I208" s="663"/>
      <c r="J208" s="857"/>
      <c r="K208" s="24"/>
      <c r="L208" s="858"/>
    </row>
    <row r="209" spans="1:12" s="664" customFormat="1" x14ac:dyDescent="0.35">
      <c r="A209" s="37" t="s">
        <v>1062</v>
      </c>
      <c r="B209" s="31" t="str">
        <f>REPLACE("750.2700B",9,1,"M")</f>
        <v>750.2700M</v>
      </c>
      <c r="C209" s="31" t="s">
        <v>238</v>
      </c>
      <c r="D209" s="528"/>
      <c r="E209" s="32"/>
      <c r="F209" s="780">
        <v>21.925909999999998</v>
      </c>
      <c r="G209" s="750">
        <v>8589412</v>
      </c>
      <c r="H209" s="742">
        <v>275330</v>
      </c>
      <c r="I209" s="663"/>
      <c r="J209" s="857"/>
      <c r="K209" s="24"/>
      <c r="L209" s="858"/>
    </row>
    <row r="210" spans="1:12" s="664" customFormat="1" x14ac:dyDescent="0.35">
      <c r="A210" s="37" t="s">
        <v>1063</v>
      </c>
      <c r="B210" s="31" t="s">
        <v>1076</v>
      </c>
      <c r="C210" s="31" t="s">
        <v>238</v>
      </c>
      <c r="D210" s="528"/>
      <c r="E210" s="32"/>
      <c r="F210" s="780">
        <v>21.925909999999998</v>
      </c>
      <c r="G210" s="750">
        <v>5663406</v>
      </c>
      <c r="H210" s="742">
        <v>275331</v>
      </c>
      <c r="I210" s="663"/>
      <c r="J210" s="857"/>
      <c r="K210" s="24"/>
      <c r="L210" s="858"/>
    </row>
    <row r="211" spans="1:12" s="664" customFormat="1" x14ac:dyDescent="0.35">
      <c r="A211" s="37" t="s">
        <v>1064</v>
      </c>
      <c r="B211" s="31" t="s">
        <v>1077</v>
      </c>
      <c r="C211" s="31" t="s">
        <v>238</v>
      </c>
      <c r="D211" s="528"/>
      <c r="E211" s="32"/>
      <c r="F211" s="780">
        <v>21.925909999999998</v>
      </c>
      <c r="G211" s="750">
        <v>4538135</v>
      </c>
      <c r="H211" s="742">
        <v>275332</v>
      </c>
      <c r="I211" s="663"/>
      <c r="J211" s="857"/>
      <c r="K211" s="24"/>
      <c r="L211" s="858"/>
    </row>
    <row r="212" spans="1:12" s="664" customFormat="1" x14ac:dyDescent="0.35">
      <c r="A212" s="37" t="s">
        <v>1065</v>
      </c>
      <c r="B212" s="31" t="s">
        <v>1078</v>
      </c>
      <c r="C212" s="31" t="s">
        <v>238</v>
      </c>
      <c r="D212" s="528"/>
      <c r="E212" s="32"/>
      <c r="F212" s="780">
        <v>22.204979999999999</v>
      </c>
      <c r="G212" s="750">
        <v>2346429</v>
      </c>
      <c r="H212" s="742">
        <v>275333</v>
      </c>
      <c r="I212" s="663"/>
      <c r="J212" s="857"/>
      <c r="K212" s="24"/>
      <c r="L212" s="858"/>
    </row>
    <row r="213" spans="1:12" s="664" customFormat="1" x14ac:dyDescent="0.35">
      <c r="A213" s="37" t="s">
        <v>1066</v>
      </c>
      <c r="B213" s="31" t="s">
        <v>1079</v>
      </c>
      <c r="C213" s="31" t="s">
        <v>238</v>
      </c>
      <c r="D213" s="528"/>
      <c r="E213" s="32"/>
      <c r="F213" s="780">
        <v>23.667639999999999</v>
      </c>
      <c r="G213" s="750">
        <v>2508131</v>
      </c>
      <c r="H213" s="742">
        <v>275334</v>
      </c>
      <c r="I213" s="663"/>
      <c r="J213" s="857"/>
      <c r="K213" s="24"/>
      <c r="L213" s="858"/>
    </row>
    <row r="214" spans="1:12" s="664" customFormat="1" x14ac:dyDescent="0.35">
      <c r="A214" s="37" t="s">
        <v>1067</v>
      </c>
      <c r="B214" s="31" t="s">
        <v>1080</v>
      </c>
      <c r="C214" s="31" t="s">
        <v>238</v>
      </c>
      <c r="D214" s="528"/>
      <c r="E214" s="32"/>
      <c r="F214" s="780">
        <v>27.780560000000001</v>
      </c>
      <c r="G214" s="750">
        <v>4419145</v>
      </c>
      <c r="H214" s="742">
        <v>275338</v>
      </c>
      <c r="I214" s="663"/>
      <c r="J214" s="857"/>
      <c r="K214" s="24"/>
      <c r="L214" s="858"/>
    </row>
    <row r="215" spans="1:12" s="664" customFormat="1" x14ac:dyDescent="0.35">
      <c r="A215" s="37" t="s">
        <v>1068</v>
      </c>
      <c r="B215" s="31" t="s">
        <v>1081</v>
      </c>
      <c r="C215" s="31" t="s">
        <v>238</v>
      </c>
      <c r="D215" s="528"/>
      <c r="E215" s="32"/>
      <c r="F215" s="780">
        <v>23.961559999999999</v>
      </c>
      <c r="G215" s="750">
        <v>9554467</v>
      </c>
      <c r="H215" s="742">
        <v>275335</v>
      </c>
      <c r="I215" s="663"/>
      <c r="J215" s="857"/>
      <c r="K215" s="24"/>
      <c r="L215" s="858"/>
    </row>
    <row r="216" spans="1:12" s="664" customFormat="1" x14ac:dyDescent="0.35">
      <c r="A216" s="37" t="s">
        <v>1069</v>
      </c>
      <c r="B216" s="31" t="s">
        <v>1082</v>
      </c>
      <c r="C216" s="31" t="s">
        <v>238</v>
      </c>
      <c r="D216" s="528"/>
      <c r="E216" s="32"/>
      <c r="F216" s="780">
        <v>28.059809999999999</v>
      </c>
      <c r="G216" s="750">
        <v>5699464</v>
      </c>
      <c r="H216" s="742">
        <v>275339</v>
      </c>
      <c r="I216" s="663"/>
      <c r="J216" s="857"/>
      <c r="K216" s="24"/>
      <c r="L216" s="858"/>
    </row>
    <row r="217" spans="1:12" s="664" customFormat="1" x14ac:dyDescent="0.35">
      <c r="A217" s="37" t="s">
        <v>1070</v>
      </c>
      <c r="B217" s="31" t="s">
        <v>1083</v>
      </c>
      <c r="C217" s="31" t="s">
        <v>238</v>
      </c>
      <c r="D217" s="528"/>
      <c r="E217" s="32"/>
      <c r="F217" s="780">
        <v>24.25421</v>
      </c>
      <c r="G217" s="750">
        <v>1309911</v>
      </c>
      <c r="H217" s="742">
        <v>275336</v>
      </c>
      <c r="I217" s="663"/>
      <c r="J217" s="857"/>
      <c r="K217" s="24"/>
      <c r="L217" s="858"/>
    </row>
    <row r="218" spans="1:12" s="664" customFormat="1" x14ac:dyDescent="0.35">
      <c r="A218" s="37" t="s">
        <v>1071</v>
      </c>
      <c r="B218" s="31" t="s">
        <v>1084</v>
      </c>
      <c r="C218" s="31" t="s">
        <v>238</v>
      </c>
      <c r="D218" s="528"/>
      <c r="E218" s="32"/>
      <c r="F218" s="780">
        <v>29.550529999999998</v>
      </c>
      <c r="G218" s="750">
        <v>6306480</v>
      </c>
      <c r="H218" s="742">
        <v>275340</v>
      </c>
      <c r="I218" s="663"/>
      <c r="J218" s="857"/>
      <c r="K218" s="24"/>
      <c r="L218" s="858"/>
    </row>
    <row r="219" spans="1:12" s="664" customFormat="1" x14ac:dyDescent="0.35">
      <c r="A219" s="37" t="s">
        <v>1072</v>
      </c>
      <c r="B219" s="31" t="s">
        <v>1085</v>
      </c>
      <c r="C219" s="31" t="s">
        <v>238</v>
      </c>
      <c r="D219" s="528"/>
      <c r="E219" s="32"/>
      <c r="F219" s="780">
        <v>27.259979999999999</v>
      </c>
      <c r="G219" s="750">
        <v>9677262</v>
      </c>
      <c r="H219" s="742">
        <v>275337</v>
      </c>
      <c r="I219" s="663"/>
      <c r="J219" s="857"/>
      <c r="K219" s="24"/>
      <c r="L219" s="858"/>
    </row>
    <row r="220" spans="1:12" s="664" customFormat="1" x14ac:dyDescent="0.35">
      <c r="A220" s="37" t="s">
        <v>1073</v>
      </c>
      <c r="B220" s="31" t="s">
        <v>1086</v>
      </c>
      <c r="C220" s="31" t="s">
        <v>238</v>
      </c>
      <c r="D220" s="528"/>
      <c r="E220" s="32"/>
      <c r="F220" s="780">
        <v>32.5563</v>
      </c>
      <c r="G220" s="750">
        <v>8301756</v>
      </c>
      <c r="H220" s="742">
        <v>275341</v>
      </c>
      <c r="I220" s="663"/>
      <c r="J220" s="857"/>
      <c r="K220" s="24"/>
      <c r="L220" s="858"/>
    </row>
    <row r="221" spans="1:12" s="664" customFormat="1" x14ac:dyDescent="0.35">
      <c r="A221" s="37" t="s">
        <v>1074</v>
      </c>
      <c r="B221" s="31" t="s">
        <v>1087</v>
      </c>
      <c r="C221" s="31" t="s">
        <v>238</v>
      </c>
      <c r="D221" s="528"/>
      <c r="E221" s="32"/>
      <c r="F221" s="780">
        <v>34.047020000000003</v>
      </c>
      <c r="G221" s="750">
        <v>9722794</v>
      </c>
      <c r="H221" s="742">
        <v>275342</v>
      </c>
      <c r="I221" s="663"/>
      <c r="J221" s="857"/>
      <c r="K221" s="24"/>
      <c r="L221" s="858"/>
    </row>
    <row r="222" spans="1:12" s="664" customFormat="1" x14ac:dyDescent="0.35">
      <c r="A222" s="41"/>
      <c r="B222" s="31"/>
      <c r="C222" s="31"/>
      <c r="D222" s="528"/>
      <c r="E222" s="42"/>
      <c r="F222" s="780"/>
      <c r="G222" s="735"/>
      <c r="H222" s="742"/>
      <c r="I222" s="663"/>
      <c r="J222" s="857"/>
      <c r="K222" s="24"/>
      <c r="L222" s="858"/>
    </row>
    <row r="223" spans="1:12" s="664" customFormat="1" x14ac:dyDescent="0.35">
      <c r="A223" s="41" t="s">
        <v>1075</v>
      </c>
      <c r="B223" s="31" t="s">
        <v>1197</v>
      </c>
      <c r="C223" s="31" t="s">
        <v>238</v>
      </c>
      <c r="D223" s="528"/>
      <c r="E223" s="42"/>
      <c r="F223" s="780">
        <v>15.88348</v>
      </c>
      <c r="G223" s="680">
        <v>3451357</v>
      </c>
      <c r="H223" s="742">
        <v>275343</v>
      </c>
      <c r="I223" s="663"/>
      <c r="J223" s="857"/>
      <c r="K223" s="24"/>
      <c r="L223" s="858"/>
    </row>
    <row r="224" spans="1:12" s="664" customFormat="1" x14ac:dyDescent="0.35">
      <c r="A224" s="41" t="s">
        <v>1090</v>
      </c>
      <c r="B224" s="31" t="s">
        <v>1198</v>
      </c>
      <c r="C224" s="31" t="s">
        <v>238</v>
      </c>
      <c r="D224" s="528"/>
      <c r="E224" s="42"/>
      <c r="F224" s="780">
        <v>15.88348</v>
      </c>
      <c r="G224" s="680">
        <v>2234802</v>
      </c>
      <c r="H224" s="742">
        <v>275344</v>
      </c>
      <c r="I224" s="663"/>
      <c r="J224" s="857"/>
      <c r="K224" s="24"/>
      <c r="L224" s="858"/>
    </row>
    <row r="225" spans="1:12" s="664" customFormat="1" x14ac:dyDescent="0.35">
      <c r="A225" s="41" t="s">
        <v>1088</v>
      </c>
      <c r="B225" s="31" t="s">
        <v>1199</v>
      </c>
      <c r="C225" s="31" t="s">
        <v>238</v>
      </c>
      <c r="D225" s="528"/>
      <c r="E225" s="42"/>
      <c r="F225" s="780">
        <v>15.88348</v>
      </c>
      <c r="G225" s="680">
        <v>1365128</v>
      </c>
      <c r="H225" s="742">
        <v>275345</v>
      </c>
      <c r="I225" s="663"/>
      <c r="J225" s="857"/>
      <c r="K225" s="24"/>
      <c r="L225" s="858"/>
    </row>
    <row r="226" spans="1:12" s="664" customFormat="1" x14ac:dyDescent="0.35">
      <c r="A226" s="41" t="s">
        <v>1089</v>
      </c>
      <c r="B226" s="31" t="s">
        <v>1200</v>
      </c>
      <c r="C226" s="31" t="s">
        <v>238</v>
      </c>
      <c r="D226" s="528"/>
      <c r="E226" s="42"/>
      <c r="F226" s="780">
        <v>15.88348</v>
      </c>
      <c r="G226" s="680">
        <v>9133117</v>
      </c>
      <c r="H226" s="742">
        <v>275347</v>
      </c>
      <c r="I226" s="663"/>
      <c r="J226" s="857"/>
      <c r="K226" s="24"/>
      <c r="L226" s="858"/>
    </row>
    <row r="227" spans="1:12" s="664" customFormat="1" x14ac:dyDescent="0.35">
      <c r="A227" s="41"/>
      <c r="B227" s="31"/>
      <c r="C227" s="31"/>
      <c r="D227" s="528"/>
      <c r="E227" s="42"/>
      <c r="F227" s="780"/>
      <c r="G227" s="680"/>
      <c r="H227" s="742"/>
      <c r="I227" s="663"/>
      <c r="J227" s="857"/>
      <c r="K227" s="24"/>
      <c r="L227" s="858"/>
    </row>
    <row r="228" spans="1:12" x14ac:dyDescent="0.35">
      <c r="A228" s="41"/>
      <c r="B228" s="31"/>
      <c r="C228" s="31"/>
      <c r="D228" s="528"/>
      <c r="E228" s="42"/>
      <c r="F228" s="780"/>
      <c r="G228" s="751"/>
      <c r="H228" s="742"/>
      <c r="I228" s="13"/>
      <c r="J228" s="857"/>
    </row>
    <row r="229" spans="1:12" x14ac:dyDescent="0.35">
      <c r="A229" s="39" t="s">
        <v>86</v>
      </c>
      <c r="B229" s="31"/>
      <c r="C229" s="31"/>
      <c r="D229" s="528"/>
      <c r="E229" s="42"/>
      <c r="F229" s="780"/>
      <c r="G229" s="751"/>
      <c r="H229" s="742"/>
      <c r="I229" s="13"/>
      <c r="J229" s="857"/>
    </row>
    <row r="230" spans="1:12" x14ac:dyDescent="0.35">
      <c r="A230" s="41" t="s">
        <v>383</v>
      </c>
      <c r="B230" s="31" t="s">
        <v>1231</v>
      </c>
      <c r="C230" s="31" t="s">
        <v>252</v>
      </c>
      <c r="D230" s="528"/>
      <c r="E230" s="42"/>
      <c r="F230" s="780">
        <v>6.60684</v>
      </c>
      <c r="G230" s="736">
        <v>1605111</v>
      </c>
      <c r="H230" s="742">
        <v>227606</v>
      </c>
      <c r="I230" s="13"/>
      <c r="J230" s="857"/>
    </row>
    <row r="231" spans="1:12" x14ac:dyDescent="0.35">
      <c r="A231" s="41" t="s">
        <v>384</v>
      </c>
      <c r="B231" s="31" t="s">
        <v>1230</v>
      </c>
      <c r="C231" s="31" t="s">
        <v>2</v>
      </c>
      <c r="D231" s="528"/>
      <c r="E231" s="42"/>
      <c r="F231" s="780">
        <v>3.6422699999999999</v>
      </c>
      <c r="G231" s="737">
        <v>5075934</v>
      </c>
      <c r="H231" s="742">
        <v>227607</v>
      </c>
      <c r="I231" s="13"/>
      <c r="J231" s="857"/>
    </row>
    <row r="232" spans="1:12" x14ac:dyDescent="0.35">
      <c r="A232" s="41"/>
      <c r="B232" s="31"/>
      <c r="C232" s="31"/>
      <c r="D232" s="528"/>
      <c r="E232" s="42"/>
      <c r="F232" s="780"/>
      <c r="G232" s="680"/>
      <c r="H232" s="742"/>
      <c r="I232" s="13"/>
      <c r="J232" s="857"/>
    </row>
    <row r="233" spans="1:12" x14ac:dyDescent="0.35">
      <c r="A233" s="39" t="s">
        <v>1228</v>
      </c>
      <c r="B233" s="34"/>
      <c r="C233" s="34"/>
      <c r="D233" s="529"/>
      <c r="E233" s="32"/>
      <c r="F233" s="780"/>
      <c r="G233" s="35"/>
      <c r="H233" s="742"/>
      <c r="I233" s="13"/>
      <c r="J233" s="857"/>
    </row>
    <row r="234" spans="1:12" x14ac:dyDescent="0.35">
      <c r="A234" s="41" t="s">
        <v>385</v>
      </c>
      <c r="B234" s="31" t="s">
        <v>387</v>
      </c>
      <c r="C234" s="31" t="s">
        <v>252</v>
      </c>
      <c r="D234" s="528"/>
      <c r="E234" s="42"/>
      <c r="F234" s="780"/>
      <c r="G234" s="738">
        <v>8483933</v>
      </c>
      <c r="H234" s="742" t="s">
        <v>1274</v>
      </c>
      <c r="I234" s="13"/>
      <c r="J234" s="857"/>
    </row>
    <row r="235" spans="1:12" x14ac:dyDescent="0.35">
      <c r="A235" s="41" t="s">
        <v>386</v>
      </c>
      <c r="B235" s="31" t="s">
        <v>388</v>
      </c>
      <c r="C235" s="31" t="s">
        <v>252</v>
      </c>
      <c r="D235" s="528"/>
      <c r="E235" s="42"/>
      <c r="F235" s="780"/>
      <c r="G235" s="686">
        <v>3658072</v>
      </c>
      <c r="H235" s="742" t="s">
        <v>1274</v>
      </c>
      <c r="I235" s="13"/>
      <c r="J235" s="857"/>
    </row>
    <row r="236" spans="1:12" x14ac:dyDescent="0.35">
      <c r="A236" s="41"/>
      <c r="B236" s="31"/>
      <c r="C236" s="31"/>
      <c r="D236" s="528"/>
      <c r="E236" s="42"/>
      <c r="F236" s="780"/>
      <c r="G236" s="737"/>
      <c r="H236" s="742"/>
      <c r="I236" s="13"/>
      <c r="J236" s="857"/>
    </row>
    <row r="237" spans="1:12" s="664" customFormat="1" x14ac:dyDescent="0.35">
      <c r="A237" s="574"/>
      <c r="B237" s="31"/>
      <c r="C237" s="31"/>
      <c r="D237" s="528"/>
      <c r="E237" s="32"/>
      <c r="F237" s="780"/>
      <c r="G237" s="680"/>
      <c r="H237" s="742"/>
      <c r="I237" s="663"/>
      <c r="J237" s="857"/>
      <c r="K237" s="24"/>
      <c r="L237" s="858"/>
    </row>
    <row r="238" spans="1:12" s="664" customFormat="1" x14ac:dyDescent="0.35">
      <c r="A238" s="39" t="s">
        <v>1122</v>
      </c>
      <c r="B238" s="31"/>
      <c r="C238" s="31"/>
      <c r="D238" s="528"/>
      <c r="E238" s="42"/>
      <c r="F238" s="780"/>
      <c r="G238" s="680"/>
      <c r="H238" s="742"/>
      <c r="I238" s="663"/>
      <c r="J238" s="857"/>
      <c r="K238" s="24"/>
      <c r="L238" s="858"/>
    </row>
    <row r="239" spans="1:12" s="664" customFormat="1" x14ac:dyDescent="0.35">
      <c r="A239" s="41" t="s">
        <v>1201</v>
      </c>
      <c r="B239" s="31" t="s">
        <v>1123</v>
      </c>
      <c r="C239" s="31" t="s">
        <v>1126</v>
      </c>
      <c r="D239" s="528"/>
      <c r="E239" s="42"/>
      <c r="F239" s="780">
        <v>0.22786000000000001</v>
      </c>
      <c r="G239" s="739">
        <v>1512005</v>
      </c>
      <c r="H239" s="742">
        <v>275348</v>
      </c>
      <c r="I239" s="663"/>
      <c r="J239" s="857"/>
      <c r="K239" s="24"/>
      <c r="L239" s="858"/>
    </row>
    <row r="240" spans="1:12" s="664" customFormat="1" x14ac:dyDescent="0.35">
      <c r="A240" s="41" t="s">
        <v>1202</v>
      </c>
      <c r="B240" s="31" t="s">
        <v>1203</v>
      </c>
      <c r="C240" s="31" t="s">
        <v>254</v>
      </c>
      <c r="D240" s="528"/>
      <c r="E240" s="42"/>
      <c r="F240" s="780">
        <v>3.75244</v>
      </c>
      <c r="G240" s="739">
        <v>2101757</v>
      </c>
      <c r="H240" s="742">
        <v>282277</v>
      </c>
      <c r="I240" s="663"/>
      <c r="J240" s="857"/>
      <c r="K240" s="24"/>
      <c r="L240" s="858"/>
    </row>
    <row r="241" spans="1:12" s="664" customFormat="1" x14ac:dyDescent="0.35">
      <c r="A241" s="574"/>
      <c r="B241" s="31"/>
      <c r="C241" s="31"/>
      <c r="D241" s="528"/>
      <c r="E241" s="32"/>
      <c r="F241" s="780"/>
      <c r="G241" s="680"/>
      <c r="H241" s="742"/>
      <c r="I241" s="663"/>
      <c r="J241" s="857"/>
      <c r="K241" s="24"/>
      <c r="L241" s="858"/>
    </row>
    <row r="242" spans="1:12" s="664" customFormat="1" x14ac:dyDescent="0.35">
      <c r="A242" s="41"/>
      <c r="B242" s="31"/>
      <c r="C242" s="31"/>
      <c r="D242" s="528"/>
      <c r="E242" s="42"/>
      <c r="F242" s="780"/>
      <c r="G242" s="740"/>
      <c r="H242" s="742"/>
      <c r="I242" s="663"/>
      <c r="J242" s="857"/>
      <c r="K242" s="24"/>
      <c r="L242" s="858"/>
    </row>
    <row r="243" spans="1:12" s="664" customFormat="1" x14ac:dyDescent="0.35">
      <c r="A243" s="43"/>
      <c r="B243" s="31"/>
      <c r="C243" s="31"/>
      <c r="D243" s="528"/>
      <c r="E243" s="42"/>
      <c r="F243" s="780"/>
      <c r="G243" s="750"/>
      <c r="H243" s="742"/>
      <c r="I243" s="663"/>
      <c r="J243" s="857"/>
      <c r="K243" s="24"/>
      <c r="L243" s="858"/>
    </row>
    <row r="244" spans="1:12" s="664" customFormat="1" x14ac:dyDescent="0.35">
      <c r="A244" s="37"/>
      <c r="B244" s="31"/>
      <c r="C244" s="31"/>
      <c r="D244" s="528"/>
      <c r="E244" s="32"/>
      <c r="F244" s="780"/>
      <c r="G244" s="750"/>
      <c r="H244" s="742"/>
      <c r="I244" s="663"/>
      <c r="J244" s="857"/>
      <c r="K244" s="24"/>
      <c r="L244" s="858"/>
    </row>
    <row r="245" spans="1:12" x14ac:dyDescent="0.35">
      <c r="A245" s="37"/>
      <c r="B245" s="31"/>
      <c r="C245" s="31"/>
      <c r="D245" s="528"/>
      <c r="E245" s="42"/>
      <c r="F245" s="780"/>
      <c r="G245" s="749"/>
      <c r="H245" s="742"/>
      <c r="I245" s="13"/>
      <c r="J245" s="857"/>
    </row>
    <row r="246" spans="1:12" x14ac:dyDescent="0.35">
      <c r="A246" s="38" t="s">
        <v>87</v>
      </c>
      <c r="B246" s="31"/>
      <c r="C246" s="31"/>
      <c r="D246" s="528"/>
      <c r="E246" s="42"/>
      <c r="F246" s="780"/>
      <c r="G246" s="749"/>
      <c r="H246" s="742"/>
      <c r="I246" s="13"/>
      <c r="J246" s="857"/>
    </row>
    <row r="247" spans="1:12" x14ac:dyDescent="0.35">
      <c r="A247" s="268" t="s">
        <v>447</v>
      </c>
      <c r="B247" s="269" t="s">
        <v>400</v>
      </c>
      <c r="C247" s="269" t="s">
        <v>353</v>
      </c>
      <c r="D247" s="525"/>
      <c r="E247" s="270"/>
      <c r="F247" s="780">
        <v>1.20011</v>
      </c>
      <c r="G247" s="745">
        <v>2948763</v>
      </c>
      <c r="H247" s="742">
        <v>227550</v>
      </c>
      <c r="I247" s="13"/>
      <c r="J247" s="857"/>
    </row>
    <row r="248" spans="1:12" x14ac:dyDescent="0.35">
      <c r="A248" s="271" t="s">
        <v>314</v>
      </c>
      <c r="B248" s="272" t="s">
        <v>400</v>
      </c>
      <c r="C248" s="272" t="s">
        <v>354</v>
      </c>
      <c r="D248" s="526"/>
      <c r="E248" s="273"/>
      <c r="F248" s="780">
        <v>1.20011</v>
      </c>
      <c r="G248" s="746">
        <v>2454505</v>
      </c>
      <c r="H248" s="742">
        <v>227549</v>
      </c>
      <c r="I248" s="13"/>
      <c r="J248" s="857"/>
    </row>
    <row r="249" spans="1:12" x14ac:dyDescent="0.35">
      <c r="A249" s="490" t="s">
        <v>315</v>
      </c>
      <c r="B249" s="491" t="s">
        <v>400</v>
      </c>
      <c r="C249" s="491" t="s">
        <v>422</v>
      </c>
      <c r="D249" s="527"/>
      <c r="E249" s="273"/>
      <c r="F249" s="780">
        <v>1.20011</v>
      </c>
      <c r="G249" s="683">
        <v>1308438</v>
      </c>
      <c r="H249" s="742">
        <v>227551</v>
      </c>
      <c r="I249" s="13"/>
      <c r="J249" s="857"/>
    </row>
    <row r="250" spans="1:12" x14ac:dyDescent="0.35">
      <c r="A250" s="503" t="s">
        <v>389</v>
      </c>
      <c r="B250" s="505" t="s">
        <v>400</v>
      </c>
      <c r="C250" s="505" t="s">
        <v>253</v>
      </c>
      <c r="D250" s="521" t="s">
        <v>936</v>
      </c>
      <c r="E250" s="506"/>
      <c r="F250" s="780">
        <v>2.3028499999999998</v>
      </c>
      <c r="G250" s="687">
        <v>3134862</v>
      </c>
      <c r="H250" s="742">
        <v>227552</v>
      </c>
      <c r="I250" s="13"/>
      <c r="J250" s="857"/>
    </row>
    <row r="251" spans="1:12" x14ac:dyDescent="0.35">
      <c r="A251" s="268" t="s">
        <v>448</v>
      </c>
      <c r="B251" s="269" t="s">
        <v>401</v>
      </c>
      <c r="C251" s="269" t="s">
        <v>353</v>
      </c>
      <c r="D251" s="525"/>
      <c r="E251" s="270"/>
      <c r="F251" s="780">
        <v>1.20011</v>
      </c>
      <c r="G251" s="745">
        <v>6440820</v>
      </c>
      <c r="H251" s="742">
        <v>227554</v>
      </c>
      <c r="I251" s="13"/>
      <c r="J251" s="857"/>
    </row>
    <row r="252" spans="1:12" x14ac:dyDescent="0.35">
      <c r="A252" s="271" t="s">
        <v>316</v>
      </c>
      <c r="B252" s="272" t="s">
        <v>401</v>
      </c>
      <c r="C252" s="272" t="s">
        <v>354</v>
      </c>
      <c r="D252" s="526"/>
      <c r="E252" s="273"/>
      <c r="F252" s="780">
        <v>1.1359300000000001</v>
      </c>
      <c r="G252" s="746">
        <v>5456308</v>
      </c>
      <c r="H252" s="742">
        <v>227553</v>
      </c>
      <c r="I252" s="13"/>
      <c r="J252" s="857"/>
    </row>
    <row r="253" spans="1:12" x14ac:dyDescent="0.35">
      <c r="A253" s="490" t="s">
        <v>325</v>
      </c>
      <c r="B253" s="491" t="s">
        <v>401</v>
      </c>
      <c r="C253" s="491" t="s">
        <v>422</v>
      </c>
      <c r="D253" s="527"/>
      <c r="E253" s="273"/>
      <c r="F253" s="780">
        <v>1.20011</v>
      </c>
      <c r="G253" s="683">
        <v>5453480</v>
      </c>
      <c r="H253" s="742">
        <v>227555</v>
      </c>
      <c r="I253" s="13"/>
      <c r="J253" s="857"/>
    </row>
    <row r="254" spans="1:12" x14ac:dyDescent="0.35">
      <c r="A254" s="503" t="s">
        <v>390</v>
      </c>
      <c r="B254" s="505" t="s">
        <v>401</v>
      </c>
      <c r="C254" s="505" t="s">
        <v>253</v>
      </c>
      <c r="D254" s="521" t="s">
        <v>936</v>
      </c>
      <c r="E254" s="506"/>
      <c r="F254" s="780">
        <v>2.3028499999999998</v>
      </c>
      <c r="G254" s="687">
        <v>3272102</v>
      </c>
      <c r="H254" s="742">
        <v>227556</v>
      </c>
      <c r="I254" s="13"/>
      <c r="J254" s="857"/>
    </row>
    <row r="255" spans="1:12" x14ac:dyDescent="0.35">
      <c r="A255" s="510" t="s">
        <v>449</v>
      </c>
      <c r="B255" s="511" t="s">
        <v>402</v>
      </c>
      <c r="C255" s="511" t="s">
        <v>353</v>
      </c>
      <c r="D255" s="530"/>
      <c r="E255" s="494"/>
      <c r="F255" s="780">
        <v>1.4279500000000001</v>
      </c>
      <c r="G255" s="688">
        <v>1537116</v>
      </c>
      <c r="H255" s="742">
        <v>227558</v>
      </c>
      <c r="I255" s="13"/>
      <c r="J255" s="857"/>
    </row>
    <row r="256" spans="1:12" x14ac:dyDescent="0.35">
      <c r="A256" s="508" t="s">
        <v>326</v>
      </c>
      <c r="B256" s="509" t="s">
        <v>402</v>
      </c>
      <c r="C256" s="509" t="s">
        <v>354</v>
      </c>
      <c r="D256" s="520"/>
      <c r="E256" s="495"/>
      <c r="F256" s="780">
        <v>1.4279500000000001</v>
      </c>
      <c r="G256" s="689">
        <v>4507006</v>
      </c>
      <c r="H256" s="742">
        <v>227557</v>
      </c>
      <c r="I256" s="13"/>
      <c r="J256" s="857"/>
    </row>
    <row r="257" spans="1:10" x14ac:dyDescent="0.35">
      <c r="A257" s="508" t="s">
        <v>327</v>
      </c>
      <c r="B257" s="509" t="s">
        <v>402</v>
      </c>
      <c r="C257" s="509" t="s">
        <v>422</v>
      </c>
      <c r="D257" s="520"/>
      <c r="E257" s="495"/>
      <c r="F257" s="780">
        <v>1.4279500000000001</v>
      </c>
      <c r="G257" s="689">
        <v>8793091</v>
      </c>
      <c r="H257" s="742">
        <v>227559</v>
      </c>
      <c r="I257" s="13"/>
      <c r="J257" s="857"/>
    </row>
    <row r="258" spans="1:10" x14ac:dyDescent="0.35">
      <c r="A258" s="503" t="s">
        <v>391</v>
      </c>
      <c r="B258" s="505" t="s">
        <v>402</v>
      </c>
      <c r="C258" s="505" t="s">
        <v>253</v>
      </c>
      <c r="D258" s="521" t="s">
        <v>936</v>
      </c>
      <c r="E258" s="506"/>
      <c r="F258" s="780">
        <v>4.1139999999999999</v>
      </c>
      <c r="G258" s="687">
        <v>4599324</v>
      </c>
      <c r="H258" s="742">
        <v>227560</v>
      </c>
      <c r="I258" s="13"/>
      <c r="J258" s="857"/>
    </row>
    <row r="259" spans="1:10" x14ac:dyDescent="0.35">
      <c r="A259" s="268" t="s">
        <v>450</v>
      </c>
      <c r="B259" s="269" t="s">
        <v>403</v>
      </c>
      <c r="C259" s="269" t="s">
        <v>353</v>
      </c>
      <c r="D259" s="525"/>
      <c r="E259" s="270"/>
      <c r="F259" s="780">
        <v>1.59894</v>
      </c>
      <c r="G259" s="745">
        <v>4160461</v>
      </c>
      <c r="H259" s="742">
        <v>227562</v>
      </c>
      <c r="I259" s="13"/>
      <c r="J259" s="857"/>
    </row>
    <row r="260" spans="1:10" x14ac:dyDescent="0.35">
      <c r="A260" s="271" t="s">
        <v>348</v>
      </c>
      <c r="B260" s="272" t="s">
        <v>403</v>
      </c>
      <c r="C260" s="272" t="s">
        <v>354</v>
      </c>
      <c r="D260" s="526"/>
      <c r="E260" s="273"/>
      <c r="F260" s="780">
        <v>1.5134399999999999</v>
      </c>
      <c r="G260" s="746">
        <v>9078516</v>
      </c>
      <c r="H260" s="742">
        <v>227561</v>
      </c>
      <c r="I260" s="13"/>
      <c r="J260" s="857"/>
    </row>
    <row r="261" spans="1:10" x14ac:dyDescent="0.35">
      <c r="A261" s="490" t="s">
        <v>349</v>
      </c>
      <c r="B261" s="491" t="s">
        <v>403</v>
      </c>
      <c r="C261" s="491" t="s">
        <v>422</v>
      </c>
      <c r="D261" s="527"/>
      <c r="E261" s="273"/>
      <c r="F261" s="780">
        <v>1.59894</v>
      </c>
      <c r="G261" s="683">
        <v>9976616</v>
      </c>
      <c r="H261" s="742">
        <v>227563</v>
      </c>
      <c r="I261" s="13"/>
      <c r="J261" s="857"/>
    </row>
    <row r="262" spans="1:10" x14ac:dyDescent="0.35">
      <c r="A262" s="275" t="s">
        <v>392</v>
      </c>
      <c r="B262" s="276" t="s">
        <v>403</v>
      </c>
      <c r="C262" s="276" t="s">
        <v>253</v>
      </c>
      <c r="D262" s="521" t="s">
        <v>936</v>
      </c>
      <c r="E262" s="277"/>
      <c r="F262" s="780">
        <v>4.6631099999999996</v>
      </c>
      <c r="G262" s="685">
        <v>1955343</v>
      </c>
      <c r="H262" s="742">
        <v>227564</v>
      </c>
      <c r="I262" s="13"/>
      <c r="J262" s="857"/>
    </row>
    <row r="263" spans="1:10" x14ac:dyDescent="0.35">
      <c r="A263" s="268" t="s">
        <v>451</v>
      </c>
      <c r="B263" s="269" t="s">
        <v>404</v>
      </c>
      <c r="C263" s="269" t="s">
        <v>353</v>
      </c>
      <c r="D263" s="525"/>
      <c r="E263" s="270"/>
      <c r="F263" s="780">
        <v>3.3417300000000001</v>
      </c>
      <c r="G263" s="745">
        <v>7246986</v>
      </c>
      <c r="H263" s="742">
        <v>227566</v>
      </c>
      <c r="I263" s="13"/>
      <c r="J263" s="857"/>
    </row>
    <row r="264" spans="1:10" x14ac:dyDescent="0.35">
      <c r="A264" s="271" t="s">
        <v>393</v>
      </c>
      <c r="B264" s="272" t="s">
        <v>404</v>
      </c>
      <c r="C264" s="272" t="s">
        <v>354</v>
      </c>
      <c r="D264" s="526"/>
      <c r="E264" s="273"/>
      <c r="F264" s="780">
        <v>3.3417300000000001</v>
      </c>
      <c r="G264" s="746">
        <v>6274922</v>
      </c>
      <c r="H264" s="742">
        <v>227565</v>
      </c>
      <c r="I264" s="13"/>
      <c r="J264" s="857"/>
    </row>
    <row r="265" spans="1:10" x14ac:dyDescent="0.35">
      <c r="A265" s="490" t="s">
        <v>394</v>
      </c>
      <c r="B265" s="491" t="s">
        <v>404</v>
      </c>
      <c r="C265" s="491" t="s">
        <v>422</v>
      </c>
      <c r="D265" s="527"/>
      <c r="E265" s="273"/>
      <c r="F265" s="780">
        <v>3.3417300000000001</v>
      </c>
      <c r="G265" s="683">
        <v>8016671</v>
      </c>
      <c r="H265" s="742">
        <v>227567</v>
      </c>
      <c r="I265" s="13"/>
      <c r="J265" s="857"/>
    </row>
    <row r="266" spans="1:10" x14ac:dyDescent="0.35">
      <c r="A266" s="503" t="s">
        <v>395</v>
      </c>
      <c r="B266" s="505" t="s">
        <v>404</v>
      </c>
      <c r="C266" s="505" t="s">
        <v>253</v>
      </c>
      <c r="D266" s="521" t="s">
        <v>936</v>
      </c>
      <c r="E266" s="506"/>
      <c r="F266" s="780">
        <v>6.8045600000000004</v>
      </c>
      <c r="G266" s="687">
        <v>1665209</v>
      </c>
      <c r="H266" s="742">
        <v>227568</v>
      </c>
      <c r="I266" s="13"/>
      <c r="J266" s="857"/>
    </row>
    <row r="267" spans="1:10" x14ac:dyDescent="0.35">
      <c r="A267" s="37"/>
      <c r="B267" s="31"/>
      <c r="C267" s="31"/>
      <c r="D267" s="528"/>
      <c r="E267" s="42"/>
      <c r="F267" s="780"/>
      <c r="G267" s="749"/>
      <c r="H267" s="742"/>
      <c r="I267" s="13"/>
      <c r="J267" s="857"/>
    </row>
    <row r="268" spans="1:10" x14ac:dyDescent="0.35">
      <c r="A268" s="33"/>
      <c r="B268" s="34"/>
      <c r="C268" s="34"/>
      <c r="D268" s="529"/>
      <c r="E268" s="32"/>
      <c r="F268" s="780"/>
      <c r="G268" s="35"/>
      <c r="H268" s="742"/>
      <c r="I268" s="13"/>
      <c r="J268" s="857"/>
    </row>
    <row r="269" spans="1:10" x14ac:dyDescent="0.35">
      <c r="A269" s="37"/>
      <c r="B269" s="31"/>
      <c r="C269" s="31"/>
      <c r="D269" s="528"/>
      <c r="E269" s="42"/>
      <c r="F269" s="780"/>
      <c r="G269" s="749"/>
      <c r="H269" s="742"/>
      <c r="I269" s="13"/>
      <c r="J269" s="857"/>
    </row>
    <row r="270" spans="1:10" x14ac:dyDescent="0.35">
      <c r="A270" s="37"/>
      <c r="B270" s="31"/>
      <c r="C270" s="31"/>
      <c r="D270" s="528"/>
      <c r="E270" s="42"/>
      <c r="F270" s="780"/>
      <c r="G270" s="749"/>
      <c r="H270" s="742"/>
      <c r="I270" s="13"/>
      <c r="J270" s="857"/>
    </row>
    <row r="271" spans="1:10" x14ac:dyDescent="0.35">
      <c r="A271" s="38" t="s">
        <v>88</v>
      </c>
      <c r="B271" s="31"/>
      <c r="C271" s="31"/>
      <c r="D271" s="528"/>
      <c r="E271" s="42"/>
      <c r="F271" s="780"/>
      <c r="G271" s="749"/>
      <c r="H271" s="742"/>
      <c r="I271" s="13"/>
      <c r="J271" s="857"/>
    </row>
    <row r="272" spans="1:10" x14ac:dyDescent="0.35">
      <c r="A272" s="37" t="s">
        <v>397</v>
      </c>
      <c r="B272" s="31" t="s">
        <v>399</v>
      </c>
      <c r="C272" s="31" t="s">
        <v>251</v>
      </c>
      <c r="D272" s="528"/>
      <c r="E272" s="42"/>
      <c r="F272" s="780">
        <v>0.67</v>
      </c>
      <c r="G272" s="741">
        <v>4476127</v>
      </c>
      <c r="H272" s="742">
        <v>227541</v>
      </c>
      <c r="I272" s="13"/>
      <c r="J272" s="857"/>
    </row>
    <row r="273" spans="1:10" x14ac:dyDescent="0.35">
      <c r="A273" s="37" t="s">
        <v>396</v>
      </c>
      <c r="B273" s="31" t="s">
        <v>398</v>
      </c>
      <c r="C273" s="31" t="s">
        <v>251</v>
      </c>
      <c r="D273" s="528"/>
      <c r="E273" s="32"/>
      <c r="F273" s="780">
        <v>0.76114999999999999</v>
      </c>
      <c r="G273" s="741">
        <v>4745381</v>
      </c>
      <c r="H273" s="742">
        <v>227542</v>
      </c>
      <c r="I273" s="13"/>
      <c r="J273" s="857"/>
    </row>
    <row r="274" spans="1:10" x14ac:dyDescent="0.35">
      <c r="A274" s="37" t="s">
        <v>406</v>
      </c>
      <c r="B274" s="31" t="s">
        <v>408</v>
      </c>
      <c r="C274" s="31" t="s">
        <v>251</v>
      </c>
      <c r="D274" s="528"/>
      <c r="E274" s="42"/>
      <c r="F274" s="780">
        <v>0.24632999999999999</v>
      </c>
      <c r="G274" s="686">
        <v>9105005</v>
      </c>
      <c r="H274" s="742">
        <v>227543</v>
      </c>
      <c r="I274" s="13"/>
      <c r="J274" s="857"/>
    </row>
    <row r="275" spans="1:10" x14ac:dyDescent="0.35">
      <c r="A275" s="37" t="s">
        <v>405</v>
      </c>
      <c r="B275" s="31" t="s">
        <v>407</v>
      </c>
      <c r="C275" s="31" t="s">
        <v>251</v>
      </c>
      <c r="D275" s="528"/>
      <c r="E275" s="32"/>
      <c r="F275" s="780">
        <v>0.35138999999999998</v>
      </c>
      <c r="G275" s="741">
        <v>7054881</v>
      </c>
      <c r="H275" s="742">
        <v>227544</v>
      </c>
      <c r="I275" s="13"/>
      <c r="J275" s="857"/>
    </row>
    <row r="276" spans="1:10" x14ac:dyDescent="0.35">
      <c r="A276" s="37" t="s">
        <v>410</v>
      </c>
      <c r="B276" s="31" t="s">
        <v>412</v>
      </c>
      <c r="C276" s="31" t="s">
        <v>251</v>
      </c>
      <c r="D276" s="528"/>
      <c r="E276" s="32"/>
      <c r="F276" s="780">
        <v>0.50353000000000003</v>
      </c>
      <c r="G276" s="741">
        <v>3949406</v>
      </c>
      <c r="H276" s="742">
        <v>227545</v>
      </c>
      <c r="I276" s="13"/>
      <c r="J276" s="857"/>
    </row>
    <row r="277" spans="1:10" x14ac:dyDescent="0.35">
      <c r="A277" s="37" t="s">
        <v>409</v>
      </c>
      <c r="B277" s="31" t="s">
        <v>411</v>
      </c>
      <c r="C277" s="31" t="s">
        <v>251</v>
      </c>
      <c r="D277" s="528"/>
      <c r="E277" s="32"/>
      <c r="F277" s="780">
        <v>0.59467999999999999</v>
      </c>
      <c r="G277" s="741">
        <v>4314617</v>
      </c>
      <c r="H277" s="742">
        <v>227546</v>
      </c>
      <c r="I277" s="13"/>
      <c r="J277" s="857"/>
    </row>
    <row r="278" spans="1:10" x14ac:dyDescent="0.35">
      <c r="A278" s="37" t="s">
        <v>414</v>
      </c>
      <c r="B278" s="31" t="s">
        <v>416</v>
      </c>
      <c r="C278" s="31" t="s">
        <v>251</v>
      </c>
      <c r="D278" s="528"/>
      <c r="E278" s="32"/>
      <c r="F278" s="780">
        <v>0.59104000000000001</v>
      </c>
      <c r="G278" s="741">
        <v>8850350</v>
      </c>
      <c r="H278" s="742">
        <v>227547</v>
      </c>
      <c r="I278" s="13"/>
      <c r="J278" s="857"/>
    </row>
    <row r="279" spans="1:10" x14ac:dyDescent="0.35">
      <c r="A279" s="37" t="s">
        <v>413</v>
      </c>
      <c r="B279" s="31" t="s">
        <v>415</v>
      </c>
      <c r="C279" s="31" t="s">
        <v>251</v>
      </c>
      <c r="D279" s="528"/>
      <c r="E279" s="32"/>
      <c r="F279" s="780">
        <v>0.76134999999999997</v>
      </c>
      <c r="G279" s="741">
        <v>6997079</v>
      </c>
      <c r="H279" s="742">
        <v>227548</v>
      </c>
      <c r="I279" s="13"/>
      <c r="J279" s="857"/>
    </row>
    <row r="280" spans="1:10" x14ac:dyDescent="0.35">
      <c r="A280" s="33"/>
      <c r="B280" s="34"/>
      <c r="C280" s="34"/>
      <c r="D280" s="529"/>
      <c r="E280" s="32"/>
      <c r="F280" s="780"/>
      <c r="G280" s="752"/>
      <c r="H280" s="742"/>
      <c r="I280" s="13"/>
      <c r="J280" s="857"/>
    </row>
    <row r="281" spans="1:10" x14ac:dyDescent="0.35">
      <c r="A281" s="33"/>
      <c r="B281" s="34"/>
      <c r="C281" s="34"/>
      <c r="D281" s="529"/>
      <c r="E281" s="32"/>
      <c r="F281" s="780"/>
      <c r="G281" s="752"/>
      <c r="H281" s="742"/>
      <c r="I281" s="13"/>
      <c r="J281" s="857"/>
    </row>
    <row r="282" spans="1:10" x14ac:dyDescent="0.35">
      <c r="A282" s="33"/>
      <c r="B282" s="34"/>
      <c r="C282" s="34"/>
      <c r="D282" s="529"/>
      <c r="E282" s="32"/>
      <c r="F282" s="780"/>
      <c r="G282" s="752"/>
      <c r="H282" s="742"/>
      <c r="I282" s="13"/>
      <c r="J282" s="857"/>
    </row>
    <row r="283" spans="1:10" x14ac:dyDescent="0.35">
      <c r="A283" s="33"/>
      <c r="B283" s="34"/>
      <c r="C283" s="34"/>
      <c r="D283" s="529"/>
      <c r="E283" s="32"/>
      <c r="F283" s="780"/>
      <c r="G283" s="752"/>
      <c r="H283" s="742"/>
      <c r="I283" s="13"/>
      <c r="J283" s="857"/>
    </row>
    <row r="284" spans="1:10" x14ac:dyDescent="0.35">
      <c r="A284" s="38" t="s">
        <v>89</v>
      </c>
      <c r="B284" s="31"/>
      <c r="C284" s="31"/>
      <c r="D284" s="528"/>
      <c r="E284" s="42"/>
      <c r="F284" s="780"/>
      <c r="G284" s="749"/>
      <c r="H284" s="742"/>
      <c r="I284" s="13"/>
      <c r="J284" s="857"/>
    </row>
    <row r="285" spans="1:10" x14ac:dyDescent="0.35">
      <c r="A285" s="268" t="s">
        <v>440</v>
      </c>
      <c r="B285" s="269" t="s">
        <v>420</v>
      </c>
      <c r="C285" s="269" t="s">
        <v>353</v>
      </c>
      <c r="D285" s="525"/>
      <c r="E285" s="270"/>
      <c r="F285" s="780">
        <v>13.71475</v>
      </c>
      <c r="G285" s="745">
        <v>5156741</v>
      </c>
      <c r="H285" s="742">
        <v>227571</v>
      </c>
      <c r="I285" s="13"/>
      <c r="J285" s="857"/>
    </row>
    <row r="286" spans="1:10" x14ac:dyDescent="0.35">
      <c r="A286" s="271" t="s">
        <v>418</v>
      </c>
      <c r="B286" s="272" t="s">
        <v>420</v>
      </c>
      <c r="C286" s="272" t="s">
        <v>354</v>
      </c>
      <c r="D286" s="526"/>
      <c r="E286" s="273"/>
      <c r="F286" s="780">
        <v>12.981339999999999</v>
      </c>
      <c r="G286" s="746">
        <v>1777320</v>
      </c>
      <c r="H286" s="742">
        <v>227570</v>
      </c>
      <c r="I286" s="13"/>
      <c r="J286" s="857"/>
    </row>
    <row r="287" spans="1:10" x14ac:dyDescent="0.35">
      <c r="A287" s="271" t="s">
        <v>417</v>
      </c>
      <c r="B287" s="272" t="s">
        <v>420</v>
      </c>
      <c r="C287" s="272" t="s">
        <v>422</v>
      </c>
      <c r="D287" s="526"/>
      <c r="E287" s="273"/>
      <c r="F287" s="780">
        <v>13.71475</v>
      </c>
      <c r="G287" s="746">
        <v>8239496</v>
      </c>
      <c r="H287" s="742">
        <v>227572</v>
      </c>
      <c r="I287" s="13"/>
      <c r="J287" s="857"/>
    </row>
    <row r="288" spans="1:10" x14ac:dyDescent="0.35">
      <c r="A288" s="503" t="s">
        <v>419</v>
      </c>
      <c r="B288" s="505" t="s">
        <v>421</v>
      </c>
      <c r="C288" s="505" t="s">
        <v>496</v>
      </c>
      <c r="D288" s="521" t="s">
        <v>936</v>
      </c>
      <c r="E288" s="506"/>
      <c r="F288" s="780">
        <v>19.182289999999998</v>
      </c>
      <c r="G288" s="687">
        <v>5016984</v>
      </c>
      <c r="H288" s="742">
        <v>227573</v>
      </c>
      <c r="I288" s="13"/>
      <c r="J288" s="857"/>
    </row>
    <row r="289" spans="1:10" x14ac:dyDescent="0.35">
      <c r="A289" s="37"/>
      <c r="B289" s="31"/>
      <c r="C289" s="31"/>
      <c r="D289" s="528"/>
      <c r="E289" s="42"/>
      <c r="F289" s="780"/>
      <c r="G289" s="750"/>
      <c r="H289" s="742"/>
      <c r="I289" s="13"/>
      <c r="J289" s="857"/>
    </row>
    <row r="290" spans="1:10" x14ac:dyDescent="0.35">
      <c r="A290" s="33"/>
      <c r="B290" s="34"/>
      <c r="C290" s="34"/>
      <c r="D290" s="529"/>
      <c r="E290" s="32"/>
      <c r="F290" s="780"/>
      <c r="G290" s="35"/>
      <c r="H290" s="742"/>
      <c r="I290" s="13"/>
      <c r="J290" s="857"/>
    </row>
    <row r="291" spans="1:10" x14ac:dyDescent="0.35">
      <c r="A291" s="37"/>
      <c r="B291" s="31"/>
      <c r="C291" s="31"/>
      <c r="D291" s="528"/>
      <c r="E291" s="42"/>
      <c r="F291" s="780"/>
      <c r="G291" s="750"/>
      <c r="H291" s="742"/>
      <c r="I291" s="13"/>
      <c r="J291" s="857"/>
    </row>
    <row r="292" spans="1:10" x14ac:dyDescent="0.35">
      <c r="A292" s="37"/>
      <c r="B292" s="31"/>
      <c r="C292" s="31"/>
      <c r="D292" s="528"/>
      <c r="E292" s="42"/>
      <c r="F292" s="780"/>
      <c r="G292" s="750"/>
      <c r="H292" s="742"/>
      <c r="I292" s="13"/>
      <c r="J292" s="857"/>
    </row>
    <row r="293" spans="1:10" x14ac:dyDescent="0.35">
      <c r="A293" s="268" t="s">
        <v>439</v>
      </c>
      <c r="B293" s="269" t="s">
        <v>426</v>
      </c>
      <c r="C293" s="269" t="s">
        <v>353</v>
      </c>
      <c r="D293" s="525"/>
      <c r="E293" s="270"/>
      <c r="F293" s="780">
        <v>19.402619999999999</v>
      </c>
      <c r="G293" s="745">
        <v>4529568</v>
      </c>
      <c r="H293" s="742">
        <v>227575</v>
      </c>
      <c r="I293" s="13"/>
      <c r="J293" s="857"/>
    </row>
    <row r="294" spans="1:10" x14ac:dyDescent="0.35">
      <c r="A294" s="271" t="s">
        <v>423</v>
      </c>
      <c r="B294" s="272" t="s">
        <v>426</v>
      </c>
      <c r="C294" s="272" t="s">
        <v>354</v>
      </c>
      <c r="D294" s="526"/>
      <c r="E294" s="273"/>
      <c r="F294" s="780">
        <v>19.402619999999999</v>
      </c>
      <c r="G294" s="746">
        <v>4967635</v>
      </c>
      <c r="H294" s="742">
        <v>227574</v>
      </c>
      <c r="I294" s="13"/>
      <c r="J294" s="857"/>
    </row>
    <row r="295" spans="1:10" x14ac:dyDescent="0.35">
      <c r="A295" s="271" t="s">
        <v>424</v>
      </c>
      <c r="B295" s="272" t="s">
        <v>426</v>
      </c>
      <c r="C295" s="272" t="s">
        <v>422</v>
      </c>
      <c r="D295" s="526"/>
      <c r="E295" s="273"/>
      <c r="F295" s="780">
        <v>19.402619999999999</v>
      </c>
      <c r="G295" s="746">
        <v>2910052</v>
      </c>
      <c r="H295" s="742">
        <v>227576</v>
      </c>
      <c r="I295" s="13"/>
      <c r="J295" s="857"/>
    </row>
    <row r="296" spans="1:10" x14ac:dyDescent="0.35">
      <c r="A296" s="503" t="s">
        <v>425</v>
      </c>
      <c r="B296" s="505" t="s">
        <v>427</v>
      </c>
      <c r="C296" s="505" t="s">
        <v>496</v>
      </c>
      <c r="D296" s="521" t="s">
        <v>936</v>
      </c>
      <c r="E296" s="506"/>
      <c r="F296" s="780">
        <v>30.793610000000001</v>
      </c>
      <c r="G296" s="687">
        <v>3793148</v>
      </c>
      <c r="H296" s="742">
        <v>227577</v>
      </c>
      <c r="I296" s="13"/>
      <c r="J296" s="857"/>
    </row>
    <row r="297" spans="1:10" x14ac:dyDescent="0.35">
      <c r="A297" s="268" t="s">
        <v>499</v>
      </c>
      <c r="B297" s="269" t="s">
        <v>428</v>
      </c>
      <c r="C297" s="269" t="s">
        <v>353</v>
      </c>
      <c r="D297" s="525"/>
      <c r="E297" s="270"/>
      <c r="F297" s="780">
        <v>18.150179999999999</v>
      </c>
      <c r="G297" s="745">
        <v>3868654</v>
      </c>
      <c r="H297" s="742">
        <v>236547</v>
      </c>
      <c r="I297" s="13"/>
      <c r="J297" s="857"/>
    </row>
    <row r="298" spans="1:10" x14ac:dyDescent="0.35">
      <c r="A298" s="271" t="s">
        <v>500</v>
      </c>
      <c r="B298" s="272" t="s">
        <v>428</v>
      </c>
      <c r="C298" s="272" t="s">
        <v>354</v>
      </c>
      <c r="D298" s="526"/>
      <c r="E298" s="273"/>
      <c r="F298" s="780">
        <v>18.150179999999999</v>
      </c>
      <c r="G298" s="746">
        <v>9103721</v>
      </c>
      <c r="H298" s="742">
        <v>236546</v>
      </c>
      <c r="I298" s="13"/>
      <c r="J298" s="857"/>
    </row>
    <row r="299" spans="1:10" x14ac:dyDescent="0.35">
      <c r="A299" s="271" t="s">
        <v>501</v>
      </c>
      <c r="B299" s="272" t="s">
        <v>428</v>
      </c>
      <c r="C299" s="272" t="s">
        <v>422</v>
      </c>
      <c r="D299" s="526"/>
      <c r="E299" s="273"/>
      <c r="F299" s="780">
        <v>18.150179999999999</v>
      </c>
      <c r="G299" s="746">
        <v>6724341</v>
      </c>
      <c r="H299" s="742">
        <v>236548</v>
      </c>
      <c r="I299" s="13"/>
      <c r="J299" s="857"/>
    </row>
    <row r="300" spans="1:10" x14ac:dyDescent="0.35">
      <c r="A300" s="503" t="s">
        <v>502</v>
      </c>
      <c r="B300" s="505" t="s">
        <v>429</v>
      </c>
      <c r="C300" s="505" t="s">
        <v>496</v>
      </c>
      <c r="D300" s="521" t="s">
        <v>936</v>
      </c>
      <c r="E300" s="506"/>
      <c r="F300" s="780">
        <v>29.540990000000001</v>
      </c>
      <c r="G300" s="687">
        <v>9439314</v>
      </c>
      <c r="H300" s="742">
        <v>236549</v>
      </c>
      <c r="I300" s="13"/>
      <c r="J300" s="857"/>
    </row>
    <row r="301" spans="1:10" x14ac:dyDescent="0.35">
      <c r="A301" s="33"/>
      <c r="B301" s="34"/>
      <c r="C301" s="34"/>
      <c r="D301" s="529"/>
      <c r="E301" s="32"/>
      <c r="F301" s="780"/>
      <c r="G301" s="35"/>
      <c r="H301" s="742"/>
      <c r="I301" s="13"/>
      <c r="J301" s="857"/>
    </row>
    <row r="302" spans="1:10" x14ac:dyDescent="0.35">
      <c r="A302" s="33"/>
      <c r="B302" s="34"/>
      <c r="C302" s="34"/>
      <c r="D302" s="529"/>
      <c r="E302" s="32"/>
      <c r="F302" s="780"/>
      <c r="G302" s="35"/>
      <c r="H302" s="742"/>
      <c r="I302" s="13"/>
      <c r="J302" s="857"/>
    </row>
    <row r="303" spans="1:10" x14ac:dyDescent="0.35">
      <c r="A303" s="33"/>
      <c r="B303" s="34"/>
      <c r="C303" s="34"/>
      <c r="D303" s="529"/>
      <c r="E303" s="32"/>
      <c r="F303" s="780"/>
      <c r="G303" s="35"/>
      <c r="H303" s="742"/>
      <c r="I303" s="13"/>
      <c r="J303" s="857"/>
    </row>
    <row r="304" spans="1:10" x14ac:dyDescent="0.35">
      <c r="A304" s="33"/>
      <c r="B304" s="34"/>
      <c r="C304" s="34"/>
      <c r="D304" s="529"/>
      <c r="E304" s="32"/>
      <c r="F304" s="780"/>
      <c r="G304" s="35"/>
      <c r="H304" s="742"/>
      <c r="I304" s="13"/>
      <c r="J304" s="857"/>
    </row>
    <row r="305" spans="1:10" x14ac:dyDescent="0.35">
      <c r="A305" s="33"/>
      <c r="B305" s="34"/>
      <c r="C305" s="34"/>
      <c r="D305" s="529"/>
      <c r="E305" s="32"/>
      <c r="F305" s="780"/>
      <c r="G305" s="35"/>
      <c r="H305" s="742"/>
      <c r="I305" s="13"/>
      <c r="J305" s="857"/>
    </row>
    <row r="306" spans="1:10" x14ac:dyDescent="0.35">
      <c r="A306" s="268" t="s">
        <v>453</v>
      </c>
      <c r="B306" s="269" t="s">
        <v>437</v>
      </c>
      <c r="C306" s="269" t="s">
        <v>353</v>
      </c>
      <c r="D306" s="525"/>
      <c r="E306" s="270"/>
      <c r="F306" s="780">
        <v>14.808439999999999</v>
      </c>
      <c r="G306" s="745">
        <v>1302013</v>
      </c>
      <c r="H306" s="742">
        <v>227583</v>
      </c>
      <c r="I306" s="13"/>
      <c r="J306" s="857"/>
    </row>
    <row r="307" spans="1:10" x14ac:dyDescent="0.35">
      <c r="A307" s="271" t="s">
        <v>430</v>
      </c>
      <c r="B307" s="272" t="s">
        <v>437</v>
      </c>
      <c r="C307" s="272" t="s">
        <v>354</v>
      </c>
      <c r="D307" s="526"/>
      <c r="E307" s="273"/>
      <c r="F307" s="780">
        <v>14.808439999999999</v>
      </c>
      <c r="G307" s="746">
        <v>8063022</v>
      </c>
      <c r="H307" s="742">
        <v>227582</v>
      </c>
      <c r="I307" s="13"/>
      <c r="J307" s="857"/>
    </row>
    <row r="308" spans="1:10" x14ac:dyDescent="0.35">
      <c r="A308" s="271" t="s">
        <v>431</v>
      </c>
      <c r="B308" s="272" t="s">
        <v>437</v>
      </c>
      <c r="C308" s="272" t="s">
        <v>422</v>
      </c>
      <c r="D308" s="526"/>
      <c r="E308" s="273"/>
      <c r="F308" s="780">
        <v>14.808439999999999</v>
      </c>
      <c r="G308" s="746">
        <v>8107316</v>
      </c>
      <c r="H308" s="742">
        <v>227584</v>
      </c>
      <c r="I308" s="13"/>
      <c r="J308" s="857"/>
    </row>
    <row r="309" spans="1:10" x14ac:dyDescent="0.35">
      <c r="A309" s="503" t="s">
        <v>432</v>
      </c>
      <c r="B309" s="505" t="s">
        <v>437</v>
      </c>
      <c r="C309" s="505" t="s">
        <v>436</v>
      </c>
      <c r="D309" s="521" t="s">
        <v>936</v>
      </c>
      <c r="E309" s="506"/>
      <c r="F309" s="780">
        <v>30.983229999999999</v>
      </c>
      <c r="G309" s="687">
        <v>6242793</v>
      </c>
      <c r="H309" s="742">
        <v>227585</v>
      </c>
      <c r="I309" s="13"/>
      <c r="J309" s="857"/>
    </row>
    <row r="310" spans="1:10" x14ac:dyDescent="0.35">
      <c r="A310" s="268" t="s">
        <v>452</v>
      </c>
      <c r="B310" s="269" t="s">
        <v>438</v>
      </c>
      <c r="C310" s="269" t="s">
        <v>353</v>
      </c>
      <c r="D310" s="525"/>
      <c r="E310" s="270"/>
      <c r="F310" s="780">
        <v>15.491619999999999</v>
      </c>
      <c r="G310" s="745">
        <v>5897587</v>
      </c>
      <c r="H310" s="742">
        <v>227579</v>
      </c>
      <c r="I310" s="13"/>
      <c r="J310" s="857"/>
    </row>
    <row r="311" spans="1:10" x14ac:dyDescent="0.35">
      <c r="A311" s="271" t="s">
        <v>433</v>
      </c>
      <c r="B311" s="272" t="s">
        <v>438</v>
      </c>
      <c r="C311" s="272" t="s">
        <v>354</v>
      </c>
      <c r="D311" s="526"/>
      <c r="E311" s="273"/>
      <c r="F311" s="780">
        <v>14.66319</v>
      </c>
      <c r="G311" s="746">
        <v>7731476</v>
      </c>
      <c r="H311" s="742">
        <v>227578</v>
      </c>
      <c r="I311" s="13"/>
      <c r="J311" s="857"/>
    </row>
    <row r="312" spans="1:10" x14ac:dyDescent="0.35">
      <c r="A312" s="271" t="s">
        <v>434</v>
      </c>
      <c r="B312" s="272" t="s">
        <v>438</v>
      </c>
      <c r="C312" s="272" t="s">
        <v>422</v>
      </c>
      <c r="D312" s="526"/>
      <c r="E312" s="273"/>
      <c r="F312" s="780">
        <v>15.491619999999999</v>
      </c>
      <c r="G312" s="746">
        <v>9425225</v>
      </c>
      <c r="H312" s="742">
        <v>227580</v>
      </c>
      <c r="I312" s="13"/>
      <c r="J312" s="857"/>
    </row>
    <row r="313" spans="1:10" x14ac:dyDescent="0.35">
      <c r="A313" s="503" t="s">
        <v>435</v>
      </c>
      <c r="B313" s="505" t="s">
        <v>438</v>
      </c>
      <c r="C313" s="505" t="s">
        <v>436</v>
      </c>
      <c r="D313" s="521" t="s">
        <v>936</v>
      </c>
      <c r="E313" s="506"/>
      <c r="F313" s="780">
        <v>37.134369999999997</v>
      </c>
      <c r="G313" s="687">
        <v>8937075</v>
      </c>
      <c r="H313" s="742">
        <v>227581</v>
      </c>
      <c r="I313" s="13"/>
      <c r="J313" s="857"/>
    </row>
    <row r="314" spans="1:10" x14ac:dyDescent="0.35">
      <c r="A314" s="33"/>
      <c r="B314" s="34"/>
      <c r="C314" s="34"/>
      <c r="D314" s="529"/>
      <c r="E314" s="42"/>
      <c r="F314" s="780"/>
      <c r="G314" s="749"/>
      <c r="H314" s="742"/>
      <c r="I314" s="13"/>
      <c r="J314" s="857"/>
    </row>
    <row r="315" spans="1:10" x14ac:dyDescent="0.35">
      <c r="A315" s="33"/>
      <c r="B315" s="34"/>
      <c r="C315" s="34"/>
      <c r="D315" s="529"/>
      <c r="E315" s="42"/>
      <c r="F315" s="780"/>
      <c r="G315" s="749"/>
      <c r="H315" s="742"/>
      <c r="I315" s="13"/>
      <c r="J315" s="857"/>
    </row>
    <row r="316" spans="1:10" x14ac:dyDescent="0.35">
      <c r="A316" s="33"/>
      <c r="B316" s="34"/>
      <c r="C316" s="34"/>
      <c r="D316" s="529"/>
      <c r="E316" s="42"/>
      <c r="F316" s="780"/>
      <c r="G316" s="749"/>
      <c r="H316" s="742"/>
      <c r="I316" s="13"/>
      <c r="J316" s="857"/>
    </row>
    <row r="317" spans="1:10" x14ac:dyDescent="0.35">
      <c r="A317" s="33"/>
      <c r="B317" s="34"/>
      <c r="C317" s="34"/>
      <c r="D317" s="529"/>
      <c r="E317" s="42"/>
      <c r="F317" s="780"/>
      <c r="G317" s="749"/>
      <c r="H317" s="742"/>
      <c r="I317" s="13"/>
      <c r="J317" s="857"/>
    </row>
    <row r="318" spans="1:10" x14ac:dyDescent="0.35">
      <c r="A318" s="281" t="s">
        <v>454</v>
      </c>
      <c r="B318" s="269" t="s">
        <v>457</v>
      </c>
      <c r="C318" s="269" t="s">
        <v>353</v>
      </c>
      <c r="D318" s="525"/>
      <c r="E318" s="282"/>
      <c r="F318" s="780">
        <v>5.73271</v>
      </c>
      <c r="G318" s="753">
        <v>5209105</v>
      </c>
      <c r="H318" s="742">
        <v>227604</v>
      </c>
      <c r="I318" s="13"/>
      <c r="J318" s="857"/>
    </row>
    <row r="319" spans="1:10" x14ac:dyDescent="0.35">
      <c r="A319" s="283" t="s">
        <v>455</v>
      </c>
      <c r="B319" s="272" t="s">
        <v>457</v>
      </c>
      <c r="C319" s="272" t="s">
        <v>354</v>
      </c>
      <c r="D319" s="526"/>
      <c r="E319" s="284"/>
      <c r="F319" s="780">
        <v>5.73271</v>
      </c>
      <c r="G319" s="754">
        <v>9717615</v>
      </c>
      <c r="H319" s="742">
        <v>227603</v>
      </c>
      <c r="I319" s="13"/>
      <c r="J319" s="857"/>
    </row>
    <row r="320" spans="1:10" x14ac:dyDescent="0.35">
      <c r="A320" s="503" t="s">
        <v>456</v>
      </c>
      <c r="B320" s="505" t="s">
        <v>457</v>
      </c>
      <c r="C320" s="505" t="s">
        <v>422</v>
      </c>
      <c r="D320" s="521" t="s">
        <v>936</v>
      </c>
      <c r="E320" s="506"/>
      <c r="F320" s="780">
        <v>5.73271</v>
      </c>
      <c r="G320" s="687">
        <v>7228931</v>
      </c>
      <c r="H320" s="742">
        <v>227605</v>
      </c>
      <c r="I320" s="13"/>
      <c r="J320" s="857"/>
    </row>
    <row r="321" spans="1:10" x14ac:dyDescent="0.35">
      <c r="A321" s="37"/>
      <c r="B321" s="31"/>
      <c r="C321" s="31"/>
      <c r="D321" s="528"/>
      <c r="E321" s="42"/>
      <c r="F321" s="780"/>
      <c r="G321" s="749"/>
      <c r="H321" s="742"/>
      <c r="I321" s="13"/>
      <c r="J321" s="857"/>
    </row>
    <row r="322" spans="1:10" x14ac:dyDescent="0.35">
      <c r="A322" s="37" t="s">
        <v>1177</v>
      </c>
      <c r="B322" s="31" t="s">
        <v>458</v>
      </c>
      <c r="C322" s="31" t="s">
        <v>520</v>
      </c>
      <c r="D322" s="528"/>
      <c r="E322" s="42"/>
      <c r="F322" s="780">
        <v>12.912559999999999</v>
      </c>
      <c r="G322" s="741">
        <v>6831132</v>
      </c>
      <c r="H322" s="742">
        <v>227587</v>
      </c>
      <c r="I322" s="13"/>
      <c r="J322" s="857"/>
    </row>
    <row r="323" spans="1:10" x14ac:dyDescent="0.35">
      <c r="A323" s="37" t="s">
        <v>1178</v>
      </c>
      <c r="B323" s="31" t="s">
        <v>864</v>
      </c>
      <c r="C323" s="31" t="s">
        <v>520</v>
      </c>
      <c r="D323" s="528"/>
      <c r="E323" s="42"/>
      <c r="F323" s="780">
        <v>14.67398</v>
      </c>
      <c r="G323" s="741">
        <v>4562065</v>
      </c>
      <c r="H323" s="742">
        <v>227588</v>
      </c>
      <c r="I323" s="13"/>
      <c r="J323" s="857"/>
    </row>
    <row r="324" spans="1:10" x14ac:dyDescent="0.35">
      <c r="A324" s="471" t="s">
        <v>1179</v>
      </c>
      <c r="B324" s="34" t="s">
        <v>459</v>
      </c>
      <c r="C324" s="34" t="s">
        <v>520</v>
      </c>
      <c r="D324" s="529" t="s">
        <v>936</v>
      </c>
      <c r="E324" s="545"/>
      <c r="F324" s="780">
        <v>24.45665</v>
      </c>
      <c r="G324" s="690">
        <v>8741762</v>
      </c>
      <c r="H324" s="742">
        <v>227589</v>
      </c>
      <c r="I324" s="13"/>
      <c r="J324" s="857"/>
    </row>
    <row r="325" spans="1:10" x14ac:dyDescent="0.35">
      <c r="A325" s="471" t="s">
        <v>1180</v>
      </c>
      <c r="B325" s="34" t="s">
        <v>460</v>
      </c>
      <c r="C325" s="34" t="s">
        <v>520</v>
      </c>
      <c r="D325" s="529" t="s">
        <v>936</v>
      </c>
      <c r="E325" s="545"/>
      <c r="F325" s="780">
        <v>31.500150000000001</v>
      </c>
      <c r="G325" s="691">
        <v>1039565</v>
      </c>
      <c r="H325" s="742">
        <v>227590</v>
      </c>
      <c r="I325" s="13"/>
      <c r="J325" s="857"/>
    </row>
    <row r="326" spans="1:10" x14ac:dyDescent="0.35">
      <c r="A326" s="37"/>
      <c r="B326" s="31"/>
      <c r="C326" s="34"/>
      <c r="D326" s="529"/>
      <c r="E326" s="32"/>
      <c r="F326" s="780"/>
      <c r="G326" s="255"/>
      <c r="H326" s="742"/>
      <c r="I326" s="13"/>
      <c r="J326" s="857"/>
    </row>
    <row r="327" spans="1:10" x14ac:dyDescent="0.35">
      <c r="A327" s="37"/>
      <c r="B327" s="31"/>
      <c r="C327" s="34"/>
      <c r="D327" s="529"/>
      <c r="E327" s="32"/>
      <c r="F327" s="780"/>
      <c r="G327" s="255"/>
      <c r="H327" s="742"/>
      <c r="I327" s="13"/>
      <c r="J327" s="857"/>
    </row>
    <row r="328" spans="1:10" x14ac:dyDescent="0.35">
      <c r="A328" s="37"/>
      <c r="B328" s="31"/>
      <c r="C328" s="34"/>
      <c r="D328" s="529"/>
      <c r="E328" s="32"/>
      <c r="F328" s="780"/>
      <c r="G328" s="255"/>
      <c r="H328" s="742"/>
      <c r="I328" s="13"/>
      <c r="J328" s="857"/>
    </row>
    <row r="329" spans="1:10" x14ac:dyDescent="0.35">
      <c r="A329" s="37"/>
      <c r="B329" s="31"/>
      <c r="C329" s="34"/>
      <c r="D329" s="529"/>
      <c r="E329" s="32"/>
      <c r="F329" s="780"/>
      <c r="G329" s="255"/>
      <c r="H329" s="742"/>
      <c r="I329" s="13"/>
      <c r="J329" s="857"/>
    </row>
    <row r="330" spans="1:10" x14ac:dyDescent="0.35">
      <c r="A330" s="37" t="s">
        <v>1181</v>
      </c>
      <c r="B330" s="31" t="s">
        <v>461</v>
      </c>
      <c r="C330" s="31" t="s">
        <v>520</v>
      </c>
      <c r="D330" s="528"/>
      <c r="E330" s="42"/>
      <c r="F330" s="780">
        <v>8.02196</v>
      </c>
      <c r="G330" s="741">
        <v>9062400</v>
      </c>
      <c r="H330" s="742">
        <v>227591</v>
      </c>
      <c r="I330" s="13"/>
      <c r="J330" s="857"/>
    </row>
    <row r="331" spans="1:10" x14ac:dyDescent="0.35">
      <c r="A331" s="37" t="s">
        <v>1182</v>
      </c>
      <c r="B331" s="31" t="s">
        <v>865</v>
      </c>
      <c r="C331" s="31" t="s">
        <v>520</v>
      </c>
      <c r="D331" s="528"/>
      <c r="E331" s="42"/>
      <c r="F331" s="780">
        <v>9.1958699999999993</v>
      </c>
      <c r="G331" s="741">
        <v>7032427</v>
      </c>
      <c r="H331" s="742">
        <v>227592</v>
      </c>
      <c r="I331" s="13"/>
      <c r="J331" s="857"/>
    </row>
    <row r="332" spans="1:10" x14ac:dyDescent="0.35">
      <c r="A332" s="471" t="s">
        <v>1183</v>
      </c>
      <c r="B332" s="34" t="s">
        <v>462</v>
      </c>
      <c r="C332" s="34" t="s">
        <v>520</v>
      </c>
      <c r="D332" s="529" t="s">
        <v>936</v>
      </c>
      <c r="E332" s="545"/>
      <c r="F332" s="780">
        <v>16.2394</v>
      </c>
      <c r="G332" s="690">
        <v>7696491</v>
      </c>
      <c r="H332" s="742">
        <v>227593</v>
      </c>
      <c r="I332" s="13"/>
      <c r="J332" s="857"/>
    </row>
    <row r="333" spans="1:10" x14ac:dyDescent="0.35">
      <c r="A333" s="471" t="s">
        <v>1184</v>
      </c>
      <c r="B333" s="34" t="s">
        <v>463</v>
      </c>
      <c r="C333" s="34" t="s">
        <v>520</v>
      </c>
      <c r="D333" s="529" t="s">
        <v>936</v>
      </c>
      <c r="E333" s="472"/>
      <c r="F333" s="780">
        <v>20.93506</v>
      </c>
      <c r="G333" s="755">
        <v>7710993</v>
      </c>
      <c r="H333" s="742">
        <v>227594</v>
      </c>
      <c r="I333" s="13"/>
      <c r="J333" s="857"/>
    </row>
    <row r="334" spans="1:10" x14ac:dyDescent="0.35">
      <c r="A334" s="37"/>
      <c r="B334" s="31"/>
      <c r="C334" s="31"/>
      <c r="D334" s="528"/>
      <c r="E334" s="42"/>
      <c r="F334" s="780"/>
      <c r="G334" s="749"/>
      <c r="H334" s="742"/>
      <c r="I334" s="13"/>
      <c r="J334" s="857"/>
    </row>
    <row r="335" spans="1:10" x14ac:dyDescent="0.35">
      <c r="A335" s="37"/>
      <c r="B335" s="31"/>
      <c r="C335" s="31"/>
      <c r="D335" s="528"/>
      <c r="E335" s="42"/>
      <c r="F335" s="780"/>
      <c r="G335" s="749"/>
      <c r="H335" s="742"/>
      <c r="I335" s="13"/>
      <c r="J335" s="857"/>
    </row>
    <row r="336" spans="1:10" x14ac:dyDescent="0.35">
      <c r="A336" s="37"/>
      <c r="B336" s="31"/>
      <c r="C336" s="31"/>
      <c r="D336" s="528"/>
      <c r="E336" s="42"/>
      <c r="F336" s="780"/>
      <c r="G336" s="749"/>
      <c r="H336" s="742"/>
      <c r="I336" s="13"/>
      <c r="J336" s="857"/>
    </row>
    <row r="337" spans="1:10" x14ac:dyDescent="0.35">
      <c r="A337" s="37"/>
      <c r="B337" s="31"/>
      <c r="C337" s="31"/>
      <c r="D337" s="528"/>
      <c r="E337" s="42"/>
      <c r="F337" s="780"/>
      <c r="G337" s="749"/>
      <c r="H337" s="742"/>
      <c r="I337" s="13"/>
      <c r="J337" s="857"/>
    </row>
    <row r="338" spans="1:10" x14ac:dyDescent="0.35">
      <c r="A338" s="268" t="s">
        <v>464</v>
      </c>
      <c r="B338" s="269" t="s">
        <v>866</v>
      </c>
      <c r="C338" s="269" t="s">
        <v>353</v>
      </c>
      <c r="D338" s="525"/>
      <c r="E338" s="270"/>
      <c r="F338" s="780">
        <v>6.60684</v>
      </c>
      <c r="G338" s="745">
        <v>3359148</v>
      </c>
      <c r="H338" s="742">
        <v>227597</v>
      </c>
      <c r="I338" s="13"/>
      <c r="J338" s="857"/>
    </row>
    <row r="339" spans="1:10" x14ac:dyDescent="0.35">
      <c r="A339" s="271" t="s">
        <v>94</v>
      </c>
      <c r="B339" s="272" t="s">
        <v>866</v>
      </c>
      <c r="C339" s="272" t="s">
        <v>354</v>
      </c>
      <c r="D339" s="526"/>
      <c r="E339" s="273"/>
      <c r="F339" s="780">
        <v>6.60684</v>
      </c>
      <c r="G339" s="746">
        <v>7053143</v>
      </c>
      <c r="H339" s="742">
        <v>227596</v>
      </c>
      <c r="I339" s="13"/>
      <c r="J339" s="857"/>
    </row>
    <row r="340" spans="1:10" x14ac:dyDescent="0.35">
      <c r="A340" s="271" t="s">
        <v>95</v>
      </c>
      <c r="B340" s="272" t="s">
        <v>866</v>
      </c>
      <c r="C340" s="272" t="s">
        <v>422</v>
      </c>
      <c r="D340" s="526"/>
      <c r="E340" s="273"/>
      <c r="F340" s="780">
        <v>6.60684</v>
      </c>
      <c r="G340" s="746">
        <v>9751013</v>
      </c>
      <c r="H340" s="742">
        <v>227598</v>
      </c>
      <c r="I340" s="13"/>
      <c r="J340" s="857"/>
    </row>
    <row r="341" spans="1:10" x14ac:dyDescent="0.35">
      <c r="A341" s="503" t="s">
        <v>465</v>
      </c>
      <c r="B341" s="505" t="s">
        <v>866</v>
      </c>
      <c r="C341" s="505" t="s">
        <v>870</v>
      </c>
      <c r="D341" s="521" t="s">
        <v>936</v>
      </c>
      <c r="E341" s="506"/>
      <c r="F341" s="780">
        <v>25.059979999999999</v>
      </c>
      <c r="G341" s="687">
        <v>9240980</v>
      </c>
      <c r="H341" s="742">
        <v>227600</v>
      </c>
      <c r="I341" s="13"/>
      <c r="J341" s="857"/>
    </row>
    <row r="342" spans="1:10" x14ac:dyDescent="0.35">
      <c r="A342" s="37"/>
      <c r="B342" s="31"/>
      <c r="C342" s="31"/>
      <c r="D342" s="528"/>
      <c r="E342" s="42"/>
      <c r="F342" s="780"/>
      <c r="G342" s="750"/>
      <c r="H342" s="742"/>
      <c r="I342" s="13"/>
      <c r="J342" s="857"/>
    </row>
    <row r="343" spans="1:10" x14ac:dyDescent="0.35">
      <c r="A343" s="33"/>
      <c r="B343" s="34"/>
      <c r="C343" s="34"/>
      <c r="D343" s="529"/>
      <c r="E343" s="32"/>
      <c r="F343" s="780"/>
      <c r="G343" s="750"/>
      <c r="H343" s="742"/>
      <c r="I343" s="13"/>
      <c r="J343" s="857"/>
    </row>
    <row r="344" spans="1:10" x14ac:dyDescent="0.35">
      <c r="A344" s="38" t="s">
        <v>562</v>
      </c>
      <c r="B344" s="31"/>
      <c r="C344" s="31"/>
      <c r="D344" s="528"/>
      <c r="E344" s="42"/>
      <c r="F344" s="780"/>
      <c r="G344" s="749"/>
      <c r="H344" s="742"/>
      <c r="I344" s="13"/>
      <c r="J344" s="857"/>
    </row>
    <row r="345" spans="1:10" x14ac:dyDescent="0.35">
      <c r="A345" s="281" t="s">
        <v>776</v>
      </c>
      <c r="B345" s="269" t="s">
        <v>779</v>
      </c>
      <c r="C345" s="269" t="s">
        <v>353</v>
      </c>
      <c r="D345" s="525"/>
      <c r="E345" s="282"/>
      <c r="F345" s="780">
        <v>72.901949999999999</v>
      </c>
      <c r="G345" s="753">
        <v>9653503</v>
      </c>
      <c r="H345" s="742">
        <v>227614</v>
      </c>
      <c r="I345" s="13"/>
      <c r="J345" s="857"/>
    </row>
    <row r="346" spans="1:10" x14ac:dyDescent="0.35">
      <c r="A346" s="283" t="s">
        <v>777</v>
      </c>
      <c r="B346" s="272" t="s">
        <v>779</v>
      </c>
      <c r="C346" s="272" t="s">
        <v>467</v>
      </c>
      <c r="D346" s="526"/>
      <c r="E346" s="284"/>
      <c r="F346" s="780">
        <v>72.901949999999999</v>
      </c>
      <c r="G346" s="754">
        <v>1952399</v>
      </c>
      <c r="H346" s="742">
        <v>227613</v>
      </c>
      <c r="I346" s="13"/>
      <c r="J346" s="857"/>
    </row>
    <row r="347" spans="1:10" x14ac:dyDescent="0.35">
      <c r="A347" s="496" t="s">
        <v>778</v>
      </c>
      <c r="B347" s="497" t="s">
        <v>779</v>
      </c>
      <c r="C347" s="497" t="s">
        <v>422</v>
      </c>
      <c r="D347" s="531"/>
      <c r="E347" s="285"/>
      <c r="F347" s="780">
        <v>72.901949999999999</v>
      </c>
      <c r="G347" s="756">
        <v>5834206</v>
      </c>
      <c r="H347" s="742">
        <v>227615</v>
      </c>
      <c r="I347" s="13"/>
      <c r="J347" s="857"/>
    </row>
    <row r="348" spans="1:10" x14ac:dyDescent="0.35">
      <c r="A348" s="281" t="s">
        <v>724</v>
      </c>
      <c r="B348" s="269" t="s">
        <v>466</v>
      </c>
      <c r="C348" s="269" t="s">
        <v>353</v>
      </c>
      <c r="D348" s="525"/>
      <c r="E348" s="282"/>
      <c r="F348" s="780">
        <v>75.180109999999999</v>
      </c>
      <c r="G348" s="753">
        <v>4497947</v>
      </c>
      <c r="H348" s="742">
        <v>227617</v>
      </c>
      <c r="I348" s="13"/>
      <c r="J348" s="857"/>
    </row>
    <row r="349" spans="1:10" x14ac:dyDescent="0.35">
      <c r="A349" s="283" t="s">
        <v>725</v>
      </c>
      <c r="B349" s="272" t="s">
        <v>466</v>
      </c>
      <c r="C349" s="272" t="s">
        <v>467</v>
      </c>
      <c r="D349" s="526"/>
      <c r="E349" s="284"/>
      <c r="F349" s="780">
        <v>75.180109999999999</v>
      </c>
      <c r="G349" s="754">
        <v>8830585</v>
      </c>
      <c r="H349" s="742">
        <v>227616</v>
      </c>
      <c r="I349" s="13"/>
      <c r="J349" s="857"/>
    </row>
    <row r="350" spans="1:10" x14ac:dyDescent="0.35">
      <c r="A350" s="496" t="s">
        <v>726</v>
      </c>
      <c r="B350" s="498" t="s">
        <v>466</v>
      </c>
      <c r="C350" s="498" t="s">
        <v>422</v>
      </c>
      <c r="D350" s="532"/>
      <c r="E350" s="285"/>
      <c r="F350" s="780">
        <v>75.180109999999999</v>
      </c>
      <c r="G350" s="756">
        <v>6081951</v>
      </c>
      <c r="H350" s="742">
        <v>227618</v>
      </c>
      <c r="I350" s="13"/>
      <c r="J350" s="857"/>
    </row>
    <row r="351" spans="1:10" x14ac:dyDescent="0.35">
      <c r="A351" s="281" t="s">
        <v>780</v>
      </c>
      <c r="B351" s="269" t="s">
        <v>786</v>
      </c>
      <c r="C351" s="269" t="s">
        <v>353</v>
      </c>
      <c r="D351" s="525"/>
      <c r="E351" s="282"/>
      <c r="F351" s="780">
        <v>111.28931</v>
      </c>
      <c r="G351" s="753">
        <v>5140460</v>
      </c>
      <c r="H351" s="742">
        <v>227621</v>
      </c>
      <c r="I351" s="13"/>
      <c r="J351" s="857"/>
    </row>
    <row r="352" spans="1:10" x14ac:dyDescent="0.35">
      <c r="A352" s="283" t="s">
        <v>781</v>
      </c>
      <c r="B352" s="272" t="s">
        <v>786</v>
      </c>
      <c r="C352" s="272" t="s">
        <v>467</v>
      </c>
      <c r="D352" s="526"/>
      <c r="E352" s="284"/>
      <c r="F352" s="780">
        <v>111.28931</v>
      </c>
      <c r="G352" s="754">
        <v>8208118</v>
      </c>
      <c r="H352" s="742">
        <v>227619</v>
      </c>
      <c r="I352" s="13"/>
      <c r="J352" s="857"/>
    </row>
    <row r="353" spans="1:10" x14ac:dyDescent="0.35">
      <c r="A353" s="496" t="s">
        <v>782</v>
      </c>
      <c r="B353" s="498" t="s">
        <v>786</v>
      </c>
      <c r="C353" s="498" t="s">
        <v>422</v>
      </c>
      <c r="D353" s="532"/>
      <c r="E353" s="285"/>
      <c r="F353" s="780">
        <v>111.28931</v>
      </c>
      <c r="G353" s="756">
        <v>9325745</v>
      </c>
      <c r="H353" s="742">
        <v>227622</v>
      </c>
      <c r="I353" s="13"/>
      <c r="J353" s="857"/>
    </row>
    <row r="354" spans="1:10" x14ac:dyDescent="0.35">
      <c r="A354" s="281" t="s">
        <v>783</v>
      </c>
      <c r="B354" s="269" t="s">
        <v>787</v>
      </c>
      <c r="C354" s="269" t="s">
        <v>353</v>
      </c>
      <c r="D354" s="525"/>
      <c r="E354" s="282"/>
      <c r="F354" s="780">
        <v>113.56747</v>
      </c>
      <c r="G354" s="753">
        <v>2003515</v>
      </c>
      <c r="H354" s="742">
        <v>227624</v>
      </c>
      <c r="I354" s="13"/>
      <c r="J354" s="857"/>
    </row>
    <row r="355" spans="1:10" x14ac:dyDescent="0.35">
      <c r="A355" s="283" t="s">
        <v>784</v>
      </c>
      <c r="B355" s="272" t="s">
        <v>787</v>
      </c>
      <c r="C355" s="272" t="s">
        <v>467</v>
      </c>
      <c r="D355" s="526"/>
      <c r="E355" s="284"/>
      <c r="F355" s="780">
        <v>113.56747</v>
      </c>
      <c r="G355" s="754">
        <v>2129847</v>
      </c>
      <c r="H355" s="742">
        <v>227623</v>
      </c>
      <c r="I355" s="13"/>
      <c r="J355" s="857"/>
    </row>
    <row r="356" spans="1:10" x14ac:dyDescent="0.35">
      <c r="A356" s="496" t="s">
        <v>785</v>
      </c>
      <c r="B356" s="498" t="s">
        <v>787</v>
      </c>
      <c r="C356" s="498" t="s">
        <v>422</v>
      </c>
      <c r="D356" s="532"/>
      <c r="E356" s="285"/>
      <c r="F356" s="780">
        <v>113.56747</v>
      </c>
      <c r="G356" s="756">
        <v>8245682</v>
      </c>
      <c r="H356" s="742">
        <v>227625</v>
      </c>
      <c r="I356" s="13"/>
      <c r="J356" s="857"/>
    </row>
    <row r="357" spans="1:10" x14ac:dyDescent="0.35">
      <c r="A357" s="281" t="s">
        <v>1216</v>
      </c>
      <c r="B357" s="269" t="s">
        <v>1219</v>
      </c>
      <c r="C357" s="269" t="s">
        <v>353</v>
      </c>
      <c r="D357" s="525"/>
      <c r="E357" s="282"/>
      <c r="F357" s="780">
        <v>142.95611</v>
      </c>
      <c r="G357" s="753">
        <v>7864958</v>
      </c>
      <c r="H357" s="742">
        <v>279407</v>
      </c>
      <c r="I357" s="13"/>
      <c r="J357" s="857"/>
    </row>
    <row r="358" spans="1:10" x14ac:dyDescent="0.35">
      <c r="A358" s="283" t="s">
        <v>1217</v>
      </c>
      <c r="B358" s="272" t="s">
        <v>1219</v>
      </c>
      <c r="C358" s="272" t="s">
        <v>467</v>
      </c>
      <c r="D358" s="526"/>
      <c r="E358" s="284"/>
      <c r="F358" s="780">
        <v>142.95611</v>
      </c>
      <c r="G358" s="754">
        <v>5771089</v>
      </c>
      <c r="H358" s="742">
        <v>279408</v>
      </c>
      <c r="I358" s="13"/>
      <c r="J358" s="857"/>
    </row>
    <row r="359" spans="1:10" x14ac:dyDescent="0.35">
      <c r="A359" s="496" t="s">
        <v>1218</v>
      </c>
      <c r="B359" s="498" t="s">
        <v>1219</v>
      </c>
      <c r="C359" s="498" t="s">
        <v>422</v>
      </c>
      <c r="D359" s="532"/>
      <c r="E359" s="285"/>
      <c r="F359" s="780">
        <v>142.95611</v>
      </c>
      <c r="G359" s="756">
        <v>7132220</v>
      </c>
      <c r="H359" s="742">
        <v>279409</v>
      </c>
      <c r="I359" s="13"/>
      <c r="J359" s="857"/>
    </row>
    <row r="360" spans="1:10" x14ac:dyDescent="0.35">
      <c r="A360" s="37"/>
      <c r="B360" s="31"/>
      <c r="C360" s="31"/>
      <c r="D360" s="528"/>
      <c r="E360" s="42"/>
      <c r="F360" s="780"/>
      <c r="G360" s="757"/>
      <c r="H360" s="742"/>
      <c r="I360" s="13"/>
      <c r="J360" s="857"/>
    </row>
    <row r="361" spans="1:10" x14ac:dyDescent="0.35">
      <c r="A361" s="281" t="s">
        <v>788</v>
      </c>
      <c r="B361" s="269" t="s">
        <v>791</v>
      </c>
      <c r="C361" s="269" t="s">
        <v>353</v>
      </c>
      <c r="D361" s="525"/>
      <c r="E361" s="282"/>
      <c r="F361" s="780">
        <v>20.207260000000002</v>
      </c>
      <c r="G361" s="753">
        <v>3560959</v>
      </c>
      <c r="H361" s="742">
        <v>227636</v>
      </c>
      <c r="I361" s="13"/>
      <c r="J361" s="857"/>
    </row>
    <row r="362" spans="1:10" x14ac:dyDescent="0.35">
      <c r="A362" s="283" t="s">
        <v>789</v>
      </c>
      <c r="B362" s="272" t="s">
        <v>791</v>
      </c>
      <c r="C362" s="272" t="s">
        <v>354</v>
      </c>
      <c r="D362" s="526"/>
      <c r="E362" s="284"/>
      <c r="F362" s="780">
        <v>20.207260000000002</v>
      </c>
      <c r="G362" s="754">
        <v>7627957</v>
      </c>
      <c r="H362" s="742">
        <v>227635</v>
      </c>
      <c r="I362" s="13"/>
      <c r="J362" s="857"/>
    </row>
    <row r="363" spans="1:10" x14ac:dyDescent="0.35">
      <c r="A363" s="496" t="s">
        <v>790</v>
      </c>
      <c r="B363" s="498" t="s">
        <v>791</v>
      </c>
      <c r="C363" s="498" t="s">
        <v>422</v>
      </c>
      <c r="D363" s="532"/>
      <c r="E363" s="285"/>
      <c r="F363" s="780">
        <v>20.207260000000002</v>
      </c>
      <c r="G363" s="756">
        <v>8504478</v>
      </c>
      <c r="H363" s="742">
        <v>227637</v>
      </c>
      <c r="I363" s="13"/>
      <c r="J363" s="857"/>
    </row>
    <row r="364" spans="1:10" x14ac:dyDescent="0.35">
      <c r="A364" s="281" t="s">
        <v>727</v>
      </c>
      <c r="B364" s="269" t="s">
        <v>527</v>
      </c>
      <c r="C364" s="269" t="s">
        <v>353</v>
      </c>
      <c r="D364" s="525"/>
      <c r="E364" s="282"/>
      <c r="F364" s="780">
        <v>20.50347</v>
      </c>
      <c r="G364" s="753">
        <v>8693820</v>
      </c>
      <c r="H364" s="742">
        <v>227639</v>
      </c>
      <c r="I364" s="13"/>
      <c r="J364" s="857"/>
    </row>
    <row r="365" spans="1:10" x14ac:dyDescent="0.35">
      <c r="A365" s="283" t="s">
        <v>728</v>
      </c>
      <c r="B365" s="272" t="s">
        <v>527</v>
      </c>
      <c r="C365" s="272" t="s">
        <v>354</v>
      </c>
      <c r="D365" s="526"/>
      <c r="E365" s="284"/>
      <c r="F365" s="780">
        <v>20.50347</v>
      </c>
      <c r="G365" s="754">
        <v>4394675</v>
      </c>
      <c r="H365" s="742">
        <v>227638</v>
      </c>
      <c r="I365" s="13"/>
      <c r="J365" s="857"/>
    </row>
    <row r="366" spans="1:10" x14ac:dyDescent="0.35">
      <c r="A366" s="496" t="s">
        <v>729</v>
      </c>
      <c r="B366" s="498" t="s">
        <v>527</v>
      </c>
      <c r="C366" s="498" t="s">
        <v>422</v>
      </c>
      <c r="D366" s="532"/>
      <c r="E366" s="285"/>
      <c r="F366" s="780">
        <v>20.50347</v>
      </c>
      <c r="G366" s="756">
        <v>2001978</v>
      </c>
      <c r="H366" s="742">
        <v>227640</v>
      </c>
      <c r="I366" s="13"/>
      <c r="J366" s="857"/>
    </row>
    <row r="367" spans="1:10" x14ac:dyDescent="0.35">
      <c r="A367" s="281" t="s">
        <v>792</v>
      </c>
      <c r="B367" s="269" t="s">
        <v>799</v>
      </c>
      <c r="C367" s="269" t="s">
        <v>353</v>
      </c>
      <c r="D367" s="525"/>
      <c r="E367" s="282"/>
      <c r="F367" s="780">
        <v>21.027159999999999</v>
      </c>
      <c r="G367" s="753">
        <v>7888159</v>
      </c>
      <c r="H367" s="742">
        <v>227642</v>
      </c>
      <c r="I367" s="13"/>
      <c r="J367" s="857"/>
    </row>
    <row r="368" spans="1:10" x14ac:dyDescent="0.35">
      <c r="A368" s="283" t="s">
        <v>793</v>
      </c>
      <c r="B368" s="272" t="s">
        <v>799</v>
      </c>
      <c r="C368" s="272" t="s">
        <v>354</v>
      </c>
      <c r="D368" s="526"/>
      <c r="E368" s="284"/>
      <c r="F368" s="780">
        <v>21.027159999999999</v>
      </c>
      <c r="G368" s="754">
        <v>4659446</v>
      </c>
      <c r="H368" s="742">
        <v>227641</v>
      </c>
      <c r="I368" s="13"/>
      <c r="J368" s="857"/>
    </row>
    <row r="369" spans="1:10" x14ac:dyDescent="0.35">
      <c r="A369" s="496" t="s">
        <v>794</v>
      </c>
      <c r="B369" s="498" t="s">
        <v>799</v>
      </c>
      <c r="C369" s="498" t="s">
        <v>422</v>
      </c>
      <c r="D369" s="532"/>
      <c r="E369" s="285"/>
      <c r="F369" s="780">
        <v>21.027159999999999</v>
      </c>
      <c r="G369" s="756">
        <v>1857690</v>
      </c>
      <c r="H369" s="742">
        <v>227643</v>
      </c>
      <c r="I369" s="13"/>
      <c r="J369" s="857"/>
    </row>
    <row r="370" spans="1:10" x14ac:dyDescent="0.35">
      <c r="A370" s="281" t="s">
        <v>795</v>
      </c>
      <c r="B370" s="269" t="s">
        <v>798</v>
      </c>
      <c r="C370" s="269" t="s">
        <v>353</v>
      </c>
      <c r="D370" s="525"/>
      <c r="E370" s="282"/>
      <c r="F370" s="780">
        <v>21.55104</v>
      </c>
      <c r="G370" s="753">
        <v>5406259</v>
      </c>
      <c r="H370" s="742">
        <v>227645</v>
      </c>
      <c r="I370" s="13"/>
      <c r="J370" s="857"/>
    </row>
    <row r="371" spans="1:10" x14ac:dyDescent="0.35">
      <c r="A371" s="283" t="s">
        <v>796</v>
      </c>
      <c r="B371" s="272" t="s">
        <v>798</v>
      </c>
      <c r="C371" s="272" t="s">
        <v>354</v>
      </c>
      <c r="D371" s="526"/>
      <c r="E371" s="284"/>
      <c r="F371" s="780">
        <v>21.55104</v>
      </c>
      <c r="G371" s="754">
        <v>9947186</v>
      </c>
      <c r="H371" s="742">
        <v>227644</v>
      </c>
      <c r="I371" s="13"/>
      <c r="J371" s="857"/>
    </row>
    <row r="372" spans="1:10" x14ac:dyDescent="0.35">
      <c r="A372" s="496" t="s">
        <v>797</v>
      </c>
      <c r="B372" s="498" t="s">
        <v>798</v>
      </c>
      <c r="C372" s="498" t="s">
        <v>422</v>
      </c>
      <c r="D372" s="532"/>
      <c r="E372" s="285"/>
      <c r="F372" s="780">
        <v>21.55104</v>
      </c>
      <c r="G372" s="756">
        <v>3460266</v>
      </c>
      <c r="H372" s="742">
        <v>227646</v>
      </c>
      <c r="I372" s="13"/>
      <c r="J372" s="857"/>
    </row>
    <row r="373" spans="1:10" x14ac:dyDescent="0.35">
      <c r="A373" s="281" t="s">
        <v>1220</v>
      </c>
      <c r="B373" s="269" t="s">
        <v>1223</v>
      </c>
      <c r="C373" s="269" t="s">
        <v>353</v>
      </c>
      <c r="D373" s="525"/>
      <c r="E373" s="282"/>
      <c r="F373" s="780">
        <v>22.07471</v>
      </c>
      <c r="G373" s="753">
        <v>9535897</v>
      </c>
      <c r="H373" s="742">
        <v>275842</v>
      </c>
      <c r="I373" s="13"/>
      <c r="J373" s="857"/>
    </row>
    <row r="374" spans="1:10" x14ac:dyDescent="0.35">
      <c r="A374" s="283" t="s">
        <v>1221</v>
      </c>
      <c r="B374" s="272" t="s">
        <v>1223</v>
      </c>
      <c r="C374" s="272" t="s">
        <v>354</v>
      </c>
      <c r="D374" s="526"/>
      <c r="E374" s="284"/>
      <c r="F374" s="780">
        <v>22.07471</v>
      </c>
      <c r="G374" s="754">
        <v>5590354</v>
      </c>
      <c r="H374" s="742">
        <v>279410</v>
      </c>
      <c r="I374" s="13"/>
      <c r="J374" s="857"/>
    </row>
    <row r="375" spans="1:10" x14ac:dyDescent="0.35">
      <c r="A375" s="496" t="s">
        <v>1222</v>
      </c>
      <c r="B375" s="498" t="s">
        <v>1223</v>
      </c>
      <c r="C375" s="498" t="s">
        <v>422</v>
      </c>
      <c r="D375" s="532"/>
      <c r="E375" s="285"/>
      <c r="F375" s="780">
        <v>22.07471</v>
      </c>
      <c r="G375" s="756">
        <v>2663377</v>
      </c>
      <c r="H375" s="742">
        <v>279411</v>
      </c>
      <c r="I375" s="13"/>
      <c r="J375" s="857"/>
    </row>
    <row r="376" spans="1:10" x14ac:dyDescent="0.35">
      <c r="A376" s="499" t="s">
        <v>569</v>
      </c>
      <c r="B376" s="493" t="s">
        <v>567</v>
      </c>
      <c r="C376" s="493" t="s">
        <v>353</v>
      </c>
      <c r="D376" s="518" t="s">
        <v>936</v>
      </c>
      <c r="E376" s="500"/>
      <c r="F376" s="780">
        <v>3.3033199999999998</v>
      </c>
      <c r="G376" s="758">
        <v>1842247</v>
      </c>
      <c r="H376" s="742">
        <v>227648</v>
      </c>
      <c r="I376" s="13"/>
      <c r="J376" s="857"/>
    </row>
    <row r="377" spans="1:10" x14ac:dyDescent="0.35">
      <c r="A377" s="501" t="s">
        <v>570</v>
      </c>
      <c r="B377" s="274" t="s">
        <v>567</v>
      </c>
      <c r="C377" s="274" t="s">
        <v>354</v>
      </c>
      <c r="D377" s="519" t="s">
        <v>936</v>
      </c>
      <c r="E377" s="502"/>
      <c r="F377" s="780">
        <v>3.3033199999999998</v>
      </c>
      <c r="G377" s="759">
        <v>5291776</v>
      </c>
      <c r="H377" s="742">
        <v>227647</v>
      </c>
      <c r="I377" s="13"/>
      <c r="J377" s="857"/>
    </row>
    <row r="378" spans="1:10" x14ac:dyDescent="0.35">
      <c r="A378" s="503" t="s">
        <v>571</v>
      </c>
      <c r="B378" s="276" t="s">
        <v>567</v>
      </c>
      <c r="C378" s="276" t="s">
        <v>422</v>
      </c>
      <c r="D378" s="533" t="s">
        <v>936</v>
      </c>
      <c r="E378" s="504"/>
      <c r="F378" s="780">
        <v>3.3033199999999998</v>
      </c>
      <c r="G378" s="760">
        <v>2118580</v>
      </c>
      <c r="H378" s="742">
        <v>227649</v>
      </c>
      <c r="I378" s="13"/>
      <c r="J378" s="857"/>
    </row>
    <row r="379" spans="1:10" x14ac:dyDescent="0.35">
      <c r="A379" s="37"/>
      <c r="B379" s="31"/>
      <c r="C379" s="31"/>
      <c r="D379" s="528"/>
      <c r="E379" s="42"/>
      <c r="F379" s="780"/>
      <c r="G379" s="757"/>
      <c r="H379" s="742"/>
      <c r="I379" s="13"/>
      <c r="J379" s="857"/>
    </row>
    <row r="380" spans="1:10" x14ac:dyDescent="0.35">
      <c r="A380" s="281" t="s">
        <v>800</v>
      </c>
      <c r="B380" s="269" t="s">
        <v>803</v>
      </c>
      <c r="C380" s="269" t="s">
        <v>353</v>
      </c>
      <c r="D380" s="525"/>
      <c r="E380" s="282"/>
      <c r="F380" s="780">
        <v>24.763960000000001</v>
      </c>
      <c r="G380" s="753">
        <v>2903985</v>
      </c>
      <c r="H380" s="742">
        <v>227651</v>
      </c>
      <c r="I380" s="13"/>
      <c r="J380" s="857"/>
    </row>
    <row r="381" spans="1:10" x14ac:dyDescent="0.35">
      <c r="A381" s="283" t="s">
        <v>801</v>
      </c>
      <c r="B381" s="272" t="s">
        <v>803</v>
      </c>
      <c r="C381" s="272" t="s">
        <v>354</v>
      </c>
      <c r="D381" s="526"/>
      <c r="E381" s="284"/>
      <c r="F381" s="780">
        <v>24.763960000000001</v>
      </c>
      <c r="G381" s="754">
        <v>3896104</v>
      </c>
      <c r="H381" s="742">
        <v>227650</v>
      </c>
      <c r="I381" s="13"/>
      <c r="J381" s="857"/>
    </row>
    <row r="382" spans="1:10" x14ac:dyDescent="0.35">
      <c r="A382" s="496" t="s">
        <v>802</v>
      </c>
      <c r="B382" s="498" t="s">
        <v>803</v>
      </c>
      <c r="C382" s="498" t="s">
        <v>422</v>
      </c>
      <c r="D382" s="532"/>
      <c r="E382" s="285"/>
      <c r="F382" s="780">
        <v>24.763960000000001</v>
      </c>
      <c r="G382" s="756">
        <v>8885527</v>
      </c>
      <c r="H382" s="742">
        <v>227652</v>
      </c>
      <c r="I382" s="13"/>
      <c r="J382" s="857"/>
    </row>
    <row r="383" spans="1:10" x14ac:dyDescent="0.35">
      <c r="A383" s="281" t="s">
        <v>730</v>
      </c>
      <c r="B383" s="269" t="s">
        <v>528</v>
      </c>
      <c r="C383" s="269" t="s">
        <v>353</v>
      </c>
      <c r="D383" s="525"/>
      <c r="E383" s="282"/>
      <c r="F383" s="780">
        <v>25.059979999999999</v>
      </c>
      <c r="G383" s="753">
        <v>4595319</v>
      </c>
      <c r="H383" s="742">
        <v>227654</v>
      </c>
      <c r="I383" s="13"/>
      <c r="J383" s="857"/>
    </row>
    <row r="384" spans="1:10" x14ac:dyDescent="0.35">
      <c r="A384" s="283" t="s">
        <v>731</v>
      </c>
      <c r="B384" s="272" t="s">
        <v>528</v>
      </c>
      <c r="C384" s="272" t="s">
        <v>354</v>
      </c>
      <c r="D384" s="526"/>
      <c r="E384" s="284"/>
      <c r="F384" s="780">
        <v>25.059979999999999</v>
      </c>
      <c r="G384" s="754">
        <v>2921190</v>
      </c>
      <c r="H384" s="742">
        <v>227653</v>
      </c>
      <c r="I384" s="13"/>
      <c r="J384" s="857"/>
    </row>
    <row r="385" spans="1:10" x14ac:dyDescent="0.35">
      <c r="A385" s="496" t="s">
        <v>732</v>
      </c>
      <c r="B385" s="498" t="s">
        <v>528</v>
      </c>
      <c r="C385" s="498" t="s">
        <v>422</v>
      </c>
      <c r="D385" s="532"/>
      <c r="E385" s="285"/>
      <c r="F385" s="780">
        <v>25.059979999999999</v>
      </c>
      <c r="G385" s="756">
        <v>8524202</v>
      </c>
      <c r="H385" s="742">
        <v>227655</v>
      </c>
      <c r="I385" s="13"/>
      <c r="J385" s="857"/>
    </row>
    <row r="386" spans="1:10" x14ac:dyDescent="0.35">
      <c r="A386" s="281" t="s">
        <v>804</v>
      </c>
      <c r="B386" s="269" t="s">
        <v>811</v>
      </c>
      <c r="C386" s="269" t="s">
        <v>353</v>
      </c>
      <c r="D386" s="525"/>
      <c r="E386" s="282"/>
      <c r="F386" s="780">
        <v>25.583860000000001</v>
      </c>
      <c r="G386" s="753">
        <v>4777342</v>
      </c>
      <c r="H386" s="742">
        <v>227657</v>
      </c>
      <c r="I386" s="13"/>
      <c r="J386" s="857"/>
    </row>
    <row r="387" spans="1:10" x14ac:dyDescent="0.35">
      <c r="A387" s="283" t="s">
        <v>805</v>
      </c>
      <c r="B387" s="272" t="s">
        <v>811</v>
      </c>
      <c r="C387" s="272" t="s">
        <v>354</v>
      </c>
      <c r="D387" s="526"/>
      <c r="E387" s="284"/>
      <c r="F387" s="780">
        <v>25.583860000000001</v>
      </c>
      <c r="G387" s="754">
        <v>9635420</v>
      </c>
      <c r="H387" s="742">
        <v>227656</v>
      </c>
      <c r="I387" s="13"/>
      <c r="J387" s="857"/>
    </row>
    <row r="388" spans="1:10" x14ac:dyDescent="0.35">
      <c r="A388" s="496" t="s">
        <v>806</v>
      </c>
      <c r="B388" s="498" t="s">
        <v>811</v>
      </c>
      <c r="C388" s="498" t="s">
        <v>422</v>
      </c>
      <c r="D388" s="532"/>
      <c r="E388" s="285"/>
      <c r="F388" s="780"/>
      <c r="G388" s="756">
        <v>6450117</v>
      </c>
      <c r="H388" s="742">
        <v>227658</v>
      </c>
      <c r="I388" s="13"/>
      <c r="J388" s="857"/>
    </row>
    <row r="389" spans="1:10" x14ac:dyDescent="0.35">
      <c r="A389" s="281" t="s">
        <v>807</v>
      </c>
      <c r="B389" s="269" t="s">
        <v>810</v>
      </c>
      <c r="C389" s="269" t="s">
        <v>353</v>
      </c>
      <c r="D389" s="525"/>
      <c r="E389" s="282"/>
      <c r="F389" s="780">
        <v>26.10754</v>
      </c>
      <c r="G389" s="753">
        <v>6140227</v>
      </c>
      <c r="H389" s="742">
        <v>227661</v>
      </c>
      <c r="I389" s="13"/>
      <c r="J389" s="857"/>
    </row>
    <row r="390" spans="1:10" x14ac:dyDescent="0.35">
      <c r="A390" s="283" t="s">
        <v>808</v>
      </c>
      <c r="B390" s="272" t="s">
        <v>810</v>
      </c>
      <c r="C390" s="272" t="s">
        <v>354</v>
      </c>
      <c r="D390" s="526"/>
      <c r="E390" s="284"/>
      <c r="F390" s="780">
        <v>26.10754</v>
      </c>
      <c r="G390" s="754">
        <v>6103455</v>
      </c>
      <c r="H390" s="742">
        <v>227660</v>
      </c>
      <c r="I390" s="13"/>
      <c r="J390" s="857"/>
    </row>
    <row r="391" spans="1:10" x14ac:dyDescent="0.35">
      <c r="A391" s="496" t="s">
        <v>809</v>
      </c>
      <c r="B391" s="498" t="s">
        <v>810</v>
      </c>
      <c r="C391" s="498" t="s">
        <v>422</v>
      </c>
      <c r="D391" s="532"/>
      <c r="E391" s="285"/>
      <c r="F391" s="780">
        <v>26.10754</v>
      </c>
      <c r="G391" s="756">
        <v>3821805</v>
      </c>
      <c r="H391" s="742">
        <v>227662</v>
      </c>
      <c r="I391" s="13"/>
      <c r="J391" s="857"/>
    </row>
    <row r="392" spans="1:10" x14ac:dyDescent="0.35">
      <c r="A392" s="281" t="s">
        <v>1224</v>
      </c>
      <c r="B392" s="269" t="s">
        <v>1227</v>
      </c>
      <c r="C392" s="269" t="s">
        <v>353</v>
      </c>
      <c r="D392" s="525"/>
      <c r="E392" s="282"/>
      <c r="F392" s="780">
        <v>26.631229999999999</v>
      </c>
      <c r="G392" s="753">
        <v>4781572</v>
      </c>
      <c r="H392" s="742">
        <v>275843</v>
      </c>
      <c r="I392" s="13"/>
      <c r="J392" s="857"/>
    </row>
    <row r="393" spans="1:10" x14ac:dyDescent="0.35">
      <c r="A393" s="283" t="s">
        <v>1225</v>
      </c>
      <c r="B393" s="272" t="s">
        <v>1227</v>
      </c>
      <c r="C393" s="272" t="s">
        <v>354</v>
      </c>
      <c r="D393" s="526"/>
      <c r="E393" s="284"/>
      <c r="F393" s="780">
        <v>26.631229999999999</v>
      </c>
      <c r="G393" s="754">
        <v>4468538</v>
      </c>
      <c r="H393" s="742">
        <v>279412</v>
      </c>
      <c r="I393" s="13"/>
      <c r="J393" s="857"/>
    </row>
    <row r="394" spans="1:10" x14ac:dyDescent="0.35">
      <c r="A394" s="496" t="s">
        <v>1226</v>
      </c>
      <c r="B394" s="498" t="s">
        <v>1227</v>
      </c>
      <c r="C394" s="498" t="s">
        <v>422</v>
      </c>
      <c r="D394" s="532"/>
      <c r="E394" s="285"/>
      <c r="F394" s="780">
        <v>26.631229999999999</v>
      </c>
      <c r="G394" s="756">
        <v>5398172</v>
      </c>
      <c r="H394" s="742">
        <v>279413</v>
      </c>
      <c r="I394" s="13"/>
      <c r="J394" s="857"/>
    </row>
    <row r="395" spans="1:10" x14ac:dyDescent="0.35">
      <c r="A395" s="577" t="s">
        <v>572</v>
      </c>
      <c r="B395" s="578" t="s">
        <v>568</v>
      </c>
      <c r="C395" s="578" t="s">
        <v>353</v>
      </c>
      <c r="D395" s="579" t="s">
        <v>936</v>
      </c>
      <c r="E395" s="580"/>
      <c r="F395" s="780">
        <v>4.6702700000000004</v>
      </c>
      <c r="G395" s="761">
        <v>1587698</v>
      </c>
      <c r="H395" s="742">
        <v>227664</v>
      </c>
      <c r="I395" s="13"/>
      <c r="J395" s="857"/>
    </row>
    <row r="396" spans="1:10" x14ac:dyDescent="0.35">
      <c r="A396" s="581" t="s">
        <v>573</v>
      </c>
      <c r="B396" s="582" t="s">
        <v>568</v>
      </c>
      <c r="C396" s="582" t="s">
        <v>354</v>
      </c>
      <c r="D396" s="583" t="s">
        <v>936</v>
      </c>
      <c r="E396" s="584"/>
      <c r="F396" s="780">
        <v>4.6702700000000004</v>
      </c>
      <c r="G396" s="762">
        <v>7267832</v>
      </c>
      <c r="H396" s="742">
        <v>227663</v>
      </c>
      <c r="I396" s="13"/>
      <c r="J396" s="857"/>
    </row>
    <row r="397" spans="1:10" x14ac:dyDescent="0.35">
      <c r="A397" s="585" t="s">
        <v>574</v>
      </c>
      <c r="B397" s="586" t="s">
        <v>568</v>
      </c>
      <c r="C397" s="586" t="s">
        <v>422</v>
      </c>
      <c r="D397" s="587" t="s">
        <v>936</v>
      </c>
      <c r="E397" s="588"/>
      <c r="F397" s="780">
        <v>4.6702700000000004</v>
      </c>
      <c r="G397" s="763">
        <v>8291579</v>
      </c>
      <c r="H397" s="742">
        <v>227666</v>
      </c>
      <c r="I397" s="13"/>
      <c r="J397" s="857"/>
    </row>
    <row r="398" spans="1:10" x14ac:dyDescent="0.35">
      <c r="A398" s="37"/>
      <c r="B398" s="31"/>
      <c r="C398" s="31"/>
      <c r="D398" s="528"/>
      <c r="E398" s="42"/>
      <c r="F398" s="780"/>
      <c r="G398" s="757"/>
      <c r="H398" s="742"/>
      <c r="I398" s="13"/>
      <c r="J398" s="857"/>
    </row>
    <row r="399" spans="1:10" x14ac:dyDescent="0.35">
      <c r="A399" s="281" t="s">
        <v>537</v>
      </c>
      <c r="B399" s="269" t="s">
        <v>529</v>
      </c>
      <c r="C399" s="269" t="s">
        <v>353</v>
      </c>
      <c r="D399" s="525"/>
      <c r="E399" s="282"/>
      <c r="F399" s="780">
        <v>31.894649999999999</v>
      </c>
      <c r="G399" s="753">
        <v>1392076</v>
      </c>
      <c r="H399" s="742">
        <v>227627</v>
      </c>
      <c r="I399" s="13"/>
      <c r="J399" s="857"/>
    </row>
    <row r="400" spans="1:10" x14ac:dyDescent="0.35">
      <c r="A400" s="283" t="s">
        <v>538</v>
      </c>
      <c r="B400" s="272" t="s">
        <v>529</v>
      </c>
      <c r="C400" s="272" t="s">
        <v>354</v>
      </c>
      <c r="D400" s="526"/>
      <c r="E400" s="284"/>
      <c r="F400" s="780">
        <v>31.894649999999999</v>
      </c>
      <c r="G400" s="754">
        <v>6886598</v>
      </c>
      <c r="H400" s="742">
        <v>227626</v>
      </c>
      <c r="I400" s="13"/>
      <c r="J400" s="857"/>
    </row>
    <row r="401" spans="1:10" x14ac:dyDescent="0.35">
      <c r="A401" s="496" t="s">
        <v>539</v>
      </c>
      <c r="B401" s="498" t="s">
        <v>529</v>
      </c>
      <c r="C401" s="498" t="s">
        <v>422</v>
      </c>
      <c r="D401" s="532"/>
      <c r="E401" s="285"/>
      <c r="F401" s="780">
        <v>31.894649999999999</v>
      </c>
      <c r="G401" s="756">
        <v>5010600</v>
      </c>
      <c r="H401" s="742">
        <v>227628</v>
      </c>
      <c r="I401" s="13"/>
      <c r="J401" s="857"/>
    </row>
    <row r="402" spans="1:10" x14ac:dyDescent="0.35">
      <c r="A402" s="281" t="s">
        <v>531</v>
      </c>
      <c r="B402" s="269" t="s">
        <v>530</v>
      </c>
      <c r="C402" s="269" t="s">
        <v>353</v>
      </c>
      <c r="D402" s="525"/>
      <c r="E402" s="282"/>
      <c r="F402" s="780">
        <v>4.1008199999999997</v>
      </c>
      <c r="G402" s="753">
        <v>3486858</v>
      </c>
      <c r="H402" s="742">
        <v>227630</v>
      </c>
      <c r="I402" s="13"/>
      <c r="J402" s="857"/>
    </row>
    <row r="403" spans="1:10" x14ac:dyDescent="0.35">
      <c r="A403" s="283" t="s">
        <v>532</v>
      </c>
      <c r="B403" s="272" t="s">
        <v>530</v>
      </c>
      <c r="C403" s="272" t="s">
        <v>354</v>
      </c>
      <c r="D403" s="526"/>
      <c r="E403" s="284"/>
      <c r="F403" s="780">
        <v>4.1008199999999997</v>
      </c>
      <c r="G403" s="754">
        <v>6523848</v>
      </c>
      <c r="H403" s="742">
        <v>227629</v>
      </c>
      <c r="I403" s="13"/>
      <c r="J403" s="857"/>
    </row>
    <row r="404" spans="1:10" x14ac:dyDescent="0.35">
      <c r="A404" s="496" t="s">
        <v>533</v>
      </c>
      <c r="B404" s="498" t="s">
        <v>530</v>
      </c>
      <c r="C404" s="498" t="s">
        <v>422</v>
      </c>
      <c r="D404" s="532"/>
      <c r="E404" s="285"/>
      <c r="F404" s="780">
        <v>4.1008199999999997</v>
      </c>
      <c r="G404" s="756">
        <v>5700456</v>
      </c>
      <c r="H404" s="742">
        <v>227631</v>
      </c>
      <c r="I404" s="13"/>
      <c r="J404" s="857"/>
    </row>
    <row r="405" spans="1:10" x14ac:dyDescent="0.35">
      <c r="A405" s="577" t="s">
        <v>534</v>
      </c>
      <c r="B405" s="578" t="s">
        <v>871</v>
      </c>
      <c r="C405" s="578" t="s">
        <v>353</v>
      </c>
      <c r="D405" s="579" t="s">
        <v>936</v>
      </c>
      <c r="E405" s="580"/>
      <c r="F405" s="780">
        <v>4.55633</v>
      </c>
      <c r="G405" s="761">
        <v>9566186</v>
      </c>
      <c r="H405" s="742">
        <v>279415</v>
      </c>
      <c r="I405" s="13"/>
      <c r="J405" s="857"/>
    </row>
    <row r="406" spans="1:10" x14ac:dyDescent="0.35">
      <c r="A406" s="581" t="s">
        <v>535</v>
      </c>
      <c r="B406" s="582" t="s">
        <v>871</v>
      </c>
      <c r="C406" s="582" t="s">
        <v>354</v>
      </c>
      <c r="D406" s="583" t="s">
        <v>936</v>
      </c>
      <c r="E406" s="584"/>
      <c r="F406" s="780">
        <v>4.55633</v>
      </c>
      <c r="G406" s="762">
        <v>1248692</v>
      </c>
      <c r="H406" s="742">
        <v>279414</v>
      </c>
      <c r="I406" s="13"/>
      <c r="J406" s="857"/>
    </row>
    <row r="407" spans="1:10" x14ac:dyDescent="0.35">
      <c r="A407" s="585" t="s">
        <v>536</v>
      </c>
      <c r="B407" s="586" t="s">
        <v>871</v>
      </c>
      <c r="C407" s="586" t="s">
        <v>422</v>
      </c>
      <c r="D407" s="587" t="s">
        <v>936</v>
      </c>
      <c r="E407" s="588"/>
      <c r="F407" s="780">
        <v>4.55633</v>
      </c>
      <c r="G407" s="763">
        <v>8875217</v>
      </c>
      <c r="H407" s="742">
        <v>279416</v>
      </c>
      <c r="I407" s="13"/>
      <c r="J407" s="857"/>
    </row>
    <row r="408" spans="1:10" x14ac:dyDescent="0.35">
      <c r="A408" s="577" t="s">
        <v>575</v>
      </c>
      <c r="B408" s="578" t="s">
        <v>544</v>
      </c>
      <c r="C408" s="578" t="s">
        <v>353</v>
      </c>
      <c r="D408" s="579" t="s">
        <v>936</v>
      </c>
      <c r="E408" s="580"/>
      <c r="F408" s="780">
        <v>5.0120300000000002</v>
      </c>
      <c r="G408" s="761">
        <v>8022610</v>
      </c>
      <c r="H408" s="742">
        <v>227633</v>
      </c>
      <c r="I408" s="13"/>
      <c r="J408" s="857"/>
    </row>
    <row r="409" spans="1:10" x14ac:dyDescent="0.35">
      <c r="A409" s="581" t="s">
        <v>576</v>
      </c>
      <c r="B409" s="582" t="s">
        <v>544</v>
      </c>
      <c r="C409" s="582" t="s">
        <v>354</v>
      </c>
      <c r="D409" s="583" t="s">
        <v>936</v>
      </c>
      <c r="E409" s="584"/>
      <c r="F409" s="780">
        <v>5.0120300000000002</v>
      </c>
      <c r="G409" s="762">
        <v>8790467</v>
      </c>
      <c r="H409" s="742">
        <v>227632</v>
      </c>
      <c r="I409" s="13"/>
      <c r="J409" s="857"/>
    </row>
    <row r="410" spans="1:10" x14ac:dyDescent="0.35">
      <c r="A410" s="585" t="s">
        <v>577</v>
      </c>
      <c r="B410" s="586" t="s">
        <v>544</v>
      </c>
      <c r="C410" s="586" t="s">
        <v>422</v>
      </c>
      <c r="D410" s="587" t="s">
        <v>936</v>
      </c>
      <c r="E410" s="588"/>
      <c r="F410" s="780">
        <v>5.0120300000000002</v>
      </c>
      <c r="G410" s="763">
        <v>2120285</v>
      </c>
      <c r="H410" s="742">
        <v>227634</v>
      </c>
      <c r="I410" s="13"/>
      <c r="J410" s="857"/>
    </row>
    <row r="411" spans="1:10" x14ac:dyDescent="0.35">
      <c r="A411" s="37"/>
      <c r="B411" s="31"/>
      <c r="C411" s="31"/>
      <c r="D411" s="528"/>
      <c r="E411" s="42"/>
      <c r="F411" s="780"/>
      <c r="G411" s="757"/>
      <c r="H411" s="742"/>
      <c r="I411" s="13"/>
      <c r="J411" s="857"/>
    </row>
    <row r="412" spans="1:10" x14ac:dyDescent="0.35">
      <c r="A412" s="37"/>
      <c r="B412" s="31"/>
      <c r="C412" s="31"/>
      <c r="D412" s="528"/>
      <c r="E412" s="42"/>
      <c r="F412" s="780"/>
      <c r="G412" s="757"/>
      <c r="H412" s="742"/>
      <c r="I412" s="13"/>
      <c r="J412" s="857"/>
    </row>
    <row r="413" spans="1:10" x14ac:dyDescent="0.35">
      <c r="A413" s="38" t="s">
        <v>563</v>
      </c>
      <c r="B413" s="31"/>
      <c r="C413" s="31"/>
      <c r="D413" s="528"/>
      <c r="E413" s="42"/>
      <c r="F413" s="780"/>
      <c r="G413" s="757"/>
      <c r="H413" s="742"/>
      <c r="I413" s="13"/>
      <c r="J413" s="857"/>
    </row>
    <row r="414" spans="1:10" x14ac:dyDescent="0.35">
      <c r="A414" s="281" t="s">
        <v>540</v>
      </c>
      <c r="B414" s="269" t="s">
        <v>543</v>
      </c>
      <c r="C414" s="269" t="s">
        <v>353</v>
      </c>
      <c r="D414" s="525"/>
      <c r="E414" s="282"/>
      <c r="F414" s="780">
        <v>41.007300000000001</v>
      </c>
      <c r="G414" s="753">
        <v>7830344</v>
      </c>
      <c r="H414" s="742">
        <v>227668</v>
      </c>
      <c r="I414" s="13"/>
      <c r="J414" s="857"/>
    </row>
    <row r="415" spans="1:10" x14ac:dyDescent="0.35">
      <c r="A415" s="283" t="s">
        <v>541</v>
      </c>
      <c r="B415" s="272" t="s">
        <v>543</v>
      </c>
      <c r="C415" s="272" t="s">
        <v>354</v>
      </c>
      <c r="D415" s="526"/>
      <c r="E415" s="284"/>
      <c r="F415" s="780">
        <v>41.007300000000001</v>
      </c>
      <c r="G415" s="754">
        <v>6278039</v>
      </c>
      <c r="H415" s="742">
        <v>227667</v>
      </c>
      <c r="I415" s="13"/>
      <c r="J415" s="857"/>
    </row>
    <row r="416" spans="1:10" x14ac:dyDescent="0.35">
      <c r="A416" s="585" t="s">
        <v>542</v>
      </c>
      <c r="B416" s="589" t="s">
        <v>543</v>
      </c>
      <c r="C416" s="589" t="s">
        <v>422</v>
      </c>
      <c r="D416" s="590" t="s">
        <v>936</v>
      </c>
      <c r="E416" s="591"/>
      <c r="F416" s="780">
        <v>41.007300000000001</v>
      </c>
      <c r="G416" s="682">
        <v>6379696</v>
      </c>
      <c r="H416" s="742">
        <v>227669</v>
      </c>
      <c r="I416" s="13"/>
      <c r="J416" s="857"/>
    </row>
    <row r="417" spans="1:10" x14ac:dyDescent="0.35">
      <c r="A417" s="281" t="s">
        <v>552</v>
      </c>
      <c r="B417" s="269" t="s">
        <v>555</v>
      </c>
      <c r="C417" s="269" t="s">
        <v>353</v>
      </c>
      <c r="D417" s="525"/>
      <c r="E417" s="282"/>
      <c r="F417" s="780">
        <v>4.89811</v>
      </c>
      <c r="G417" s="753">
        <v>4293657</v>
      </c>
      <c r="H417" s="742">
        <v>227671</v>
      </c>
      <c r="I417" s="13"/>
      <c r="J417" s="857"/>
    </row>
    <row r="418" spans="1:10" x14ac:dyDescent="0.35">
      <c r="A418" s="283" t="s">
        <v>553</v>
      </c>
      <c r="B418" s="272" t="s">
        <v>555</v>
      </c>
      <c r="C418" s="272" t="s">
        <v>354</v>
      </c>
      <c r="D418" s="526"/>
      <c r="E418" s="284"/>
      <c r="F418" s="780">
        <v>4.89811</v>
      </c>
      <c r="G418" s="754">
        <v>1135009</v>
      </c>
      <c r="H418" s="742">
        <v>227670</v>
      </c>
      <c r="I418" s="13"/>
      <c r="J418" s="857"/>
    </row>
    <row r="419" spans="1:10" x14ac:dyDescent="0.35">
      <c r="A419" s="585" t="s">
        <v>554</v>
      </c>
      <c r="B419" s="589" t="s">
        <v>555</v>
      </c>
      <c r="C419" s="589" t="s">
        <v>422</v>
      </c>
      <c r="D419" s="587" t="s">
        <v>936</v>
      </c>
      <c r="E419" s="591"/>
      <c r="F419" s="780">
        <v>4.89811</v>
      </c>
      <c r="G419" s="682">
        <v>8886957</v>
      </c>
      <c r="H419" s="742">
        <v>227672</v>
      </c>
      <c r="I419" s="13"/>
      <c r="J419" s="857"/>
    </row>
    <row r="420" spans="1:10" x14ac:dyDescent="0.35">
      <c r="A420" s="577" t="s">
        <v>877</v>
      </c>
      <c r="B420" s="578" t="s">
        <v>545</v>
      </c>
      <c r="C420" s="578" t="s">
        <v>353</v>
      </c>
      <c r="D420" s="579" t="s">
        <v>936</v>
      </c>
      <c r="E420" s="580"/>
      <c r="F420" s="780">
        <v>6.0371800000000002</v>
      </c>
      <c r="G420" s="761">
        <v>9384548</v>
      </c>
      <c r="H420" s="742">
        <v>227674</v>
      </c>
      <c r="I420" s="13"/>
      <c r="J420" s="857"/>
    </row>
    <row r="421" spans="1:10" x14ac:dyDescent="0.35">
      <c r="A421" s="581" t="s">
        <v>878</v>
      </c>
      <c r="B421" s="582" t="s">
        <v>545</v>
      </c>
      <c r="C421" s="582" t="s">
        <v>354</v>
      </c>
      <c r="D421" s="583" t="s">
        <v>936</v>
      </c>
      <c r="E421" s="584"/>
      <c r="F421" s="780">
        <v>6.0371800000000002</v>
      </c>
      <c r="G421" s="762">
        <v>7313912</v>
      </c>
      <c r="H421" s="742">
        <v>227673</v>
      </c>
      <c r="I421" s="13"/>
      <c r="J421" s="857"/>
    </row>
    <row r="422" spans="1:10" x14ac:dyDescent="0.35">
      <c r="A422" s="585" t="s">
        <v>879</v>
      </c>
      <c r="B422" s="586" t="s">
        <v>545</v>
      </c>
      <c r="C422" s="586" t="s">
        <v>422</v>
      </c>
      <c r="D422" s="587" t="s">
        <v>936</v>
      </c>
      <c r="E422" s="588"/>
      <c r="F422" s="780">
        <v>6.0371800000000002</v>
      </c>
      <c r="G422" s="763">
        <v>1792344</v>
      </c>
      <c r="H422" s="742">
        <v>227675</v>
      </c>
      <c r="I422" s="13"/>
      <c r="J422" s="857"/>
    </row>
    <row r="423" spans="1:10" x14ac:dyDescent="0.35">
      <c r="A423" s="37"/>
      <c r="B423" s="31"/>
      <c r="C423" s="31"/>
      <c r="D423" s="528"/>
      <c r="E423" s="32"/>
      <c r="F423" s="780"/>
      <c r="G423" s="35"/>
      <c r="H423" s="742"/>
      <c r="I423" s="13"/>
      <c r="J423" s="857"/>
    </row>
    <row r="424" spans="1:10" x14ac:dyDescent="0.35">
      <c r="A424" s="281" t="s">
        <v>546</v>
      </c>
      <c r="B424" s="269" t="s">
        <v>872</v>
      </c>
      <c r="C424" s="269" t="s">
        <v>353</v>
      </c>
      <c r="D424" s="525"/>
      <c r="E424" s="282"/>
      <c r="F424" s="780">
        <v>43.285469999999997</v>
      </c>
      <c r="G424" s="753">
        <v>7649432</v>
      </c>
      <c r="H424" s="742">
        <v>227677</v>
      </c>
      <c r="I424" s="13"/>
      <c r="J424" s="857"/>
    </row>
    <row r="425" spans="1:10" x14ac:dyDescent="0.35">
      <c r="A425" s="283" t="s">
        <v>547</v>
      </c>
      <c r="B425" s="272" t="s">
        <v>872</v>
      </c>
      <c r="C425" s="272" t="s">
        <v>354</v>
      </c>
      <c r="D425" s="526"/>
      <c r="E425" s="284"/>
      <c r="F425" s="780">
        <v>43.285469999999997</v>
      </c>
      <c r="G425" s="754">
        <v>2195450</v>
      </c>
      <c r="H425" s="742">
        <v>227676</v>
      </c>
      <c r="I425" s="13"/>
      <c r="J425" s="857"/>
    </row>
    <row r="426" spans="1:10" x14ac:dyDescent="0.35">
      <c r="A426" s="585" t="s">
        <v>548</v>
      </c>
      <c r="B426" s="589" t="s">
        <v>872</v>
      </c>
      <c r="C426" s="589" t="s">
        <v>422</v>
      </c>
      <c r="D426" s="590" t="s">
        <v>936</v>
      </c>
      <c r="E426" s="591"/>
      <c r="F426" s="780">
        <v>43.285469999999997</v>
      </c>
      <c r="G426" s="682">
        <v>9241686</v>
      </c>
      <c r="H426" s="742">
        <v>227678</v>
      </c>
      <c r="I426" s="13"/>
      <c r="J426" s="857"/>
    </row>
    <row r="427" spans="1:10" x14ac:dyDescent="0.35">
      <c r="A427" s="281" t="s">
        <v>549</v>
      </c>
      <c r="B427" s="269" t="s">
        <v>556</v>
      </c>
      <c r="C427" s="269" t="s">
        <v>353</v>
      </c>
      <c r="D427" s="525"/>
      <c r="E427" s="282"/>
      <c r="F427" s="780">
        <v>4.89811</v>
      </c>
      <c r="G427" s="753">
        <v>2258290</v>
      </c>
      <c r="H427" s="742">
        <v>227680</v>
      </c>
      <c r="I427" s="13"/>
      <c r="J427" s="857"/>
    </row>
    <row r="428" spans="1:10" x14ac:dyDescent="0.35">
      <c r="A428" s="283" t="s">
        <v>550</v>
      </c>
      <c r="B428" s="272" t="s">
        <v>556</v>
      </c>
      <c r="C428" s="272" t="s">
        <v>354</v>
      </c>
      <c r="D428" s="526"/>
      <c r="E428" s="284"/>
      <c r="F428" s="780">
        <v>4.89811</v>
      </c>
      <c r="G428" s="754">
        <v>8408859</v>
      </c>
      <c r="H428" s="742">
        <v>227679</v>
      </c>
      <c r="I428" s="13"/>
      <c r="J428" s="857"/>
    </row>
    <row r="429" spans="1:10" x14ac:dyDescent="0.35">
      <c r="A429" s="585" t="s">
        <v>551</v>
      </c>
      <c r="B429" s="589" t="s">
        <v>556</v>
      </c>
      <c r="C429" s="589" t="s">
        <v>422</v>
      </c>
      <c r="D429" s="590" t="s">
        <v>936</v>
      </c>
      <c r="E429" s="591"/>
      <c r="F429" s="780"/>
      <c r="G429" s="682">
        <v>6898225</v>
      </c>
      <c r="H429" s="742" t="s">
        <v>1274</v>
      </c>
      <c r="I429" s="13"/>
      <c r="J429" s="857"/>
    </row>
    <row r="430" spans="1:10" x14ac:dyDescent="0.35">
      <c r="A430" s="281" t="s">
        <v>557</v>
      </c>
      <c r="B430" s="269" t="s">
        <v>560</v>
      </c>
      <c r="C430" s="269" t="s">
        <v>353</v>
      </c>
      <c r="D430" s="525"/>
      <c r="E430" s="282"/>
      <c r="F430" s="780">
        <v>5.4677499999999997</v>
      </c>
      <c r="G430" s="753">
        <v>3677745</v>
      </c>
      <c r="H430" s="742">
        <v>227683</v>
      </c>
      <c r="I430" s="13"/>
      <c r="J430" s="857"/>
    </row>
    <row r="431" spans="1:10" x14ac:dyDescent="0.35">
      <c r="A431" s="283" t="s">
        <v>558</v>
      </c>
      <c r="B431" s="272" t="s">
        <v>560</v>
      </c>
      <c r="C431" s="272" t="s">
        <v>354</v>
      </c>
      <c r="D431" s="526"/>
      <c r="E431" s="284"/>
      <c r="F431" s="780">
        <v>5.4677499999999997</v>
      </c>
      <c r="G431" s="754">
        <v>6946065</v>
      </c>
      <c r="H431" s="742">
        <v>227682</v>
      </c>
      <c r="I431" s="13"/>
      <c r="J431" s="857"/>
    </row>
    <row r="432" spans="1:10" x14ac:dyDescent="0.35">
      <c r="A432" s="585" t="s">
        <v>559</v>
      </c>
      <c r="B432" s="586" t="s">
        <v>560</v>
      </c>
      <c r="C432" s="586" t="s">
        <v>422</v>
      </c>
      <c r="D432" s="587" t="s">
        <v>936</v>
      </c>
      <c r="E432" s="588"/>
      <c r="F432" s="780">
        <v>5.4677499999999997</v>
      </c>
      <c r="G432" s="763">
        <v>4854839</v>
      </c>
      <c r="H432" s="742">
        <v>227684</v>
      </c>
      <c r="I432" s="13"/>
      <c r="J432" s="857"/>
    </row>
    <row r="433" spans="1:10" x14ac:dyDescent="0.35">
      <c r="A433" s="577" t="s">
        <v>880</v>
      </c>
      <c r="B433" s="578" t="s">
        <v>561</v>
      </c>
      <c r="C433" s="578" t="s">
        <v>353</v>
      </c>
      <c r="D433" s="579" t="s">
        <v>936</v>
      </c>
      <c r="E433" s="580"/>
      <c r="F433" s="780">
        <v>6.0371800000000002</v>
      </c>
      <c r="G433" s="761">
        <v>8999239</v>
      </c>
      <c r="H433" s="742">
        <v>227686</v>
      </c>
      <c r="I433" s="13"/>
      <c r="J433" s="857"/>
    </row>
    <row r="434" spans="1:10" x14ac:dyDescent="0.35">
      <c r="A434" s="581" t="s">
        <v>881</v>
      </c>
      <c r="B434" s="582" t="s">
        <v>561</v>
      </c>
      <c r="C434" s="582" t="s">
        <v>354</v>
      </c>
      <c r="D434" s="583" t="s">
        <v>936</v>
      </c>
      <c r="E434" s="584"/>
      <c r="F434" s="780">
        <v>6.0371800000000002</v>
      </c>
      <c r="G434" s="762">
        <v>9570082</v>
      </c>
      <c r="H434" s="742">
        <v>227685</v>
      </c>
      <c r="I434" s="13"/>
      <c r="J434" s="857"/>
    </row>
    <row r="435" spans="1:10" x14ac:dyDescent="0.35">
      <c r="A435" s="585" t="s">
        <v>882</v>
      </c>
      <c r="B435" s="586" t="s">
        <v>561</v>
      </c>
      <c r="C435" s="586" t="s">
        <v>422</v>
      </c>
      <c r="D435" s="587" t="s">
        <v>936</v>
      </c>
      <c r="E435" s="588"/>
      <c r="F435" s="780">
        <v>6.0371800000000002</v>
      </c>
      <c r="G435" s="763">
        <v>6429035</v>
      </c>
      <c r="H435" s="742">
        <v>227687</v>
      </c>
      <c r="I435" s="13"/>
      <c r="J435" s="857"/>
    </row>
    <row r="436" spans="1:10" x14ac:dyDescent="0.35">
      <c r="A436" s="37"/>
      <c r="B436" s="31"/>
      <c r="C436" s="31"/>
      <c r="D436" s="528"/>
      <c r="E436" s="42"/>
      <c r="F436" s="780"/>
      <c r="G436" s="757"/>
      <c r="H436" s="742"/>
      <c r="I436" s="13"/>
      <c r="J436" s="857"/>
    </row>
    <row r="437" spans="1:10" x14ac:dyDescent="0.35">
      <c r="A437" s="33"/>
      <c r="B437" s="34"/>
      <c r="C437" s="34"/>
      <c r="D437" s="529"/>
      <c r="E437" s="32"/>
      <c r="F437" s="780"/>
      <c r="G437" s="35"/>
      <c r="H437" s="742"/>
      <c r="I437" s="13"/>
      <c r="J437" s="857"/>
    </row>
    <row r="438" spans="1:10" x14ac:dyDescent="0.35">
      <c r="A438" s="281" t="s">
        <v>1166</v>
      </c>
      <c r="B438" s="269" t="s">
        <v>1059</v>
      </c>
      <c r="C438" s="269" t="s">
        <v>353</v>
      </c>
      <c r="D438" s="525"/>
      <c r="E438" s="282"/>
      <c r="F438" s="780">
        <v>2.0503100000000001</v>
      </c>
      <c r="G438" s="764">
        <v>6678082</v>
      </c>
      <c r="H438" s="742">
        <v>265028</v>
      </c>
      <c r="I438" s="13"/>
      <c r="J438" s="857"/>
    </row>
    <row r="439" spans="1:10" x14ac:dyDescent="0.35">
      <c r="A439" s="283" t="s">
        <v>1167</v>
      </c>
      <c r="B439" s="272" t="s">
        <v>1059</v>
      </c>
      <c r="C439" s="272" t="s">
        <v>354</v>
      </c>
      <c r="D439" s="526"/>
      <c r="E439" s="284"/>
      <c r="F439" s="780">
        <v>2.0503100000000001</v>
      </c>
      <c r="G439" s="765">
        <v>9779494</v>
      </c>
      <c r="H439" s="742">
        <v>265217</v>
      </c>
      <c r="I439" s="13"/>
      <c r="J439" s="857"/>
    </row>
    <row r="440" spans="1:10" x14ac:dyDescent="0.35">
      <c r="A440" s="585" t="s">
        <v>1168</v>
      </c>
      <c r="B440" s="586" t="s">
        <v>1059</v>
      </c>
      <c r="C440" s="586" t="s">
        <v>422</v>
      </c>
      <c r="D440" s="587" t="s">
        <v>936</v>
      </c>
      <c r="E440" s="588"/>
      <c r="F440" s="780">
        <v>2.0503100000000001</v>
      </c>
      <c r="G440" s="763">
        <v>6858779</v>
      </c>
      <c r="H440" s="742">
        <v>283037</v>
      </c>
      <c r="I440" s="13"/>
      <c r="J440" s="857"/>
    </row>
    <row r="441" spans="1:10" x14ac:dyDescent="0.35">
      <c r="A441" s="281" t="s">
        <v>1169</v>
      </c>
      <c r="B441" s="269" t="s">
        <v>1060</v>
      </c>
      <c r="C441" s="269" t="s">
        <v>353</v>
      </c>
      <c r="D441" s="525"/>
      <c r="E441" s="282"/>
      <c r="F441" s="780">
        <v>3.07924</v>
      </c>
      <c r="G441" s="764">
        <v>1032061</v>
      </c>
      <c r="H441" s="742">
        <v>279375</v>
      </c>
      <c r="I441" s="13"/>
      <c r="J441" s="857"/>
    </row>
    <row r="442" spans="1:10" x14ac:dyDescent="0.35">
      <c r="A442" s="283" t="s">
        <v>1171</v>
      </c>
      <c r="B442" s="272" t="s">
        <v>1060</v>
      </c>
      <c r="C442" s="272" t="s">
        <v>354</v>
      </c>
      <c r="D442" s="526"/>
      <c r="E442" s="284"/>
      <c r="F442" s="780">
        <v>3.07924</v>
      </c>
      <c r="G442" s="765">
        <v>3748865</v>
      </c>
      <c r="H442" s="742">
        <v>279376</v>
      </c>
      <c r="I442" s="13"/>
      <c r="J442" s="857"/>
    </row>
    <row r="443" spans="1:10" x14ac:dyDescent="0.35">
      <c r="A443" s="585" t="s">
        <v>1173</v>
      </c>
      <c r="B443" s="586" t="s">
        <v>1060</v>
      </c>
      <c r="C443" s="586" t="s">
        <v>422</v>
      </c>
      <c r="D443" s="587" t="s">
        <v>936</v>
      </c>
      <c r="E443" s="588"/>
      <c r="F443" s="780">
        <v>3.07924</v>
      </c>
      <c r="G443" s="763">
        <v>2006173</v>
      </c>
      <c r="H443" s="742">
        <v>283038</v>
      </c>
      <c r="I443" s="13"/>
      <c r="J443" s="857"/>
    </row>
    <row r="444" spans="1:10" x14ac:dyDescent="0.35">
      <c r="A444" s="281" t="s">
        <v>1170</v>
      </c>
      <c r="B444" s="269" t="s">
        <v>1061</v>
      </c>
      <c r="C444" s="269" t="s">
        <v>353</v>
      </c>
      <c r="D444" s="525"/>
      <c r="E444" s="282"/>
      <c r="F444" s="780">
        <v>0.91122999999999998</v>
      </c>
      <c r="G444" s="764">
        <v>6297748</v>
      </c>
      <c r="H444" s="742">
        <v>267756</v>
      </c>
      <c r="I444" s="13"/>
      <c r="J444" s="857"/>
    </row>
    <row r="445" spans="1:10" x14ac:dyDescent="0.35">
      <c r="A445" s="283" t="s">
        <v>1172</v>
      </c>
      <c r="B445" s="272" t="s">
        <v>1061</v>
      </c>
      <c r="C445" s="272" t="s">
        <v>354</v>
      </c>
      <c r="D445" s="526"/>
      <c r="E445" s="284"/>
      <c r="F445" s="780">
        <v>0.91122999999999998</v>
      </c>
      <c r="G445" s="765">
        <v>4189322</v>
      </c>
      <c r="H445" s="742">
        <v>275351</v>
      </c>
      <c r="I445" s="13"/>
      <c r="J445" s="857"/>
    </row>
    <row r="446" spans="1:10" x14ac:dyDescent="0.35">
      <c r="A446" s="585" t="s">
        <v>1174</v>
      </c>
      <c r="B446" s="586" t="s">
        <v>1061</v>
      </c>
      <c r="C446" s="586" t="s">
        <v>422</v>
      </c>
      <c r="D446" s="587" t="s">
        <v>936</v>
      </c>
      <c r="E446" s="588"/>
      <c r="F446" s="780">
        <v>0.91122999999999998</v>
      </c>
      <c r="G446" s="763">
        <v>4873606</v>
      </c>
      <c r="H446" s="742">
        <v>283039</v>
      </c>
      <c r="I446" s="13"/>
      <c r="J446" s="857"/>
    </row>
    <row r="447" spans="1:10" x14ac:dyDescent="0.35">
      <c r="A447" s="37"/>
      <c r="B447" s="31"/>
      <c r="C447" s="31"/>
      <c r="D447" s="528"/>
      <c r="E447" s="42"/>
      <c r="F447" s="780"/>
      <c r="G447" s="757"/>
      <c r="H447" s="742"/>
      <c r="I447" s="13"/>
      <c r="J447" s="857"/>
    </row>
    <row r="448" spans="1:10" x14ac:dyDescent="0.35">
      <c r="A448" s="33"/>
      <c r="B448" s="34"/>
      <c r="C448" s="34"/>
      <c r="D448" s="529"/>
      <c r="E448" s="32"/>
      <c r="F448" s="780"/>
      <c r="G448" s="35"/>
      <c r="H448" s="742"/>
      <c r="I448" s="13"/>
      <c r="J448" s="857"/>
    </row>
    <row r="449" spans="1:10" x14ac:dyDescent="0.35">
      <c r="A449" s="38" t="s">
        <v>564</v>
      </c>
      <c r="B449" s="31"/>
      <c r="C449" s="31"/>
      <c r="D449" s="528"/>
      <c r="E449" s="42"/>
      <c r="F449" s="780"/>
      <c r="G449" s="749"/>
      <c r="H449" s="742"/>
      <c r="I449" s="13"/>
      <c r="J449" s="857"/>
    </row>
    <row r="450" spans="1:10" x14ac:dyDescent="0.35">
      <c r="A450" s="281" t="s">
        <v>736</v>
      </c>
      <c r="B450" s="269" t="s">
        <v>739</v>
      </c>
      <c r="C450" s="269" t="s">
        <v>469</v>
      </c>
      <c r="D450" s="525"/>
      <c r="E450" s="282"/>
      <c r="F450" s="780">
        <v>51.395919999999997</v>
      </c>
      <c r="G450" s="753">
        <v>7178662</v>
      </c>
      <c r="H450" s="742">
        <v>227696</v>
      </c>
      <c r="I450" s="13"/>
      <c r="J450" s="857"/>
    </row>
    <row r="451" spans="1:10" x14ac:dyDescent="0.35">
      <c r="A451" s="283" t="s">
        <v>737</v>
      </c>
      <c r="B451" s="272" t="s">
        <v>739</v>
      </c>
      <c r="C451" s="272" t="s">
        <v>470</v>
      </c>
      <c r="D451" s="526"/>
      <c r="E451" s="284"/>
      <c r="F451" s="780">
        <v>51.395919999999997</v>
      </c>
      <c r="G451" s="754">
        <v>5667052</v>
      </c>
      <c r="H451" s="742">
        <v>227698</v>
      </c>
      <c r="I451" s="13"/>
      <c r="J451" s="857"/>
    </row>
    <row r="452" spans="1:10" x14ac:dyDescent="0.35">
      <c r="A452" s="496" t="s">
        <v>738</v>
      </c>
      <c r="B452" s="498" t="s">
        <v>739</v>
      </c>
      <c r="C452" s="498" t="s">
        <v>471</v>
      </c>
      <c r="D452" s="532"/>
      <c r="E452" s="285"/>
      <c r="F452" s="780">
        <v>51.395919999999997</v>
      </c>
      <c r="G452" s="756">
        <v>9842710</v>
      </c>
      <c r="H452" s="742">
        <v>227697</v>
      </c>
      <c r="I452" s="13"/>
      <c r="J452" s="857"/>
    </row>
    <row r="453" spans="1:10" x14ac:dyDescent="0.35">
      <c r="A453" s="281" t="s">
        <v>733</v>
      </c>
      <c r="B453" s="269" t="s">
        <v>468</v>
      </c>
      <c r="C453" s="269" t="s">
        <v>469</v>
      </c>
      <c r="D453" s="525"/>
      <c r="E453" s="282"/>
      <c r="F453" s="780">
        <v>52.398319999999998</v>
      </c>
      <c r="G453" s="753">
        <v>1520200</v>
      </c>
      <c r="H453" s="742">
        <v>227699</v>
      </c>
      <c r="I453" s="13"/>
      <c r="J453" s="857"/>
    </row>
    <row r="454" spans="1:10" x14ac:dyDescent="0.35">
      <c r="A454" s="283" t="s">
        <v>734</v>
      </c>
      <c r="B454" s="272" t="s">
        <v>468</v>
      </c>
      <c r="C454" s="272" t="s">
        <v>470</v>
      </c>
      <c r="D454" s="526"/>
      <c r="E454" s="284"/>
      <c r="F454" s="780">
        <v>52.398319999999998</v>
      </c>
      <c r="G454" s="754">
        <v>6608218</v>
      </c>
      <c r="H454" s="742">
        <v>227701</v>
      </c>
      <c r="I454" s="13"/>
      <c r="J454" s="857"/>
    </row>
    <row r="455" spans="1:10" x14ac:dyDescent="0.35">
      <c r="A455" s="496" t="s">
        <v>735</v>
      </c>
      <c r="B455" s="498" t="s">
        <v>468</v>
      </c>
      <c r="C455" s="498" t="s">
        <v>471</v>
      </c>
      <c r="D455" s="532"/>
      <c r="E455" s="285"/>
      <c r="F455" s="780">
        <v>52.398319999999998</v>
      </c>
      <c r="G455" s="756">
        <v>2709332</v>
      </c>
      <c r="H455" s="742">
        <v>227700</v>
      </c>
      <c r="I455" s="13"/>
      <c r="J455" s="857"/>
    </row>
    <row r="456" spans="1:10" x14ac:dyDescent="0.35">
      <c r="A456" s="281" t="s">
        <v>740</v>
      </c>
      <c r="B456" s="269" t="s">
        <v>746</v>
      </c>
      <c r="C456" s="269" t="s">
        <v>469</v>
      </c>
      <c r="D456" s="525"/>
      <c r="E456" s="282"/>
      <c r="F456" s="780">
        <v>53.833599999999997</v>
      </c>
      <c r="G456" s="753">
        <v>4575860</v>
      </c>
      <c r="H456" s="742">
        <v>227703</v>
      </c>
      <c r="I456" s="13"/>
      <c r="J456" s="857"/>
    </row>
    <row r="457" spans="1:10" x14ac:dyDescent="0.35">
      <c r="A457" s="283" t="s">
        <v>741</v>
      </c>
      <c r="B457" s="272" t="s">
        <v>746</v>
      </c>
      <c r="C457" s="272" t="s">
        <v>470</v>
      </c>
      <c r="D457" s="526"/>
      <c r="E457" s="284"/>
      <c r="F457" s="780">
        <v>53.833599999999997</v>
      </c>
      <c r="G457" s="754">
        <v>8043261</v>
      </c>
      <c r="H457" s="742">
        <v>227705</v>
      </c>
      <c r="I457" s="13"/>
      <c r="J457" s="857"/>
    </row>
    <row r="458" spans="1:10" x14ac:dyDescent="0.35">
      <c r="A458" s="496" t="s">
        <v>742</v>
      </c>
      <c r="B458" s="498" t="s">
        <v>746</v>
      </c>
      <c r="C458" s="498" t="s">
        <v>471</v>
      </c>
      <c r="D458" s="532"/>
      <c r="E458" s="285"/>
      <c r="F458" s="780">
        <v>53.833599999999997</v>
      </c>
      <c r="G458" s="756">
        <v>1860296</v>
      </c>
      <c r="H458" s="742">
        <v>227704</v>
      </c>
      <c r="I458" s="13"/>
      <c r="J458" s="857"/>
    </row>
    <row r="459" spans="1:10" x14ac:dyDescent="0.35">
      <c r="A459" s="281" t="s">
        <v>743</v>
      </c>
      <c r="B459" s="269" t="s">
        <v>747</v>
      </c>
      <c r="C459" s="269" t="s">
        <v>469</v>
      </c>
      <c r="D459" s="525"/>
      <c r="E459" s="282"/>
      <c r="F459" s="780">
        <v>58.002560000000003</v>
      </c>
      <c r="G459" s="753">
        <v>1717256</v>
      </c>
      <c r="H459" s="742">
        <v>227707</v>
      </c>
      <c r="I459" s="13"/>
      <c r="J459" s="857"/>
    </row>
    <row r="460" spans="1:10" x14ac:dyDescent="0.35">
      <c r="A460" s="283" t="s">
        <v>744</v>
      </c>
      <c r="B460" s="272" t="s">
        <v>747</v>
      </c>
      <c r="C460" s="272" t="s">
        <v>470</v>
      </c>
      <c r="D460" s="526"/>
      <c r="E460" s="284"/>
      <c r="F460" s="780">
        <v>58.002560000000003</v>
      </c>
      <c r="G460" s="754">
        <v>6730043</v>
      </c>
      <c r="H460" s="742">
        <v>227709</v>
      </c>
      <c r="I460" s="13"/>
      <c r="J460" s="857"/>
    </row>
    <row r="461" spans="1:10" x14ac:dyDescent="0.35">
      <c r="A461" s="496" t="s">
        <v>745</v>
      </c>
      <c r="B461" s="498" t="s">
        <v>747</v>
      </c>
      <c r="C461" s="498" t="s">
        <v>471</v>
      </c>
      <c r="D461" s="532"/>
      <c r="E461" s="285"/>
      <c r="F461" s="780">
        <v>58.002560000000003</v>
      </c>
      <c r="G461" s="756">
        <v>2981065</v>
      </c>
      <c r="H461" s="742">
        <v>227708</v>
      </c>
      <c r="I461" s="13"/>
      <c r="J461" s="857"/>
    </row>
    <row r="462" spans="1:10" x14ac:dyDescent="0.35">
      <c r="A462" s="281" t="s">
        <v>1204</v>
      </c>
      <c r="B462" s="269" t="s">
        <v>1207</v>
      </c>
      <c r="C462" s="269" t="s">
        <v>469</v>
      </c>
      <c r="D462" s="525"/>
      <c r="E462" s="282"/>
      <c r="F462" s="780">
        <v>59.437860000000001</v>
      </c>
      <c r="G462" s="753">
        <v>6270630</v>
      </c>
      <c r="H462" s="742">
        <v>279417</v>
      </c>
      <c r="I462" s="13"/>
      <c r="J462" s="857"/>
    </row>
    <row r="463" spans="1:10" x14ac:dyDescent="0.35">
      <c r="A463" s="283" t="s">
        <v>1205</v>
      </c>
      <c r="B463" s="272" t="s">
        <v>1207</v>
      </c>
      <c r="C463" s="272" t="s">
        <v>470</v>
      </c>
      <c r="D463" s="526"/>
      <c r="E463" s="284"/>
      <c r="F463" s="780">
        <v>59.437860000000001</v>
      </c>
      <c r="G463" s="754">
        <v>8729724</v>
      </c>
      <c r="H463" s="742">
        <v>279418</v>
      </c>
      <c r="I463" s="13"/>
      <c r="J463" s="857"/>
    </row>
    <row r="464" spans="1:10" x14ac:dyDescent="0.35">
      <c r="A464" s="496" t="s">
        <v>1206</v>
      </c>
      <c r="B464" s="498" t="s">
        <v>1207</v>
      </c>
      <c r="C464" s="498" t="s">
        <v>471</v>
      </c>
      <c r="D464" s="532"/>
      <c r="E464" s="285"/>
      <c r="F464" s="780">
        <v>59.437860000000001</v>
      </c>
      <c r="G464" s="756">
        <v>3067342</v>
      </c>
      <c r="H464" s="742">
        <v>279419</v>
      </c>
      <c r="I464" s="13"/>
      <c r="J464" s="857"/>
    </row>
    <row r="465" spans="1:10" x14ac:dyDescent="0.35">
      <c r="A465" s="279"/>
      <c r="B465" s="280"/>
      <c r="C465" s="280"/>
      <c r="D465" s="534"/>
      <c r="E465" s="286"/>
      <c r="F465" s="780"/>
      <c r="G465" s="766"/>
      <c r="H465" s="742"/>
      <c r="I465" s="13"/>
      <c r="J465" s="857"/>
    </row>
    <row r="466" spans="1:10" x14ac:dyDescent="0.35">
      <c r="A466" s="281" t="s">
        <v>752</v>
      </c>
      <c r="B466" s="269" t="s">
        <v>748</v>
      </c>
      <c r="C466" s="269" t="s">
        <v>469</v>
      </c>
      <c r="D466" s="525"/>
      <c r="E466" s="282"/>
      <c r="F466" s="780">
        <v>33.739910000000002</v>
      </c>
      <c r="G466" s="753">
        <v>3870552</v>
      </c>
      <c r="H466" s="742">
        <v>227718</v>
      </c>
      <c r="I466" s="13"/>
      <c r="J466" s="857"/>
    </row>
    <row r="467" spans="1:10" x14ac:dyDescent="0.35">
      <c r="A467" s="283" t="s">
        <v>754</v>
      </c>
      <c r="B467" s="272" t="s">
        <v>748</v>
      </c>
      <c r="C467" s="272" t="s">
        <v>470</v>
      </c>
      <c r="D467" s="526"/>
      <c r="E467" s="284"/>
      <c r="F467" s="780">
        <v>33.739910000000002</v>
      </c>
      <c r="G467" s="754">
        <v>9734196</v>
      </c>
      <c r="H467" s="742">
        <v>227720</v>
      </c>
      <c r="I467" s="13"/>
      <c r="J467" s="857"/>
    </row>
    <row r="468" spans="1:10" x14ac:dyDescent="0.35">
      <c r="A468" s="496" t="s">
        <v>755</v>
      </c>
      <c r="B468" s="498" t="s">
        <v>748</v>
      </c>
      <c r="C468" s="498" t="s">
        <v>471</v>
      </c>
      <c r="D468" s="532"/>
      <c r="E468" s="285"/>
      <c r="F468" s="780">
        <v>33.739910000000002</v>
      </c>
      <c r="G468" s="756">
        <v>8819861</v>
      </c>
      <c r="H468" s="742">
        <v>227719</v>
      </c>
      <c r="I468" s="13"/>
      <c r="J468" s="857"/>
    </row>
    <row r="469" spans="1:10" x14ac:dyDescent="0.35">
      <c r="A469" s="281" t="s">
        <v>753</v>
      </c>
      <c r="B469" s="269" t="s">
        <v>565</v>
      </c>
      <c r="C469" s="269" t="s">
        <v>469</v>
      </c>
      <c r="D469" s="525"/>
      <c r="E469" s="282"/>
      <c r="F469" s="780">
        <v>34.172809999999998</v>
      </c>
      <c r="G469" s="753">
        <v>9278001</v>
      </c>
      <c r="H469" s="742">
        <v>227721</v>
      </c>
      <c r="I469" s="13"/>
      <c r="J469" s="857"/>
    </row>
    <row r="470" spans="1:10" x14ac:dyDescent="0.35">
      <c r="A470" s="283" t="s">
        <v>756</v>
      </c>
      <c r="B470" s="272" t="s">
        <v>565</v>
      </c>
      <c r="C470" s="272" t="s">
        <v>470</v>
      </c>
      <c r="D470" s="526"/>
      <c r="E470" s="284"/>
      <c r="F470" s="780">
        <v>34.172809999999998</v>
      </c>
      <c r="G470" s="754">
        <v>4542306</v>
      </c>
      <c r="H470" s="742">
        <v>227723</v>
      </c>
      <c r="I470" s="13"/>
      <c r="J470" s="857"/>
    </row>
    <row r="471" spans="1:10" x14ac:dyDescent="0.35">
      <c r="A471" s="496" t="s">
        <v>757</v>
      </c>
      <c r="B471" s="498" t="s">
        <v>565</v>
      </c>
      <c r="C471" s="498" t="s">
        <v>471</v>
      </c>
      <c r="D471" s="532"/>
      <c r="E471" s="285"/>
      <c r="F471" s="780">
        <v>34.172809999999998</v>
      </c>
      <c r="G471" s="756">
        <v>1918643</v>
      </c>
      <c r="H471" s="742">
        <v>227722</v>
      </c>
      <c r="I471" s="13"/>
      <c r="J471" s="857"/>
    </row>
    <row r="472" spans="1:10" x14ac:dyDescent="0.35">
      <c r="A472" s="281" t="s">
        <v>758</v>
      </c>
      <c r="B472" s="269" t="s">
        <v>875</v>
      </c>
      <c r="C472" s="269" t="s">
        <v>469</v>
      </c>
      <c r="D472" s="525"/>
      <c r="E472" s="282"/>
      <c r="F472" s="780">
        <v>34.810630000000003</v>
      </c>
      <c r="G472" s="753">
        <v>5369486</v>
      </c>
      <c r="H472" s="742">
        <v>227724</v>
      </c>
      <c r="I472" s="13"/>
      <c r="J472" s="857"/>
    </row>
    <row r="473" spans="1:10" x14ac:dyDescent="0.35">
      <c r="A473" s="283" t="s">
        <v>759</v>
      </c>
      <c r="B473" s="272" t="s">
        <v>875</v>
      </c>
      <c r="C473" s="272" t="s">
        <v>470</v>
      </c>
      <c r="D473" s="526"/>
      <c r="E473" s="284"/>
      <c r="F473" s="780">
        <v>34.810630000000003</v>
      </c>
      <c r="G473" s="754">
        <v>4553737</v>
      </c>
      <c r="H473" s="742">
        <v>227726</v>
      </c>
      <c r="I473" s="13"/>
      <c r="J473" s="857"/>
    </row>
    <row r="474" spans="1:10" x14ac:dyDescent="0.35">
      <c r="A474" s="496" t="s">
        <v>760</v>
      </c>
      <c r="B474" s="498" t="s">
        <v>875</v>
      </c>
      <c r="C474" s="498" t="s">
        <v>471</v>
      </c>
      <c r="D474" s="532"/>
      <c r="E474" s="285"/>
      <c r="F474" s="780">
        <v>34.810630000000003</v>
      </c>
      <c r="G474" s="756">
        <v>8281653</v>
      </c>
      <c r="H474" s="742">
        <v>227725</v>
      </c>
      <c r="I474" s="13"/>
      <c r="J474" s="857"/>
    </row>
    <row r="475" spans="1:10" x14ac:dyDescent="0.35">
      <c r="A475" s="281" t="s">
        <v>761</v>
      </c>
      <c r="B475" s="269" t="s">
        <v>876</v>
      </c>
      <c r="C475" s="269" t="s">
        <v>469</v>
      </c>
      <c r="D475" s="525"/>
      <c r="E475" s="282"/>
      <c r="F475" s="780">
        <v>35.448619999999998</v>
      </c>
      <c r="G475" s="753">
        <v>9907579</v>
      </c>
      <c r="H475" s="742">
        <v>227727</v>
      </c>
      <c r="I475" s="13"/>
      <c r="J475" s="857"/>
    </row>
    <row r="476" spans="1:10" x14ac:dyDescent="0.35">
      <c r="A476" s="283" t="s">
        <v>762</v>
      </c>
      <c r="B476" s="272" t="s">
        <v>876</v>
      </c>
      <c r="C476" s="272" t="s">
        <v>470</v>
      </c>
      <c r="D476" s="526"/>
      <c r="E476" s="284"/>
      <c r="F476" s="780">
        <v>35.448619999999998</v>
      </c>
      <c r="G476" s="754">
        <v>3004403</v>
      </c>
      <c r="H476" s="742">
        <v>227729</v>
      </c>
      <c r="I476" s="13"/>
      <c r="J476" s="857"/>
    </row>
    <row r="477" spans="1:10" x14ac:dyDescent="0.35">
      <c r="A477" s="496" t="s">
        <v>763</v>
      </c>
      <c r="B477" s="498" t="s">
        <v>876</v>
      </c>
      <c r="C477" s="498" t="s">
        <v>471</v>
      </c>
      <c r="D477" s="532"/>
      <c r="E477" s="285"/>
      <c r="F477" s="780">
        <v>35.448619999999998</v>
      </c>
      <c r="G477" s="756">
        <v>6416965</v>
      </c>
      <c r="H477" s="742">
        <v>227728</v>
      </c>
      <c r="I477" s="13"/>
      <c r="J477" s="857"/>
    </row>
    <row r="478" spans="1:10" x14ac:dyDescent="0.35">
      <c r="A478" s="281" t="s">
        <v>1208</v>
      </c>
      <c r="B478" s="269" t="s">
        <v>1211</v>
      </c>
      <c r="C478" s="269" t="s">
        <v>469</v>
      </c>
      <c r="D478" s="525"/>
      <c r="E478" s="282"/>
      <c r="F478" s="780">
        <v>36.086399999999998</v>
      </c>
      <c r="G478" s="753">
        <v>8716506</v>
      </c>
      <c r="H478" s="742">
        <v>279420</v>
      </c>
      <c r="I478" s="13"/>
      <c r="J478" s="857"/>
    </row>
    <row r="479" spans="1:10" x14ac:dyDescent="0.35">
      <c r="A479" s="283" t="s">
        <v>1209</v>
      </c>
      <c r="B479" s="272" t="s">
        <v>1211</v>
      </c>
      <c r="C479" s="272" t="s">
        <v>470</v>
      </c>
      <c r="D479" s="526"/>
      <c r="E479" s="284"/>
      <c r="F479" s="780">
        <v>36.086399999999998</v>
      </c>
      <c r="G479" s="754">
        <v>7689785</v>
      </c>
      <c r="H479" s="742">
        <v>279421</v>
      </c>
      <c r="I479" s="13"/>
      <c r="J479" s="857"/>
    </row>
    <row r="480" spans="1:10" x14ac:dyDescent="0.35">
      <c r="A480" s="496" t="s">
        <v>1210</v>
      </c>
      <c r="B480" s="498" t="s">
        <v>1211</v>
      </c>
      <c r="C480" s="498" t="s">
        <v>471</v>
      </c>
      <c r="D480" s="532"/>
      <c r="E480" s="285"/>
      <c r="F480" s="780">
        <v>36.086399999999998</v>
      </c>
      <c r="G480" s="756">
        <v>7050334</v>
      </c>
      <c r="H480" s="742">
        <v>279422</v>
      </c>
      <c r="I480" s="13"/>
      <c r="J480" s="857"/>
    </row>
    <row r="481" spans="1:10" x14ac:dyDescent="0.35">
      <c r="A481" s="577" t="s">
        <v>578</v>
      </c>
      <c r="B481" s="578" t="s">
        <v>581</v>
      </c>
      <c r="C481" s="578" t="s">
        <v>469</v>
      </c>
      <c r="D481" s="579" t="s">
        <v>936</v>
      </c>
      <c r="E481" s="580"/>
      <c r="F481" s="780">
        <v>5.92326</v>
      </c>
      <c r="G481" s="761">
        <v>1619090</v>
      </c>
      <c r="H481" s="742">
        <v>227730</v>
      </c>
      <c r="I481" s="13"/>
      <c r="J481" s="857"/>
    </row>
    <row r="482" spans="1:10" x14ac:dyDescent="0.35">
      <c r="A482" s="581" t="s">
        <v>579</v>
      </c>
      <c r="B482" s="582" t="s">
        <v>581</v>
      </c>
      <c r="C482" s="582" t="s">
        <v>470</v>
      </c>
      <c r="D482" s="583" t="s">
        <v>936</v>
      </c>
      <c r="E482" s="584"/>
      <c r="F482" s="780">
        <v>5.92326</v>
      </c>
      <c r="G482" s="762">
        <v>2644645</v>
      </c>
      <c r="H482" s="742">
        <v>227732</v>
      </c>
      <c r="I482" s="13"/>
      <c r="J482" s="857"/>
    </row>
    <row r="483" spans="1:10" x14ac:dyDescent="0.35">
      <c r="A483" s="585" t="s">
        <v>580</v>
      </c>
      <c r="B483" s="586" t="s">
        <v>581</v>
      </c>
      <c r="C483" s="586" t="s">
        <v>471</v>
      </c>
      <c r="D483" s="587" t="s">
        <v>936</v>
      </c>
      <c r="E483" s="588"/>
      <c r="F483" s="780">
        <v>5.92326</v>
      </c>
      <c r="G483" s="763">
        <v>5151663</v>
      </c>
      <c r="H483" s="742">
        <v>227731</v>
      </c>
      <c r="I483" s="13"/>
      <c r="J483" s="857"/>
    </row>
    <row r="484" spans="1:10" x14ac:dyDescent="0.35">
      <c r="A484" s="37"/>
      <c r="B484" s="31"/>
      <c r="C484" s="31"/>
      <c r="D484" s="528"/>
      <c r="E484" s="42"/>
      <c r="F484" s="780"/>
      <c r="G484" s="757"/>
      <c r="H484" s="742"/>
      <c r="I484" s="13"/>
      <c r="J484" s="857"/>
    </row>
    <row r="485" spans="1:10" x14ac:dyDescent="0.35">
      <c r="A485" s="281" t="s">
        <v>764</v>
      </c>
      <c r="B485" s="269" t="s">
        <v>749</v>
      </c>
      <c r="C485" s="269" t="s">
        <v>469</v>
      </c>
      <c r="D485" s="525"/>
      <c r="E485" s="282"/>
      <c r="F485" s="780">
        <v>38.296219999999998</v>
      </c>
      <c r="G485" s="753">
        <v>8122008</v>
      </c>
      <c r="H485" s="742">
        <v>227733</v>
      </c>
      <c r="I485" s="13"/>
      <c r="J485" s="857"/>
    </row>
    <row r="486" spans="1:10" x14ac:dyDescent="0.35">
      <c r="A486" s="283" t="s">
        <v>765</v>
      </c>
      <c r="B486" s="272" t="s">
        <v>749</v>
      </c>
      <c r="C486" s="272" t="s">
        <v>470</v>
      </c>
      <c r="D486" s="526"/>
      <c r="E486" s="284"/>
      <c r="F486" s="780">
        <v>38.296219999999998</v>
      </c>
      <c r="G486" s="754">
        <v>1803301</v>
      </c>
      <c r="H486" s="742">
        <v>227735</v>
      </c>
      <c r="I486" s="13"/>
      <c r="J486" s="857"/>
    </row>
    <row r="487" spans="1:10" x14ac:dyDescent="0.35">
      <c r="A487" s="496" t="s">
        <v>766</v>
      </c>
      <c r="B487" s="498" t="s">
        <v>749</v>
      </c>
      <c r="C487" s="498" t="s">
        <v>471</v>
      </c>
      <c r="D487" s="532"/>
      <c r="E487" s="285"/>
      <c r="F487" s="780">
        <v>38.296219999999998</v>
      </c>
      <c r="G487" s="756">
        <v>4837273</v>
      </c>
      <c r="H487" s="742">
        <v>227734</v>
      </c>
      <c r="I487" s="13"/>
      <c r="J487" s="857"/>
    </row>
    <row r="488" spans="1:10" x14ac:dyDescent="0.35">
      <c r="A488" s="281" t="s">
        <v>767</v>
      </c>
      <c r="B488" s="269" t="s">
        <v>566</v>
      </c>
      <c r="C488" s="269" t="s">
        <v>469</v>
      </c>
      <c r="D488" s="525"/>
      <c r="E488" s="282"/>
      <c r="F488" s="780">
        <v>38.729140000000001</v>
      </c>
      <c r="G488" s="753">
        <v>7540872</v>
      </c>
      <c r="H488" s="742">
        <v>227736</v>
      </c>
      <c r="I488" s="13"/>
      <c r="J488" s="857"/>
    </row>
    <row r="489" spans="1:10" x14ac:dyDescent="0.35">
      <c r="A489" s="283" t="s">
        <v>768</v>
      </c>
      <c r="B489" s="272" t="s">
        <v>566</v>
      </c>
      <c r="C489" s="272" t="s">
        <v>470</v>
      </c>
      <c r="D489" s="526"/>
      <c r="E489" s="284"/>
      <c r="F489" s="780">
        <v>38.729140000000001</v>
      </c>
      <c r="G489" s="754">
        <v>3134316</v>
      </c>
      <c r="H489" s="742">
        <v>227738</v>
      </c>
      <c r="I489" s="13"/>
      <c r="J489" s="857"/>
    </row>
    <row r="490" spans="1:10" x14ac:dyDescent="0.35">
      <c r="A490" s="496" t="s">
        <v>769</v>
      </c>
      <c r="B490" s="498" t="s">
        <v>566</v>
      </c>
      <c r="C490" s="498" t="s">
        <v>471</v>
      </c>
      <c r="D490" s="532"/>
      <c r="E490" s="285"/>
      <c r="F490" s="780">
        <v>38.729140000000001</v>
      </c>
      <c r="G490" s="756">
        <v>3427726</v>
      </c>
      <c r="H490" s="742">
        <v>227737</v>
      </c>
      <c r="I490" s="13"/>
      <c r="J490" s="857"/>
    </row>
    <row r="491" spans="1:10" x14ac:dyDescent="0.35">
      <c r="A491" s="281" t="s">
        <v>770</v>
      </c>
      <c r="B491" s="269" t="s">
        <v>750</v>
      </c>
      <c r="C491" s="269" t="s">
        <v>469</v>
      </c>
      <c r="D491" s="525"/>
      <c r="E491" s="282"/>
      <c r="F491" s="780">
        <v>39.36694</v>
      </c>
      <c r="G491" s="753">
        <v>5762924</v>
      </c>
      <c r="H491" s="742">
        <v>227739</v>
      </c>
      <c r="I491" s="13"/>
      <c r="J491" s="857"/>
    </row>
    <row r="492" spans="1:10" x14ac:dyDescent="0.35">
      <c r="A492" s="283" t="s">
        <v>771</v>
      </c>
      <c r="B492" s="272" t="s">
        <v>750</v>
      </c>
      <c r="C492" s="272" t="s">
        <v>470</v>
      </c>
      <c r="D492" s="526"/>
      <c r="E492" s="284"/>
      <c r="F492" s="780">
        <v>39.36694</v>
      </c>
      <c r="G492" s="754">
        <v>1039043</v>
      </c>
      <c r="H492" s="742">
        <v>227741</v>
      </c>
      <c r="I492" s="13"/>
      <c r="J492" s="857"/>
    </row>
    <row r="493" spans="1:10" x14ac:dyDescent="0.35">
      <c r="A493" s="496" t="s">
        <v>772</v>
      </c>
      <c r="B493" s="498" t="s">
        <v>750</v>
      </c>
      <c r="C493" s="498" t="s">
        <v>471</v>
      </c>
      <c r="D493" s="532"/>
      <c r="E493" s="285"/>
      <c r="F493" s="780">
        <v>39.36694</v>
      </c>
      <c r="G493" s="756">
        <v>7957654</v>
      </c>
      <c r="H493" s="742">
        <v>227740</v>
      </c>
      <c r="I493" s="13"/>
      <c r="J493" s="857"/>
    </row>
    <row r="494" spans="1:10" x14ac:dyDescent="0.35">
      <c r="A494" s="281" t="s">
        <v>773</v>
      </c>
      <c r="B494" s="269" t="s">
        <v>751</v>
      </c>
      <c r="C494" s="269" t="s">
        <v>469</v>
      </c>
      <c r="D494" s="525"/>
      <c r="E494" s="282"/>
      <c r="F494" s="780">
        <v>40.004950000000001</v>
      </c>
      <c r="G494" s="753">
        <v>8044308</v>
      </c>
      <c r="H494" s="742">
        <v>227742</v>
      </c>
      <c r="I494" s="13"/>
      <c r="J494" s="857"/>
    </row>
    <row r="495" spans="1:10" x14ac:dyDescent="0.35">
      <c r="A495" s="283" t="s">
        <v>774</v>
      </c>
      <c r="B495" s="272" t="s">
        <v>751</v>
      </c>
      <c r="C495" s="272" t="s">
        <v>470</v>
      </c>
      <c r="D495" s="526"/>
      <c r="E495" s="284"/>
      <c r="F495" s="780">
        <v>40.004950000000001</v>
      </c>
      <c r="G495" s="754">
        <v>3812565</v>
      </c>
      <c r="H495" s="742">
        <v>227744</v>
      </c>
      <c r="I495" s="13"/>
      <c r="J495" s="857"/>
    </row>
    <row r="496" spans="1:10" x14ac:dyDescent="0.35">
      <c r="A496" s="496" t="s">
        <v>775</v>
      </c>
      <c r="B496" s="498" t="s">
        <v>751</v>
      </c>
      <c r="C496" s="498" t="s">
        <v>471</v>
      </c>
      <c r="D496" s="532"/>
      <c r="E496" s="285"/>
      <c r="F496" s="780">
        <v>40.004950000000001</v>
      </c>
      <c r="G496" s="756">
        <v>4599953</v>
      </c>
      <c r="H496" s="742">
        <v>227743</v>
      </c>
      <c r="I496" s="13"/>
      <c r="J496" s="857"/>
    </row>
    <row r="497" spans="1:10" x14ac:dyDescent="0.35">
      <c r="A497" s="281" t="s">
        <v>1212</v>
      </c>
      <c r="B497" s="269" t="s">
        <v>1215</v>
      </c>
      <c r="C497" s="269" t="s">
        <v>469</v>
      </c>
      <c r="D497" s="525"/>
      <c r="E497" s="282"/>
      <c r="F497" s="780">
        <v>40.64273</v>
      </c>
      <c r="G497" s="753">
        <v>2686598</v>
      </c>
      <c r="H497" s="742">
        <v>279423</v>
      </c>
      <c r="I497" s="13"/>
      <c r="J497" s="857"/>
    </row>
    <row r="498" spans="1:10" x14ac:dyDescent="0.35">
      <c r="A498" s="283" t="s">
        <v>1213</v>
      </c>
      <c r="B498" s="272" t="s">
        <v>1215</v>
      </c>
      <c r="C498" s="272" t="s">
        <v>470</v>
      </c>
      <c r="D498" s="526"/>
      <c r="E498" s="284"/>
      <c r="F498" s="780">
        <v>40.64273</v>
      </c>
      <c r="G498" s="754">
        <v>2559066</v>
      </c>
      <c r="H498" s="742">
        <v>279424</v>
      </c>
      <c r="I498" s="13"/>
      <c r="J498" s="857"/>
    </row>
    <row r="499" spans="1:10" x14ac:dyDescent="0.35">
      <c r="A499" s="496" t="s">
        <v>1214</v>
      </c>
      <c r="B499" s="498" t="s">
        <v>1215</v>
      </c>
      <c r="C499" s="498" t="s">
        <v>471</v>
      </c>
      <c r="D499" s="532"/>
      <c r="E499" s="285"/>
      <c r="F499" s="780">
        <v>40.64273</v>
      </c>
      <c r="G499" s="756">
        <v>2886048</v>
      </c>
      <c r="H499" s="742">
        <v>279425</v>
      </c>
      <c r="I499" s="13"/>
      <c r="J499" s="857"/>
    </row>
    <row r="500" spans="1:10" x14ac:dyDescent="0.35">
      <c r="A500" s="577" t="s">
        <v>814</v>
      </c>
      <c r="B500" s="578" t="s">
        <v>582</v>
      </c>
      <c r="C500" s="578" t="s">
        <v>469</v>
      </c>
      <c r="D500" s="579" t="s">
        <v>936</v>
      </c>
      <c r="E500" s="580"/>
      <c r="F500" s="780">
        <v>6.60684</v>
      </c>
      <c r="G500" s="761">
        <v>1408697</v>
      </c>
      <c r="H500" s="742">
        <v>227745</v>
      </c>
      <c r="I500" s="13"/>
      <c r="J500" s="857"/>
    </row>
    <row r="501" spans="1:10" x14ac:dyDescent="0.35">
      <c r="A501" s="581" t="s">
        <v>815</v>
      </c>
      <c r="B501" s="582" t="s">
        <v>582</v>
      </c>
      <c r="C501" s="582" t="s">
        <v>470</v>
      </c>
      <c r="D501" s="583" t="s">
        <v>936</v>
      </c>
      <c r="E501" s="584"/>
      <c r="F501" s="780">
        <v>6.60684</v>
      </c>
      <c r="G501" s="762">
        <v>2073881</v>
      </c>
      <c r="H501" s="742">
        <v>227747</v>
      </c>
      <c r="I501" s="13"/>
      <c r="J501" s="857"/>
    </row>
    <row r="502" spans="1:10" x14ac:dyDescent="0.35">
      <c r="A502" s="585" t="s">
        <v>816</v>
      </c>
      <c r="B502" s="586" t="s">
        <v>582</v>
      </c>
      <c r="C502" s="586" t="s">
        <v>471</v>
      </c>
      <c r="D502" s="587" t="s">
        <v>936</v>
      </c>
      <c r="E502" s="588"/>
      <c r="F502" s="780">
        <v>6.60684</v>
      </c>
      <c r="G502" s="763">
        <v>1552689</v>
      </c>
      <c r="H502" s="742">
        <v>227746</v>
      </c>
      <c r="I502" s="13"/>
      <c r="J502" s="857"/>
    </row>
    <row r="503" spans="1:10" x14ac:dyDescent="0.35">
      <c r="A503" s="37"/>
      <c r="B503" s="31"/>
      <c r="C503" s="31"/>
      <c r="D503" s="528"/>
      <c r="E503" s="42"/>
      <c r="F503" s="780"/>
      <c r="G503" s="757"/>
      <c r="H503" s="742"/>
      <c r="I503" s="13"/>
      <c r="J503" s="857"/>
    </row>
    <row r="504" spans="1:10" x14ac:dyDescent="0.35">
      <c r="A504" s="281" t="s">
        <v>584</v>
      </c>
      <c r="B504" s="269" t="s">
        <v>583</v>
      </c>
      <c r="C504" s="269" t="s">
        <v>469</v>
      </c>
      <c r="D504" s="525"/>
      <c r="E504" s="282"/>
      <c r="F504" s="780">
        <v>43.285469999999997</v>
      </c>
      <c r="G504" s="753">
        <v>3149094</v>
      </c>
      <c r="H504" s="742">
        <v>227711</v>
      </c>
      <c r="I504" s="13"/>
      <c r="J504" s="857"/>
    </row>
    <row r="505" spans="1:10" x14ac:dyDescent="0.35">
      <c r="A505" s="283" t="s">
        <v>585</v>
      </c>
      <c r="B505" s="272" t="s">
        <v>583</v>
      </c>
      <c r="C505" s="272" t="s">
        <v>470</v>
      </c>
      <c r="D505" s="526"/>
      <c r="E505" s="284"/>
      <c r="F505" s="780">
        <v>43.285469999999997</v>
      </c>
      <c r="G505" s="754">
        <v>9116345</v>
      </c>
      <c r="H505" s="742">
        <v>227713</v>
      </c>
      <c r="I505" s="13"/>
      <c r="J505" s="857"/>
    </row>
    <row r="506" spans="1:10" x14ac:dyDescent="0.35">
      <c r="A506" s="496" t="s">
        <v>586</v>
      </c>
      <c r="B506" s="498" t="s">
        <v>583</v>
      </c>
      <c r="C506" s="498" t="s">
        <v>471</v>
      </c>
      <c r="D506" s="532"/>
      <c r="E506" s="285"/>
      <c r="F506" s="780">
        <v>43.285469999999997</v>
      </c>
      <c r="G506" s="756">
        <v>7375058</v>
      </c>
      <c r="H506" s="742">
        <v>227712</v>
      </c>
      <c r="I506" s="13"/>
      <c r="J506" s="857"/>
    </row>
    <row r="507" spans="1:10" x14ac:dyDescent="0.35">
      <c r="A507" s="577" t="s">
        <v>587</v>
      </c>
      <c r="B507" s="578" t="s">
        <v>590</v>
      </c>
      <c r="C507" s="578" t="s">
        <v>469</v>
      </c>
      <c r="D507" s="579" t="s">
        <v>936</v>
      </c>
      <c r="E507" s="580"/>
      <c r="F507" s="780">
        <v>6.9484300000000001</v>
      </c>
      <c r="G507" s="761">
        <v>5670971</v>
      </c>
      <c r="H507" s="742">
        <v>227716</v>
      </c>
      <c r="I507" s="13"/>
      <c r="J507" s="857"/>
    </row>
    <row r="508" spans="1:10" x14ac:dyDescent="0.35">
      <c r="A508" s="581" t="s">
        <v>588</v>
      </c>
      <c r="B508" s="582" t="s">
        <v>590</v>
      </c>
      <c r="C508" s="582" t="s">
        <v>470</v>
      </c>
      <c r="D508" s="583" t="s">
        <v>936</v>
      </c>
      <c r="E508" s="584"/>
      <c r="F508" s="780">
        <v>6.9484300000000001</v>
      </c>
      <c r="G508" s="762">
        <v>3458747</v>
      </c>
      <c r="H508" s="742">
        <v>227714</v>
      </c>
      <c r="I508" s="13"/>
      <c r="J508" s="857"/>
    </row>
    <row r="509" spans="1:10" x14ac:dyDescent="0.35">
      <c r="A509" s="585" t="s">
        <v>589</v>
      </c>
      <c r="B509" s="586" t="s">
        <v>590</v>
      </c>
      <c r="C509" s="586" t="s">
        <v>471</v>
      </c>
      <c r="D509" s="587" t="s">
        <v>936</v>
      </c>
      <c r="E509" s="588"/>
      <c r="F509" s="780">
        <v>6.9484300000000001</v>
      </c>
      <c r="G509" s="763">
        <v>8042885</v>
      </c>
      <c r="H509" s="742">
        <v>227715</v>
      </c>
      <c r="I509" s="13"/>
      <c r="J509" s="857"/>
    </row>
    <row r="510" spans="1:10" x14ac:dyDescent="0.35">
      <c r="A510" s="37"/>
      <c r="B510" s="31"/>
      <c r="C510" s="31"/>
      <c r="D510" s="528"/>
      <c r="E510" s="42"/>
      <c r="F510" s="780"/>
      <c r="G510" s="750"/>
      <c r="H510" s="742"/>
      <c r="I510" s="13"/>
      <c r="J510" s="857"/>
    </row>
    <row r="511" spans="1:10" x14ac:dyDescent="0.35">
      <c r="A511" s="33"/>
      <c r="B511" s="34"/>
      <c r="C511" s="34"/>
      <c r="D511" s="529"/>
      <c r="E511" s="32"/>
      <c r="F511" s="780"/>
      <c r="G511" s="35"/>
      <c r="H511" s="742"/>
      <c r="I511" s="13"/>
      <c r="J511" s="857"/>
    </row>
    <row r="512" spans="1:10" x14ac:dyDescent="0.35">
      <c r="A512" s="38" t="s">
        <v>594</v>
      </c>
      <c r="B512" s="31"/>
      <c r="C512" s="31"/>
      <c r="D512" s="528"/>
      <c r="E512" s="42"/>
      <c r="F512" s="780"/>
      <c r="G512" s="749"/>
      <c r="H512" s="742"/>
      <c r="I512" s="13"/>
      <c r="J512" s="857"/>
    </row>
    <row r="513" spans="1:10" x14ac:dyDescent="0.35">
      <c r="A513" s="577" t="s">
        <v>591</v>
      </c>
      <c r="B513" s="578" t="s">
        <v>601</v>
      </c>
      <c r="C513" s="578" t="s">
        <v>469</v>
      </c>
      <c r="D513" s="579" t="s">
        <v>936</v>
      </c>
      <c r="E513" s="580"/>
      <c r="F513" s="780">
        <v>45.56362</v>
      </c>
      <c r="G513" s="761">
        <v>9613823</v>
      </c>
      <c r="H513" s="742">
        <v>227748</v>
      </c>
      <c r="I513" s="13"/>
      <c r="J513" s="857"/>
    </row>
    <row r="514" spans="1:10" x14ac:dyDescent="0.35">
      <c r="A514" s="581" t="s">
        <v>592</v>
      </c>
      <c r="B514" s="582" t="s">
        <v>601</v>
      </c>
      <c r="C514" s="582" t="s">
        <v>470</v>
      </c>
      <c r="D514" s="583" t="s">
        <v>936</v>
      </c>
      <c r="E514" s="584"/>
      <c r="F514" s="780">
        <v>45.56362</v>
      </c>
      <c r="G514" s="762">
        <v>3670050</v>
      </c>
      <c r="H514" s="742">
        <v>227750</v>
      </c>
      <c r="I514" s="13"/>
      <c r="J514" s="857"/>
    </row>
    <row r="515" spans="1:10" x14ac:dyDescent="0.35">
      <c r="A515" s="585" t="s">
        <v>593</v>
      </c>
      <c r="B515" s="586" t="s">
        <v>601</v>
      </c>
      <c r="C515" s="586" t="s">
        <v>471</v>
      </c>
      <c r="D515" s="587" t="s">
        <v>936</v>
      </c>
      <c r="E515" s="588"/>
      <c r="F515" s="780">
        <v>45.56362</v>
      </c>
      <c r="G515" s="763">
        <v>3493503</v>
      </c>
      <c r="H515" s="742">
        <v>227749</v>
      </c>
      <c r="I515" s="13"/>
      <c r="J515" s="857"/>
    </row>
    <row r="516" spans="1:10" x14ac:dyDescent="0.35">
      <c r="A516" s="577" t="s">
        <v>595</v>
      </c>
      <c r="B516" s="578" t="s">
        <v>602</v>
      </c>
      <c r="C516" s="578" t="s">
        <v>469</v>
      </c>
      <c r="D516" s="579" t="s">
        <v>936</v>
      </c>
      <c r="E516" s="580"/>
      <c r="F516" s="780">
        <v>7.5180499999999997</v>
      </c>
      <c r="G516" s="761">
        <v>7307581</v>
      </c>
      <c r="H516" s="742">
        <v>227753</v>
      </c>
      <c r="I516" s="13"/>
      <c r="J516" s="857"/>
    </row>
    <row r="517" spans="1:10" x14ac:dyDescent="0.35">
      <c r="A517" s="581" t="s">
        <v>596</v>
      </c>
      <c r="B517" s="582" t="s">
        <v>602</v>
      </c>
      <c r="C517" s="582" t="s">
        <v>470</v>
      </c>
      <c r="D517" s="583" t="s">
        <v>936</v>
      </c>
      <c r="E517" s="584"/>
      <c r="F517" s="780">
        <v>7.5180499999999997</v>
      </c>
      <c r="G517" s="762">
        <v>2802560</v>
      </c>
      <c r="H517" s="742">
        <v>227751</v>
      </c>
      <c r="I517" s="13"/>
      <c r="J517" s="857"/>
    </row>
    <row r="518" spans="1:10" x14ac:dyDescent="0.35">
      <c r="A518" s="585" t="s">
        <v>597</v>
      </c>
      <c r="B518" s="586" t="s">
        <v>602</v>
      </c>
      <c r="C518" s="586" t="s">
        <v>471</v>
      </c>
      <c r="D518" s="587" t="s">
        <v>936</v>
      </c>
      <c r="E518" s="588"/>
      <c r="F518" s="780">
        <v>7.5180499999999997</v>
      </c>
      <c r="G518" s="763">
        <v>4283034</v>
      </c>
      <c r="H518" s="742">
        <v>227752</v>
      </c>
      <c r="I518" s="13"/>
      <c r="J518" s="857"/>
    </row>
    <row r="519" spans="1:10" x14ac:dyDescent="0.35">
      <c r="A519" s="592"/>
      <c r="B519" s="593"/>
      <c r="C519" s="593"/>
      <c r="D519" s="594"/>
      <c r="E519" s="595"/>
      <c r="F519" s="780"/>
      <c r="G519" s="767"/>
      <c r="H519" s="742"/>
      <c r="I519" s="13"/>
      <c r="J519" s="857"/>
    </row>
    <row r="520" spans="1:10" x14ac:dyDescent="0.35">
      <c r="A520" s="577" t="s">
        <v>598</v>
      </c>
      <c r="B520" s="578" t="s">
        <v>873</v>
      </c>
      <c r="C520" s="578" t="s">
        <v>469</v>
      </c>
      <c r="D520" s="579" t="s">
        <v>936</v>
      </c>
      <c r="E520" s="580"/>
      <c r="F520" s="780">
        <v>45.56362</v>
      </c>
      <c r="G520" s="761">
        <v>7794799</v>
      </c>
      <c r="H520" s="742">
        <v>227756</v>
      </c>
      <c r="I520" s="13"/>
      <c r="J520" s="857"/>
    </row>
    <row r="521" spans="1:10" x14ac:dyDescent="0.35">
      <c r="A521" s="581" t="s">
        <v>599</v>
      </c>
      <c r="B521" s="582" t="s">
        <v>874</v>
      </c>
      <c r="C521" s="582" t="s">
        <v>470</v>
      </c>
      <c r="D521" s="583" t="s">
        <v>936</v>
      </c>
      <c r="E521" s="584"/>
      <c r="F521" s="780">
        <v>45.56362</v>
      </c>
      <c r="G521" s="762">
        <v>7502048</v>
      </c>
      <c r="H521" s="742">
        <v>227754</v>
      </c>
      <c r="I521" s="13"/>
      <c r="J521" s="857"/>
    </row>
    <row r="522" spans="1:10" x14ac:dyDescent="0.35">
      <c r="A522" s="585" t="s">
        <v>600</v>
      </c>
      <c r="B522" s="586" t="s">
        <v>874</v>
      </c>
      <c r="C522" s="586" t="s">
        <v>471</v>
      </c>
      <c r="D522" s="587" t="s">
        <v>936</v>
      </c>
      <c r="E522" s="588"/>
      <c r="F522" s="780">
        <v>45.56362</v>
      </c>
      <c r="G522" s="763">
        <v>7842844</v>
      </c>
      <c r="H522" s="742">
        <v>227755</v>
      </c>
      <c r="I522" s="13"/>
      <c r="J522" s="857"/>
    </row>
    <row r="523" spans="1:10" x14ac:dyDescent="0.35">
      <c r="A523" s="577" t="s">
        <v>604</v>
      </c>
      <c r="B523" s="578" t="s">
        <v>603</v>
      </c>
      <c r="C523" s="578" t="s">
        <v>469</v>
      </c>
      <c r="D523" s="579" t="s">
        <v>936</v>
      </c>
      <c r="E523" s="580"/>
      <c r="F523" s="780">
        <v>7.5180499999999997</v>
      </c>
      <c r="G523" s="761">
        <v>2503742</v>
      </c>
      <c r="H523" s="742">
        <v>227759</v>
      </c>
      <c r="I523" s="13"/>
      <c r="J523" s="857"/>
    </row>
    <row r="524" spans="1:10" x14ac:dyDescent="0.35">
      <c r="A524" s="581" t="s">
        <v>605</v>
      </c>
      <c r="B524" s="582" t="s">
        <v>603</v>
      </c>
      <c r="C524" s="582" t="s">
        <v>470</v>
      </c>
      <c r="D524" s="583" t="s">
        <v>936</v>
      </c>
      <c r="E524" s="584"/>
      <c r="F524" s="780">
        <v>7.5180499999999997</v>
      </c>
      <c r="G524" s="762">
        <v>5495239</v>
      </c>
      <c r="H524" s="742">
        <v>227757</v>
      </c>
      <c r="I524" s="13"/>
      <c r="J524" s="857"/>
    </row>
    <row r="525" spans="1:10" x14ac:dyDescent="0.35">
      <c r="A525" s="585" t="s">
        <v>606</v>
      </c>
      <c r="B525" s="586" t="s">
        <v>603</v>
      </c>
      <c r="C525" s="586" t="s">
        <v>471</v>
      </c>
      <c r="D525" s="587" t="s">
        <v>936</v>
      </c>
      <c r="E525" s="588"/>
      <c r="F525" s="780">
        <v>7.5180499999999997</v>
      </c>
      <c r="G525" s="763">
        <v>7506076</v>
      </c>
      <c r="H525" s="742">
        <v>227758</v>
      </c>
      <c r="I525" s="13"/>
      <c r="J525" s="857"/>
    </row>
    <row r="526" spans="1:10" x14ac:dyDescent="0.35">
      <c r="A526" s="37"/>
      <c r="B526" s="31"/>
      <c r="C526" s="31"/>
      <c r="D526" s="528"/>
      <c r="E526" s="42"/>
      <c r="F526" s="780"/>
      <c r="G526" s="750"/>
      <c r="H526" s="742"/>
      <c r="I526" s="13"/>
      <c r="J526" s="857"/>
    </row>
    <row r="527" spans="1:10" x14ac:dyDescent="0.35">
      <c r="A527" s="37"/>
      <c r="B527" s="31"/>
      <c r="C527" s="31"/>
      <c r="D527" s="528"/>
      <c r="E527" s="42"/>
      <c r="F527" s="780"/>
      <c r="G527" s="750"/>
      <c r="H527" s="742"/>
      <c r="I527" s="13"/>
      <c r="J527" s="857"/>
    </row>
    <row r="528" spans="1:10" x14ac:dyDescent="0.35">
      <c r="A528" s="38" t="s">
        <v>1258</v>
      </c>
      <c r="B528" s="31"/>
      <c r="C528" s="31"/>
      <c r="D528" s="528"/>
      <c r="E528" s="42"/>
      <c r="F528" s="780"/>
      <c r="G528" s="749"/>
      <c r="H528" s="742"/>
      <c r="I528" s="13"/>
      <c r="J528" s="857"/>
    </row>
    <row r="529" spans="1:10" x14ac:dyDescent="0.35">
      <c r="A529" s="577" t="s">
        <v>1259</v>
      </c>
      <c r="B529" s="578" t="s">
        <v>1260</v>
      </c>
      <c r="C529" s="578" t="s">
        <v>353</v>
      </c>
      <c r="D529" s="579" t="s">
        <v>936</v>
      </c>
      <c r="E529" s="580"/>
      <c r="F529" s="780"/>
      <c r="G529" s="768">
        <v>5541312</v>
      </c>
      <c r="H529" s="742" t="s">
        <v>1274</v>
      </c>
      <c r="I529" s="13"/>
      <c r="J529" s="857"/>
    </row>
    <row r="530" spans="1:10" x14ac:dyDescent="0.35">
      <c r="A530" s="581" t="s">
        <v>1261</v>
      </c>
      <c r="B530" s="582" t="s">
        <v>1260</v>
      </c>
      <c r="C530" s="582" t="s">
        <v>354</v>
      </c>
      <c r="D530" s="583" t="s">
        <v>936</v>
      </c>
      <c r="E530" s="584"/>
      <c r="F530" s="780"/>
      <c r="G530" s="769">
        <v>9358958</v>
      </c>
      <c r="H530" s="742" t="s">
        <v>1274</v>
      </c>
      <c r="I530" s="13"/>
      <c r="J530" s="857"/>
    </row>
    <row r="531" spans="1:10" x14ac:dyDescent="0.35">
      <c r="A531" s="585" t="s">
        <v>1262</v>
      </c>
      <c r="B531" s="586" t="s">
        <v>1260</v>
      </c>
      <c r="C531" s="586" t="s">
        <v>422</v>
      </c>
      <c r="D531" s="587" t="s">
        <v>936</v>
      </c>
      <c r="E531" s="588"/>
      <c r="F531" s="780"/>
      <c r="G531" s="770">
        <v>5536400</v>
      </c>
      <c r="H531" s="742" t="s">
        <v>1274</v>
      </c>
      <c r="I531" s="13"/>
      <c r="J531" s="857"/>
    </row>
    <row r="532" spans="1:10" x14ac:dyDescent="0.35">
      <c r="A532" s="281" t="s">
        <v>1263</v>
      </c>
      <c r="B532" s="269" t="s">
        <v>1264</v>
      </c>
      <c r="C532" s="269" t="s">
        <v>353</v>
      </c>
      <c r="D532" s="525"/>
      <c r="E532" s="282"/>
      <c r="F532" s="780">
        <v>23.562169999999998</v>
      </c>
      <c r="G532" s="771">
        <v>4250192</v>
      </c>
      <c r="H532" s="742">
        <v>279426</v>
      </c>
      <c r="I532" s="13"/>
      <c r="J532" s="857"/>
    </row>
    <row r="533" spans="1:10" x14ac:dyDescent="0.35">
      <c r="A533" s="283" t="s">
        <v>1265</v>
      </c>
      <c r="B533" s="272" t="s">
        <v>1264</v>
      </c>
      <c r="C533" s="272" t="s">
        <v>354</v>
      </c>
      <c r="D533" s="526"/>
      <c r="E533" s="284"/>
      <c r="F533" s="780">
        <v>23.562169999999998</v>
      </c>
      <c r="G533" s="772">
        <v>4478837</v>
      </c>
      <c r="H533" s="742">
        <v>279427</v>
      </c>
      <c r="I533" s="13"/>
      <c r="J533" s="857"/>
    </row>
    <row r="534" spans="1:10" x14ac:dyDescent="0.35">
      <c r="A534" s="585" t="s">
        <v>1266</v>
      </c>
      <c r="B534" s="586" t="s">
        <v>1264</v>
      </c>
      <c r="C534" s="589" t="s">
        <v>422</v>
      </c>
      <c r="D534" s="587" t="s">
        <v>936</v>
      </c>
      <c r="E534" s="588"/>
      <c r="F534" s="780"/>
      <c r="G534" s="770">
        <v>7762103</v>
      </c>
      <c r="H534" s="742" t="s">
        <v>1274</v>
      </c>
      <c r="I534" s="13"/>
      <c r="J534" s="857"/>
    </row>
    <row r="535" spans="1:10" x14ac:dyDescent="0.35">
      <c r="A535" s="37"/>
      <c r="B535" s="31"/>
      <c r="C535" s="31"/>
      <c r="D535" s="528"/>
      <c r="E535" s="42"/>
      <c r="F535" s="780"/>
      <c r="G535" s="757"/>
      <c r="H535" s="742"/>
      <c r="I535" s="13"/>
      <c r="J535" s="857"/>
    </row>
    <row r="536" spans="1:10" x14ac:dyDescent="0.35">
      <c r="A536" s="38"/>
      <c r="B536" s="31"/>
      <c r="C536" s="31"/>
      <c r="D536" s="528"/>
      <c r="E536" s="42"/>
      <c r="F536" s="780"/>
      <c r="G536" s="757"/>
      <c r="H536" s="742"/>
      <c r="I536" s="13"/>
      <c r="J536" s="857"/>
    </row>
    <row r="537" spans="1:10" x14ac:dyDescent="0.35">
      <c r="A537" s="37"/>
      <c r="B537" s="31"/>
      <c r="C537" s="31"/>
      <c r="D537" s="528"/>
      <c r="E537" s="42"/>
      <c r="F537" s="780"/>
      <c r="G537" s="757"/>
      <c r="H537" s="742"/>
      <c r="I537" s="13"/>
      <c r="J537" s="857"/>
    </row>
    <row r="538" spans="1:10" x14ac:dyDescent="0.35">
      <c r="A538" s="37"/>
      <c r="B538" s="31"/>
      <c r="C538" s="31"/>
      <c r="D538" s="528"/>
      <c r="E538" s="42"/>
      <c r="F538" s="780"/>
      <c r="G538" s="757"/>
      <c r="H538" s="742"/>
      <c r="I538" s="13"/>
      <c r="J538" s="857"/>
    </row>
    <row r="539" spans="1:10" x14ac:dyDescent="0.35">
      <c r="A539" s="44"/>
      <c r="B539" s="31"/>
      <c r="C539" s="31"/>
      <c r="D539" s="528"/>
      <c r="E539" s="42"/>
      <c r="F539" s="780"/>
      <c r="G539" s="757"/>
      <c r="H539" s="742"/>
      <c r="I539" s="13"/>
      <c r="J539" s="857"/>
    </row>
    <row r="540" spans="1:10" x14ac:dyDescent="0.35">
      <c r="A540" s="38" t="s">
        <v>813</v>
      </c>
      <c r="B540" s="31"/>
      <c r="C540" s="31"/>
      <c r="D540" s="528"/>
      <c r="E540" s="42"/>
      <c r="F540" s="780"/>
      <c r="G540" s="757"/>
      <c r="H540" s="742"/>
      <c r="J540" s="857"/>
    </row>
    <row r="541" spans="1:10" x14ac:dyDescent="0.35">
      <c r="A541" s="37" t="s">
        <v>31</v>
      </c>
      <c r="B541" s="31" t="s">
        <v>607</v>
      </c>
      <c r="C541" s="31" t="s">
        <v>353</v>
      </c>
      <c r="D541" s="528"/>
      <c r="E541" s="42"/>
      <c r="F541" s="780">
        <v>25.85746</v>
      </c>
      <c r="G541" s="741">
        <v>9809820</v>
      </c>
      <c r="H541" s="742">
        <v>227688</v>
      </c>
      <c r="I541" s="13"/>
      <c r="J541" s="857"/>
    </row>
    <row r="542" spans="1:10" x14ac:dyDescent="0.35">
      <c r="A542" s="37" t="s">
        <v>610</v>
      </c>
      <c r="B542" s="31" t="s">
        <v>611</v>
      </c>
      <c r="C542" s="31" t="s">
        <v>353</v>
      </c>
      <c r="D542" s="528"/>
      <c r="E542" s="42"/>
      <c r="F542" s="780">
        <v>63.561259999999997</v>
      </c>
      <c r="G542" s="741">
        <v>5952958</v>
      </c>
      <c r="H542" s="742">
        <v>227689</v>
      </c>
      <c r="I542" s="13"/>
      <c r="J542" s="857"/>
    </row>
    <row r="543" spans="1:10" x14ac:dyDescent="0.35">
      <c r="A543" s="471" t="s">
        <v>812</v>
      </c>
      <c r="B543" s="34" t="s">
        <v>612</v>
      </c>
      <c r="C543" s="34" t="s">
        <v>353</v>
      </c>
      <c r="D543" s="529" t="s">
        <v>936</v>
      </c>
      <c r="E543" s="472"/>
      <c r="F543" s="780">
        <v>63.561259999999997</v>
      </c>
      <c r="G543" s="755">
        <v>5241444</v>
      </c>
      <c r="H543" s="742">
        <v>227690</v>
      </c>
      <c r="I543" s="13"/>
      <c r="J543" s="857"/>
    </row>
    <row r="544" spans="1:10" x14ac:dyDescent="0.35">
      <c r="A544" s="37" t="s">
        <v>608</v>
      </c>
      <c r="B544" s="31" t="s">
        <v>609</v>
      </c>
      <c r="C544" s="31" t="s">
        <v>29</v>
      </c>
      <c r="D544" s="528"/>
      <c r="E544" s="42"/>
      <c r="F544" s="780">
        <v>39.526809999999998</v>
      </c>
      <c r="G544" s="741">
        <v>8058240</v>
      </c>
      <c r="H544" s="742">
        <v>227691</v>
      </c>
      <c r="I544" s="13"/>
      <c r="J544" s="857"/>
    </row>
    <row r="545" spans="1:10" x14ac:dyDescent="0.35">
      <c r="A545" s="37" t="s">
        <v>255</v>
      </c>
      <c r="B545" s="31" t="s">
        <v>613</v>
      </c>
      <c r="C545" s="31" t="s">
        <v>353</v>
      </c>
      <c r="D545" s="528"/>
      <c r="E545" s="42"/>
      <c r="F545" s="780">
        <v>38.501280000000001</v>
      </c>
      <c r="G545" s="741">
        <v>1366848</v>
      </c>
      <c r="H545" s="742">
        <v>227693</v>
      </c>
      <c r="I545" s="13"/>
      <c r="J545" s="857"/>
    </row>
    <row r="546" spans="1:10" x14ac:dyDescent="0.35">
      <c r="A546" s="43"/>
      <c r="B546" s="31"/>
      <c r="C546" s="31"/>
      <c r="D546" s="528"/>
      <c r="E546" s="42"/>
      <c r="F546" s="780"/>
      <c r="G546" s="773"/>
      <c r="H546" s="742"/>
      <c r="I546" s="13"/>
      <c r="J546" s="857"/>
    </row>
    <row r="547" spans="1:10" x14ac:dyDescent="0.35">
      <c r="A547" s="43"/>
      <c r="B547" s="31"/>
      <c r="C547" s="31"/>
      <c r="D547" s="528"/>
      <c r="E547" s="42"/>
      <c r="F547" s="780"/>
      <c r="G547" s="773"/>
      <c r="H547" s="742"/>
      <c r="I547" s="13"/>
      <c r="J547" s="857"/>
    </row>
    <row r="548" spans="1:10" x14ac:dyDescent="0.35">
      <c r="A548" s="38" t="s">
        <v>856</v>
      </c>
      <c r="B548" s="31"/>
      <c r="C548" s="31"/>
      <c r="D548" s="528"/>
      <c r="E548" s="42"/>
      <c r="F548" s="780"/>
      <c r="G548" s="750"/>
      <c r="H548" s="742"/>
      <c r="I548" s="13"/>
      <c r="J548" s="857"/>
    </row>
    <row r="549" spans="1:10" x14ac:dyDescent="0.35">
      <c r="A549" s="37" t="s">
        <v>857</v>
      </c>
      <c r="B549" s="31" t="s">
        <v>858</v>
      </c>
      <c r="C549" s="31" t="s">
        <v>238</v>
      </c>
      <c r="D549" s="528"/>
      <c r="E549" s="42"/>
      <c r="F549" s="780">
        <v>6.13E-2</v>
      </c>
      <c r="G549" s="741">
        <v>9508739</v>
      </c>
      <c r="H549" s="742">
        <v>237597</v>
      </c>
      <c r="I549" s="13"/>
      <c r="J549" s="857"/>
    </row>
    <row r="550" spans="1:10" x14ac:dyDescent="0.35">
      <c r="A550" s="37" t="s">
        <v>65</v>
      </c>
      <c r="B550" s="31" t="s">
        <v>301</v>
      </c>
      <c r="C550" s="31" t="s">
        <v>252</v>
      </c>
      <c r="D550" s="528"/>
      <c r="E550" s="42"/>
      <c r="F550" s="780">
        <v>1.3133999999999999</v>
      </c>
      <c r="G550" s="741">
        <v>6448980</v>
      </c>
      <c r="H550" s="742">
        <v>288080</v>
      </c>
      <c r="I550" s="13"/>
      <c r="J550" s="857"/>
    </row>
    <row r="551" spans="1:10" x14ac:dyDescent="0.35">
      <c r="A551" s="37" t="s">
        <v>302</v>
      </c>
      <c r="B551" s="31" t="s">
        <v>303</v>
      </c>
      <c r="C551" s="31" t="s">
        <v>304</v>
      </c>
      <c r="D551" s="528"/>
      <c r="E551" s="42"/>
      <c r="F551" s="780">
        <v>0.13461999999999999</v>
      </c>
      <c r="G551" s="741">
        <v>3283090</v>
      </c>
      <c r="H551" s="742">
        <v>12388</v>
      </c>
      <c r="I551" s="13"/>
      <c r="J551" s="857"/>
    </row>
    <row r="552" spans="1:10" x14ac:dyDescent="0.35">
      <c r="A552" s="37" t="s">
        <v>913</v>
      </c>
      <c r="B552" s="31" t="s">
        <v>914</v>
      </c>
      <c r="C552" s="31" t="s">
        <v>4</v>
      </c>
      <c r="D552" s="528"/>
      <c r="E552" s="42"/>
      <c r="F552" s="780">
        <v>6.1465699999999996</v>
      </c>
      <c r="G552" s="741">
        <v>2090937</v>
      </c>
      <c r="H552" s="742">
        <v>288389</v>
      </c>
      <c r="I552" s="13"/>
      <c r="J552" s="857"/>
    </row>
    <row r="553" spans="1:10" x14ac:dyDescent="0.35">
      <c r="A553" s="37" t="s">
        <v>1045</v>
      </c>
      <c r="B553" s="31" t="s">
        <v>1046</v>
      </c>
      <c r="C553" s="31" t="s">
        <v>1092</v>
      </c>
      <c r="D553" s="528"/>
      <c r="E553" s="42"/>
      <c r="F553" s="780">
        <v>1.1208199999999999</v>
      </c>
      <c r="G553" s="741">
        <v>1290697</v>
      </c>
      <c r="H553" s="742">
        <v>267764</v>
      </c>
      <c r="I553" s="13"/>
      <c r="J553" s="857"/>
    </row>
    <row r="554" spans="1:10" x14ac:dyDescent="0.35">
      <c r="A554" s="37" t="s">
        <v>1232</v>
      </c>
      <c r="B554" s="31" t="s">
        <v>1185</v>
      </c>
      <c r="C554" s="31" t="s">
        <v>4</v>
      </c>
      <c r="D554" s="528"/>
      <c r="E554" s="42"/>
      <c r="F554" s="780">
        <v>5.57395</v>
      </c>
      <c r="G554" s="774">
        <v>8946234</v>
      </c>
      <c r="H554" s="742">
        <v>275419</v>
      </c>
      <c r="I554" s="13"/>
      <c r="J554" s="857"/>
    </row>
    <row r="555" spans="1:10" x14ac:dyDescent="0.35">
      <c r="A555" s="37"/>
      <c r="B555" s="31"/>
      <c r="C555" s="31"/>
      <c r="D555" s="528"/>
      <c r="E555" s="42"/>
      <c r="F555" s="780"/>
      <c r="G555" s="749"/>
      <c r="H555" s="742"/>
      <c r="I555" s="13"/>
      <c r="J555" s="857"/>
    </row>
    <row r="556" spans="1:10" x14ac:dyDescent="0.35">
      <c r="A556" s="37"/>
      <c r="B556" s="31"/>
      <c r="C556" s="31"/>
      <c r="D556" s="528"/>
      <c r="E556" s="42"/>
      <c r="F556" s="780"/>
      <c r="G556" s="749"/>
      <c r="H556" s="742"/>
      <c r="I556" s="13"/>
      <c r="J556" s="857"/>
    </row>
    <row r="557" spans="1:10" x14ac:dyDescent="0.35">
      <c r="A557" s="37"/>
      <c r="B557" s="31"/>
      <c r="C557" s="31"/>
      <c r="D557" s="528"/>
      <c r="E557" s="42"/>
      <c r="F557" s="780"/>
      <c r="G557" s="749"/>
      <c r="H557" s="742"/>
      <c r="I557" s="13"/>
      <c r="J557" s="857"/>
    </row>
    <row r="558" spans="1:10" x14ac:dyDescent="0.35">
      <c r="A558" s="37"/>
      <c r="B558" s="31"/>
      <c r="C558" s="31"/>
      <c r="D558" s="528"/>
      <c r="E558" s="42"/>
      <c r="F558" s="780"/>
      <c r="G558" s="749"/>
      <c r="H558" s="742"/>
      <c r="I558" s="13"/>
      <c r="J558" s="857"/>
    </row>
    <row r="559" spans="1:10" x14ac:dyDescent="0.35">
      <c r="A559" s="45"/>
      <c r="B559" s="31"/>
      <c r="C559" s="31"/>
      <c r="D559" s="528"/>
      <c r="E559" s="42"/>
      <c r="F559" s="780"/>
      <c r="G559" s="749"/>
      <c r="H559" s="742"/>
      <c r="I559" s="13"/>
      <c r="J559" s="857"/>
    </row>
    <row r="560" spans="1:10" x14ac:dyDescent="0.35">
      <c r="A560" s="37"/>
      <c r="B560" s="31"/>
      <c r="C560" s="31"/>
      <c r="D560" s="528"/>
      <c r="E560" s="42"/>
      <c r="F560" s="780"/>
      <c r="G560" s="749"/>
      <c r="H560" s="742"/>
      <c r="I560" s="13"/>
      <c r="J560" s="857"/>
    </row>
    <row r="561" spans="1:10" x14ac:dyDescent="0.35">
      <c r="A561" s="37"/>
      <c r="B561" s="31"/>
      <c r="C561" s="31"/>
      <c r="D561" s="528"/>
      <c r="E561" s="42"/>
      <c r="F561" s="780"/>
      <c r="G561" s="749"/>
      <c r="H561" s="742"/>
      <c r="I561" s="13"/>
      <c r="J561" s="857"/>
    </row>
    <row r="562" spans="1:10" x14ac:dyDescent="0.35">
      <c r="A562" s="37"/>
      <c r="B562" s="31"/>
      <c r="C562" s="31"/>
      <c r="D562" s="528"/>
      <c r="E562" s="42"/>
      <c r="F562" s="780"/>
      <c r="G562" s="749"/>
      <c r="H562" s="742"/>
      <c r="I562" s="13"/>
      <c r="J562" s="857"/>
    </row>
    <row r="563" spans="1:10" x14ac:dyDescent="0.35">
      <c r="A563" s="37"/>
      <c r="B563" s="31"/>
      <c r="C563" s="31"/>
      <c r="D563" s="528"/>
      <c r="E563" s="42"/>
      <c r="F563" s="780"/>
      <c r="G563" s="749"/>
      <c r="H563" s="742"/>
      <c r="I563" s="13"/>
      <c r="J563" s="857"/>
    </row>
    <row r="564" spans="1:10" x14ac:dyDescent="0.35">
      <c r="A564" s="37"/>
      <c r="B564" s="31"/>
      <c r="C564" s="31"/>
      <c r="D564" s="528"/>
      <c r="E564" s="42"/>
      <c r="F564" s="780"/>
      <c r="G564" s="749"/>
      <c r="H564" s="742"/>
      <c r="I564" s="13"/>
      <c r="J564" s="857"/>
    </row>
    <row r="565" spans="1:10" x14ac:dyDescent="0.35">
      <c r="A565" s="37"/>
      <c r="B565" s="31"/>
      <c r="C565" s="31"/>
      <c r="D565" s="528"/>
      <c r="E565" s="42"/>
      <c r="F565" s="780"/>
      <c r="G565" s="749"/>
      <c r="H565" s="742"/>
      <c r="I565" s="13"/>
      <c r="J565" s="857"/>
    </row>
    <row r="566" spans="1:10" x14ac:dyDescent="0.35">
      <c r="A566" s="38" t="s">
        <v>90</v>
      </c>
      <c r="B566" s="31"/>
      <c r="C566" s="31"/>
      <c r="D566" s="528"/>
      <c r="E566" s="42"/>
      <c r="F566" s="780"/>
      <c r="G566" s="749"/>
      <c r="H566" s="742"/>
      <c r="I566" s="13"/>
      <c r="J566" s="857"/>
    </row>
    <row r="567" spans="1:10" x14ac:dyDescent="0.35">
      <c r="A567" s="41" t="s">
        <v>256</v>
      </c>
      <c r="B567" s="31" t="s">
        <v>257</v>
      </c>
      <c r="C567" s="31" t="s">
        <v>252</v>
      </c>
      <c r="D567" s="528"/>
      <c r="E567" s="40"/>
      <c r="F567" s="780">
        <v>0.69091000000000002</v>
      </c>
      <c r="G567" s="775">
        <v>7834990</v>
      </c>
      <c r="H567" s="742">
        <v>99131</v>
      </c>
      <c r="I567" s="13"/>
      <c r="J567" s="857"/>
    </row>
    <row r="568" spans="1:10" x14ac:dyDescent="0.35">
      <c r="A568" s="41" t="s">
        <v>258</v>
      </c>
      <c r="B568" s="31" t="s">
        <v>259</v>
      </c>
      <c r="C568" s="31" t="s">
        <v>252</v>
      </c>
      <c r="D568" s="528"/>
      <c r="E568" s="40"/>
      <c r="F568" s="780">
        <v>0.62067000000000005</v>
      </c>
      <c r="G568" s="775">
        <v>7402930</v>
      </c>
      <c r="H568" s="742">
        <v>99120</v>
      </c>
      <c r="I568" s="13"/>
      <c r="J568" s="857"/>
    </row>
    <row r="569" spans="1:10" x14ac:dyDescent="0.35">
      <c r="A569" s="41" t="s">
        <v>260</v>
      </c>
      <c r="B569" s="31" t="s">
        <v>261</v>
      </c>
      <c r="C569" s="31" t="s">
        <v>252</v>
      </c>
      <c r="D569" s="528"/>
      <c r="E569" s="40"/>
      <c r="F569" s="780">
        <v>67.216899999999995</v>
      </c>
      <c r="G569" s="775">
        <v>1195106</v>
      </c>
      <c r="H569" s="742">
        <v>99100</v>
      </c>
      <c r="I569" s="13"/>
      <c r="J569" s="857"/>
    </row>
    <row r="570" spans="1:10" x14ac:dyDescent="0.35">
      <c r="A570" s="41" t="s">
        <v>262</v>
      </c>
      <c r="B570" s="31" t="s">
        <v>36</v>
      </c>
      <c r="C570" s="31" t="s">
        <v>252</v>
      </c>
      <c r="D570" s="528"/>
      <c r="E570" s="40"/>
      <c r="F570" s="780">
        <v>3.29522</v>
      </c>
      <c r="G570" s="775">
        <v>3061821</v>
      </c>
      <c r="H570" s="742">
        <v>99101</v>
      </c>
      <c r="I570" s="13"/>
      <c r="J570" s="857"/>
    </row>
    <row r="571" spans="1:10" x14ac:dyDescent="0.35">
      <c r="A571" s="41" t="s">
        <v>263</v>
      </c>
      <c r="B571" s="31" t="s">
        <v>37</v>
      </c>
      <c r="C571" s="31" t="s">
        <v>252</v>
      </c>
      <c r="D571" s="528"/>
      <c r="E571" s="40"/>
      <c r="F571" s="780">
        <v>4.1090900000000001</v>
      </c>
      <c r="G571" s="775">
        <v>9879558</v>
      </c>
      <c r="H571" s="742">
        <v>99102</v>
      </c>
      <c r="I571" s="13"/>
      <c r="J571" s="857"/>
    </row>
    <row r="572" spans="1:10" x14ac:dyDescent="0.35">
      <c r="A572" s="41" t="s">
        <v>264</v>
      </c>
      <c r="B572" s="31" t="s">
        <v>38</v>
      </c>
      <c r="C572" s="31" t="s">
        <v>252</v>
      </c>
      <c r="D572" s="528"/>
      <c r="E572" s="40"/>
      <c r="F572" s="780">
        <v>6.7205599999999999</v>
      </c>
      <c r="G572" s="775">
        <v>4805174</v>
      </c>
      <c r="H572" s="742">
        <v>99103</v>
      </c>
      <c r="I572" s="13"/>
      <c r="J572" s="857"/>
    </row>
    <row r="573" spans="1:10" x14ac:dyDescent="0.35">
      <c r="A573" s="41" t="s">
        <v>265</v>
      </c>
      <c r="B573" s="31" t="s">
        <v>39</v>
      </c>
      <c r="C573" s="31" t="s">
        <v>252</v>
      </c>
      <c r="D573" s="528"/>
      <c r="E573" s="40"/>
      <c r="F573" s="780">
        <v>13.40591</v>
      </c>
      <c r="G573" s="775">
        <v>1640683</v>
      </c>
      <c r="H573" s="742">
        <v>99104</v>
      </c>
      <c r="I573" s="13"/>
      <c r="J573" s="857"/>
    </row>
    <row r="574" spans="1:10" x14ac:dyDescent="0.35">
      <c r="A574" s="41" t="s">
        <v>299</v>
      </c>
      <c r="B574" s="31" t="s">
        <v>300</v>
      </c>
      <c r="C574" s="31" t="s">
        <v>252</v>
      </c>
      <c r="D574" s="528"/>
      <c r="E574" s="42"/>
      <c r="F574" s="780">
        <v>18.91206</v>
      </c>
      <c r="G574" s="775">
        <v>8010962</v>
      </c>
      <c r="H574" s="742">
        <v>99127</v>
      </c>
      <c r="I574" s="13"/>
      <c r="J574" s="857"/>
    </row>
    <row r="575" spans="1:10" x14ac:dyDescent="0.35">
      <c r="A575" s="41" t="s">
        <v>266</v>
      </c>
      <c r="B575" s="31" t="s">
        <v>267</v>
      </c>
      <c r="C575" s="31" t="s">
        <v>268</v>
      </c>
      <c r="D575" s="528"/>
      <c r="E575" s="40"/>
      <c r="F575" s="780">
        <v>0.75663000000000002</v>
      </c>
      <c r="G575" s="775">
        <v>7283231</v>
      </c>
      <c r="H575" s="742">
        <v>99105</v>
      </c>
      <c r="I575" s="13"/>
      <c r="J575" s="857"/>
    </row>
    <row r="576" spans="1:10" x14ac:dyDescent="0.35">
      <c r="A576" s="41" t="s">
        <v>269</v>
      </c>
      <c r="B576" s="31" t="s">
        <v>270</v>
      </c>
      <c r="C576" s="31" t="s">
        <v>271</v>
      </c>
      <c r="D576" s="528"/>
      <c r="E576" s="40"/>
      <c r="F576" s="780">
        <v>4.2158600000000002</v>
      </c>
      <c r="G576" s="775">
        <v>7288466</v>
      </c>
      <c r="H576" s="742">
        <v>99106</v>
      </c>
      <c r="I576" s="13"/>
      <c r="J576" s="857"/>
    </row>
    <row r="577" spans="1:10" x14ac:dyDescent="0.35">
      <c r="A577" s="41" t="s">
        <v>42</v>
      </c>
      <c r="B577" s="31" t="s">
        <v>43</v>
      </c>
      <c r="C577" s="31" t="s">
        <v>271</v>
      </c>
      <c r="D577" s="528"/>
      <c r="E577" s="40"/>
      <c r="F577" s="780">
        <v>5.8548999999999998</v>
      </c>
      <c r="G577" s="775">
        <v>8013626</v>
      </c>
      <c r="H577" s="742">
        <v>246077</v>
      </c>
      <c r="I577" s="13"/>
      <c r="J577" s="857"/>
    </row>
    <row r="578" spans="1:10" x14ac:dyDescent="0.35">
      <c r="A578" s="41" t="s">
        <v>272</v>
      </c>
      <c r="B578" s="31" t="s">
        <v>273</v>
      </c>
      <c r="C578" s="31" t="s">
        <v>271</v>
      </c>
      <c r="D578" s="528"/>
      <c r="E578" s="40"/>
      <c r="F578" s="780">
        <v>9.0636899999999994</v>
      </c>
      <c r="G578" s="775">
        <v>7288546</v>
      </c>
      <c r="H578" s="742">
        <v>99128</v>
      </c>
      <c r="I578" s="13"/>
      <c r="J578" s="857"/>
    </row>
    <row r="579" spans="1:10" x14ac:dyDescent="0.35">
      <c r="A579" s="41" t="s">
        <v>274</v>
      </c>
      <c r="B579" s="31" t="s">
        <v>275</v>
      </c>
      <c r="C579" s="31" t="s">
        <v>271</v>
      </c>
      <c r="D579" s="528"/>
      <c r="E579" s="40"/>
      <c r="F579" s="780">
        <v>10.234780000000001</v>
      </c>
      <c r="G579" s="775">
        <v>7361306</v>
      </c>
      <c r="H579" s="742">
        <v>99118</v>
      </c>
      <c r="I579" s="13"/>
      <c r="J579" s="857"/>
    </row>
    <row r="580" spans="1:10" x14ac:dyDescent="0.35">
      <c r="A580" s="41" t="s">
        <v>276</v>
      </c>
      <c r="B580" s="31" t="s">
        <v>277</v>
      </c>
      <c r="C580" s="31" t="s">
        <v>254</v>
      </c>
      <c r="D580" s="528"/>
      <c r="E580" s="40"/>
      <c r="F580" s="780">
        <v>26.267219999999998</v>
      </c>
      <c r="G580" s="775">
        <v>7550294</v>
      </c>
      <c r="H580" s="742">
        <v>99107</v>
      </c>
      <c r="I580" s="13"/>
      <c r="J580" s="857"/>
    </row>
    <row r="581" spans="1:10" x14ac:dyDescent="0.35">
      <c r="A581" s="41" t="s">
        <v>278</v>
      </c>
      <c r="B581" s="31" t="s">
        <v>279</v>
      </c>
      <c r="C581" s="31" t="s">
        <v>254</v>
      </c>
      <c r="D581" s="528"/>
      <c r="E581" s="40"/>
      <c r="F581" s="780">
        <v>6.3704900000000002</v>
      </c>
      <c r="G581" s="775">
        <v>7205784</v>
      </c>
      <c r="H581" s="742">
        <v>99108</v>
      </c>
      <c r="I581" s="13"/>
      <c r="J581" s="857"/>
    </row>
    <row r="582" spans="1:10" x14ac:dyDescent="0.35">
      <c r="A582" s="41" t="s">
        <v>280</v>
      </c>
      <c r="B582" s="31" t="s">
        <v>281</v>
      </c>
      <c r="C582" s="31" t="s">
        <v>254</v>
      </c>
      <c r="D582" s="528"/>
      <c r="E582" s="40"/>
      <c r="F582" s="780">
        <v>96.961060000000003</v>
      </c>
      <c r="G582" s="775">
        <v>6960549</v>
      </c>
      <c r="H582" s="742">
        <v>129576</v>
      </c>
      <c r="I582" s="13"/>
      <c r="J582" s="857"/>
    </row>
    <row r="583" spans="1:10" x14ac:dyDescent="0.35">
      <c r="A583" s="41" t="s">
        <v>40</v>
      </c>
      <c r="B583" s="31" t="s">
        <v>282</v>
      </c>
      <c r="C583" s="31" t="s">
        <v>252</v>
      </c>
      <c r="D583" s="528"/>
      <c r="E583" s="40"/>
      <c r="F583" s="780">
        <v>6.5576699999999999</v>
      </c>
      <c r="G583" s="775">
        <v>7282180</v>
      </c>
      <c r="H583" s="742">
        <v>991110</v>
      </c>
      <c r="I583" s="13"/>
      <c r="J583" s="857"/>
    </row>
    <row r="584" spans="1:10" x14ac:dyDescent="0.35">
      <c r="A584" s="41" t="s">
        <v>41</v>
      </c>
      <c r="B584" s="31" t="s">
        <v>283</v>
      </c>
      <c r="C584" s="31" t="s">
        <v>284</v>
      </c>
      <c r="D584" s="528"/>
      <c r="E584" s="40"/>
      <c r="F584" s="780">
        <v>3.5366300000000002</v>
      </c>
      <c r="G584" s="775">
        <v>9327076</v>
      </c>
      <c r="H584" s="742">
        <v>131344</v>
      </c>
      <c r="I584" s="13"/>
      <c r="J584" s="857"/>
    </row>
    <row r="585" spans="1:10" x14ac:dyDescent="0.35">
      <c r="A585" s="41" t="s">
        <v>285</v>
      </c>
      <c r="B585" s="31" t="s">
        <v>286</v>
      </c>
      <c r="C585" s="31" t="s">
        <v>254</v>
      </c>
      <c r="D585" s="528"/>
      <c r="E585" s="40"/>
      <c r="F585" s="780">
        <v>6.2567500000000003</v>
      </c>
      <c r="G585" s="775">
        <v>8820285</v>
      </c>
      <c r="H585" s="742">
        <v>132954</v>
      </c>
      <c r="I585" s="13"/>
      <c r="J585" s="857"/>
    </row>
    <row r="586" spans="1:10" x14ac:dyDescent="0.35">
      <c r="A586" s="41" t="s">
        <v>329</v>
      </c>
      <c r="B586" s="31" t="s">
        <v>288</v>
      </c>
      <c r="C586" s="31" t="s">
        <v>287</v>
      </c>
      <c r="D586" s="528"/>
      <c r="E586" s="40"/>
      <c r="F586" s="780">
        <v>34.334380000000003</v>
      </c>
      <c r="G586" s="775">
        <v>7716441</v>
      </c>
      <c r="H586" s="742">
        <v>99125</v>
      </c>
      <c r="I586" s="13"/>
      <c r="J586" s="857"/>
    </row>
    <row r="587" spans="1:10" x14ac:dyDescent="0.35">
      <c r="A587" s="41" t="s">
        <v>330</v>
      </c>
      <c r="B587" s="31" t="s">
        <v>289</v>
      </c>
      <c r="C587" s="31" t="s">
        <v>287</v>
      </c>
      <c r="D587" s="528"/>
      <c r="E587" s="40"/>
      <c r="F587" s="780">
        <v>37.613590000000002</v>
      </c>
      <c r="G587" s="775">
        <v>7466401</v>
      </c>
      <c r="H587" s="742">
        <v>99115</v>
      </c>
      <c r="I587" s="13"/>
      <c r="J587" s="857"/>
    </row>
    <row r="588" spans="1:10" x14ac:dyDescent="0.35">
      <c r="A588" s="41" t="s">
        <v>290</v>
      </c>
      <c r="B588" s="31" t="s">
        <v>291</v>
      </c>
      <c r="C588" s="31" t="s">
        <v>287</v>
      </c>
      <c r="D588" s="528"/>
      <c r="E588" s="40"/>
      <c r="F588" s="780">
        <v>40.049750000000003</v>
      </c>
      <c r="G588" s="775">
        <v>7287731</v>
      </c>
      <c r="H588" s="742">
        <v>99116</v>
      </c>
      <c r="I588" s="13"/>
      <c r="J588" s="857"/>
    </row>
    <row r="589" spans="1:10" x14ac:dyDescent="0.35">
      <c r="A589" s="41" t="s">
        <v>292</v>
      </c>
      <c r="B589" s="650" t="s">
        <v>293</v>
      </c>
      <c r="C589" s="650" t="s">
        <v>252</v>
      </c>
      <c r="D589" s="651"/>
      <c r="E589" s="40"/>
      <c r="F589" s="780">
        <v>2.8103199999999999</v>
      </c>
      <c r="G589" s="775">
        <v>7472980</v>
      </c>
      <c r="H589" s="742">
        <v>99126</v>
      </c>
      <c r="I589" s="13"/>
      <c r="J589" s="857"/>
    </row>
    <row r="590" spans="1:10" x14ac:dyDescent="0.35">
      <c r="A590" s="43" t="s">
        <v>294</v>
      </c>
      <c r="B590" s="31" t="s">
        <v>295</v>
      </c>
      <c r="C590" s="31" t="s">
        <v>287</v>
      </c>
      <c r="D590" s="528"/>
      <c r="E590" s="40"/>
      <c r="F590" s="780">
        <v>16.558009999999999</v>
      </c>
      <c r="G590" s="775">
        <v>7922191</v>
      </c>
      <c r="H590" s="742">
        <v>99124</v>
      </c>
      <c r="I590" s="13"/>
      <c r="J590" s="857"/>
    </row>
    <row r="591" spans="1:10" x14ac:dyDescent="0.35">
      <c r="A591" s="43" t="s">
        <v>296</v>
      </c>
      <c r="B591" s="31" t="s">
        <v>297</v>
      </c>
      <c r="C591" s="31" t="s">
        <v>252</v>
      </c>
      <c r="D591" s="528"/>
      <c r="E591" s="40"/>
      <c r="F591" s="780">
        <v>5.1992099999999999</v>
      </c>
      <c r="G591" s="775">
        <v>7867370</v>
      </c>
      <c r="H591" s="742">
        <v>99123</v>
      </c>
      <c r="I591" s="13"/>
      <c r="J591" s="857"/>
    </row>
    <row r="592" spans="1:10" x14ac:dyDescent="0.35">
      <c r="A592" s="43" t="s">
        <v>44</v>
      </c>
      <c r="B592" s="31" t="s">
        <v>45</v>
      </c>
      <c r="C592" s="31" t="s">
        <v>254</v>
      </c>
      <c r="D592" s="528"/>
      <c r="E592" s="40"/>
      <c r="F592" s="780">
        <v>110.51904999999999</v>
      </c>
      <c r="G592" s="775">
        <v>5202593</v>
      </c>
      <c r="H592" s="742">
        <v>159530</v>
      </c>
      <c r="I592" s="13"/>
      <c r="J592" s="857"/>
    </row>
    <row r="593" spans="1:10" x14ac:dyDescent="0.35">
      <c r="A593" s="41" t="s">
        <v>298</v>
      </c>
      <c r="B593" s="31" t="s">
        <v>64</v>
      </c>
      <c r="C593" s="31" t="s">
        <v>252</v>
      </c>
      <c r="D593" s="528"/>
      <c r="E593" s="40"/>
      <c r="F593" s="780">
        <v>132.19479999999999</v>
      </c>
      <c r="G593" s="775">
        <v>9820785</v>
      </c>
      <c r="H593" s="742">
        <v>130787</v>
      </c>
      <c r="I593" s="13"/>
      <c r="J593" s="857"/>
    </row>
    <row r="594" spans="1:10" x14ac:dyDescent="0.35">
      <c r="A594" s="37" t="s">
        <v>1124</v>
      </c>
      <c r="B594" s="31" t="s">
        <v>1125</v>
      </c>
      <c r="C594" s="31" t="s">
        <v>1126</v>
      </c>
      <c r="D594" s="528"/>
      <c r="E594" s="649"/>
      <c r="F594" s="780">
        <v>156.82427999999999</v>
      </c>
      <c r="G594" s="741">
        <v>4784397</v>
      </c>
      <c r="H594" s="742">
        <v>265145</v>
      </c>
      <c r="I594" s="13"/>
      <c r="J594" s="857"/>
    </row>
    <row r="595" spans="1:10" x14ac:dyDescent="0.35">
      <c r="A595" s="37" t="s">
        <v>1128</v>
      </c>
      <c r="B595" s="31" t="s">
        <v>1127</v>
      </c>
      <c r="C595" s="31" t="s">
        <v>1126</v>
      </c>
      <c r="D595" s="528"/>
      <c r="E595" s="40"/>
      <c r="F595" s="780">
        <v>61.456240000000001</v>
      </c>
      <c r="G595" s="741">
        <v>1120793</v>
      </c>
      <c r="H595" s="742">
        <v>265355</v>
      </c>
      <c r="I595" s="13"/>
      <c r="J595" s="857"/>
    </row>
    <row r="596" spans="1:10" x14ac:dyDescent="0.35">
      <c r="A596" s="574" t="s">
        <v>1176</v>
      </c>
      <c r="B596" s="31" t="s">
        <v>1129</v>
      </c>
      <c r="C596" s="31" t="s">
        <v>1131</v>
      </c>
      <c r="D596" s="528"/>
      <c r="E596" s="40"/>
      <c r="F596" s="780">
        <v>29.275839999999999</v>
      </c>
      <c r="G596" s="741">
        <v>8978398</v>
      </c>
      <c r="H596" s="742">
        <v>123015</v>
      </c>
      <c r="I596" s="13"/>
      <c r="J596" s="857"/>
    </row>
    <row r="597" spans="1:10" x14ac:dyDescent="0.35">
      <c r="A597" s="574" t="s">
        <v>1175</v>
      </c>
      <c r="B597" s="31" t="s">
        <v>1129</v>
      </c>
      <c r="C597" s="31" t="s">
        <v>1130</v>
      </c>
      <c r="D597" s="528"/>
      <c r="E597" s="40"/>
      <c r="F597" s="780">
        <v>30.447120000000002</v>
      </c>
      <c r="G597" s="776">
        <v>8978392</v>
      </c>
      <c r="H597" s="742">
        <v>123016</v>
      </c>
      <c r="I597" s="13"/>
      <c r="J597" s="857"/>
    </row>
    <row r="598" spans="1:10" x14ac:dyDescent="0.35">
      <c r="A598" s="574"/>
      <c r="B598" s="31"/>
      <c r="C598" s="31"/>
      <c r="D598" s="528"/>
      <c r="E598" s="40"/>
      <c r="F598" s="780"/>
      <c r="G598" s="680"/>
      <c r="H598" s="742"/>
      <c r="I598" s="13"/>
      <c r="J598" s="857"/>
    </row>
    <row r="599" spans="1:10" x14ac:dyDescent="0.35">
      <c r="A599" s="652" t="s">
        <v>1165</v>
      </c>
      <c r="B599" s="653" t="s">
        <v>1164</v>
      </c>
      <c r="C599" s="653" t="s">
        <v>1163</v>
      </c>
      <c r="D599" s="654" t="s">
        <v>936</v>
      </c>
      <c r="E599" s="655"/>
      <c r="F599" s="780">
        <v>5.2473000000000001</v>
      </c>
      <c r="G599" s="777">
        <v>4340633</v>
      </c>
      <c r="H599" s="742">
        <v>304165</v>
      </c>
      <c r="I599" s="13"/>
      <c r="J599" s="857"/>
    </row>
    <row r="600" spans="1:10" x14ac:dyDescent="0.35">
      <c r="A600" s="33"/>
      <c r="B600" s="34"/>
      <c r="C600" s="34"/>
      <c r="D600" s="529"/>
      <c r="E600" s="40"/>
      <c r="F600" s="780"/>
      <c r="G600" s="749"/>
      <c r="H600" s="742"/>
      <c r="I600" s="13"/>
      <c r="J600" s="857"/>
    </row>
    <row r="601" spans="1:10" x14ac:dyDescent="0.35">
      <c r="A601" s="37"/>
      <c r="B601" s="31"/>
      <c r="C601" s="31"/>
      <c r="D601" s="528"/>
      <c r="E601" s="42"/>
      <c r="F601" s="780"/>
      <c r="G601" s="749"/>
      <c r="H601" s="742"/>
      <c r="I601" s="13"/>
      <c r="J601" s="857"/>
    </row>
    <row r="602" spans="1:10" x14ac:dyDescent="0.35">
      <c r="A602" s="46"/>
      <c r="B602" s="31"/>
      <c r="C602" s="31"/>
      <c r="D602" s="528"/>
      <c r="E602" s="42"/>
      <c r="F602" s="780"/>
      <c r="G602" s="749"/>
      <c r="H602" s="742"/>
      <c r="I602" s="13"/>
      <c r="J602" s="857"/>
    </row>
    <row r="603" spans="1:10" x14ac:dyDescent="0.35">
      <c r="A603" s="38" t="s">
        <v>91</v>
      </c>
      <c r="B603" s="31"/>
      <c r="C603" s="31"/>
      <c r="D603" s="528"/>
      <c r="E603" s="42"/>
      <c r="F603" s="780"/>
      <c r="G603" s="749"/>
      <c r="H603" s="742"/>
      <c r="I603" s="13"/>
      <c r="J603" s="857"/>
    </row>
    <row r="604" spans="1:10" x14ac:dyDescent="0.35">
      <c r="A604" s="37"/>
      <c r="B604" s="31"/>
      <c r="C604" s="31"/>
      <c r="D604" s="528"/>
      <c r="E604" s="42"/>
      <c r="F604" s="780"/>
      <c r="G604" s="750"/>
      <c r="H604" s="742"/>
      <c r="I604" s="13"/>
      <c r="J604" s="857"/>
    </row>
    <row r="605" spans="1:10" x14ac:dyDescent="0.35">
      <c r="A605" s="37"/>
      <c r="B605" s="31"/>
      <c r="C605" s="31"/>
      <c r="D605" s="528"/>
      <c r="E605" s="42"/>
      <c r="F605" s="780"/>
      <c r="G605" s="750"/>
      <c r="H605" s="742"/>
      <c r="I605" s="13"/>
      <c r="J605" s="857"/>
    </row>
    <row r="606" spans="1:10" x14ac:dyDescent="0.35">
      <c r="A606" s="37"/>
      <c r="B606" s="31"/>
      <c r="C606" s="31"/>
      <c r="D606" s="528"/>
      <c r="E606" s="42"/>
      <c r="F606" s="780"/>
      <c r="G606" s="749"/>
      <c r="H606" s="742"/>
      <c r="I606" s="13"/>
      <c r="J606" s="857"/>
    </row>
    <row r="607" spans="1:10" x14ac:dyDescent="0.35">
      <c r="A607" s="37"/>
      <c r="B607" s="31"/>
      <c r="C607" s="31"/>
      <c r="D607" s="528"/>
      <c r="E607" s="42"/>
      <c r="F607" s="780"/>
      <c r="G607" s="749"/>
      <c r="H607" s="742"/>
      <c r="I607" s="13"/>
      <c r="J607" s="857"/>
    </row>
    <row r="608" spans="1:10" x14ac:dyDescent="0.35">
      <c r="A608" s="37"/>
      <c r="B608" s="31"/>
      <c r="C608" s="31"/>
      <c r="D608" s="528"/>
      <c r="E608" s="42"/>
      <c r="F608" s="780"/>
      <c r="G608" s="749"/>
      <c r="H608" s="742"/>
      <c r="I608" s="13"/>
      <c r="J608" s="857"/>
    </row>
    <row r="609" spans="1:10" x14ac:dyDescent="0.35">
      <c r="A609" s="37"/>
      <c r="B609" s="31"/>
      <c r="C609" s="31"/>
      <c r="D609" s="528"/>
      <c r="E609" s="42"/>
      <c r="F609" s="780"/>
      <c r="G609" s="749"/>
      <c r="H609" s="742"/>
      <c r="I609" s="13"/>
      <c r="J609" s="857"/>
    </row>
    <row r="610" spans="1:10" x14ac:dyDescent="0.35">
      <c r="A610" s="37"/>
      <c r="B610" s="31"/>
      <c r="C610" s="31"/>
      <c r="D610" s="528"/>
      <c r="E610" s="42"/>
      <c r="F610" s="780"/>
      <c r="G610" s="749"/>
      <c r="H610" s="742"/>
      <c r="I610" s="13"/>
      <c r="J610" s="857"/>
    </row>
    <row r="611" spans="1:10" x14ac:dyDescent="0.35">
      <c r="A611" s="37"/>
      <c r="B611" s="31"/>
      <c r="C611" s="31"/>
      <c r="D611" s="528"/>
      <c r="E611" s="42"/>
      <c r="F611" s="780"/>
      <c r="G611" s="749"/>
      <c r="H611" s="742"/>
      <c r="I611" s="13"/>
      <c r="J611" s="857"/>
    </row>
    <row r="612" spans="1:10" x14ac:dyDescent="0.35">
      <c r="A612" s="37"/>
      <c r="B612" s="31"/>
      <c r="C612" s="31"/>
      <c r="D612" s="528"/>
      <c r="E612" s="42"/>
      <c r="F612" s="780"/>
      <c r="G612" s="749"/>
      <c r="H612" s="742"/>
      <c r="I612" s="13"/>
      <c r="J612" s="857"/>
    </row>
    <row r="613" spans="1:10" x14ac:dyDescent="0.35">
      <c r="A613" s="37"/>
      <c r="B613" s="31"/>
      <c r="C613" s="31"/>
      <c r="D613" s="528"/>
      <c r="E613" s="42"/>
      <c r="F613" s="780"/>
      <c r="G613" s="749"/>
      <c r="H613" s="742"/>
      <c r="I613" s="13"/>
      <c r="J613" s="857"/>
    </row>
    <row r="614" spans="1:10" x14ac:dyDescent="0.35">
      <c r="A614" s="43"/>
      <c r="B614" s="31"/>
      <c r="C614" s="31"/>
      <c r="D614" s="528"/>
      <c r="E614" s="42"/>
      <c r="F614" s="780"/>
      <c r="G614" s="749"/>
      <c r="H614" s="742"/>
      <c r="I614" s="13"/>
      <c r="J614" s="857"/>
    </row>
    <row r="615" spans="1:10" x14ac:dyDescent="0.35">
      <c r="A615" s="43"/>
      <c r="B615" s="31"/>
      <c r="C615" s="31"/>
      <c r="D615" s="528"/>
      <c r="E615" s="42"/>
      <c r="F615" s="780"/>
      <c r="G615" s="749"/>
      <c r="H615" s="742"/>
      <c r="I615" s="13"/>
      <c r="J615" s="857"/>
    </row>
    <row r="616" spans="1:10" x14ac:dyDescent="0.35">
      <c r="A616" s="43"/>
      <c r="B616" s="31"/>
      <c r="C616" s="31"/>
      <c r="D616" s="528"/>
      <c r="E616" s="42"/>
      <c r="F616" s="780"/>
      <c r="G616" s="749"/>
      <c r="H616" s="742"/>
      <c r="I616" s="13"/>
      <c r="J616" s="857"/>
    </row>
    <row r="617" spans="1:10" x14ac:dyDescent="0.35">
      <c r="A617" s="47"/>
      <c r="B617" s="31"/>
      <c r="C617" s="31"/>
      <c r="D617" s="528"/>
      <c r="E617" s="42"/>
      <c r="F617" s="780"/>
      <c r="G617" s="749"/>
      <c r="H617" s="742"/>
      <c r="I617" s="13"/>
      <c r="J617" s="857"/>
    </row>
    <row r="618" spans="1:10" x14ac:dyDescent="0.35">
      <c r="A618" s="48"/>
      <c r="B618" s="31"/>
      <c r="C618" s="31"/>
      <c r="D618" s="528"/>
      <c r="E618" s="42"/>
      <c r="F618" s="780"/>
      <c r="G618" s="749"/>
      <c r="H618" s="742"/>
      <c r="I618" s="13"/>
      <c r="J618" s="857"/>
    </row>
    <row r="619" spans="1:10" x14ac:dyDescent="0.35">
      <c r="A619" s="38" t="s">
        <v>92</v>
      </c>
      <c r="B619" s="31"/>
      <c r="C619" s="31"/>
      <c r="D619" s="528"/>
      <c r="E619" s="42"/>
      <c r="F619" s="780"/>
      <c r="G619" s="749"/>
      <c r="H619" s="742"/>
      <c r="I619" s="13"/>
      <c r="J619" s="857"/>
    </row>
    <row r="620" spans="1:10" x14ac:dyDescent="0.35">
      <c r="A620" s="37" t="s">
        <v>77</v>
      </c>
      <c r="B620" s="31" t="s">
        <v>305</v>
      </c>
      <c r="C620" s="31" t="s">
        <v>253</v>
      </c>
      <c r="D620" s="528"/>
      <c r="E620" s="42"/>
      <c r="F620" s="780">
        <v>4.4192400000000003</v>
      </c>
      <c r="G620" s="741">
        <v>9064013</v>
      </c>
      <c r="H620" s="742">
        <v>12236</v>
      </c>
      <c r="I620" s="13"/>
      <c r="J620" s="857"/>
    </row>
    <row r="621" spans="1:10" x14ac:dyDescent="0.35">
      <c r="A621" s="37" t="s">
        <v>78</v>
      </c>
      <c r="B621" s="31" t="s">
        <v>74</v>
      </c>
      <c r="C621" s="31" t="s">
        <v>253</v>
      </c>
      <c r="D621" s="528"/>
      <c r="E621" s="42"/>
      <c r="F621" s="780">
        <v>4.42394</v>
      </c>
      <c r="G621" s="741">
        <v>9064323</v>
      </c>
      <c r="H621" s="742">
        <v>179415</v>
      </c>
      <c r="I621" s="13"/>
      <c r="J621" s="857"/>
    </row>
    <row r="622" spans="1:10" x14ac:dyDescent="0.35">
      <c r="A622" s="37" t="s">
        <v>79</v>
      </c>
      <c r="B622" s="31" t="s">
        <v>306</v>
      </c>
      <c r="C622" s="31" t="s">
        <v>253</v>
      </c>
      <c r="D622" s="528"/>
      <c r="E622" s="42"/>
      <c r="F622" s="780">
        <v>4.4192400000000003</v>
      </c>
      <c r="G622" s="741">
        <v>9141613</v>
      </c>
      <c r="H622" s="742">
        <v>12237</v>
      </c>
      <c r="I622" s="13"/>
      <c r="J622" s="857"/>
    </row>
    <row r="623" spans="1:10" x14ac:dyDescent="0.35">
      <c r="A623" s="37" t="s">
        <v>928</v>
      </c>
      <c r="B623" s="31" t="s">
        <v>5</v>
      </c>
      <c r="C623" s="31" t="s">
        <v>253</v>
      </c>
      <c r="D623" s="528"/>
      <c r="E623" s="42"/>
      <c r="F623" s="780">
        <v>6.00969</v>
      </c>
      <c r="G623" s="741">
        <v>8298184</v>
      </c>
      <c r="H623" s="742">
        <v>246059</v>
      </c>
      <c r="I623" s="13"/>
      <c r="J623" s="857"/>
    </row>
    <row r="624" spans="1:10" x14ac:dyDescent="0.35">
      <c r="A624" s="471"/>
      <c r="B624" s="34"/>
      <c r="C624" s="34"/>
      <c r="D624" s="529"/>
      <c r="E624" s="472"/>
      <c r="F624" s="780"/>
      <c r="G624" s="752"/>
      <c r="H624" s="742"/>
      <c r="I624" s="13"/>
      <c r="J624" s="857"/>
    </row>
    <row r="625" spans="1:10" x14ac:dyDescent="0.35">
      <c r="A625" s="37" t="s">
        <v>66</v>
      </c>
      <c r="B625" s="31" t="s">
        <v>307</v>
      </c>
      <c r="C625" s="31" t="s">
        <v>253</v>
      </c>
      <c r="D625" s="528"/>
      <c r="E625" s="42"/>
      <c r="F625" s="780">
        <v>0.18021000000000001</v>
      </c>
      <c r="G625" s="741">
        <v>1925383</v>
      </c>
      <c r="H625" s="742">
        <v>12306</v>
      </c>
      <c r="I625" s="13"/>
      <c r="J625" s="857"/>
    </row>
    <row r="626" spans="1:10" x14ac:dyDescent="0.35">
      <c r="A626" s="37" t="s">
        <v>67</v>
      </c>
      <c r="B626" s="49" t="s">
        <v>75</v>
      </c>
      <c r="C626" s="31" t="s">
        <v>253</v>
      </c>
      <c r="D626" s="528"/>
      <c r="E626" s="42"/>
      <c r="F626" s="780">
        <v>0.2883</v>
      </c>
      <c r="G626" s="741">
        <v>1863003</v>
      </c>
      <c r="H626" s="742">
        <v>12302</v>
      </c>
      <c r="I626" s="13"/>
      <c r="J626" s="857"/>
    </row>
    <row r="627" spans="1:10" x14ac:dyDescent="0.35">
      <c r="A627" s="37" t="s">
        <v>68</v>
      </c>
      <c r="B627" s="31" t="s">
        <v>308</v>
      </c>
      <c r="C627" s="31" t="s">
        <v>253</v>
      </c>
      <c r="D627" s="528"/>
      <c r="E627" s="42"/>
      <c r="F627" s="780">
        <v>0.4849</v>
      </c>
      <c r="G627" s="741">
        <v>2364043</v>
      </c>
      <c r="H627" s="742">
        <v>12340</v>
      </c>
      <c r="I627" s="13"/>
      <c r="J627" s="857"/>
    </row>
    <row r="628" spans="1:10" x14ac:dyDescent="0.35">
      <c r="A628" s="37" t="s">
        <v>69</v>
      </c>
      <c r="B628" s="31" t="s">
        <v>309</v>
      </c>
      <c r="C628" s="31" t="s">
        <v>253</v>
      </c>
      <c r="D628" s="528"/>
      <c r="E628" s="42"/>
      <c r="F628" s="780">
        <v>0.59260999999999997</v>
      </c>
      <c r="G628" s="741">
        <v>2364983</v>
      </c>
      <c r="H628" s="742">
        <v>266981</v>
      </c>
      <c r="I628" s="13"/>
      <c r="J628" s="857"/>
    </row>
    <row r="629" spans="1:10" x14ac:dyDescent="0.35">
      <c r="A629" s="37" t="s">
        <v>70</v>
      </c>
      <c r="B629" s="31" t="s">
        <v>310</v>
      </c>
      <c r="C629" s="31" t="s">
        <v>253</v>
      </c>
      <c r="D629" s="528"/>
      <c r="E629" s="42"/>
      <c r="F629" s="780">
        <v>0.70503000000000005</v>
      </c>
      <c r="G629" s="741">
        <v>8002803</v>
      </c>
      <c r="H629" s="742">
        <v>12323</v>
      </c>
      <c r="I629" s="13"/>
      <c r="J629" s="857"/>
    </row>
    <row r="630" spans="1:10" x14ac:dyDescent="0.35">
      <c r="A630" s="37" t="s">
        <v>71</v>
      </c>
      <c r="B630" s="31" t="s">
        <v>311</v>
      </c>
      <c r="C630" s="31" t="s">
        <v>253</v>
      </c>
      <c r="D630" s="528"/>
      <c r="E630" s="42"/>
      <c r="F630" s="780">
        <v>0.81311999999999995</v>
      </c>
      <c r="G630" s="741">
        <v>8003033</v>
      </c>
      <c r="H630" s="742">
        <v>12326</v>
      </c>
      <c r="I630" s="13"/>
      <c r="J630" s="857"/>
    </row>
    <row r="631" spans="1:10" x14ac:dyDescent="0.35">
      <c r="A631" s="37" t="s">
        <v>859</v>
      </c>
      <c r="B631" s="31" t="s">
        <v>73</v>
      </c>
      <c r="C631" s="31" t="s">
        <v>253</v>
      </c>
      <c r="D631" s="528"/>
      <c r="E631" s="42"/>
      <c r="F631" s="780">
        <v>0.46155000000000002</v>
      </c>
      <c r="G631" s="741">
        <v>1037431</v>
      </c>
      <c r="H631" s="742">
        <v>279798</v>
      </c>
      <c r="I631" s="13"/>
      <c r="J631" s="857"/>
    </row>
    <row r="632" spans="1:10" x14ac:dyDescent="0.35">
      <c r="A632" s="37" t="s">
        <v>860</v>
      </c>
      <c r="B632" s="31" t="s">
        <v>76</v>
      </c>
      <c r="C632" s="31" t="s">
        <v>253</v>
      </c>
      <c r="D632" s="528"/>
      <c r="E632" s="42"/>
      <c r="F632" s="780">
        <v>0.46937000000000001</v>
      </c>
      <c r="G632" s="741">
        <v>3120329</v>
      </c>
      <c r="H632" s="742">
        <v>303889</v>
      </c>
      <c r="I632" s="13"/>
      <c r="J632" s="857"/>
    </row>
    <row r="633" spans="1:10" x14ac:dyDescent="0.35">
      <c r="A633" s="37" t="s">
        <v>1156</v>
      </c>
      <c r="B633" s="31" t="s">
        <v>312</v>
      </c>
      <c r="C633" s="31" t="s">
        <v>253</v>
      </c>
      <c r="D633" s="528"/>
      <c r="E633" s="42"/>
      <c r="F633" s="780">
        <v>1.5222899999999999</v>
      </c>
      <c r="G633" s="741">
        <v>8975943</v>
      </c>
      <c r="H633" s="742">
        <v>12223</v>
      </c>
      <c r="I633" s="13"/>
      <c r="J633" s="857"/>
    </row>
    <row r="634" spans="1:10" x14ac:dyDescent="0.35">
      <c r="A634" s="43" t="s">
        <v>72</v>
      </c>
      <c r="B634" s="31" t="s">
        <v>313</v>
      </c>
      <c r="C634" s="31" t="s">
        <v>253</v>
      </c>
      <c r="D634" s="528"/>
      <c r="E634" s="42"/>
      <c r="F634" s="780">
        <v>2.7470500000000002</v>
      </c>
      <c r="G634" s="741">
        <v>6823663</v>
      </c>
      <c r="H634" s="742">
        <v>12392</v>
      </c>
      <c r="I634" s="13"/>
      <c r="J634" s="857"/>
    </row>
    <row r="635" spans="1:10" x14ac:dyDescent="0.35">
      <c r="A635" s="43" t="s">
        <v>1097</v>
      </c>
      <c r="B635" s="31" t="s">
        <v>1093</v>
      </c>
      <c r="C635" s="31" t="s">
        <v>1096</v>
      </c>
      <c r="D635" s="528"/>
      <c r="E635" s="42"/>
      <c r="F635" s="780">
        <v>4.4877799999999999</v>
      </c>
      <c r="G635" s="741">
        <v>6484096</v>
      </c>
      <c r="H635" s="742">
        <v>250833</v>
      </c>
      <c r="I635" s="13"/>
      <c r="J635" s="857"/>
    </row>
    <row r="636" spans="1:10" x14ac:dyDescent="0.35">
      <c r="A636" s="43" t="s">
        <v>1098</v>
      </c>
      <c r="B636" s="31" t="s">
        <v>1093</v>
      </c>
      <c r="C636" s="31" t="s">
        <v>1094</v>
      </c>
      <c r="D636" s="528"/>
      <c r="E636" s="42"/>
      <c r="F636" s="780">
        <v>4.4877799999999999</v>
      </c>
      <c r="G636" s="741">
        <v>6856758</v>
      </c>
      <c r="H636" s="742">
        <v>250831</v>
      </c>
      <c r="I636" s="13"/>
      <c r="J636" s="857"/>
    </row>
    <row r="637" spans="1:10" x14ac:dyDescent="0.35">
      <c r="A637" s="283" t="s">
        <v>1099</v>
      </c>
      <c r="B637" s="272" t="s">
        <v>1093</v>
      </c>
      <c r="C637" s="272" t="s">
        <v>1095</v>
      </c>
      <c r="D637" s="526"/>
      <c r="E637" s="284"/>
      <c r="F637" s="780">
        <v>4.4877799999999999</v>
      </c>
      <c r="G637" s="741">
        <v>2019241</v>
      </c>
      <c r="H637" s="742">
        <v>250834</v>
      </c>
      <c r="I637" s="13"/>
      <c r="J637" s="857"/>
    </row>
    <row r="638" spans="1:10" x14ac:dyDescent="0.35">
      <c r="A638" s="43" t="s">
        <v>1101</v>
      </c>
      <c r="B638" s="31" t="s">
        <v>1100</v>
      </c>
      <c r="C638" s="31" t="s">
        <v>1096</v>
      </c>
      <c r="D638" s="528"/>
      <c r="E638" s="42"/>
      <c r="F638" s="780">
        <v>0.88392000000000004</v>
      </c>
      <c r="G638" s="741">
        <v>8849808</v>
      </c>
      <c r="H638" s="742">
        <v>250842</v>
      </c>
      <c r="I638" s="13"/>
      <c r="J638" s="857"/>
    </row>
    <row r="639" spans="1:10" x14ac:dyDescent="0.35">
      <c r="A639" s="43" t="s">
        <v>1103</v>
      </c>
      <c r="B639" s="31" t="s">
        <v>1100</v>
      </c>
      <c r="C639" s="31" t="s">
        <v>1094</v>
      </c>
      <c r="D639" s="528"/>
      <c r="E639" s="42"/>
      <c r="F639" s="780">
        <v>0.88392000000000004</v>
      </c>
      <c r="G639" s="741">
        <v>4619688</v>
      </c>
      <c r="H639" s="742">
        <v>250841</v>
      </c>
      <c r="I639" s="13"/>
      <c r="J639" s="857"/>
    </row>
    <row r="640" spans="1:10" x14ac:dyDescent="0.35">
      <c r="A640" s="283" t="s">
        <v>1102</v>
      </c>
      <c r="B640" s="272" t="s">
        <v>1100</v>
      </c>
      <c r="C640" s="272" t="s">
        <v>1095</v>
      </c>
      <c r="D640" s="526"/>
      <c r="E640" s="284"/>
      <c r="F640" s="780">
        <v>0.88392000000000004</v>
      </c>
      <c r="G640" s="741">
        <v>5730134</v>
      </c>
      <c r="H640" s="742">
        <v>250843</v>
      </c>
      <c r="I640" s="13"/>
      <c r="J640" s="857"/>
    </row>
    <row r="641" spans="1:10" x14ac:dyDescent="0.35">
      <c r="A641" s="43" t="s">
        <v>1104</v>
      </c>
      <c r="B641" s="31" t="s">
        <v>1105</v>
      </c>
      <c r="C641" s="31" t="s">
        <v>1096</v>
      </c>
      <c r="D641" s="528"/>
      <c r="E641" s="42"/>
      <c r="F641" s="780">
        <v>0.65625999999999995</v>
      </c>
      <c r="G641" s="741">
        <v>2583646</v>
      </c>
      <c r="H641" s="742">
        <v>250844</v>
      </c>
      <c r="I641" s="13"/>
      <c r="J641" s="857"/>
    </row>
    <row r="642" spans="1:10" x14ac:dyDescent="0.35">
      <c r="A642" s="43"/>
      <c r="B642" s="31"/>
      <c r="C642" s="31"/>
      <c r="D642" s="528"/>
      <c r="E642" s="42"/>
      <c r="F642" s="780"/>
      <c r="G642" s="778"/>
      <c r="H642" s="250"/>
      <c r="I642" s="13"/>
    </row>
    <row r="643" spans="1:10" x14ac:dyDescent="0.35">
      <c r="A643" s="43"/>
      <c r="B643" s="31"/>
      <c r="C643" s="31"/>
      <c r="D643" s="528"/>
      <c r="E643" s="42"/>
      <c r="F643" s="780"/>
      <c r="G643" s="779"/>
      <c r="H643" s="250"/>
      <c r="I643" s="13"/>
    </row>
    <row r="644" spans="1:10" x14ac:dyDescent="0.35">
      <c r="A644" s="37"/>
      <c r="B644" s="31"/>
      <c r="C644" s="31"/>
      <c r="D644" s="528"/>
      <c r="E644" s="42"/>
      <c r="F644" s="780"/>
      <c r="G644" s="779"/>
      <c r="H644" s="250"/>
      <c r="I644" s="13"/>
    </row>
    <row r="645" spans="1:10" x14ac:dyDescent="0.35">
      <c r="A645" s="37"/>
      <c r="B645" s="31"/>
      <c r="C645" s="31"/>
      <c r="D645" s="528"/>
      <c r="E645" s="42"/>
      <c r="F645" s="780"/>
      <c r="G645" s="779"/>
      <c r="H645" s="250"/>
      <c r="I645" s="13"/>
    </row>
    <row r="646" spans="1:10" x14ac:dyDescent="0.35">
      <c r="A646" s="33"/>
      <c r="B646" s="34"/>
      <c r="C646" s="34"/>
      <c r="D646" s="529"/>
      <c r="E646" s="32"/>
      <c r="F646" s="780"/>
      <c r="G646" s="35"/>
      <c r="H646" s="251"/>
      <c r="I646" s="13"/>
    </row>
    <row r="647" spans="1:10" x14ac:dyDescent="0.35">
      <c r="A647" s="37"/>
      <c r="B647" s="31"/>
      <c r="C647" s="31"/>
      <c r="D647" s="528"/>
      <c r="E647" s="42"/>
      <c r="F647" s="780"/>
      <c r="G647" s="779"/>
      <c r="H647" s="250"/>
      <c r="I647" s="13"/>
    </row>
    <row r="648" spans="1:10" x14ac:dyDescent="0.35">
      <c r="A648" s="37"/>
      <c r="B648" s="31"/>
      <c r="C648" s="31"/>
      <c r="D648" s="528"/>
      <c r="E648" s="42"/>
      <c r="F648" s="780"/>
      <c r="G648" s="779"/>
      <c r="H648" s="250"/>
      <c r="I648" s="13"/>
    </row>
    <row r="649" spans="1:10" x14ac:dyDescent="0.35">
      <c r="A649" s="33"/>
      <c r="B649" s="34"/>
      <c r="C649" s="34"/>
      <c r="D649" s="529"/>
      <c r="E649" s="32"/>
      <c r="F649" s="780"/>
      <c r="G649" s="35"/>
      <c r="H649" s="251"/>
      <c r="I649" s="13"/>
    </row>
    <row r="650" spans="1:10" x14ac:dyDescent="0.35">
      <c r="A650" s="43"/>
      <c r="B650" s="31"/>
      <c r="C650" s="31"/>
      <c r="D650" s="528"/>
      <c r="E650" s="42"/>
      <c r="F650" s="780"/>
      <c r="G650" s="779"/>
      <c r="H650" s="250"/>
      <c r="I650" s="13"/>
    </row>
    <row r="651" spans="1:10" x14ac:dyDescent="0.35">
      <c r="A651" s="43"/>
      <c r="B651" s="31"/>
      <c r="C651" s="31"/>
      <c r="D651" s="528"/>
      <c r="E651" s="42"/>
      <c r="F651" s="780"/>
      <c r="G651" s="779"/>
      <c r="H651" s="250"/>
      <c r="I651" s="13"/>
    </row>
    <row r="652" spans="1:10" x14ac:dyDescent="0.35">
      <c r="A652" s="43"/>
      <c r="B652" s="31"/>
      <c r="C652" s="31"/>
      <c r="D652" s="528"/>
      <c r="E652" s="42"/>
      <c r="F652" s="780"/>
      <c r="G652" s="779"/>
      <c r="H652" s="250"/>
      <c r="I652" s="13"/>
    </row>
    <row r="653" spans="1:10" x14ac:dyDescent="0.35">
      <c r="A653" s="43"/>
      <c r="B653" s="31"/>
      <c r="C653" s="31"/>
      <c r="D653" s="528"/>
      <c r="E653" s="42"/>
      <c r="F653" s="780"/>
      <c r="G653" s="779"/>
      <c r="H653" s="250"/>
      <c r="I653" s="13"/>
    </row>
    <row r="654" spans="1:10" x14ac:dyDescent="0.35">
      <c r="A654" s="43"/>
      <c r="B654" s="31"/>
      <c r="C654" s="31"/>
      <c r="D654" s="528"/>
      <c r="E654" s="42"/>
      <c r="F654" s="657"/>
      <c r="G654" s="29"/>
      <c r="H654" s="250"/>
      <c r="I654" s="13"/>
    </row>
    <row r="655" spans="1:10" x14ac:dyDescent="0.35">
      <c r="A655" s="43"/>
      <c r="B655" s="31"/>
      <c r="C655" s="31"/>
      <c r="D655" s="528"/>
      <c r="E655" s="42"/>
      <c r="F655" s="657"/>
      <c r="G655" s="29"/>
      <c r="H655" s="250"/>
      <c r="I655" s="13"/>
    </row>
    <row r="656" spans="1:10" x14ac:dyDescent="0.35">
      <c r="A656" s="43" t="str">
        <f>List!$B$258</f>
        <v>Zde můžete vložit vlastní položky (následujících 10 řádků, zobrazí se v objednávce)</v>
      </c>
      <c r="B656" s="31"/>
      <c r="C656" s="31"/>
      <c r="D656" s="528"/>
      <c r="E656" s="42"/>
      <c r="F656" s="657"/>
      <c r="G656" s="36"/>
      <c r="H656" s="250"/>
      <c r="I656" s="13"/>
    </row>
    <row r="657" spans="1:9" x14ac:dyDescent="0.35">
      <c r="A657" s="43"/>
      <c r="B657" s="31"/>
      <c r="C657" s="31"/>
      <c r="D657" s="528"/>
      <c r="E657" s="42"/>
      <c r="F657" s="656"/>
      <c r="G657" s="29"/>
      <c r="H657" s="250"/>
      <c r="I657" s="13"/>
    </row>
    <row r="658" spans="1:9" x14ac:dyDescent="0.35">
      <c r="A658" s="43"/>
      <c r="B658" s="31"/>
      <c r="C658" s="31"/>
      <c r="D658" s="528"/>
      <c r="E658" s="42"/>
      <c r="F658" s="656"/>
      <c r="G658" s="29"/>
      <c r="H658" s="250"/>
      <c r="I658" s="13"/>
    </row>
    <row r="659" spans="1:9" x14ac:dyDescent="0.35">
      <c r="A659" s="43"/>
      <c r="B659" s="31"/>
      <c r="C659" s="31"/>
      <c r="D659" s="528"/>
      <c r="E659" s="42"/>
      <c r="F659" s="656"/>
      <c r="G659" s="29"/>
      <c r="H659" s="250"/>
      <c r="I659" s="13"/>
    </row>
    <row r="660" spans="1:9" x14ac:dyDescent="0.35">
      <c r="A660" s="43"/>
      <c r="B660" s="31"/>
      <c r="C660" s="31"/>
      <c r="D660" s="528"/>
      <c r="E660" s="42"/>
      <c r="F660" s="656"/>
      <c r="G660" s="29"/>
      <c r="H660" s="250"/>
      <c r="I660" s="13"/>
    </row>
    <row r="661" spans="1:9" x14ac:dyDescent="0.35">
      <c r="A661" s="43"/>
      <c r="B661" s="31"/>
      <c r="C661" s="31"/>
      <c r="D661" s="528"/>
      <c r="E661" s="42"/>
      <c r="F661" s="656"/>
      <c r="G661" s="29"/>
      <c r="H661" s="250"/>
      <c r="I661" s="13"/>
    </row>
    <row r="662" spans="1:9" x14ac:dyDescent="0.35">
      <c r="A662" s="43"/>
      <c r="B662" s="31"/>
      <c r="C662" s="31"/>
      <c r="D662" s="528"/>
      <c r="E662" s="42"/>
      <c r="F662" s="656"/>
      <c r="G662" s="29"/>
      <c r="H662" s="250"/>
      <c r="I662" s="13"/>
    </row>
    <row r="663" spans="1:9" x14ac:dyDescent="0.35">
      <c r="A663" s="43"/>
      <c r="B663" s="31"/>
      <c r="C663" s="31"/>
      <c r="D663" s="528"/>
      <c r="E663" s="42"/>
      <c r="F663" s="656"/>
      <c r="G663" s="29"/>
      <c r="H663" s="250"/>
      <c r="I663" s="13"/>
    </row>
    <row r="664" spans="1:9" x14ac:dyDescent="0.35">
      <c r="A664" s="43"/>
      <c r="B664" s="31"/>
      <c r="C664" s="31"/>
      <c r="D664" s="528"/>
      <c r="E664" s="42"/>
      <c r="F664" s="656"/>
      <c r="G664" s="29"/>
      <c r="H664" s="250"/>
      <c r="I664" s="13"/>
    </row>
    <row r="665" spans="1:9" x14ac:dyDescent="0.35">
      <c r="A665" s="43"/>
      <c r="B665" s="31"/>
      <c r="C665" s="31"/>
      <c r="D665" s="528"/>
      <c r="E665" s="42"/>
      <c r="F665" s="656"/>
      <c r="G665" s="29"/>
      <c r="H665" s="250"/>
      <c r="I665" s="13"/>
    </row>
    <row r="666" spans="1:9" x14ac:dyDescent="0.35">
      <c r="A666" s="43"/>
      <c r="B666" s="31"/>
      <c r="C666" s="31"/>
      <c r="D666" s="528"/>
      <c r="E666" s="42"/>
      <c r="F666" s="656"/>
      <c r="G666" s="50"/>
      <c r="H666" s="252"/>
      <c r="I666" s="13"/>
    </row>
  </sheetData>
  <sheetProtection algorithmName="SHA-512" hashValue="0JRXM2UCq8gCg2FibJg04h2h24IEw7d5e4lAbshev8e5vg+CwxCX+35YLiUDwP+VEyeatB6hBZBs+JyUsFzXEA==" saltValue="yjUmqCrOGdk9Fe89ZswCLw==" spinCount="100000" sheet="1" objects="1" scenarios="1"/>
  <phoneticPr fontId="51" type="noConversion"/>
  <hyperlinks>
    <hyperlink ref="H2" location="Form!A1" tooltip=" " display="Zpět na úvod"/>
  </hyperlinks>
  <pageMargins left="0.23622047244094491" right="0.23622047244094491" top="0.74803149606299213" bottom="0.74803149606299213" header="0.31496062992125984" footer="0.31496062992125984"/>
  <pageSetup paperSize="9" orientation="portrait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22"/>
  </sheetPr>
  <dimension ref="A1:U140"/>
  <sheetViews>
    <sheetView showGridLines="0" showRowColHeader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1.54296875" style="2" hidden="1" customWidth="1"/>
    <col min="18" max="21" width="9.1796875" style="2" hidden="1" customWidth="1"/>
    <col min="22" max="22" width="9.1796875" style="2" customWidth="1"/>
    <col min="23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List!$B$50&amp;" M"</f>
        <v>Vnitřní zásuvka M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 t="str">
        <f>Cen!$A19</f>
        <v>Bočnice M 270mm, Orion šedé</v>
      </c>
      <c r="Q3" s="127" t="str">
        <f>Cen!$B19</f>
        <v>770M2702S</v>
      </c>
      <c r="R3" s="127" t="str">
        <f>Cen!$C19</f>
        <v>OG-M</v>
      </c>
      <c r="S3" s="262">
        <f>SUM(D21,D27,D33)</f>
        <v>0</v>
      </c>
      <c r="T3" s="266">
        <f>Cen!$F19</f>
        <v>18.533550000000002</v>
      </c>
      <c r="U3" s="263">
        <f t="shared" ref="U3:U8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182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 t="str">
        <f>Cen!$A23</f>
        <v>Bočnice M 300mm, Orion šedé</v>
      </c>
      <c r="Q4" s="127" t="str">
        <f>Cen!$B23</f>
        <v>770M3002S</v>
      </c>
      <c r="R4" s="127" t="str">
        <f>Cen!$C23</f>
        <v>OG-M</v>
      </c>
      <c r="S4" s="262">
        <f>SUM(E21,E27,E33)</f>
        <v>0</v>
      </c>
      <c r="T4" s="266">
        <f>Cen!$F23</f>
        <v>18.533550000000002</v>
      </c>
      <c r="U4" s="263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 t="str">
        <f>Cen!$A27</f>
        <v>Bočnice M 350mm, Orion šedé</v>
      </c>
      <c r="Q5" s="127" t="str">
        <f>Cen!$B27</f>
        <v>770M3502S</v>
      </c>
      <c r="R5" s="127" t="str">
        <f>Cen!$C27</f>
        <v>OG-M</v>
      </c>
      <c r="S5" s="262">
        <f>SUM(F21,F27,F33)</f>
        <v>0</v>
      </c>
      <c r="T5" s="266">
        <f>Cen!$F27</f>
        <v>18.533550000000002</v>
      </c>
      <c r="U5" s="263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2"/>
      <c r="I6" s="122"/>
      <c r="J6" s="121"/>
      <c r="K6" s="122"/>
      <c r="L6" s="144"/>
      <c r="M6" s="119"/>
      <c r="N6" s="2" t="str">
        <f>List!$B$12&amp;":"</f>
        <v>Pokračovat na:</v>
      </c>
      <c r="O6" s="119"/>
      <c r="P6" s="127" t="str">
        <f>Cen!$A31</f>
        <v>Bočnice M 400mm, Orion šedé</v>
      </c>
      <c r="Q6" s="127" t="str">
        <f>Cen!$B31</f>
        <v>770M4002S</v>
      </c>
      <c r="R6" s="127" t="str">
        <f>Cen!$C31</f>
        <v>OG-M</v>
      </c>
      <c r="S6" s="262">
        <f>SUM(G21,G27,G33)</f>
        <v>0</v>
      </c>
      <c r="T6" s="266">
        <f>Cen!$F31</f>
        <v>18.75609</v>
      </c>
      <c r="U6" s="2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List!$B$94&amp;":"</f>
        <v>cena kování:</v>
      </c>
      <c r="I7" s="122"/>
      <c r="J7" s="122"/>
      <c r="K7" s="118">
        <f>$U$65</f>
        <v>0</v>
      </c>
      <c r="L7" s="154"/>
      <c r="M7" s="119"/>
      <c r="N7" s="151" t="str">
        <f>" "&amp;List!$B$5</f>
        <v xml:space="preserve"> Výběr doplňků</v>
      </c>
      <c r="O7" s="119"/>
      <c r="P7" s="127" t="str">
        <f>Cen!$A35</f>
        <v>Bočnice M 450mm, Orion šedé</v>
      </c>
      <c r="Q7" s="127" t="str">
        <f>Cen!$B35</f>
        <v>770M4502S</v>
      </c>
      <c r="R7" s="127" t="str">
        <f>Cen!$C35</f>
        <v>OG-M</v>
      </c>
      <c r="S7" s="262">
        <f>SUM(H21:H22,H27:H28,H33:H34)</f>
        <v>0</v>
      </c>
      <c r="T7" s="266">
        <f>Cen!$F35</f>
        <v>19.977319999999999</v>
      </c>
      <c r="U7" s="263">
        <f t="shared" si="0"/>
        <v>0</v>
      </c>
    </row>
    <row r="8" spans="1:21" ht="13.5" thickBot="1" x14ac:dyDescent="0.3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51" t="str">
        <f>" "&amp;List!$B$6</f>
        <v xml:space="preserve"> Výběr SERVO-DRIVE</v>
      </c>
      <c r="O8" s="119"/>
      <c r="P8" s="340" t="str">
        <f>Cen!$A39</f>
        <v>Bočnice M 500mm, Orion šedé</v>
      </c>
      <c r="Q8" s="340" t="str">
        <f>Cen!$B39</f>
        <v>770M5002S</v>
      </c>
      <c r="R8" s="340" t="str">
        <f>Cen!$C39</f>
        <v>OG-M</v>
      </c>
      <c r="S8" s="262">
        <f>SUM(I21:I22,I27:I28,I33:I34)</f>
        <v>0</v>
      </c>
      <c r="T8" s="341">
        <f>Cen!$F39</f>
        <v>20.211580000000001</v>
      </c>
      <c r="U8" s="342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 t="str">
        <f>"* "&amp;List!$B$146&amp;":"</f>
        <v>* Přířezy prvků:</v>
      </c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Cen!$A43</f>
        <v>Bočnice M 550mm, Orion šedé</v>
      </c>
      <c r="Q9" s="127" t="str">
        <f>Cen!$B43</f>
        <v>770M5502S</v>
      </c>
      <c r="R9" s="127" t="str">
        <f>Cen!$C43</f>
        <v>OG-M</v>
      </c>
      <c r="S9" s="262">
        <f>SUM(J21:J22,J27:J28,J33:J34)</f>
        <v>0</v>
      </c>
      <c r="T9" s="266">
        <f>Cen!$F43</f>
        <v>20.980989999999998</v>
      </c>
      <c r="U9" s="263">
        <f t="shared" ref="U9:U61" si="1">S9*T9</f>
        <v>0</v>
      </c>
    </row>
    <row r="10" spans="1:21" ht="13.5" thickBot="1" x14ac:dyDescent="0.3">
      <c r="A10" s="119"/>
      <c r="B10" s="119"/>
      <c r="C10" s="119"/>
      <c r="D10" s="119"/>
      <c r="E10" s="119"/>
      <c r="F10" s="119"/>
      <c r="G10" s="119"/>
      <c r="H10" s="119" t="str">
        <f>List!$C$150&amp;":   LW - 126"</f>
        <v>Přední díl:   LW - 126</v>
      </c>
      <c r="I10" s="8"/>
      <c r="J10" s="119"/>
      <c r="K10" s="119"/>
      <c r="L10" s="119"/>
      <c r="M10" s="119"/>
      <c r="N10" s="152" t="str">
        <f>" "&amp;List!$B$18</f>
        <v xml:space="preserve"> Souhrn</v>
      </c>
      <c r="O10" s="119"/>
      <c r="P10" s="127" t="str">
        <f>Cen!$A47</f>
        <v>Bočnice M 600mm, Orion šedé</v>
      </c>
      <c r="Q10" s="127" t="str">
        <f>Cen!$B47</f>
        <v>770M6002S</v>
      </c>
      <c r="R10" s="127" t="str">
        <f>Cen!$C47</f>
        <v>OG-M</v>
      </c>
      <c r="S10" s="262">
        <f>SUM(K21:K22,K27:K28,K33:K34)</f>
        <v>0</v>
      </c>
      <c r="T10" s="266">
        <f>Cen!$F47</f>
        <v>23.762070000000005</v>
      </c>
      <c r="U10" s="263">
        <f t="shared" si="1"/>
        <v>0</v>
      </c>
    </row>
    <row r="11" spans="1:21" x14ac:dyDescent="0.25">
      <c r="A11" s="119"/>
      <c r="B11" s="119"/>
      <c r="C11" s="119"/>
      <c r="D11" s="119"/>
      <c r="E11" s="119"/>
      <c r="F11" s="119"/>
      <c r="G11" s="119"/>
      <c r="H11" s="338"/>
      <c r="I11" s="338"/>
      <c r="J11" s="339"/>
      <c r="K11" s="339"/>
      <c r="L11" s="339"/>
      <c r="M11" s="119"/>
      <c r="N11" s="152" t="str">
        <f>" "&amp;List!$B$20</f>
        <v xml:space="preserve"> Objednávka</v>
      </c>
      <c r="O11" s="119"/>
      <c r="P11" s="127" t="str">
        <f>Cen!$A51</f>
        <v>Bočnice M 650mm, Orion šedé</v>
      </c>
      <c r="Q11" s="127" t="str">
        <f>Cen!$B51</f>
        <v>770M6502S</v>
      </c>
      <c r="R11" s="127" t="str">
        <f>Cen!$C51</f>
        <v>OG-M</v>
      </c>
      <c r="S11" s="262">
        <f>SUM(L22,L28,L34)</f>
        <v>0</v>
      </c>
      <c r="T11" s="266">
        <f>Cen!$F51</f>
        <v>24.808240000000001</v>
      </c>
      <c r="U11" s="263">
        <f>S11*T11</f>
        <v>0</v>
      </c>
    </row>
    <row r="12" spans="1:21" ht="13" x14ac:dyDescent="0.25">
      <c r="A12" s="119"/>
      <c r="B12" s="119"/>
      <c r="C12" s="119"/>
      <c r="D12" s="119"/>
      <c r="E12" s="119"/>
      <c r="F12" s="119"/>
      <c r="G12" s="119"/>
      <c r="H12" s="231"/>
      <c r="I12" s="231"/>
      <c r="J12" s="231"/>
      <c r="K12" s="231"/>
      <c r="L12" s="23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x14ac:dyDescent="0.25">
      <c r="A13" s="119"/>
      <c r="B13" s="119"/>
      <c r="C13" s="119"/>
      <c r="D13" s="119"/>
      <c r="E13" s="119"/>
      <c r="F13" s="119"/>
      <c r="G13" s="119"/>
      <c r="H13" s="290"/>
      <c r="I13" s="290"/>
      <c r="J13" s="290"/>
      <c r="K13" s="290"/>
      <c r="L13" s="290"/>
      <c r="M13" s="119"/>
      <c r="N13" s="119"/>
      <c r="O13" s="119"/>
      <c r="P13" s="209" t="str">
        <f>Cen!A177</f>
        <v>Korpusové lišty BLUMOTION, 270mm, 40kg</v>
      </c>
      <c r="Q13" s="209" t="str">
        <f>Cen!B177</f>
        <v>750.2701B</v>
      </c>
      <c r="R13" s="209" t="str">
        <f>Cen!C177</f>
        <v>ZN</v>
      </c>
      <c r="S13" s="260">
        <f>D21</f>
        <v>0</v>
      </c>
      <c r="T13" s="261">
        <f>Cen!F177</f>
        <v>21.845690000000001</v>
      </c>
      <c r="U13" s="261">
        <f t="shared" si="1"/>
        <v>0</v>
      </c>
    </row>
    <row r="14" spans="1:21" ht="13" x14ac:dyDescent="0.3">
      <c r="A14" s="119"/>
      <c r="B14" s="119"/>
      <c r="C14" s="119"/>
      <c r="D14" s="119"/>
      <c r="E14" s="119"/>
      <c r="F14" s="119"/>
      <c r="G14" s="119"/>
      <c r="H14" s="288"/>
      <c r="I14" s="288"/>
      <c r="J14" s="288"/>
      <c r="K14" s="288"/>
      <c r="L14" s="288"/>
      <c r="M14" s="119"/>
      <c r="N14" s="119"/>
      <c r="O14" s="119"/>
      <c r="P14" s="209" t="str">
        <f>Cen!A178</f>
        <v>Korpusové lišty BLUMOTION, 300mm, 40kg</v>
      </c>
      <c r="Q14" s="209" t="str">
        <f>Cen!B178</f>
        <v>750.3001B</v>
      </c>
      <c r="R14" s="209" t="str">
        <f>Cen!C178</f>
        <v>ZN</v>
      </c>
      <c r="S14" s="260">
        <f>E21</f>
        <v>0</v>
      </c>
      <c r="T14" s="261">
        <f>Cen!F178</f>
        <v>21.925909999999998</v>
      </c>
      <c r="U14" s="261">
        <f t="shared" si="1"/>
        <v>0</v>
      </c>
    </row>
    <row r="15" spans="1:21" x14ac:dyDescent="0.25">
      <c r="A15" s="119"/>
      <c r="B15" s="119"/>
      <c r="C15" s="119"/>
      <c r="D15" s="119"/>
      <c r="E15" s="119"/>
      <c r="F15" s="119"/>
      <c r="G15" s="119"/>
      <c r="H15" s="337"/>
      <c r="I15" s="337"/>
      <c r="J15" s="337"/>
      <c r="K15" s="337"/>
      <c r="L15" s="337"/>
      <c r="M15" s="119"/>
      <c r="N15" s="119"/>
      <c r="O15" s="119"/>
      <c r="P15" s="209" t="str">
        <f>Cen!A179</f>
        <v>Korpusové lišty BLUMOTION, 350mm, 40kg</v>
      </c>
      <c r="Q15" s="209" t="str">
        <f>Cen!B179</f>
        <v>750.3501B</v>
      </c>
      <c r="R15" s="209" t="str">
        <f>Cen!C179</f>
        <v>ZN</v>
      </c>
      <c r="S15" s="260">
        <f>F21</f>
        <v>0</v>
      </c>
      <c r="T15" s="261">
        <f>Cen!F179</f>
        <v>21.845690000000001</v>
      </c>
      <c r="U15" s="26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Cen!A180</f>
        <v>Korpusové lišty BLUMOTION, 400mm, 40kg</v>
      </c>
      <c r="Q16" s="209" t="str">
        <f>Cen!B180</f>
        <v>750.4001B</v>
      </c>
      <c r="R16" s="209" t="str">
        <f>Cen!C180</f>
        <v>ZN</v>
      </c>
      <c r="S16" s="260">
        <f>G21</f>
        <v>0</v>
      </c>
      <c r="T16" s="261">
        <f>Cen!F180</f>
        <v>22.204979999999999</v>
      </c>
      <c r="U16" s="261">
        <f t="shared" si="1"/>
        <v>0</v>
      </c>
    </row>
    <row r="17" spans="1:21" x14ac:dyDescent="0.25">
      <c r="A17" s="119"/>
      <c r="B17" s="119"/>
      <c r="C17" s="119"/>
      <c r="D17" s="119"/>
      <c r="E17" s="119"/>
      <c r="F17" s="119"/>
      <c r="G17" s="119"/>
      <c r="H17" s="179"/>
      <c r="I17" s="179"/>
      <c r="J17" s="179"/>
      <c r="K17" s="179"/>
      <c r="L17" s="179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ht="15.5" x14ac:dyDescent="0.25">
      <c r="A18" s="119"/>
      <c r="B18" s="119"/>
      <c r="C18" s="119"/>
      <c r="D18" s="119"/>
      <c r="E18" s="119"/>
      <c r="F18" s="119"/>
      <c r="G18" s="478"/>
      <c r="H18" s="179"/>
      <c r="I18" s="179"/>
      <c r="J18" s="179"/>
      <c r="K18" s="179"/>
      <c r="L18" s="179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3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343" t="str">
        <f>Cen!A183</f>
        <v>Korpusové lišty BLUMOTION, 500mm, 40kg</v>
      </c>
      <c r="Q19" s="343" t="str">
        <f>Cen!B183</f>
        <v>750.5001B</v>
      </c>
      <c r="R19" s="343" t="str">
        <f>Cen!C183</f>
        <v>ZN</v>
      </c>
      <c r="S19" s="344">
        <f>I21</f>
        <v>0</v>
      </c>
      <c r="T19" s="345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 t="s">
        <v>614</v>
      </c>
      <c r="E20" s="305" t="s">
        <v>57</v>
      </c>
      <c r="F20" s="305" t="s">
        <v>615</v>
      </c>
      <c r="G20" s="305" t="s">
        <v>616</v>
      </c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343" t="str">
        <f>Cen!A184</f>
        <v>Korpusové lišty BLUMOTION, 500mm, 70kg</v>
      </c>
      <c r="Q20" s="343" t="str">
        <f>Cen!B184</f>
        <v>753.5001B</v>
      </c>
      <c r="R20" s="343" t="str">
        <f>Cen!C184</f>
        <v>ZN</v>
      </c>
      <c r="S20" s="344">
        <f>I22</f>
        <v>0</v>
      </c>
      <c r="T20" s="345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514</v>
      </c>
      <c r="C21" s="298" t="s">
        <v>505</v>
      </c>
      <c r="D21" s="299"/>
      <c r="E21" s="299"/>
      <c r="F21" s="299"/>
      <c r="G21" s="299"/>
      <c r="H21" s="299"/>
      <c r="I21" s="299"/>
      <c r="J21" s="299"/>
      <c r="K21" s="300"/>
      <c r="L21" s="572"/>
      <c r="M21" s="17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515</v>
      </c>
      <c r="C22" s="311" t="s">
        <v>506</v>
      </c>
      <c r="D22" s="415"/>
      <c r="E22" s="415"/>
      <c r="F22" s="415"/>
      <c r="G22" s="415"/>
      <c r="H22" s="303"/>
      <c r="I22" s="303"/>
      <c r="J22" s="303"/>
      <c r="K22" s="304"/>
      <c r="L22" s="304"/>
      <c r="M22" s="17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7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7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7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 t="s">
        <v>614</v>
      </c>
      <c r="E26" s="305" t="s">
        <v>57</v>
      </c>
      <c r="F26" s="305" t="s">
        <v>615</v>
      </c>
      <c r="G26" s="305" t="s">
        <v>616</v>
      </c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7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516</v>
      </c>
      <c r="C27" s="298" t="s">
        <v>505</v>
      </c>
      <c r="D27" s="299"/>
      <c r="E27" s="299"/>
      <c r="F27" s="299"/>
      <c r="G27" s="299"/>
      <c r="H27" s="299"/>
      <c r="I27" s="299"/>
      <c r="J27" s="299"/>
      <c r="K27" s="300"/>
      <c r="L27" s="572"/>
      <c r="M27" s="179"/>
      <c r="N27" s="119"/>
      <c r="O27" s="119"/>
      <c r="P27" s="209" t="str">
        <f>Cen!A193</f>
        <v>Korpusové lišty TIP-ON, 270mm, 40kg</v>
      </c>
      <c r="Q27" s="209" t="str">
        <f>Cen!B193</f>
        <v>750.2701T</v>
      </c>
      <c r="R27" s="209" t="str">
        <f>Cen!C193</f>
        <v>ZN</v>
      </c>
      <c r="S27" s="260">
        <f>D27</f>
        <v>0</v>
      </c>
      <c r="T27" s="261">
        <f>Cen!F193</f>
        <v>30.366460000000004</v>
      </c>
      <c r="U27" s="261">
        <f t="shared" si="1"/>
        <v>0</v>
      </c>
    </row>
    <row r="28" spans="1:21" ht="14" x14ac:dyDescent="0.3">
      <c r="A28" s="119"/>
      <c r="B28" s="296" t="s">
        <v>517</v>
      </c>
      <c r="C28" s="310" t="s">
        <v>506</v>
      </c>
      <c r="D28" s="415"/>
      <c r="E28" s="415"/>
      <c r="F28" s="415"/>
      <c r="G28" s="415"/>
      <c r="H28" s="303"/>
      <c r="I28" s="303"/>
      <c r="J28" s="303"/>
      <c r="K28" s="304"/>
      <c r="L28" s="304"/>
      <c r="M28" s="179"/>
      <c r="N28" s="119"/>
      <c r="O28" s="119"/>
      <c r="P28" s="209" t="str">
        <f>Cen!A194</f>
        <v>Korpusové lišty TIP-ON, 300mm, 40kg</v>
      </c>
      <c r="Q28" s="209" t="str">
        <f>Cen!B194</f>
        <v>750.3001T</v>
      </c>
      <c r="R28" s="209" t="str">
        <f>Cen!C194</f>
        <v>ZN</v>
      </c>
      <c r="S28" s="260">
        <f>E27</f>
        <v>0</v>
      </c>
      <c r="T28" s="261">
        <f>Cen!F194</f>
        <v>30.366460000000004</v>
      </c>
      <c r="U28" s="261">
        <f t="shared" si="1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79"/>
      <c r="N29" s="119"/>
      <c r="O29" s="119"/>
      <c r="P29" s="209" t="str">
        <f>Cen!A195</f>
        <v>Korpusové lišty TIP-ON, 350mm, 40kg</v>
      </c>
      <c r="Q29" s="209" t="str">
        <f>Cen!B195</f>
        <v>750.3501T</v>
      </c>
      <c r="R29" s="209" t="str">
        <f>Cen!C195</f>
        <v>ZN</v>
      </c>
      <c r="S29" s="260">
        <f>F27</f>
        <v>0</v>
      </c>
      <c r="T29" s="261">
        <f>Cen!F195</f>
        <v>30.366460000000004</v>
      </c>
      <c r="U29" s="261">
        <f t="shared" si="1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79"/>
      <c r="N30" s="119"/>
      <c r="O30" s="119"/>
      <c r="P30" s="209" t="str">
        <f>Cen!A196</f>
        <v>Korpusové lišty TIP-ON, 400mm, 40kg</v>
      </c>
      <c r="Q30" s="209" t="str">
        <f>Cen!B196</f>
        <v>750.4001T</v>
      </c>
      <c r="R30" s="209" t="str">
        <f>Cen!C196</f>
        <v>ZN</v>
      </c>
      <c r="S30" s="260">
        <f>G27</f>
        <v>0</v>
      </c>
      <c r="T30" s="261">
        <f>Cen!F196</f>
        <v>30.645720000000001</v>
      </c>
      <c r="U30" s="261">
        <f t="shared" si="1"/>
        <v>0</v>
      </c>
    </row>
    <row r="31" spans="1:21" ht="15.75" customHeight="1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Cen!A197</f>
        <v>Korpusové lišty TIP-ON, 450mm, 40kg</v>
      </c>
      <c r="Q31" s="209" t="str">
        <f>Cen!B197</f>
        <v>750.4501T</v>
      </c>
      <c r="R31" s="209" t="str">
        <f>Cen!C197</f>
        <v>ZN</v>
      </c>
      <c r="S31" s="260">
        <f>H27</f>
        <v>0</v>
      </c>
      <c r="T31" s="261">
        <f>Cen!F197</f>
        <v>32.552599999999998</v>
      </c>
      <c r="U31" s="261">
        <f t="shared" si="1"/>
        <v>0</v>
      </c>
    </row>
    <row r="32" spans="1:21" ht="15.75" customHeight="1" x14ac:dyDescent="0.35">
      <c r="A32" s="119"/>
      <c r="B32" s="313"/>
      <c r="C32" s="320" t="str">
        <f>List!$B$115&amp;":"</f>
        <v>Jmenovitá délka:</v>
      </c>
      <c r="D32" s="308" t="s">
        <v>614</v>
      </c>
      <c r="E32" s="305" t="s">
        <v>57</v>
      </c>
      <c r="F32" s="305" t="s">
        <v>615</v>
      </c>
      <c r="G32" s="305" t="s">
        <v>616</v>
      </c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Cen!A198</f>
        <v>Korpusové lišty TIP-ON, 450mm, 70kg</v>
      </c>
      <c r="Q32" s="209" t="str">
        <f>Cen!B198</f>
        <v>753.4501T</v>
      </c>
      <c r="R32" s="209" t="str">
        <f>Cen!C198</f>
        <v>ZN</v>
      </c>
      <c r="S32" s="260">
        <f>H28</f>
        <v>0</v>
      </c>
      <c r="T32" s="261">
        <f>Cen!F198</f>
        <v>36.006259999999997</v>
      </c>
      <c r="U32" s="261">
        <f t="shared" si="1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299"/>
      <c r="E33" s="299"/>
      <c r="F33" s="299"/>
      <c r="G33" s="299"/>
      <c r="H33" s="299"/>
      <c r="I33" s="299"/>
      <c r="J33" s="299"/>
      <c r="K33" s="300"/>
      <c r="L33" s="572"/>
      <c r="M33" s="119"/>
      <c r="N33" s="119"/>
      <c r="O33" s="119"/>
      <c r="P33" s="343" t="str">
        <f>Cen!A199</f>
        <v>Korpusové lišty TIP-ON, 500mm, 40kg</v>
      </c>
      <c r="Q33" s="343" t="str">
        <f>Cen!B199</f>
        <v>750.5001T</v>
      </c>
      <c r="R33" s="343" t="str">
        <f>Cen!C199</f>
        <v>ZN</v>
      </c>
      <c r="S33" s="344">
        <f>I27</f>
        <v>0</v>
      </c>
      <c r="T33" s="345">
        <f>Cen!F199</f>
        <v>32.846359999999997</v>
      </c>
      <c r="U33" s="261">
        <f t="shared" si="1"/>
        <v>0</v>
      </c>
    </row>
    <row r="34" spans="1:21" ht="14" x14ac:dyDescent="0.3">
      <c r="A34" s="119"/>
      <c r="B34" s="296" t="s">
        <v>1188</v>
      </c>
      <c r="C34" s="310" t="s">
        <v>506</v>
      </c>
      <c r="D34" s="415"/>
      <c r="E34" s="415"/>
      <c r="F34" s="415"/>
      <c r="G34" s="415"/>
      <c r="H34" s="303"/>
      <c r="I34" s="303"/>
      <c r="J34" s="303"/>
      <c r="K34" s="304"/>
      <c r="L34" s="304"/>
      <c r="M34" s="119"/>
      <c r="N34" s="119"/>
      <c r="O34" s="119"/>
      <c r="P34" s="343" t="str">
        <f>Cen!A200</f>
        <v>Korpusové lišty TIP-ON, 500mm, 70kg</v>
      </c>
      <c r="Q34" s="343" t="str">
        <f>Cen!B200</f>
        <v>753.5001T</v>
      </c>
      <c r="R34" s="343" t="str">
        <f>Cen!C200</f>
        <v>ZN</v>
      </c>
      <c r="S34" s="344">
        <f>I28</f>
        <v>0</v>
      </c>
      <c r="T34" s="345">
        <f>Cen!F200</f>
        <v>36.285339999999998</v>
      </c>
      <c r="U34" s="261">
        <f t="shared" si="1"/>
        <v>0</v>
      </c>
    </row>
    <row r="35" spans="1:21" ht="15.5" x14ac:dyDescent="0.3">
      <c r="A35" s="119"/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O35" s="119"/>
      <c r="P35" s="209" t="str">
        <f>Cen!A201</f>
        <v>Korpusové lišty TIP-ON, 550mm, 40kg</v>
      </c>
      <c r="Q35" s="209" t="str">
        <f>Cen!B201</f>
        <v>750.5501T</v>
      </c>
      <c r="R35" s="209" t="str">
        <f>Cen!C201</f>
        <v>ZN</v>
      </c>
      <c r="S35" s="260">
        <f>J27</f>
        <v>0</v>
      </c>
      <c r="T35" s="261">
        <f>Cen!F201</f>
        <v>32.694760000000002</v>
      </c>
      <c r="U35" s="261">
        <f t="shared" si="1"/>
        <v>0</v>
      </c>
    </row>
    <row r="36" spans="1:21" ht="13" x14ac:dyDescent="0.3">
      <c r="A36" s="119"/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O36" s="119"/>
      <c r="P36" s="209" t="str">
        <f>Cen!A202</f>
        <v>Korpusové lišty TIP-ON, 550mm, 70kg</v>
      </c>
      <c r="Q36" s="209" t="str">
        <f>Cen!B202</f>
        <v>753.5501T</v>
      </c>
      <c r="R36" s="209" t="str">
        <f>Cen!C202</f>
        <v>ZN</v>
      </c>
      <c r="S36" s="260">
        <f>J28</f>
        <v>0</v>
      </c>
      <c r="T36" s="261">
        <f>Cen!F202</f>
        <v>37.776060000000001</v>
      </c>
      <c r="U36" s="261">
        <f t="shared" si="1"/>
        <v>0</v>
      </c>
    </row>
    <row r="37" spans="1:21" ht="15.75" customHeight="1" x14ac:dyDescent="0.3">
      <c r="A37" s="119"/>
      <c r="B37" s="291"/>
      <c r="C37" s="291"/>
      <c r="D37" s="308" t="s">
        <v>1192</v>
      </c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122" t="str">
        <f>Cen!A203</f>
        <v>Korpusové lišty TIP-ON, 600mm, 40kg</v>
      </c>
      <c r="Q37" s="122" t="str">
        <f>Cen!B203</f>
        <v>750.6001T</v>
      </c>
      <c r="R37" s="122" t="str">
        <f>Cen!C203</f>
        <v>ZN</v>
      </c>
      <c r="S37" s="123">
        <f>K27</f>
        <v>0</v>
      </c>
      <c r="T37" s="118">
        <f>Cen!F203</f>
        <v>35.700530000000001</v>
      </c>
      <c r="U37" s="261">
        <f t="shared" si="1"/>
        <v>0</v>
      </c>
    </row>
    <row r="38" spans="1:21" ht="15.75" customHeight="1" thickBot="1" x14ac:dyDescent="0.35">
      <c r="A38" s="119"/>
      <c r="B38" s="179"/>
      <c r="C38" s="291"/>
      <c r="D38" s="299"/>
      <c r="E38" s="299"/>
      <c r="F38" s="299"/>
      <c r="G38" s="300"/>
      <c r="H38" s="662" t="str">
        <f>IF(SUM(F33:K33,H34:L34)=SUM(E38:G38)," ",P82)</f>
        <v xml:space="preserve"> </v>
      </c>
      <c r="I38" s="291"/>
      <c r="M38" s="119"/>
      <c r="P38" s="122" t="str">
        <f>Cen!A204</f>
        <v>Korpusové lišty TIP-ON, 600mm, 70kg</v>
      </c>
      <c r="Q38" s="122" t="str">
        <f>Cen!B204</f>
        <v>753.6001T</v>
      </c>
      <c r="R38" s="122" t="str">
        <f>Cen!C204</f>
        <v>ZN</v>
      </c>
      <c r="S38" s="123">
        <f>K28</f>
        <v>0</v>
      </c>
      <c r="T38" s="118">
        <f>Cen!F204</f>
        <v>40.781829999999999</v>
      </c>
      <c r="U38" s="118">
        <f t="shared" si="1"/>
        <v>0</v>
      </c>
    </row>
    <row r="39" spans="1:21" x14ac:dyDescent="0.25">
      <c r="A39" s="119"/>
      <c r="C39" s="661"/>
      <c r="D39" s="660" t="str">
        <f>IF(AND(SUM($D$33,$E$33)&gt;0,$D$38=0),$P$81,IF(AND(SUM($D$33,$E$33)=0,$D$38&gt;0),$P$80,IF(SUM($D$33,$E$33)&lt;&gt;$D$38,$P$80," ")))</f>
        <v xml:space="preserve"> </v>
      </c>
      <c r="E39" s="291"/>
      <c r="F39" s="291"/>
      <c r="G39" s="291"/>
      <c r="H39" s="291"/>
      <c r="I39" s="291"/>
      <c r="M39" s="119"/>
      <c r="P39" s="122" t="str">
        <f>Cen!A205</f>
        <v>Korpusové lišty TIP-ON, 650mm, 70kg</v>
      </c>
      <c r="Q39" s="122" t="str">
        <f>Cen!B205</f>
        <v>753.6501T</v>
      </c>
      <c r="R39" s="122" t="str">
        <f>Cen!C205</f>
        <v>ZN</v>
      </c>
      <c r="S39" s="123">
        <f>L28</f>
        <v>0</v>
      </c>
      <c r="T39" s="118">
        <f>Cen!F205</f>
        <v>42.272550000000003</v>
      </c>
      <c r="U39" s="118">
        <f>S39*T39</f>
        <v>0</v>
      </c>
    </row>
    <row r="40" spans="1:21" x14ac:dyDescent="0.25">
      <c r="B40" s="661"/>
      <c r="C40" s="661"/>
      <c r="D40" s="660" t="str">
        <f>IF(SUM($D$33,$E$33)&lt;&gt;$D$38,$P$83," ")</f>
        <v xml:space="preserve"> </v>
      </c>
      <c r="P40" s="144"/>
      <c r="Q40" s="144"/>
      <c r="R40" s="144"/>
      <c r="S40" s="150"/>
      <c r="T40" s="154"/>
      <c r="U40" s="154"/>
    </row>
    <row r="41" spans="1:21" x14ac:dyDescent="0.25">
      <c r="P41" s="122" t="str">
        <f>Cen!A209</f>
        <v>Korpusové lišty TIP-ON BLUMOTION, 270mm, 40kg</v>
      </c>
      <c r="Q41" s="122" t="str">
        <f>Cen!B209</f>
        <v>750.2700M</v>
      </c>
      <c r="R41" s="122" t="str">
        <f>Cen!C209</f>
        <v>ZN</v>
      </c>
      <c r="S41" s="123">
        <f>D33</f>
        <v>0</v>
      </c>
      <c r="T41" s="118">
        <f>Cen!F209</f>
        <v>21.925909999999998</v>
      </c>
      <c r="U41" s="118">
        <f>S41*T41</f>
        <v>0</v>
      </c>
    </row>
    <row r="42" spans="1:21" x14ac:dyDescent="0.25">
      <c r="P42" s="122" t="str">
        <f>Cen!A210</f>
        <v>Korpusové lišty TIP-ON BLUMOTION, 300mm, 40kg</v>
      </c>
      <c r="Q42" s="122" t="str">
        <f>Cen!B210</f>
        <v>750.3001M</v>
      </c>
      <c r="R42" s="122" t="str">
        <f>Cen!C210</f>
        <v>ZN</v>
      </c>
      <c r="S42" s="123">
        <f>E33</f>
        <v>0</v>
      </c>
      <c r="T42" s="118">
        <f>Cen!F210</f>
        <v>21.925909999999998</v>
      </c>
      <c r="U42" s="118">
        <f t="shared" ref="U42:U55" si="2">S42*T42</f>
        <v>0</v>
      </c>
    </row>
    <row r="43" spans="1:21" x14ac:dyDescent="0.25">
      <c r="B43" s="119" t="str">
        <f>"      * "&amp;List!$B$158</f>
        <v xml:space="preserve">      * Pro každý výsuv je započítán jeden přední díl</v>
      </c>
      <c r="P43" s="122" t="str">
        <f>Cen!A211</f>
        <v>Korpusové lišty TIP-ON BLUMOTION, 350mm, 40kg</v>
      </c>
      <c r="Q43" s="122" t="str">
        <f>Cen!B211</f>
        <v>750.3501M</v>
      </c>
      <c r="R43" s="122" t="str">
        <f>Cen!C211</f>
        <v>ZN</v>
      </c>
      <c r="S43" s="123">
        <f>F33</f>
        <v>0</v>
      </c>
      <c r="T43" s="118">
        <f>Cen!F211</f>
        <v>21.925909999999998</v>
      </c>
      <c r="U43" s="118">
        <f t="shared" si="2"/>
        <v>0</v>
      </c>
    </row>
    <row r="44" spans="1:21" x14ac:dyDescent="0.25">
      <c r="B44" s="119" t="str">
        <f>"        "&amp;List!$B$160</f>
        <v xml:space="preserve">        Potřebný počet předních dílů upravte v objednávce</v>
      </c>
      <c r="P44" s="122" t="str">
        <f>Cen!A212</f>
        <v>Korpusové lišty TIP-ON BLUMOTION, 400mm, 40kg</v>
      </c>
      <c r="Q44" s="122" t="str">
        <f>Cen!B212</f>
        <v>750.4001M</v>
      </c>
      <c r="R44" s="122" t="str">
        <f>Cen!C212</f>
        <v>ZN</v>
      </c>
      <c r="S44" s="123">
        <f>G33</f>
        <v>0</v>
      </c>
      <c r="T44" s="118">
        <f>Cen!F212</f>
        <v>22.204979999999999</v>
      </c>
      <c r="U44" s="118">
        <f t="shared" si="2"/>
        <v>0</v>
      </c>
    </row>
    <row r="45" spans="1:21" x14ac:dyDescent="0.25"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2"/>
        <v>0</v>
      </c>
    </row>
    <row r="46" spans="1:21" x14ac:dyDescent="0.25"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2"/>
        <v>0</v>
      </c>
    </row>
    <row r="47" spans="1:21" ht="13" x14ac:dyDescent="0.3"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2"/>
        <v>0</v>
      </c>
    </row>
    <row r="48" spans="1:21" ht="13" x14ac:dyDescent="0.3"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2"/>
        <v>0</v>
      </c>
    </row>
    <row r="49" spans="16:21" x14ac:dyDescent="0.25"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2"/>
        <v>0</v>
      </c>
    </row>
    <row r="50" spans="16:21" x14ac:dyDescent="0.25"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2"/>
        <v>0</v>
      </c>
    </row>
    <row r="51" spans="16:21" x14ac:dyDescent="0.25"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2"/>
        <v>0</v>
      </c>
    </row>
    <row r="52" spans="16:21" x14ac:dyDescent="0.25"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2"/>
        <v>0</v>
      </c>
    </row>
    <row r="53" spans="16:21" x14ac:dyDescent="0.25"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2"/>
        <v>0</v>
      </c>
    </row>
    <row r="54" spans="16:21" x14ac:dyDescent="0.25">
      <c r="P54" s="122"/>
      <c r="Q54" s="122"/>
      <c r="R54" s="122"/>
      <c r="S54" s="123"/>
      <c r="T54" s="118"/>
      <c r="U54" s="118"/>
    </row>
    <row r="55" spans="16:21" x14ac:dyDescent="0.25"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>
        <f>D38</f>
        <v>0</v>
      </c>
      <c r="T55" s="118">
        <f>Cen!F223</f>
        <v>15.883479999999999</v>
      </c>
      <c r="U55" s="118">
        <f t="shared" si="2"/>
        <v>0</v>
      </c>
    </row>
    <row r="56" spans="16:21" x14ac:dyDescent="0.25"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>S56*T56</f>
        <v>0</v>
      </c>
    </row>
    <row r="57" spans="16:21" x14ac:dyDescent="0.25"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>S57*T57</f>
        <v>0</v>
      </c>
    </row>
    <row r="58" spans="16:21" x14ac:dyDescent="0.25"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>S58*T58</f>
        <v>0</v>
      </c>
    </row>
    <row r="59" spans="16:21" x14ac:dyDescent="0.25">
      <c r="P59" s="122"/>
      <c r="Q59" s="122"/>
      <c r="R59" s="122"/>
      <c r="S59" s="123"/>
      <c r="T59" s="118"/>
      <c r="U59" s="118"/>
    </row>
    <row r="60" spans="16:21" x14ac:dyDescent="0.25">
      <c r="P60" s="122" t="str">
        <f>Cen!A251</f>
        <v>Držáky zadní stěny M, Orion šedé</v>
      </c>
      <c r="Q60" s="122" t="str">
        <f>Cen!B251</f>
        <v>ZB7M000S</v>
      </c>
      <c r="R60" s="122" t="str">
        <f>Cen!C251</f>
        <v>OG-M</v>
      </c>
      <c r="S60" s="123">
        <f>SUM($S$3:$S$11)</f>
        <v>0</v>
      </c>
      <c r="T60" s="118">
        <f>Cen!$F251</f>
        <v>1.20011</v>
      </c>
      <c r="U60" s="261">
        <f t="shared" si="1"/>
        <v>0</v>
      </c>
    </row>
    <row r="61" spans="16:21" x14ac:dyDescent="0.25">
      <c r="P61" s="122" t="str">
        <f>Cen!A285</f>
        <v>Sada kování vnitřní zásuvky M, Orion šedá</v>
      </c>
      <c r="Q61" s="122" t="str">
        <f>Cen!B285</f>
        <v>ZI7.0MS0</v>
      </c>
      <c r="R61" s="122" t="str">
        <f>Cen!C285</f>
        <v>OG-M</v>
      </c>
      <c r="S61" s="123">
        <f>SUM(S3:S11)</f>
        <v>0</v>
      </c>
      <c r="T61" s="118">
        <f>Cen!F285</f>
        <v>13.714750000000002</v>
      </c>
      <c r="U61" s="261">
        <f t="shared" si="1"/>
        <v>0</v>
      </c>
    </row>
    <row r="62" spans="16:21" x14ac:dyDescent="0.25">
      <c r="P62" s="122"/>
      <c r="Q62" s="122"/>
      <c r="R62" s="122"/>
      <c r="S62" s="123"/>
      <c r="T62" s="118"/>
      <c r="U62" s="118"/>
    </row>
    <row r="63" spans="16:21" x14ac:dyDescent="0.25">
      <c r="P63" s="122" t="str">
        <f>Cen!A310</f>
        <v>Přední díl vnitřní zásuvky, bez drážky, Orion šedý</v>
      </c>
      <c r="Q63" s="122" t="str">
        <f>Cen!B310</f>
        <v>ZV7.1043C01</v>
      </c>
      <c r="R63" s="122" t="str">
        <f>Cen!C310</f>
        <v>OG-M</v>
      </c>
      <c r="S63" s="559">
        <f>SUM($S$3:$S$11)</f>
        <v>0</v>
      </c>
      <c r="T63" s="118">
        <f>Cen!F310</f>
        <v>15.491620000000001</v>
      </c>
      <c r="U63" s="118">
        <f>S63*T63</f>
        <v>0</v>
      </c>
    </row>
    <row r="64" spans="16:21" x14ac:dyDescent="0.25">
      <c r="P64" s="119"/>
      <c r="Q64" s="119"/>
    </row>
    <row r="65" spans="16:21" x14ac:dyDescent="0.25">
      <c r="P65" s="119"/>
      <c r="Q65" s="119"/>
      <c r="S65" s="73" t="str">
        <f>List!$B$94</f>
        <v>cena kování</v>
      </c>
      <c r="U65" s="353">
        <f>SUM(U3:U64)</f>
        <v>0</v>
      </c>
    </row>
    <row r="66" spans="16:21" x14ac:dyDescent="0.25">
      <c r="P66" s="119"/>
      <c r="Q66" s="119"/>
    </row>
    <row r="67" spans="16:21" x14ac:dyDescent="0.25">
      <c r="P67" s="119"/>
      <c r="Q67" s="119"/>
    </row>
    <row r="80" spans="16:21" x14ac:dyDescent="0.25">
      <c r="P80" s="119" t="str">
        <f>List!$B$305&amp;"!"</f>
        <v>S1 pouze pro jmenovitou délku 270 a 300 mm!</v>
      </c>
    </row>
    <row r="81" spans="16:16" x14ac:dyDescent="0.25">
      <c r="P81" s="119" t="str">
        <f>List!$B$306&amp;"!"</f>
        <v>Pro výsuvy délky 270 a 300 mm vyberte jednotky S1!</v>
      </c>
    </row>
    <row r="82" spans="16:16" x14ac:dyDescent="0.25">
      <c r="P82" s="119" t="str">
        <f>List!$B$307&amp;"!"</f>
        <v>Počet jednotek L neodpovídá počtu korpusových lišt!</v>
      </c>
    </row>
    <row r="83" spans="16:16" x14ac:dyDescent="0.25">
      <c r="P83" s="119" t="str">
        <f>List!$B$308&amp;"!"</f>
        <v>Počet jednotek S1 neodpovídá počtu korpusových lišt!</v>
      </c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22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QAwnlF1L1dxwttaZpnp9kZ0hU5xhctIdpw2EZTxn8aFNgVQXVAYldYYXMtWLAAjHDCk3W6DETBL/6f9vW8UTNA==" saltValue="NyDbfWwmdnXBaSB+lIMCwA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M40VP'!A100" tooltip=" " display="'7M40VP'!A100"/>
    <hyperlink ref="N111" location="'7M40VP'!A1" tooltip=" " display="'7M40VP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22"/>
  </sheetPr>
  <dimension ref="A1:U140"/>
  <sheetViews>
    <sheetView showGridLines="0" showRowColHeader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7.453125" style="2" customWidth="1"/>
    <col min="16" max="16" width="42.81640625" style="2" hidden="1" customWidth="1"/>
    <col min="17" max="17" width="11.54296875" style="2" hidden="1" customWidth="1"/>
    <col min="18" max="21" width="9.179687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List!$B$49&amp;" K"</f>
        <v>Zásuvka K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/>
      <c r="Q3" s="127"/>
      <c r="R3" s="127"/>
      <c r="S3" s="262"/>
      <c r="T3" s="266"/>
      <c r="U3" s="263"/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190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/>
      <c r="Q4" s="127"/>
      <c r="R4" s="127"/>
      <c r="S4" s="262"/>
      <c r="T4" s="266"/>
      <c r="U4" s="263"/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 t="str">
        <f>Cen!A55</f>
        <v>Bočnice K 350mm, Orion šedé</v>
      </c>
      <c r="Q5" s="127" t="str">
        <f>Cen!B55</f>
        <v>770K3502S</v>
      </c>
      <c r="R5" s="127" t="str">
        <f>Cen!C55</f>
        <v>OG-M</v>
      </c>
      <c r="S5" s="262">
        <f>SUM(F21,F27,F33)</f>
        <v>0</v>
      </c>
      <c r="T5" s="127">
        <f>Cen!F55</f>
        <v>23.039159999999995</v>
      </c>
      <c r="U5" s="263">
        <f>S5*T5</f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2"/>
      <c r="I6" s="122"/>
      <c r="J6" s="121"/>
      <c r="K6" s="122"/>
      <c r="L6" s="144"/>
      <c r="M6" s="119"/>
      <c r="N6" s="2" t="str">
        <f>List!$B$12&amp;":"</f>
        <v>Pokračovat na:</v>
      </c>
      <c r="O6" s="119"/>
      <c r="P6" s="127" t="str">
        <f>Cen!A59</f>
        <v>Bočnice K 400mm, Orion šedé</v>
      </c>
      <c r="Q6" s="127" t="str">
        <f>Cen!B59</f>
        <v>770K4002S</v>
      </c>
      <c r="R6" s="127" t="str">
        <f>Cen!C59</f>
        <v>OG-M</v>
      </c>
      <c r="S6" s="262">
        <f>SUM(G21,G27,G33)</f>
        <v>0</v>
      </c>
      <c r="T6" s="127">
        <f>Cen!F59</f>
        <v>23.363859999999999</v>
      </c>
      <c r="U6" s="263">
        <f>S6*T6</f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54"/>
      <c r="M7" s="119"/>
      <c r="N7" s="151" t="str">
        <f>" "&amp;List!$B$5</f>
        <v xml:space="preserve"> Výběr doplňků</v>
      </c>
      <c r="O7" s="119"/>
      <c r="P7" s="127" t="str">
        <f>Cen!A63</f>
        <v>Bočnice K 450mm, Orion šedé</v>
      </c>
      <c r="Q7" s="127" t="str">
        <f>Cen!B63</f>
        <v>770K4502S</v>
      </c>
      <c r="R7" s="127" t="str">
        <f>Cen!C63</f>
        <v>OG-M</v>
      </c>
      <c r="S7" s="262">
        <f>SUM(H21:H22,H27:H28,H33:H34)</f>
        <v>0</v>
      </c>
      <c r="T7" s="127">
        <f>Cen!F63</f>
        <v>23.688369999999999</v>
      </c>
      <c r="U7" s="263">
        <f>S7*T7</f>
        <v>0</v>
      </c>
    </row>
    <row r="8" spans="1:21" ht="13.5" thickBot="1" x14ac:dyDescent="0.35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$U$63</f>
        <v>0</v>
      </c>
      <c r="L8" s="154"/>
      <c r="M8" s="119"/>
      <c r="N8" s="151" t="str">
        <f>" "&amp;List!$B$6</f>
        <v xml:space="preserve"> Výběr SERVO-DRIVE</v>
      </c>
      <c r="O8" s="119"/>
      <c r="P8" s="340" t="str">
        <f>Cen!A67</f>
        <v>Bočnice K 500mm, Orion šedé</v>
      </c>
      <c r="Q8" s="340" t="str">
        <f>Cen!B67</f>
        <v>770K5002S</v>
      </c>
      <c r="R8" s="340" t="str">
        <f>Cen!C67</f>
        <v>OG-M</v>
      </c>
      <c r="S8" s="262">
        <f>SUM(I21:I22,I27:I28,I33:I34)</f>
        <v>0</v>
      </c>
      <c r="T8" s="340">
        <f>Cen!F67</f>
        <v>24.013059999999999</v>
      </c>
      <c r="U8" s="342">
        <f>S8*T8</f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Cen!A71</f>
        <v>Bočnice K 550mm, Orion šedé</v>
      </c>
      <c r="Q9" s="127" t="str">
        <f>Cen!B71</f>
        <v>770K5502S</v>
      </c>
      <c r="R9" s="127" t="str">
        <f>Cen!C71</f>
        <v>OG-M</v>
      </c>
      <c r="S9" s="262">
        <f>SUM(J21:J22,J27:J28,J33:J34)</f>
        <v>0</v>
      </c>
      <c r="T9" s="127">
        <f>Cen!F71</f>
        <v>26.612380000000002</v>
      </c>
      <c r="U9" s="263">
        <f>S9*T9</f>
        <v>0</v>
      </c>
    </row>
    <row r="10" spans="1:21" ht="13.5" thickBot="1" x14ac:dyDescent="0.3">
      <c r="A10" s="119"/>
      <c r="B10" s="119"/>
      <c r="C10" s="119"/>
      <c r="D10" s="119"/>
      <c r="E10" s="119"/>
      <c r="F10" s="119"/>
      <c r="G10" s="119"/>
      <c r="H10" s="119"/>
      <c r="I10" s="8"/>
      <c r="J10" s="119"/>
      <c r="K10" s="119"/>
      <c r="L10" s="119"/>
      <c r="M10" s="119"/>
      <c r="N10" s="152" t="str">
        <f>" "&amp;List!$B$18</f>
        <v xml:space="preserve"> Souhrn</v>
      </c>
      <c r="O10" s="119"/>
      <c r="P10" s="127"/>
      <c r="Q10" s="127"/>
      <c r="R10" s="127"/>
      <c r="S10" s="262"/>
      <c r="T10" s="266"/>
      <c r="U10" s="263"/>
    </row>
    <row r="11" spans="1:21" x14ac:dyDescent="0.25">
      <c r="A11" s="119"/>
      <c r="B11" s="119"/>
      <c r="C11" s="119"/>
      <c r="D11" s="119"/>
      <c r="E11" s="119"/>
      <c r="F11" s="119"/>
      <c r="G11" s="119"/>
      <c r="H11" s="338"/>
      <c r="I11" s="338"/>
      <c r="J11" s="339"/>
      <c r="K11" s="339"/>
      <c r="L11" s="339"/>
      <c r="M11" s="119"/>
      <c r="N11" s="152" t="str">
        <f>" "&amp;List!$B$20</f>
        <v xml:space="preserve"> Objednávka</v>
      </c>
      <c r="O11" s="119"/>
      <c r="P11" s="122"/>
      <c r="Q11" s="122"/>
      <c r="R11" s="122"/>
      <c r="S11" s="123"/>
      <c r="T11" s="117"/>
      <c r="U11" s="118"/>
    </row>
    <row r="12" spans="1:21" ht="13" x14ac:dyDescent="0.25">
      <c r="A12" s="119"/>
      <c r="B12" s="119"/>
      <c r="C12" s="119"/>
      <c r="D12" s="119"/>
      <c r="E12" s="119"/>
      <c r="F12" s="119"/>
      <c r="G12" s="119"/>
      <c r="H12" s="231"/>
      <c r="I12" s="231"/>
      <c r="J12" s="231"/>
      <c r="K12" s="231"/>
      <c r="L12" s="231"/>
      <c r="M12" s="119"/>
      <c r="N12" s="119"/>
      <c r="O12" s="119"/>
      <c r="P12" s="209"/>
      <c r="Q12" s="209"/>
      <c r="R12" s="209"/>
      <c r="S12" s="260"/>
      <c r="T12" s="261"/>
      <c r="U12" s="261"/>
    </row>
    <row r="13" spans="1:21" x14ac:dyDescent="0.25">
      <c r="A13" s="119"/>
      <c r="B13" s="119"/>
      <c r="C13" s="119"/>
      <c r="D13" s="119"/>
      <c r="E13" s="119"/>
      <c r="F13" s="119"/>
      <c r="G13" s="119"/>
      <c r="H13" s="290"/>
      <c r="I13" s="290"/>
      <c r="J13" s="290"/>
      <c r="K13" s="290"/>
      <c r="L13" s="290"/>
      <c r="M13" s="119"/>
      <c r="N13" s="119"/>
      <c r="O13" s="119"/>
      <c r="P13" s="209"/>
      <c r="Q13" s="209"/>
      <c r="R13" s="209"/>
      <c r="S13" s="260"/>
      <c r="T13" s="261"/>
      <c r="U13" s="261"/>
    </row>
    <row r="14" spans="1:21" ht="13" x14ac:dyDescent="0.3">
      <c r="A14" s="119"/>
      <c r="B14" s="119"/>
      <c r="C14" s="119"/>
      <c r="D14" s="119"/>
      <c r="E14" s="119"/>
      <c r="F14" s="119"/>
      <c r="G14" s="119"/>
      <c r="H14" s="288"/>
      <c r="I14" s="288"/>
      <c r="J14" s="288"/>
      <c r="K14" s="288"/>
      <c r="L14" s="288"/>
      <c r="M14" s="119"/>
      <c r="N14" s="119"/>
      <c r="O14" s="119"/>
      <c r="P14" s="209" t="str">
        <f>Cen!A179</f>
        <v>Korpusové lišty BLUMOTION, 350mm, 40kg</v>
      </c>
      <c r="Q14" s="209" t="str">
        <f>Cen!B179</f>
        <v>750.3501B</v>
      </c>
      <c r="R14" s="209" t="str">
        <f>Cen!C179</f>
        <v>ZN</v>
      </c>
      <c r="S14" s="260">
        <f>F21</f>
        <v>0</v>
      </c>
      <c r="T14" s="261">
        <f>Cen!F179</f>
        <v>21.845690000000001</v>
      </c>
      <c r="U14" s="261">
        <f t="shared" ref="U14:U21" si="0">S14*T14</f>
        <v>0</v>
      </c>
    </row>
    <row r="15" spans="1:21" x14ac:dyDescent="0.25">
      <c r="A15" s="119"/>
      <c r="B15" s="119"/>
      <c r="C15" s="119"/>
      <c r="D15" s="119"/>
      <c r="E15" s="119"/>
      <c r="F15" s="119"/>
      <c r="G15" s="119"/>
      <c r="H15" s="337"/>
      <c r="I15" s="337"/>
      <c r="J15" s="337"/>
      <c r="K15" s="337"/>
      <c r="L15" s="337"/>
      <c r="M15" s="119"/>
      <c r="N15" s="119"/>
      <c r="O15" s="119"/>
      <c r="P15" s="209" t="str">
        <f>Cen!A180</f>
        <v>Korpusové lišty BLUMOTION, 400mm, 40kg</v>
      </c>
      <c r="Q15" s="209" t="str">
        <f>Cen!B180</f>
        <v>750.4001B</v>
      </c>
      <c r="R15" s="209" t="str">
        <f>Cen!C180</f>
        <v>ZN</v>
      </c>
      <c r="S15" s="260">
        <f>G21</f>
        <v>0</v>
      </c>
      <c r="T15" s="261">
        <f>Cen!F180</f>
        <v>22.204979999999999</v>
      </c>
      <c r="U15" s="261">
        <f t="shared" si="0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Cen!A181</f>
        <v>Korpusové lišty BLUMOTION, 450mm, 40kg</v>
      </c>
      <c r="Q16" s="209" t="str">
        <f>Cen!B181</f>
        <v>750.4501B</v>
      </c>
      <c r="R16" s="209" t="str">
        <f>Cen!C181</f>
        <v>ZN</v>
      </c>
      <c r="S16" s="260">
        <f>H21</f>
        <v>0</v>
      </c>
      <c r="T16" s="261">
        <f>Cen!F181</f>
        <v>23.667639999999995</v>
      </c>
      <c r="U16" s="261">
        <f t="shared" si="0"/>
        <v>0</v>
      </c>
    </row>
    <row r="17" spans="1:21" x14ac:dyDescent="0.25">
      <c r="A17" s="119"/>
      <c r="B17" s="119"/>
      <c r="C17" s="119"/>
      <c r="D17" s="119"/>
      <c r="E17" s="119"/>
      <c r="F17" s="119"/>
      <c r="G17" s="119"/>
      <c r="H17" s="179"/>
      <c r="I17" s="179"/>
      <c r="J17" s="179"/>
      <c r="K17" s="179"/>
      <c r="L17" s="179"/>
      <c r="M17" s="119"/>
      <c r="N17" s="119"/>
      <c r="O17" s="119"/>
      <c r="P17" s="209" t="str">
        <f>Cen!A182</f>
        <v>Korpusové lišty BLUMOTION, 450mm, 70kg</v>
      </c>
      <c r="Q17" s="209" t="str">
        <f>Cen!B182</f>
        <v>753.4501B</v>
      </c>
      <c r="R17" s="209" t="str">
        <f>Cen!C182</f>
        <v>ZN</v>
      </c>
      <c r="S17" s="260">
        <f>H22</f>
        <v>0</v>
      </c>
      <c r="T17" s="261">
        <f>Cen!F182</f>
        <v>27.780560000000001</v>
      </c>
      <c r="U17" s="261">
        <f t="shared" si="0"/>
        <v>0</v>
      </c>
    </row>
    <row r="18" spans="1:21" ht="15.5" x14ac:dyDescent="0.3">
      <c r="A18" s="119"/>
      <c r="B18" s="119"/>
      <c r="C18" s="119"/>
      <c r="D18" s="119"/>
      <c r="E18" s="119"/>
      <c r="F18" s="119"/>
      <c r="G18" s="515" t="str">
        <f>IF(SUM($S$5:$S$9)&gt;0,List!$B$185&amp;"!"," ")</f>
        <v xml:space="preserve"> </v>
      </c>
      <c r="H18" s="179"/>
      <c r="I18" s="179"/>
      <c r="J18" s="179"/>
      <c r="K18" s="179"/>
      <c r="L18" s="179"/>
      <c r="M18" s="119"/>
      <c r="N18" s="119"/>
      <c r="O18" s="119"/>
      <c r="P18" s="343" t="str">
        <f>Cen!A183</f>
        <v>Korpusové lišty BLUMOTION, 500mm, 40kg</v>
      </c>
      <c r="Q18" s="343" t="str">
        <f>Cen!B183</f>
        <v>750.5001B</v>
      </c>
      <c r="R18" s="343" t="str">
        <f>Cen!C183</f>
        <v>ZN</v>
      </c>
      <c r="S18" s="344">
        <f>I21</f>
        <v>0</v>
      </c>
      <c r="T18" s="345">
        <f>Cen!F183</f>
        <v>22.680199999999999</v>
      </c>
      <c r="U18" s="261">
        <f t="shared" si="0"/>
        <v>0</v>
      </c>
    </row>
    <row r="19" spans="1:21" ht="15.5" x14ac:dyDescent="0.3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343" t="str">
        <f>Cen!A184</f>
        <v>Korpusové lišty BLUMOTION, 500mm, 70kg</v>
      </c>
      <c r="Q19" s="343" t="str">
        <f>Cen!B184</f>
        <v>753.5001B</v>
      </c>
      <c r="R19" s="343" t="str">
        <f>Cen!C184</f>
        <v>ZN</v>
      </c>
      <c r="S19" s="344">
        <f>I22</f>
        <v>0</v>
      </c>
      <c r="T19" s="345">
        <f>Cen!F184</f>
        <v>28.059809999999999</v>
      </c>
      <c r="U19" s="261">
        <f t="shared" si="0"/>
        <v>0</v>
      </c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8" t="s">
        <v>615</v>
      </c>
      <c r="G20" s="305" t="s">
        <v>616</v>
      </c>
      <c r="H20" s="305" t="s">
        <v>122</v>
      </c>
      <c r="I20" s="306" t="s">
        <v>617</v>
      </c>
      <c r="J20" s="305" t="s">
        <v>618</v>
      </c>
      <c r="K20" s="305"/>
      <c r="L20" s="697"/>
      <c r="M20" s="119"/>
      <c r="N20" s="119"/>
      <c r="O20" s="119"/>
      <c r="P20" s="209" t="str">
        <f>Cen!A185</f>
        <v>Korpusové lišty BLUMOTION, 550mm, 40kg</v>
      </c>
      <c r="Q20" s="209" t="str">
        <f>Cen!B185</f>
        <v>750.5501B</v>
      </c>
      <c r="R20" s="209" t="str">
        <f>Cen!C185</f>
        <v>ZN</v>
      </c>
      <c r="S20" s="260">
        <f>J21</f>
        <v>0</v>
      </c>
      <c r="T20" s="261">
        <f>Cen!F185</f>
        <v>24.254210000000004</v>
      </c>
      <c r="U20" s="261">
        <f t="shared" si="0"/>
        <v>0</v>
      </c>
    </row>
    <row r="21" spans="1:21" ht="14.5" thickBot="1" x14ac:dyDescent="0.35">
      <c r="A21" s="119"/>
      <c r="B21" s="297" t="s">
        <v>511</v>
      </c>
      <c r="C21" s="298" t="s">
        <v>505</v>
      </c>
      <c r="D21" s="355"/>
      <c r="E21" s="355"/>
      <c r="F21" s="299"/>
      <c r="G21" s="299"/>
      <c r="H21" s="299"/>
      <c r="I21" s="299"/>
      <c r="J21" s="299"/>
      <c r="K21" s="355"/>
      <c r="L21" s="355"/>
      <c r="M21" s="179"/>
      <c r="N21" s="119"/>
      <c r="O21" s="119"/>
      <c r="P21" s="209" t="str">
        <f>Cen!A186</f>
        <v>Korpusové lišty BLUMOTION, 550mm, 70kg</v>
      </c>
      <c r="Q21" s="209" t="str">
        <f>Cen!B186</f>
        <v>753.5501B</v>
      </c>
      <c r="R21" s="209" t="str">
        <f>Cen!C186</f>
        <v>ZN</v>
      </c>
      <c r="S21" s="260">
        <f>J22</f>
        <v>0</v>
      </c>
      <c r="T21" s="261">
        <f>Cen!F186</f>
        <v>29.550529999999998</v>
      </c>
      <c r="U21" s="261">
        <f t="shared" si="0"/>
        <v>0</v>
      </c>
    </row>
    <row r="22" spans="1:21" ht="14" x14ac:dyDescent="0.3">
      <c r="A22" s="119"/>
      <c r="B22" s="301" t="s">
        <v>512</v>
      </c>
      <c r="C22" s="311" t="s">
        <v>506</v>
      </c>
      <c r="D22" s="414"/>
      <c r="E22" s="414"/>
      <c r="F22" s="415"/>
      <c r="G22" s="415"/>
      <c r="H22" s="303"/>
      <c r="I22" s="303"/>
      <c r="J22" s="303"/>
      <c r="K22" s="354"/>
      <c r="L22" s="700"/>
      <c r="M22" s="179"/>
      <c r="N22" s="119"/>
      <c r="O22" s="119"/>
      <c r="P22" s="209"/>
      <c r="Q22" s="209"/>
      <c r="R22" s="209"/>
      <c r="S22" s="260"/>
      <c r="T22" s="261"/>
      <c r="U22" s="261"/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79"/>
      <c r="N23" s="119"/>
      <c r="O23" s="119"/>
      <c r="P23" s="209"/>
      <c r="Q23" s="209"/>
      <c r="R23" s="209"/>
      <c r="S23" s="260"/>
      <c r="T23" s="261"/>
      <c r="U23" s="261"/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79"/>
      <c r="N24" s="119"/>
      <c r="O24" s="119"/>
      <c r="P24" s="209"/>
      <c r="Q24" s="209"/>
      <c r="R24" s="209"/>
      <c r="S24" s="260"/>
      <c r="T24" s="261"/>
      <c r="U24" s="261"/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79"/>
      <c r="N25" s="119"/>
      <c r="O25" s="119"/>
      <c r="P25" s="209"/>
      <c r="Q25" s="209"/>
      <c r="R25" s="209"/>
      <c r="S25" s="260"/>
      <c r="T25" s="261"/>
      <c r="U25" s="261"/>
    </row>
    <row r="26" spans="1:21" ht="15.5" x14ac:dyDescent="0.35">
      <c r="A26" s="119"/>
      <c r="B26" s="313"/>
      <c r="C26" s="320" t="str">
        <f>List!$B$115&amp;":"</f>
        <v>Jmenovitá délka:</v>
      </c>
      <c r="D26" s="308"/>
      <c r="E26" s="305"/>
      <c r="F26" s="305" t="s">
        <v>615</v>
      </c>
      <c r="G26" s="305" t="s">
        <v>616</v>
      </c>
      <c r="H26" s="305" t="s">
        <v>122</v>
      </c>
      <c r="I26" s="306" t="s">
        <v>617</v>
      </c>
      <c r="J26" s="305" t="s">
        <v>618</v>
      </c>
      <c r="K26" s="305"/>
      <c r="L26" s="697"/>
      <c r="M26" s="17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513</v>
      </c>
      <c r="C27" s="298" t="s">
        <v>505</v>
      </c>
      <c r="D27" s="355"/>
      <c r="E27" s="355"/>
      <c r="F27" s="299"/>
      <c r="G27" s="299"/>
      <c r="H27" s="299"/>
      <c r="I27" s="299"/>
      <c r="J27" s="299"/>
      <c r="K27" s="355"/>
      <c r="L27" s="355"/>
      <c r="M27" s="179"/>
      <c r="N27" s="119"/>
      <c r="O27" s="119"/>
      <c r="P27" s="209" t="str">
        <f>Cen!A195</f>
        <v>Korpusové lišty TIP-ON, 350mm, 40kg</v>
      </c>
      <c r="Q27" s="209" t="str">
        <f>Cen!B195</f>
        <v>750.3501T</v>
      </c>
      <c r="R27" s="209" t="str">
        <f>Cen!C195</f>
        <v>ZN</v>
      </c>
      <c r="S27" s="260">
        <f>F27</f>
        <v>0</v>
      </c>
      <c r="T27" s="261">
        <f>Cen!F195</f>
        <v>30.366460000000004</v>
      </c>
      <c r="U27" s="261">
        <f t="shared" ref="U27:U34" si="1">S27*T27</f>
        <v>0</v>
      </c>
    </row>
    <row r="28" spans="1:21" ht="14" x14ac:dyDescent="0.3">
      <c r="A28" s="119"/>
      <c r="B28" s="296" t="s">
        <v>518</v>
      </c>
      <c r="C28" s="310" t="s">
        <v>506</v>
      </c>
      <c r="D28" s="414"/>
      <c r="E28" s="414"/>
      <c r="F28" s="415"/>
      <c r="G28" s="415"/>
      <c r="H28" s="303"/>
      <c r="I28" s="303"/>
      <c r="J28" s="303"/>
      <c r="K28" s="354"/>
      <c r="L28" s="700"/>
      <c r="M28" s="179"/>
      <c r="N28" s="119"/>
      <c r="O28" s="119"/>
      <c r="P28" s="209" t="str">
        <f>Cen!A196</f>
        <v>Korpusové lišty TIP-ON, 400mm, 40kg</v>
      </c>
      <c r="Q28" s="209" t="str">
        <f>Cen!B196</f>
        <v>750.4001T</v>
      </c>
      <c r="R28" s="209" t="str">
        <f>Cen!C196</f>
        <v>ZN</v>
      </c>
      <c r="S28" s="260">
        <f>G27</f>
        <v>0</v>
      </c>
      <c r="T28" s="261">
        <f>Cen!F196</f>
        <v>30.645720000000001</v>
      </c>
      <c r="U28" s="261">
        <f t="shared" si="1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79"/>
      <c r="N29" s="119"/>
      <c r="O29" s="119"/>
      <c r="P29" s="209" t="str">
        <f>Cen!A197</f>
        <v>Korpusové lišty TIP-ON, 450mm, 40kg</v>
      </c>
      <c r="Q29" s="209" t="str">
        <f>Cen!B197</f>
        <v>750.4501T</v>
      </c>
      <c r="R29" s="209" t="str">
        <f>Cen!C197</f>
        <v>ZN</v>
      </c>
      <c r="S29" s="260">
        <f>H27</f>
        <v>0</v>
      </c>
      <c r="T29" s="261">
        <f>Cen!F197</f>
        <v>32.552599999999998</v>
      </c>
      <c r="U29" s="261">
        <f t="shared" si="1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79"/>
      <c r="N30" s="119"/>
      <c r="O30" s="119"/>
      <c r="P30" s="209" t="str">
        <f>Cen!A198</f>
        <v>Korpusové lišty TIP-ON, 450mm, 70kg</v>
      </c>
      <c r="Q30" s="209" t="str">
        <f>Cen!B198</f>
        <v>753.4501T</v>
      </c>
      <c r="R30" s="209" t="str">
        <f>Cen!C198</f>
        <v>ZN</v>
      </c>
      <c r="S30" s="260">
        <f>H28</f>
        <v>0</v>
      </c>
      <c r="T30" s="261">
        <f>Cen!F198</f>
        <v>36.006259999999997</v>
      </c>
      <c r="U30" s="261">
        <f t="shared" si="1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343" t="str">
        <f>Cen!A199</f>
        <v>Korpusové lišty TIP-ON, 500mm, 40kg</v>
      </c>
      <c r="Q31" s="343" t="str">
        <f>Cen!B199</f>
        <v>750.5001T</v>
      </c>
      <c r="R31" s="343" t="str">
        <f>Cen!C199</f>
        <v>ZN</v>
      </c>
      <c r="S31" s="344">
        <f>I27</f>
        <v>0</v>
      </c>
      <c r="T31" s="345">
        <f>Cen!F199</f>
        <v>32.846359999999997</v>
      </c>
      <c r="U31" s="261">
        <f t="shared" si="1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/>
      <c r="E32" s="305"/>
      <c r="F32" s="305" t="s">
        <v>615</v>
      </c>
      <c r="G32" s="305" t="s">
        <v>616</v>
      </c>
      <c r="H32" s="305" t="s">
        <v>122</v>
      </c>
      <c r="I32" s="306" t="s">
        <v>617</v>
      </c>
      <c r="J32" s="305" t="s">
        <v>618</v>
      </c>
      <c r="K32" s="305"/>
      <c r="L32" s="697"/>
      <c r="M32" s="179"/>
      <c r="N32" s="152" t="str">
        <f>" "&amp;List!$B$293</f>
        <v xml:space="preserve"> Výběr sady jednotek</v>
      </c>
      <c r="O32" s="119"/>
      <c r="P32" s="343" t="str">
        <f>Cen!A200</f>
        <v>Korpusové lišty TIP-ON, 500mm, 70kg</v>
      </c>
      <c r="Q32" s="343" t="str">
        <f>Cen!B200</f>
        <v>753.5001T</v>
      </c>
      <c r="R32" s="343" t="str">
        <f>Cen!C200</f>
        <v>ZN</v>
      </c>
      <c r="S32" s="344">
        <f>I28</f>
        <v>0</v>
      </c>
      <c r="T32" s="345">
        <f>Cen!F200</f>
        <v>36.285339999999998</v>
      </c>
      <c r="U32" s="261">
        <f t="shared" si="1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355"/>
      <c r="E33" s="355"/>
      <c r="F33" s="299"/>
      <c r="G33" s="299"/>
      <c r="H33" s="299"/>
      <c r="I33" s="299"/>
      <c r="J33" s="299"/>
      <c r="K33" s="355"/>
      <c r="L33" s="355"/>
      <c r="M33" s="119"/>
      <c r="N33" s="119"/>
      <c r="O33" s="119"/>
      <c r="P33" s="209" t="str">
        <f>Cen!A201</f>
        <v>Korpusové lišty TIP-ON, 550mm, 40kg</v>
      </c>
      <c r="Q33" s="209" t="str">
        <f>Cen!B201</f>
        <v>750.5501T</v>
      </c>
      <c r="R33" s="209" t="str">
        <f>Cen!C201</f>
        <v>ZN</v>
      </c>
      <c r="S33" s="260">
        <f>J27</f>
        <v>0</v>
      </c>
      <c r="T33" s="261">
        <f>Cen!F201</f>
        <v>32.694760000000002</v>
      </c>
      <c r="U33" s="261">
        <f t="shared" si="1"/>
        <v>0</v>
      </c>
    </row>
    <row r="34" spans="1:21" ht="14" x14ac:dyDescent="0.3">
      <c r="A34" s="119"/>
      <c r="B34" s="296" t="s">
        <v>1188</v>
      </c>
      <c r="C34" s="310" t="s">
        <v>506</v>
      </c>
      <c r="D34" s="415"/>
      <c r="E34" s="415"/>
      <c r="F34" s="415"/>
      <c r="G34" s="415"/>
      <c r="H34" s="303"/>
      <c r="I34" s="303"/>
      <c r="J34" s="303"/>
      <c r="K34" s="354"/>
      <c r="L34" s="700"/>
      <c r="M34" s="119"/>
      <c r="N34" s="119"/>
      <c r="O34" s="119"/>
      <c r="P34" s="209" t="str">
        <f>Cen!A202</f>
        <v>Korpusové lišty TIP-ON, 550mm, 70kg</v>
      </c>
      <c r="Q34" s="209" t="str">
        <f>Cen!B202</f>
        <v>753.5501T</v>
      </c>
      <c r="R34" s="209" t="str">
        <f>Cen!C202</f>
        <v>ZN</v>
      </c>
      <c r="S34" s="260">
        <f>J28</f>
        <v>0</v>
      </c>
      <c r="T34" s="261">
        <f>Cen!F202</f>
        <v>37.776060000000001</v>
      </c>
      <c r="U34" s="261">
        <f t="shared" si="1"/>
        <v>0</v>
      </c>
    </row>
    <row r="35" spans="1:21" ht="15.5" x14ac:dyDescent="0.3">
      <c r="A35" s="119"/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O35" s="119"/>
      <c r="P35" s="122"/>
      <c r="Q35" s="122"/>
      <c r="R35" s="122"/>
      <c r="S35" s="123"/>
      <c r="T35" s="118"/>
      <c r="U35" s="261"/>
    </row>
    <row r="36" spans="1:21" ht="12.75" customHeight="1" x14ac:dyDescent="0.3">
      <c r="A36" s="119"/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O36" s="119"/>
      <c r="P36" s="122"/>
      <c r="Q36" s="122"/>
      <c r="R36" s="122"/>
      <c r="S36" s="123"/>
      <c r="T36" s="118"/>
      <c r="U36" s="118"/>
    </row>
    <row r="37" spans="1:21" ht="14" x14ac:dyDescent="0.3">
      <c r="A37" s="119"/>
      <c r="B37" s="291"/>
      <c r="C37" s="291"/>
      <c r="D37" s="308"/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O37" s="119"/>
      <c r="P37" s="144"/>
      <c r="Q37" s="144"/>
      <c r="R37" s="144"/>
      <c r="S37" s="150"/>
      <c r="T37" s="154"/>
      <c r="U37" s="154"/>
    </row>
    <row r="38" spans="1:21" ht="14.5" thickBot="1" x14ac:dyDescent="0.35">
      <c r="A38" s="119"/>
      <c r="B38" s="179"/>
      <c r="C38" s="291"/>
      <c r="D38" s="355"/>
      <c r="E38" s="299"/>
      <c r="F38" s="299"/>
      <c r="G38" s="300"/>
      <c r="H38" s="662" t="str">
        <f>IF(SUM(F33:K33,H34:L34)=SUM(E38:G38)," ",P82)</f>
        <v xml:space="preserve"> </v>
      </c>
      <c r="I38" s="291"/>
      <c r="M38" s="119"/>
      <c r="O38" s="119"/>
      <c r="P38" s="144"/>
      <c r="Q38" s="144"/>
      <c r="R38" s="144"/>
      <c r="S38" s="150"/>
      <c r="T38" s="154"/>
      <c r="U38" s="154"/>
    </row>
    <row r="39" spans="1:21" x14ac:dyDescent="0.25">
      <c r="A39" s="119"/>
      <c r="C39" s="661"/>
      <c r="D39" s="660"/>
      <c r="E39" s="291"/>
      <c r="F39" s="291"/>
      <c r="G39" s="291"/>
      <c r="H39" s="291"/>
      <c r="I39" s="291"/>
      <c r="M39" s="119"/>
      <c r="O39" s="119"/>
      <c r="P39" s="144"/>
      <c r="Q39" s="144"/>
      <c r="R39" s="144"/>
      <c r="S39" s="150"/>
      <c r="T39" s="154"/>
      <c r="U39" s="154"/>
    </row>
    <row r="40" spans="1:21" x14ac:dyDescent="0.25">
      <c r="A40" s="119"/>
      <c r="B40" s="661"/>
      <c r="C40" s="661"/>
      <c r="D40" s="660"/>
      <c r="O40" s="119"/>
      <c r="P40" s="144"/>
      <c r="Q40" s="144"/>
      <c r="R40" s="144"/>
      <c r="S40" s="150"/>
      <c r="T40" s="154"/>
      <c r="U40" s="154"/>
    </row>
    <row r="41" spans="1:21" x14ac:dyDescent="0.25">
      <c r="A41" s="119"/>
      <c r="O41" s="119"/>
      <c r="P41" s="209"/>
      <c r="Q41" s="209"/>
      <c r="R41" s="209"/>
      <c r="S41" s="260"/>
      <c r="T41" s="261"/>
      <c r="U41" s="261"/>
    </row>
    <row r="42" spans="1:21" x14ac:dyDescent="0.25">
      <c r="A42" s="119"/>
      <c r="B42" s="179"/>
      <c r="C42" s="179"/>
      <c r="D42" s="179"/>
      <c r="E42" s="179"/>
      <c r="F42" s="179"/>
      <c r="G42" s="179"/>
      <c r="H42" s="179"/>
      <c r="I42" s="179"/>
      <c r="J42" s="119"/>
      <c r="K42" s="119"/>
      <c r="L42" s="119"/>
      <c r="M42" s="119"/>
      <c r="N42" s="119"/>
      <c r="O42" s="119"/>
      <c r="P42" s="209"/>
      <c r="Q42" s="209"/>
      <c r="R42" s="209"/>
      <c r="S42" s="260"/>
      <c r="T42" s="261"/>
      <c r="U42" s="261"/>
    </row>
    <row r="43" spans="1:21" x14ac:dyDescent="0.25">
      <c r="A43" s="119"/>
      <c r="B43" s="179"/>
      <c r="C43" s="179"/>
      <c r="D43" s="179"/>
      <c r="E43" s="179"/>
      <c r="F43" s="179"/>
      <c r="G43" s="179"/>
      <c r="H43" s="179"/>
      <c r="I43" s="179"/>
      <c r="J43" s="119"/>
      <c r="K43" s="119"/>
      <c r="L43" s="119"/>
      <c r="M43" s="119"/>
      <c r="N43" s="119"/>
      <c r="O43" s="119"/>
      <c r="P43" s="209" t="str">
        <f>Cen!A211</f>
        <v>Korpusové lišty TIP-ON BLUMOTION, 350mm, 40kg</v>
      </c>
      <c r="Q43" s="209" t="str">
        <f>Cen!B211</f>
        <v>750.3501M</v>
      </c>
      <c r="R43" s="209" t="str">
        <f>Cen!C211</f>
        <v>ZN</v>
      </c>
      <c r="S43" s="123">
        <f>F33</f>
        <v>0</v>
      </c>
      <c r="T43" s="261">
        <f>Cen!F211</f>
        <v>21.925909999999998</v>
      </c>
      <c r="U43" s="261">
        <f t="shared" ref="U43:U58" si="2">S43*T43</f>
        <v>0</v>
      </c>
    </row>
    <row r="44" spans="1:21" x14ac:dyDescent="0.25">
      <c r="A44" s="119"/>
      <c r="B44" s="179"/>
      <c r="C44" s="179"/>
      <c r="D44" s="179"/>
      <c r="E44" s="179"/>
      <c r="F44" s="179"/>
      <c r="G44" s="179"/>
      <c r="H44" s="179"/>
      <c r="I44" s="179"/>
      <c r="J44" s="119"/>
      <c r="K44" s="119"/>
      <c r="L44" s="119"/>
      <c r="M44" s="119"/>
      <c r="N44" s="119"/>
      <c r="O44" s="119"/>
      <c r="P44" s="209" t="str">
        <f>Cen!A212</f>
        <v>Korpusové lišty TIP-ON BLUMOTION, 400mm, 40kg</v>
      </c>
      <c r="Q44" s="209" t="str">
        <f>Cen!B212</f>
        <v>750.4001M</v>
      </c>
      <c r="R44" s="209" t="str">
        <f>Cen!C212</f>
        <v>ZN</v>
      </c>
      <c r="S44" s="123">
        <f>G33</f>
        <v>0</v>
      </c>
      <c r="T44" s="261">
        <f>Cen!F212</f>
        <v>22.204979999999999</v>
      </c>
      <c r="U44" s="261">
        <f t="shared" si="2"/>
        <v>0</v>
      </c>
    </row>
    <row r="45" spans="1:21" x14ac:dyDescent="0.25">
      <c r="A45" s="119"/>
      <c r="B45" s="179"/>
      <c r="C45" s="179"/>
      <c r="D45" s="179"/>
      <c r="E45" s="179"/>
      <c r="F45" s="179"/>
      <c r="G45" s="179"/>
      <c r="H45" s="179"/>
      <c r="I45" s="179"/>
      <c r="J45" s="119"/>
      <c r="K45" s="119"/>
      <c r="L45" s="119"/>
      <c r="M45" s="119"/>
      <c r="N45" s="119"/>
      <c r="O45" s="119"/>
      <c r="P45" s="209" t="str">
        <f>Cen!A213</f>
        <v>Korpusové lišty TIP-ON BLUMOTION, 450mm, 40kg</v>
      </c>
      <c r="Q45" s="209" t="str">
        <f>Cen!B213</f>
        <v>750.4501M</v>
      </c>
      <c r="R45" s="209" t="str">
        <f>Cen!C213</f>
        <v>ZN</v>
      </c>
      <c r="S45" s="123">
        <f>H33</f>
        <v>0</v>
      </c>
      <c r="T45" s="261">
        <f>Cen!F213</f>
        <v>23.667639999999995</v>
      </c>
      <c r="U45" s="261">
        <f t="shared" si="2"/>
        <v>0</v>
      </c>
    </row>
    <row r="46" spans="1:21" x14ac:dyDescent="0.25">
      <c r="A46" s="119"/>
      <c r="B46" s="179"/>
      <c r="C46" s="179"/>
      <c r="D46" s="179"/>
      <c r="E46" s="179"/>
      <c r="F46" s="179"/>
      <c r="G46" s="179"/>
      <c r="H46" s="179"/>
      <c r="I46" s="179"/>
      <c r="J46" s="119"/>
      <c r="K46" s="119"/>
      <c r="L46" s="119"/>
      <c r="M46" s="119"/>
      <c r="N46" s="119"/>
      <c r="O46" s="119"/>
      <c r="P46" s="209" t="str">
        <f>Cen!A214</f>
        <v>Korpusové lišty TIP-ON BLUMOTION, 450mm, 70kg</v>
      </c>
      <c r="Q46" s="209" t="str">
        <f>Cen!B214</f>
        <v>753.4501M</v>
      </c>
      <c r="R46" s="209" t="str">
        <f>Cen!C214</f>
        <v>ZN</v>
      </c>
      <c r="S46" s="123">
        <f>H34</f>
        <v>0</v>
      </c>
      <c r="T46" s="261">
        <f>Cen!F214</f>
        <v>27.780560000000001</v>
      </c>
      <c r="U46" s="261">
        <f t="shared" si="2"/>
        <v>0</v>
      </c>
    </row>
    <row r="47" spans="1:21" ht="13" x14ac:dyDescent="0.3">
      <c r="A47" s="119"/>
      <c r="B47" s="179"/>
      <c r="C47" s="179"/>
      <c r="D47" s="179"/>
      <c r="E47" s="179"/>
      <c r="F47" s="179"/>
      <c r="G47" s="179"/>
      <c r="H47" s="179"/>
      <c r="I47" s="179"/>
      <c r="J47" s="119"/>
      <c r="K47" s="119"/>
      <c r="L47" s="119"/>
      <c r="M47" s="119"/>
      <c r="N47" s="119"/>
      <c r="O47" s="119"/>
      <c r="P47" s="343" t="str">
        <f>Cen!A215</f>
        <v>Korpusové lišty TIP-ON BLUMOTION, 500mm, 40kg</v>
      </c>
      <c r="Q47" s="343" t="str">
        <f>Cen!B215</f>
        <v>750.5001M</v>
      </c>
      <c r="R47" s="343" t="str">
        <f>Cen!C215</f>
        <v>ZN</v>
      </c>
      <c r="S47" s="695">
        <f>I33</f>
        <v>0</v>
      </c>
      <c r="T47" s="345">
        <f>Cen!F215</f>
        <v>23.961559999999999</v>
      </c>
      <c r="U47" s="345">
        <f t="shared" si="2"/>
        <v>0</v>
      </c>
    </row>
    <row r="48" spans="1:21" ht="13" x14ac:dyDescent="0.3">
      <c r="A48" s="119"/>
      <c r="B48" s="179"/>
      <c r="C48" s="179"/>
      <c r="D48" s="179"/>
      <c r="E48" s="179"/>
      <c r="F48" s="179"/>
      <c r="G48" s="179"/>
      <c r="H48" s="179"/>
      <c r="I48" s="179"/>
      <c r="J48" s="119"/>
      <c r="K48" s="119"/>
      <c r="L48" s="119"/>
      <c r="M48" s="119"/>
      <c r="N48" s="119"/>
      <c r="O48" s="119"/>
      <c r="P48" s="343" t="str">
        <f>Cen!A216</f>
        <v>Korpusové lišty TIP-ON BLUMOTION, 500mm, 70kg</v>
      </c>
      <c r="Q48" s="343" t="str">
        <f>Cen!B216</f>
        <v>753.5001M</v>
      </c>
      <c r="R48" s="343" t="str">
        <f>Cen!C216</f>
        <v>ZN</v>
      </c>
      <c r="S48" s="695">
        <f>I34</f>
        <v>0</v>
      </c>
      <c r="T48" s="345">
        <f>Cen!F216</f>
        <v>28.059809999999999</v>
      </c>
      <c r="U48" s="345">
        <f t="shared" si="2"/>
        <v>0</v>
      </c>
    </row>
    <row r="49" spans="1:21" x14ac:dyDescent="0.25">
      <c r="A49" s="119"/>
      <c r="B49" s="179"/>
      <c r="C49" s="179"/>
      <c r="D49" s="179"/>
      <c r="E49" s="179"/>
      <c r="F49" s="179"/>
      <c r="G49" s="179"/>
      <c r="H49" s="179"/>
      <c r="I49" s="179"/>
      <c r="J49" s="119"/>
      <c r="K49" s="119"/>
      <c r="L49" s="119"/>
      <c r="M49" s="119"/>
      <c r="N49" s="119"/>
      <c r="O49" s="119"/>
      <c r="P49" s="209" t="str">
        <f>Cen!A217</f>
        <v>Korpusové lišty TIP-ON BLUMOTION, 550mm, 40kg</v>
      </c>
      <c r="Q49" s="209" t="str">
        <f>Cen!B217</f>
        <v>750.5501M</v>
      </c>
      <c r="R49" s="209" t="str">
        <f>Cen!C217</f>
        <v>ZN</v>
      </c>
      <c r="S49" s="123">
        <f>J33</f>
        <v>0</v>
      </c>
      <c r="T49" s="261">
        <f>Cen!F217</f>
        <v>24.254210000000004</v>
      </c>
      <c r="U49" s="261">
        <f t="shared" si="2"/>
        <v>0</v>
      </c>
    </row>
    <row r="50" spans="1:21" x14ac:dyDescent="0.25">
      <c r="A50" s="119"/>
      <c r="B50" s="179"/>
      <c r="C50" s="179"/>
      <c r="D50" s="179"/>
      <c r="E50" s="179"/>
      <c r="F50" s="179"/>
      <c r="G50" s="179"/>
      <c r="H50" s="179"/>
      <c r="I50" s="179"/>
      <c r="J50" s="119"/>
      <c r="K50" s="119"/>
      <c r="L50" s="119"/>
      <c r="M50" s="119"/>
      <c r="N50" s="119"/>
      <c r="O50" s="119"/>
      <c r="P50" s="209" t="str">
        <f>Cen!A218</f>
        <v>Korpusové lišty TIP-ON BLUMOTION, 550mm, 70kg</v>
      </c>
      <c r="Q50" s="209" t="str">
        <f>Cen!B218</f>
        <v>753.5501M</v>
      </c>
      <c r="R50" s="209" t="str">
        <f>Cen!C218</f>
        <v>ZN</v>
      </c>
      <c r="S50" s="123">
        <f>J34</f>
        <v>0</v>
      </c>
      <c r="T50" s="261">
        <f>Cen!F218</f>
        <v>29.550529999999998</v>
      </c>
      <c r="U50" s="261">
        <f t="shared" si="2"/>
        <v>0</v>
      </c>
    </row>
    <row r="51" spans="1:21" x14ac:dyDescent="0.25">
      <c r="A51" s="119"/>
      <c r="B51" s="179"/>
      <c r="C51" s="179"/>
      <c r="D51" s="179"/>
      <c r="E51" s="179"/>
      <c r="F51" s="179"/>
      <c r="G51" s="179"/>
      <c r="H51" s="179"/>
      <c r="I51" s="179"/>
      <c r="J51" s="119"/>
      <c r="K51" s="119"/>
      <c r="L51" s="119"/>
      <c r="M51" s="119"/>
      <c r="N51" s="119"/>
      <c r="O51" s="119"/>
      <c r="P51" s="209"/>
      <c r="Q51" s="209"/>
      <c r="R51" s="209"/>
      <c r="S51" s="260"/>
      <c r="T51" s="261"/>
      <c r="U51" s="261"/>
    </row>
    <row r="52" spans="1:21" x14ac:dyDescent="0.25">
      <c r="A52" s="119"/>
      <c r="B52" s="179"/>
      <c r="C52" s="179"/>
      <c r="D52" s="179"/>
      <c r="E52" s="179"/>
      <c r="F52" s="179"/>
      <c r="G52" s="179"/>
      <c r="H52" s="179"/>
      <c r="I52" s="179"/>
      <c r="J52" s="119"/>
      <c r="K52" s="119"/>
      <c r="L52" s="119"/>
      <c r="M52" s="119"/>
      <c r="N52" s="119"/>
      <c r="O52" s="119"/>
      <c r="P52" s="209"/>
      <c r="Q52" s="209"/>
      <c r="R52" s="209"/>
      <c r="S52" s="260"/>
      <c r="T52" s="261"/>
      <c r="U52" s="261"/>
    </row>
    <row r="53" spans="1:21" x14ac:dyDescent="0.25">
      <c r="A53" s="119"/>
      <c r="B53" s="179"/>
      <c r="C53" s="179"/>
      <c r="D53" s="179"/>
      <c r="E53" s="179"/>
      <c r="F53" s="179"/>
      <c r="G53" s="179"/>
      <c r="H53" s="179"/>
      <c r="I53" s="179"/>
      <c r="J53" s="119"/>
      <c r="K53" s="119"/>
      <c r="L53" s="119"/>
      <c r="M53" s="119"/>
      <c r="N53" s="119"/>
      <c r="O53" s="119"/>
      <c r="P53" s="209"/>
      <c r="Q53" s="209"/>
      <c r="R53" s="209"/>
      <c r="S53" s="260"/>
      <c r="T53" s="261"/>
      <c r="U53" s="261"/>
    </row>
    <row r="54" spans="1:21" x14ac:dyDescent="0.25">
      <c r="A54" s="119"/>
      <c r="B54" s="179"/>
      <c r="C54" s="179"/>
      <c r="D54" s="179"/>
      <c r="E54" s="179"/>
      <c r="F54" s="179"/>
      <c r="G54" s="179"/>
      <c r="H54" s="179"/>
      <c r="I54" s="179"/>
      <c r="J54" s="119"/>
      <c r="K54" s="119"/>
      <c r="L54" s="119"/>
      <c r="M54" s="119"/>
      <c r="N54" s="119"/>
      <c r="O54" s="119"/>
      <c r="P54" s="209"/>
      <c r="Q54" s="209"/>
      <c r="R54" s="209"/>
      <c r="S54" s="260"/>
      <c r="T54" s="261"/>
      <c r="U54" s="261"/>
    </row>
    <row r="55" spans="1:21" x14ac:dyDescent="0.25">
      <c r="A55" s="119"/>
      <c r="B55" s="179"/>
      <c r="C55" s="179"/>
      <c r="D55" s="179"/>
      <c r="E55" s="179"/>
      <c r="F55" s="179"/>
      <c r="G55" s="179"/>
      <c r="H55" s="179"/>
      <c r="I55" s="179"/>
      <c r="J55" s="119"/>
      <c r="K55" s="119"/>
      <c r="L55" s="119"/>
      <c r="M55" s="119"/>
      <c r="N55" s="119"/>
      <c r="O55" s="119"/>
      <c r="P55" s="209"/>
      <c r="Q55" s="209"/>
      <c r="R55" s="209"/>
      <c r="S55" s="260"/>
      <c r="T55" s="261"/>
      <c r="U55" s="261"/>
    </row>
    <row r="56" spans="1:21" x14ac:dyDescent="0.25">
      <c r="A56" s="119"/>
      <c r="B56" s="179"/>
      <c r="C56" s="179"/>
      <c r="D56" s="179"/>
      <c r="E56" s="179"/>
      <c r="F56" s="179"/>
      <c r="G56" s="179"/>
      <c r="H56" s="179"/>
      <c r="I56" s="179"/>
      <c r="J56" s="119"/>
      <c r="K56" s="119"/>
      <c r="L56" s="119"/>
      <c r="M56" s="119"/>
      <c r="N56" s="119"/>
      <c r="O56" s="119"/>
      <c r="P56" s="209" t="str">
        <f>Cen!A224</f>
        <v>Sada jednotek TIP-ON BLUMOTION, L1</v>
      </c>
      <c r="Q56" s="209" t="str">
        <f>Cen!B224</f>
        <v>T60L7340</v>
      </c>
      <c r="R56" s="209" t="str">
        <f>Cen!C224</f>
        <v>ZN</v>
      </c>
      <c r="S56" s="123">
        <f>E38</f>
        <v>0</v>
      </c>
      <c r="T56" s="261">
        <f>Cen!F224</f>
        <v>15.883479999999999</v>
      </c>
      <c r="U56" s="261">
        <f t="shared" si="2"/>
        <v>0</v>
      </c>
    </row>
    <row r="57" spans="1:21" x14ac:dyDescent="0.25">
      <c r="A57" s="119"/>
      <c r="B57" s="179"/>
      <c r="C57" s="179"/>
      <c r="D57" s="179"/>
      <c r="E57" s="179"/>
      <c r="F57" s="179"/>
      <c r="G57" s="179"/>
      <c r="H57" s="179"/>
      <c r="I57" s="179"/>
      <c r="J57" s="119"/>
      <c r="K57" s="119"/>
      <c r="L57" s="119"/>
      <c r="M57" s="119"/>
      <c r="N57" s="119"/>
      <c r="O57" s="119"/>
      <c r="P57" s="209" t="str">
        <f>Cen!A225</f>
        <v>Sada jednotek TIP-ON BLUMOTION, L3</v>
      </c>
      <c r="Q57" s="209" t="str">
        <f>Cen!B225</f>
        <v>T60L7540</v>
      </c>
      <c r="R57" s="209" t="str">
        <f>Cen!C225</f>
        <v>ZN</v>
      </c>
      <c r="S57" s="123">
        <f>F38</f>
        <v>0</v>
      </c>
      <c r="T57" s="261">
        <f>Cen!F225</f>
        <v>15.883479999999999</v>
      </c>
      <c r="U57" s="261">
        <f t="shared" si="2"/>
        <v>0</v>
      </c>
    </row>
    <row r="58" spans="1:21" x14ac:dyDescent="0.25">
      <c r="A58" s="119"/>
      <c r="B58" s="179"/>
      <c r="C58" s="179"/>
      <c r="D58" s="179"/>
      <c r="E58" s="179"/>
      <c r="F58" s="179"/>
      <c r="G58" s="179"/>
      <c r="H58" s="179"/>
      <c r="I58" s="179"/>
      <c r="J58" s="119"/>
      <c r="K58" s="119"/>
      <c r="L58" s="119"/>
      <c r="M58" s="119"/>
      <c r="N58" s="119"/>
      <c r="O58" s="119"/>
      <c r="P58" s="209" t="str">
        <f>Cen!A226</f>
        <v>Sada jednotek TIP-ON BLUMOTION, L5</v>
      </c>
      <c r="Q58" s="209" t="str">
        <f>Cen!B226</f>
        <v>T60L7570</v>
      </c>
      <c r="R58" s="209" t="str">
        <f>Cen!C226</f>
        <v>ZN</v>
      </c>
      <c r="S58" s="123">
        <f>G38</f>
        <v>0</v>
      </c>
      <c r="T58" s="261">
        <f>Cen!F226</f>
        <v>15.883479999999999</v>
      </c>
      <c r="U58" s="261">
        <f t="shared" si="2"/>
        <v>0</v>
      </c>
    </row>
    <row r="59" spans="1:21" x14ac:dyDescent="0.25">
      <c r="B59" s="291"/>
      <c r="C59" s="291"/>
      <c r="D59" s="291"/>
      <c r="E59" s="291"/>
      <c r="F59" s="291"/>
      <c r="G59" s="291"/>
      <c r="H59" s="291"/>
      <c r="I59" s="291"/>
      <c r="P59" s="209"/>
      <c r="Q59" s="209"/>
      <c r="R59" s="209"/>
      <c r="S59" s="260"/>
      <c r="T59" s="261"/>
      <c r="U59" s="261"/>
    </row>
    <row r="60" spans="1:21" x14ac:dyDescent="0.25">
      <c r="B60" s="179"/>
      <c r="C60" s="291"/>
      <c r="D60" s="291"/>
      <c r="E60" s="291"/>
      <c r="F60" s="291"/>
      <c r="G60" s="291"/>
      <c r="H60" s="291"/>
      <c r="I60" s="291"/>
      <c r="P60" s="122" t="str">
        <f>Cen!A255</f>
        <v>Držáky zadní stěny K, Orion šedé</v>
      </c>
      <c r="Q60" s="122" t="str">
        <f>Cen!B255</f>
        <v>ZB7K000S</v>
      </c>
      <c r="R60" s="122" t="str">
        <f>Cen!C255</f>
        <v>OG-M</v>
      </c>
      <c r="S60" s="123">
        <f>SUM($S$3:$S$10)</f>
        <v>0</v>
      </c>
      <c r="T60" s="118">
        <f>Cen!$F255</f>
        <v>1.4279500000000001</v>
      </c>
      <c r="U60" s="118">
        <f>S60*T60</f>
        <v>0</v>
      </c>
    </row>
    <row r="61" spans="1:21" x14ac:dyDescent="0.25">
      <c r="B61" s="179"/>
      <c r="C61" s="291"/>
      <c r="D61" s="291"/>
      <c r="E61" s="291"/>
      <c r="F61" s="291"/>
      <c r="G61" s="291"/>
      <c r="H61" s="291"/>
      <c r="I61" s="291"/>
      <c r="P61" s="122" t="str">
        <f>Cen!A276</f>
        <v>Čelní kování K, EXPANDO</v>
      </c>
      <c r="Q61" s="122" t="str">
        <f>Cen!B276</f>
        <v>ZF7K70E2</v>
      </c>
      <c r="R61" s="122" t="str">
        <f>Cen!C276</f>
        <v>BL</v>
      </c>
      <c r="S61" s="123">
        <f>SUM($S$3:$S$10)*2</f>
        <v>0</v>
      </c>
      <c r="T61" s="118">
        <f>Cen!F276</f>
        <v>0.59467999999999999</v>
      </c>
      <c r="U61" s="118">
        <f>S61*T61</f>
        <v>0</v>
      </c>
    </row>
    <row r="62" spans="1:21" x14ac:dyDescent="0.25">
      <c r="P62" s="119"/>
      <c r="Q62" s="119"/>
    </row>
    <row r="63" spans="1:21" x14ac:dyDescent="0.25">
      <c r="P63" s="119"/>
      <c r="Q63" s="119"/>
      <c r="S63" s="73" t="str">
        <f>List!$B$94</f>
        <v>cena kování</v>
      </c>
      <c r="U63" s="353">
        <f>SUM(U3:U62)</f>
        <v>0</v>
      </c>
    </row>
    <row r="64" spans="1:21" x14ac:dyDescent="0.25">
      <c r="P64" s="119"/>
      <c r="Q64" s="119"/>
    </row>
    <row r="65" spans="16:17" x14ac:dyDescent="0.25">
      <c r="P65" s="119"/>
      <c r="Q65" s="119"/>
    </row>
    <row r="80" spans="16:17" x14ac:dyDescent="0.25">
      <c r="P80" s="119" t="str">
        <f>List!B305&amp;"!"</f>
        <v>S1 pouze pro jmenovitou délku 270 a 300 mm!</v>
      </c>
    </row>
    <row r="81" spans="16:16" x14ac:dyDescent="0.25">
      <c r="P81" s="119" t="str">
        <f>List!B306&amp;"!"</f>
        <v>Pro výsuvy délky 270 a 300 mm vyberte jednotky S1!</v>
      </c>
    </row>
    <row r="82" spans="16:16" x14ac:dyDescent="0.25">
      <c r="P82" s="119" t="str">
        <f>List!B307&amp;"!"</f>
        <v>Počet jednotek L neodpovídá počtu korpusových lišt!</v>
      </c>
    </row>
    <row r="83" spans="16:16" x14ac:dyDescent="0.25">
      <c r="P83" s="119" t="str">
        <f>List!B308&amp;"!"</f>
        <v>Počet jednotek S1 neodpovídá počtu korpusových lišt!</v>
      </c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22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If4D4suqxA6uvwREm59xWROdshWYNNm+NdpAQqEN1aPrEW2PvgPK6rk97dv0RLDTElqppn97soS6LbnaeOOTpg==" saltValue="0tFA1kpueSCV8NUdVbu6Lw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K400P'!A100" tooltip=" " display="'7K400P'!A100"/>
    <hyperlink ref="N111" location="'7K400P'!A1" tooltip=" " display="'7K400P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indexed="22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8.2695312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List!$B$51&amp;" C"</f>
        <v>Čelní výsuv C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 t="str">
        <f>Cen!A75</f>
        <v>Bočnice C pure, 270mm, Orion šedé</v>
      </c>
      <c r="Q3" s="127" t="str">
        <f>Cen!B75</f>
        <v>770C2702S</v>
      </c>
      <c r="R3" s="127" t="str">
        <f>Cen!C75</f>
        <v>OG-M</v>
      </c>
      <c r="S3" s="262">
        <f>SUM(D21,D27,D33)</f>
        <v>0</v>
      </c>
      <c r="T3" s="266">
        <f>Cen!F75</f>
        <v>29.004729999999999</v>
      </c>
      <c r="U3" s="263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473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 t="str">
        <f>Cen!A79</f>
        <v>Bočnice C pure, 300mm, Orion šedé</v>
      </c>
      <c r="Q4" s="127" t="str">
        <f>Cen!B79</f>
        <v>770C3002S</v>
      </c>
      <c r="R4" s="127" t="str">
        <f>Cen!C79</f>
        <v>OG-M</v>
      </c>
      <c r="S4" s="262">
        <f>SUM(E21,E27,E33)</f>
        <v>0</v>
      </c>
      <c r="T4" s="266">
        <f>Cen!F79</f>
        <v>29.004729999999999</v>
      </c>
      <c r="U4" s="263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 t="str">
        <f>Cen!A83</f>
        <v>Bočnice C pure, 350mm, Orion šedé</v>
      </c>
      <c r="Q5" s="127" t="str">
        <f>Cen!B83</f>
        <v>770C3502S</v>
      </c>
      <c r="R5" s="127" t="str">
        <f>Cen!C83</f>
        <v>OG-M</v>
      </c>
      <c r="S5" s="262">
        <f>SUM(F21,F27,F33)</f>
        <v>0</v>
      </c>
      <c r="T5" s="266">
        <f>Cen!F83</f>
        <v>29.004729999999999</v>
      </c>
      <c r="U5" s="263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951</v>
      </c>
      <c r="K6" s="122"/>
      <c r="L6" s="144"/>
      <c r="M6" s="119"/>
      <c r="N6" s="2" t="str">
        <f>List!$B$12&amp;":"</f>
        <v>Pokračovat na:</v>
      </c>
      <c r="O6" s="119"/>
      <c r="P6" s="127" t="str">
        <f>Cen!A87</f>
        <v>Bočnice C pure, 400mm, Orion šedé</v>
      </c>
      <c r="Q6" s="127" t="str">
        <f>Cen!B87</f>
        <v>770C4002S</v>
      </c>
      <c r="R6" s="127" t="str">
        <f>Cen!C87</f>
        <v>OG-M</v>
      </c>
      <c r="S6" s="262">
        <f>SUM(G21,G27,G33)</f>
        <v>0</v>
      </c>
      <c r="T6" s="266">
        <f>Cen!F87</f>
        <v>29.360900000000001</v>
      </c>
      <c r="U6" s="2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54"/>
      <c r="M7" s="119"/>
      <c r="N7" s="151" t="str">
        <f>" "&amp;List!$B$5</f>
        <v xml:space="preserve"> Výběr doplňků</v>
      </c>
      <c r="O7" s="119"/>
      <c r="P7" s="127" t="str">
        <f>Cen!A91</f>
        <v>Bočnice C pure, 450mm, Orion šedé</v>
      </c>
      <c r="Q7" s="127" t="str">
        <f>Cen!B91</f>
        <v>770C4502S</v>
      </c>
      <c r="R7" s="127" t="str">
        <f>Cen!C91</f>
        <v>OG-M</v>
      </c>
      <c r="S7" s="262">
        <f>SUM(H21:H22,H27:H28,H33:H34)</f>
        <v>0</v>
      </c>
      <c r="T7" s="266">
        <f>Cen!F91</f>
        <v>31.28134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$U$63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Cen!A95</f>
        <v>Bočnice C pure, 500mm, Orion šedé</v>
      </c>
      <c r="Q8" s="127" t="str">
        <f>Cen!B95</f>
        <v>770C5002S</v>
      </c>
      <c r="R8" s="127" t="str">
        <f>Cen!C95</f>
        <v>OG-M</v>
      </c>
      <c r="S8" s="262">
        <f>SUM(I21:I22,I27:I28,I33:I34)</f>
        <v>0</v>
      </c>
      <c r="T8" s="266">
        <f>Cen!F95</f>
        <v>31.656259999999996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Cen!A99</f>
        <v>Bočnice C pure, 550mm, Orion šedé</v>
      </c>
      <c r="Q9" s="127" t="str">
        <f>Cen!B99</f>
        <v>770C5502S</v>
      </c>
      <c r="R9" s="127" t="str">
        <f>Cen!C99</f>
        <v>OG-M</v>
      </c>
      <c r="S9" s="262">
        <f>SUM(J21:J22,J27:J28,J33:J34)</f>
        <v>0</v>
      </c>
      <c r="T9" s="266">
        <f>Cen!F99</f>
        <v>31.853429999999999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Cen!A103</f>
        <v>Bočnice C pure, 600mm, Orion šedé</v>
      </c>
      <c r="Q10" s="127" t="str">
        <f>Cen!B103</f>
        <v>770C6002S</v>
      </c>
      <c r="R10" s="127" t="str">
        <f>Cen!C103</f>
        <v>OG-M</v>
      </c>
      <c r="S10" s="262">
        <f>SUM(K21:K22,K27:K28,K33:K34)</f>
        <v>0</v>
      </c>
      <c r="T10" s="266">
        <f>Cen!F103</f>
        <v>35.537379999999999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Cen!A107</f>
        <v>Bočnice C pure, 650mm, Orion šedé</v>
      </c>
      <c r="Q11" s="127" t="str">
        <f>Cen!B107</f>
        <v>770C6502S</v>
      </c>
      <c r="R11" s="127" t="str">
        <f>Cen!C107</f>
        <v>OG-M</v>
      </c>
      <c r="S11" s="262">
        <f>SUM(L22,L28,L34)</f>
        <v>0</v>
      </c>
      <c r="T11" s="266">
        <f>Cen!F107</f>
        <v>36.783200000000001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29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293"/>
      <c r="M13" s="119"/>
      <c r="N13" s="119"/>
      <c r="O13" s="119"/>
      <c r="P13" s="209" t="str">
        <f>Cen!A177</f>
        <v>Korpusové lišty BLUMOTION, 270mm, 40kg</v>
      </c>
      <c r="Q13" s="209" t="str">
        <f>Cen!B177</f>
        <v>750.2701B</v>
      </c>
      <c r="R13" s="209" t="str">
        <f>Cen!C177</f>
        <v>ZN</v>
      </c>
      <c r="S13" s="260">
        <f>D21</f>
        <v>0</v>
      </c>
      <c r="T13" s="261">
        <f>Cen!F177</f>
        <v>21.845690000000001</v>
      </c>
      <c r="U13" s="261">
        <f t="shared" ref="U13:U24" si="1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290"/>
      <c r="M14" s="119"/>
      <c r="N14" s="119"/>
      <c r="O14" s="119"/>
      <c r="P14" s="209" t="str">
        <f>Cen!A178</f>
        <v>Korpusové lišty BLUMOTION, 300mm, 40kg</v>
      </c>
      <c r="Q14" s="209" t="str">
        <f>Cen!B178</f>
        <v>750.3001B</v>
      </c>
      <c r="R14" s="209" t="str">
        <f>Cen!C178</f>
        <v>ZN</v>
      </c>
      <c r="S14" s="260">
        <f>E21</f>
        <v>0</v>
      </c>
      <c r="T14" s="261">
        <f>Cen!F178</f>
        <v>21.925909999999998</v>
      </c>
      <c r="U14" s="26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288"/>
      <c r="M15" s="119"/>
      <c r="N15" s="119"/>
      <c r="O15" s="119"/>
      <c r="P15" s="209" t="str">
        <f>Cen!A179</f>
        <v>Korpusové lišty BLUMOTION, 350mm, 40kg</v>
      </c>
      <c r="Q15" s="209" t="str">
        <f>Cen!B179</f>
        <v>750.3501B</v>
      </c>
      <c r="R15" s="209" t="str">
        <f>Cen!C179</f>
        <v>ZN</v>
      </c>
      <c r="S15" s="260">
        <f>F21</f>
        <v>0</v>
      </c>
      <c r="T15" s="261">
        <f>Cen!F179</f>
        <v>21.845690000000001</v>
      </c>
      <c r="U15" s="26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Cen!A180</f>
        <v>Korpusové lišty BLUMOTION, 400mm, 40kg</v>
      </c>
      <c r="Q16" s="209" t="str">
        <f>Cen!B180</f>
        <v>750.4001B</v>
      </c>
      <c r="R16" s="209" t="str">
        <f>Cen!C180</f>
        <v>ZN</v>
      </c>
      <c r="S16" s="260">
        <f>G21</f>
        <v>0</v>
      </c>
      <c r="T16" s="261">
        <f>Cen!F180</f>
        <v>22.204979999999999</v>
      </c>
      <c r="U16" s="261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 t="s">
        <v>614</v>
      </c>
      <c r="E20" s="305" t="s">
        <v>57</v>
      </c>
      <c r="F20" s="305" t="s">
        <v>615</v>
      </c>
      <c r="G20" s="305" t="s">
        <v>616</v>
      </c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521</v>
      </c>
      <c r="C21" s="298" t="s">
        <v>505</v>
      </c>
      <c r="D21" s="299"/>
      <c r="E21" s="299"/>
      <c r="F21" s="299"/>
      <c r="G21" s="299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522</v>
      </c>
      <c r="C22" s="311" t="s">
        <v>506</v>
      </c>
      <c r="D22" s="415"/>
      <c r="E22" s="415"/>
      <c r="F22" s="415"/>
      <c r="G22" s="415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 t="s">
        <v>614</v>
      </c>
      <c r="E26" s="305" t="s">
        <v>57</v>
      </c>
      <c r="F26" s="305" t="s">
        <v>615</v>
      </c>
      <c r="G26" s="305" t="s">
        <v>616</v>
      </c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523</v>
      </c>
      <c r="C27" s="298" t="s">
        <v>505</v>
      </c>
      <c r="D27" s="299"/>
      <c r="E27" s="299"/>
      <c r="F27" s="299"/>
      <c r="G27" s="299"/>
      <c r="H27" s="299"/>
      <c r="I27" s="299"/>
      <c r="J27" s="299"/>
      <c r="K27" s="300"/>
      <c r="L27" s="572"/>
      <c r="M27" s="119"/>
      <c r="N27" s="119"/>
      <c r="O27" s="119"/>
      <c r="P27" s="209" t="str">
        <f>Cen!A193</f>
        <v>Korpusové lišty TIP-ON, 270mm, 40kg</v>
      </c>
      <c r="Q27" s="209" t="str">
        <f>Cen!B193</f>
        <v>750.2701T</v>
      </c>
      <c r="R27" s="209" t="str">
        <f>Cen!C193</f>
        <v>ZN</v>
      </c>
      <c r="S27" s="260">
        <f>D27</f>
        <v>0</v>
      </c>
      <c r="T27" s="261">
        <f>Cen!F193</f>
        <v>30.366460000000004</v>
      </c>
      <c r="U27" s="261">
        <f t="shared" ref="U27:U38" si="2">S27*T27</f>
        <v>0</v>
      </c>
    </row>
    <row r="28" spans="1:21" ht="14" x14ac:dyDescent="0.3">
      <c r="A28" s="119"/>
      <c r="B28" s="296" t="s">
        <v>524</v>
      </c>
      <c r="C28" s="310" t="s">
        <v>506</v>
      </c>
      <c r="D28" s="415"/>
      <c r="E28" s="415"/>
      <c r="F28" s="415"/>
      <c r="G28" s="415"/>
      <c r="H28" s="303"/>
      <c r="I28" s="303"/>
      <c r="J28" s="303"/>
      <c r="K28" s="304"/>
      <c r="L28" s="304"/>
      <c r="M28" s="119"/>
      <c r="N28" s="119"/>
      <c r="O28" s="119"/>
      <c r="P28" s="209" t="str">
        <f>Cen!A194</f>
        <v>Korpusové lišty TIP-ON, 300mm, 40kg</v>
      </c>
      <c r="Q28" s="209" t="str">
        <f>Cen!B194</f>
        <v>750.3001T</v>
      </c>
      <c r="R28" s="209" t="str">
        <f>Cen!C194</f>
        <v>ZN</v>
      </c>
      <c r="S28" s="260">
        <f>E27</f>
        <v>0</v>
      </c>
      <c r="T28" s="261">
        <f>Cen!F194</f>
        <v>30.366460000000004</v>
      </c>
      <c r="U28" s="261">
        <f t="shared" si="2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209" t="str">
        <f>Cen!A195</f>
        <v>Korpusové lišty TIP-ON, 350mm, 40kg</v>
      </c>
      <c r="Q29" s="209" t="str">
        <f>Cen!B195</f>
        <v>750.3501T</v>
      </c>
      <c r="R29" s="209" t="str">
        <f>Cen!C195</f>
        <v>ZN</v>
      </c>
      <c r="S29" s="260">
        <f>F27</f>
        <v>0</v>
      </c>
      <c r="T29" s="261">
        <f>Cen!F195</f>
        <v>30.366460000000004</v>
      </c>
      <c r="U29" s="261">
        <f t="shared" si="2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19"/>
      <c r="N30" s="119"/>
      <c r="O30" s="119"/>
      <c r="P30" s="209" t="str">
        <f>Cen!A196</f>
        <v>Korpusové lišty TIP-ON, 400mm, 40kg</v>
      </c>
      <c r="Q30" s="209" t="str">
        <f>Cen!B196</f>
        <v>750.4001T</v>
      </c>
      <c r="R30" s="209" t="str">
        <f>Cen!C196</f>
        <v>ZN</v>
      </c>
      <c r="S30" s="260">
        <f>G27</f>
        <v>0</v>
      </c>
      <c r="T30" s="261">
        <f>Cen!F196</f>
        <v>30.645720000000001</v>
      </c>
      <c r="U30" s="261">
        <f t="shared" si="2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Cen!A197</f>
        <v>Korpusové lišty TIP-ON, 450mm, 40kg</v>
      </c>
      <c r="Q31" s="209" t="str">
        <f>Cen!B197</f>
        <v>750.4501T</v>
      </c>
      <c r="R31" s="209" t="str">
        <f>Cen!C197</f>
        <v>ZN</v>
      </c>
      <c r="S31" s="260">
        <f>H27</f>
        <v>0</v>
      </c>
      <c r="T31" s="261">
        <f>Cen!F197</f>
        <v>32.552599999999998</v>
      </c>
      <c r="U31" s="261">
        <f t="shared" si="2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 t="s">
        <v>614</v>
      </c>
      <c r="E32" s="305" t="s">
        <v>57</v>
      </c>
      <c r="F32" s="305" t="s">
        <v>615</v>
      </c>
      <c r="G32" s="305" t="s">
        <v>616</v>
      </c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Cen!A198</f>
        <v>Korpusové lišty TIP-ON, 450mm, 70kg</v>
      </c>
      <c r="Q32" s="209" t="str">
        <f>Cen!B198</f>
        <v>753.4501T</v>
      </c>
      <c r="R32" s="209" t="str">
        <f>Cen!C198</f>
        <v>ZN</v>
      </c>
      <c r="S32" s="260">
        <f>H28</f>
        <v>0</v>
      </c>
      <c r="T32" s="261">
        <f>Cen!F198</f>
        <v>36.006259999999997</v>
      </c>
      <c r="U32" s="261">
        <f t="shared" si="2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299"/>
      <c r="E33" s="299"/>
      <c r="F33" s="299"/>
      <c r="G33" s="299"/>
      <c r="H33" s="299"/>
      <c r="I33" s="299"/>
      <c r="J33" s="299"/>
      <c r="K33" s="300"/>
      <c r="L33" s="572"/>
      <c r="M33" s="119"/>
      <c r="N33" s="119"/>
      <c r="P33" s="209" t="str">
        <f>Cen!A199</f>
        <v>Korpusové lišty TIP-ON, 500mm, 40kg</v>
      </c>
      <c r="Q33" s="209" t="str">
        <f>Cen!B199</f>
        <v>750.5001T</v>
      </c>
      <c r="R33" s="209" t="str">
        <f>Cen!C199</f>
        <v>ZN</v>
      </c>
      <c r="S33" s="260">
        <f>I27</f>
        <v>0</v>
      </c>
      <c r="T33" s="261">
        <f>Cen!F199</f>
        <v>32.846359999999997</v>
      </c>
      <c r="U33" s="261">
        <f t="shared" si="2"/>
        <v>0</v>
      </c>
    </row>
    <row r="34" spans="1:21" ht="14" x14ac:dyDescent="0.3">
      <c r="B34" s="296" t="s">
        <v>1188</v>
      </c>
      <c r="C34" s="310" t="s">
        <v>506</v>
      </c>
      <c r="D34" s="415"/>
      <c r="E34" s="415"/>
      <c r="F34" s="415"/>
      <c r="G34" s="415"/>
      <c r="H34" s="303"/>
      <c r="I34" s="303"/>
      <c r="J34" s="303"/>
      <c r="K34" s="304"/>
      <c r="L34" s="304"/>
      <c r="M34" s="119"/>
      <c r="N34" s="119"/>
      <c r="P34" s="209" t="str">
        <f>Cen!A200</f>
        <v>Korpusové lišty TIP-ON, 500mm, 70kg</v>
      </c>
      <c r="Q34" s="209" t="str">
        <f>Cen!B200</f>
        <v>753.5001T</v>
      </c>
      <c r="R34" s="209" t="str">
        <f>Cen!C200</f>
        <v>ZN</v>
      </c>
      <c r="S34" s="260">
        <f>I28</f>
        <v>0</v>
      </c>
      <c r="T34" s="261">
        <f>Cen!F200</f>
        <v>36.285339999999998</v>
      </c>
      <c r="U34" s="261">
        <f t="shared" si="2"/>
        <v>0</v>
      </c>
    </row>
    <row r="35" spans="1:21" ht="15.5" x14ac:dyDescent="0.3"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P35" s="209" t="str">
        <f>Cen!A201</f>
        <v>Korpusové lišty TIP-ON, 550mm, 40kg</v>
      </c>
      <c r="Q35" s="209" t="str">
        <f>Cen!B201</f>
        <v>750.5501T</v>
      </c>
      <c r="R35" s="209" t="str">
        <f>Cen!C201</f>
        <v>ZN</v>
      </c>
      <c r="S35" s="260">
        <f>J27</f>
        <v>0</v>
      </c>
      <c r="T35" s="261">
        <f>Cen!F201</f>
        <v>32.694760000000002</v>
      </c>
      <c r="U35" s="261">
        <f t="shared" si="2"/>
        <v>0</v>
      </c>
    </row>
    <row r="36" spans="1:21" ht="13" x14ac:dyDescent="0.3"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P36" s="209" t="str">
        <f>Cen!A202</f>
        <v>Korpusové lišty TIP-ON, 550mm, 70kg</v>
      </c>
      <c r="Q36" s="209" t="str">
        <f>Cen!B202</f>
        <v>753.5501T</v>
      </c>
      <c r="R36" s="209" t="str">
        <f>Cen!C202</f>
        <v>ZN</v>
      </c>
      <c r="S36" s="260">
        <f>J28</f>
        <v>0</v>
      </c>
      <c r="T36" s="261">
        <f>Cen!F202</f>
        <v>37.776060000000001</v>
      </c>
      <c r="U36" s="261">
        <f t="shared" si="2"/>
        <v>0</v>
      </c>
    </row>
    <row r="37" spans="1:21" ht="14" x14ac:dyDescent="0.3">
      <c r="B37" s="291"/>
      <c r="C37" s="291"/>
      <c r="D37" s="308" t="s">
        <v>1192</v>
      </c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122" t="str">
        <f>Cen!A203</f>
        <v>Korpusové lišty TIP-ON, 600mm, 40kg</v>
      </c>
      <c r="Q37" s="122" t="str">
        <f>Cen!B203</f>
        <v>750.6001T</v>
      </c>
      <c r="R37" s="122" t="str">
        <f>Cen!C203</f>
        <v>ZN</v>
      </c>
      <c r="S37" s="123">
        <f>K27</f>
        <v>0</v>
      </c>
      <c r="T37" s="118">
        <f>Cen!F203</f>
        <v>35.700530000000001</v>
      </c>
      <c r="U37" s="261">
        <f t="shared" si="2"/>
        <v>0</v>
      </c>
    </row>
    <row r="38" spans="1:21" ht="14.5" thickBot="1" x14ac:dyDescent="0.35">
      <c r="B38" s="179"/>
      <c r="C38" s="291"/>
      <c r="D38" s="299"/>
      <c r="E38" s="299"/>
      <c r="F38" s="299"/>
      <c r="G38" s="300"/>
      <c r="H38" s="662" t="str">
        <f>IF(SUM(F33:K33,H34:L34)=SUM(E38:G38)," ",P82)</f>
        <v xml:space="preserve"> </v>
      </c>
      <c r="I38" s="291"/>
      <c r="M38" s="119"/>
      <c r="P38" s="122" t="str">
        <f>Cen!A204</f>
        <v>Korpusové lišty TIP-ON, 600mm, 70kg</v>
      </c>
      <c r="Q38" s="122" t="str">
        <f>Cen!B204</f>
        <v>753.6001T</v>
      </c>
      <c r="R38" s="122" t="str">
        <f>Cen!C204</f>
        <v>ZN</v>
      </c>
      <c r="S38" s="123">
        <f>K28</f>
        <v>0</v>
      </c>
      <c r="T38" s="118">
        <f>Cen!F204</f>
        <v>40.781829999999999</v>
      </c>
      <c r="U38" s="118">
        <f t="shared" si="2"/>
        <v>0</v>
      </c>
    </row>
    <row r="39" spans="1:21" x14ac:dyDescent="0.25">
      <c r="C39" s="661"/>
      <c r="D39" s="660" t="str">
        <f>IF(AND(SUM($D$33,$E$33)&gt;0,$D$38=0),$P$81,IF(AND(SUM($D$33,$E$33)=0,$D$38&gt;0),$P$80,IF(SUM($D$33,$E$33)&lt;&gt;$D$38,$P$80," ")))</f>
        <v xml:space="preserve"> </v>
      </c>
      <c r="E39" s="291"/>
      <c r="F39" s="291"/>
      <c r="G39" s="291"/>
      <c r="H39" s="291"/>
      <c r="I39" s="291"/>
      <c r="M39" s="119"/>
      <c r="P39" s="122" t="str">
        <f>Cen!A205</f>
        <v>Korpusové lišty TIP-ON, 650mm, 70kg</v>
      </c>
      <c r="Q39" s="122" t="str">
        <f>Cen!B205</f>
        <v>753.6501T</v>
      </c>
      <c r="R39" s="122" t="str">
        <f>Cen!C205</f>
        <v>ZN</v>
      </c>
      <c r="S39" s="123">
        <f>L28</f>
        <v>0</v>
      </c>
      <c r="T39" s="118">
        <f>Cen!F205</f>
        <v>42.272550000000003</v>
      </c>
      <c r="U39" s="118">
        <f>S39*T39</f>
        <v>0</v>
      </c>
    </row>
    <row r="40" spans="1:21" x14ac:dyDescent="0.25">
      <c r="B40" s="661"/>
      <c r="C40" s="661"/>
      <c r="D40" s="660" t="str">
        <f>IF(SUM($D$33,$E$33)&lt;&gt;$D$38,$P$83," ")</f>
        <v xml:space="preserve"> </v>
      </c>
      <c r="P40" s="144"/>
      <c r="Q40" s="144"/>
      <c r="R40" s="144"/>
      <c r="S40" s="150"/>
      <c r="T40" s="154"/>
      <c r="U40" s="154"/>
    </row>
    <row r="41" spans="1:21" x14ac:dyDescent="0.25">
      <c r="P41" s="122" t="str">
        <f>Cen!A209</f>
        <v>Korpusové lišty TIP-ON BLUMOTION, 270mm, 40kg</v>
      </c>
      <c r="Q41" s="122" t="str">
        <f>Cen!B209</f>
        <v>750.2700M</v>
      </c>
      <c r="R41" s="122" t="str">
        <f>Cen!C209</f>
        <v>ZN</v>
      </c>
      <c r="S41" s="123">
        <f>D33</f>
        <v>0</v>
      </c>
      <c r="T41" s="118">
        <f>Cen!F209</f>
        <v>21.925909999999998</v>
      </c>
      <c r="U41" s="118">
        <f>S41*T41</f>
        <v>0</v>
      </c>
    </row>
    <row r="42" spans="1:21" x14ac:dyDescent="0.25">
      <c r="P42" s="122" t="str">
        <f>Cen!A210</f>
        <v>Korpusové lišty TIP-ON BLUMOTION, 300mm, 40kg</v>
      </c>
      <c r="Q42" s="122" t="str">
        <f>Cen!B210</f>
        <v>750.3001M</v>
      </c>
      <c r="R42" s="122" t="str">
        <f>Cen!C210</f>
        <v>ZN</v>
      </c>
      <c r="S42" s="123">
        <f>E33</f>
        <v>0</v>
      </c>
      <c r="T42" s="118">
        <f>Cen!F210</f>
        <v>21.925909999999998</v>
      </c>
      <c r="U42" s="118">
        <f t="shared" ref="U42:U58" si="3">S42*T42</f>
        <v>0</v>
      </c>
    </row>
    <row r="43" spans="1:21" x14ac:dyDescent="0.25">
      <c r="P43" s="122" t="str">
        <f>Cen!A211</f>
        <v>Korpusové lišty TIP-ON BLUMOTION, 350mm, 40kg</v>
      </c>
      <c r="Q43" s="122" t="str">
        <f>Cen!B211</f>
        <v>750.3501M</v>
      </c>
      <c r="R43" s="122" t="str">
        <f>Cen!C211</f>
        <v>ZN</v>
      </c>
      <c r="S43" s="123">
        <f>F33</f>
        <v>0</v>
      </c>
      <c r="T43" s="118">
        <f>Cen!F211</f>
        <v>21.925909999999998</v>
      </c>
      <c r="U43" s="118">
        <f t="shared" si="3"/>
        <v>0</v>
      </c>
    </row>
    <row r="44" spans="1:21" x14ac:dyDescent="0.25">
      <c r="P44" s="122" t="str">
        <f>Cen!A212</f>
        <v>Korpusové lišty TIP-ON BLUMOTION, 400mm, 40kg</v>
      </c>
      <c r="Q44" s="122" t="str">
        <f>Cen!B212</f>
        <v>750.4001M</v>
      </c>
      <c r="R44" s="122" t="str">
        <f>Cen!C212</f>
        <v>ZN</v>
      </c>
      <c r="S44" s="123">
        <f>G33</f>
        <v>0</v>
      </c>
      <c r="T44" s="118">
        <f>Cen!F212</f>
        <v>22.204979999999999</v>
      </c>
      <c r="U44" s="118">
        <f t="shared" si="3"/>
        <v>0</v>
      </c>
    </row>
    <row r="45" spans="1:21" x14ac:dyDescent="0.25"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3"/>
        <v>0</v>
      </c>
    </row>
    <row r="46" spans="1:21" x14ac:dyDescent="0.25"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3"/>
        <v>0</v>
      </c>
    </row>
    <row r="47" spans="1:21" ht="13" x14ac:dyDescent="0.3"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3"/>
        <v>0</v>
      </c>
    </row>
    <row r="48" spans="1:21" ht="13" x14ac:dyDescent="0.3"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3"/>
        <v>0</v>
      </c>
    </row>
    <row r="49" spans="16:21" x14ac:dyDescent="0.25"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3"/>
        <v>0</v>
      </c>
    </row>
    <row r="50" spans="16:21" x14ac:dyDescent="0.25"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3"/>
        <v>0</v>
      </c>
    </row>
    <row r="51" spans="16:21" x14ac:dyDescent="0.25"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3"/>
        <v>0</v>
      </c>
    </row>
    <row r="52" spans="16:21" x14ac:dyDescent="0.25"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3"/>
        <v>0</v>
      </c>
    </row>
    <row r="53" spans="16:21" x14ac:dyDescent="0.25"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3"/>
        <v>0</v>
      </c>
    </row>
    <row r="54" spans="16:21" x14ac:dyDescent="0.25">
      <c r="P54" s="122"/>
      <c r="Q54" s="122"/>
      <c r="R54" s="122"/>
      <c r="S54" s="123"/>
      <c r="T54" s="118"/>
      <c r="U54" s="118"/>
    </row>
    <row r="55" spans="16:21" x14ac:dyDescent="0.25"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>
        <f>D38</f>
        <v>0</v>
      </c>
      <c r="T55" s="118">
        <f>Cen!F223</f>
        <v>15.883479999999999</v>
      </c>
      <c r="U55" s="118">
        <f t="shared" si="3"/>
        <v>0</v>
      </c>
    </row>
    <row r="56" spans="16:21" x14ac:dyDescent="0.25"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 t="shared" si="3"/>
        <v>0</v>
      </c>
    </row>
    <row r="57" spans="16:21" x14ac:dyDescent="0.25"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 t="shared" si="3"/>
        <v>0</v>
      </c>
    </row>
    <row r="58" spans="16:21" x14ac:dyDescent="0.25"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 t="shared" si="3"/>
        <v>0</v>
      </c>
    </row>
    <row r="59" spans="16:21" x14ac:dyDescent="0.25">
      <c r="P59" s="144"/>
      <c r="Q59" s="144"/>
      <c r="R59" s="144"/>
      <c r="S59" s="150"/>
      <c r="T59" s="154"/>
      <c r="U59" s="154"/>
    </row>
    <row r="60" spans="16:21" x14ac:dyDescent="0.25"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SUM($S$3:$S$11)</f>
        <v>0</v>
      </c>
      <c r="T60" s="118">
        <f>Cen!$F259</f>
        <v>1.59894</v>
      </c>
      <c r="U60" s="118">
        <f>S60*T60</f>
        <v>0</v>
      </c>
    </row>
    <row r="61" spans="16:21" x14ac:dyDescent="0.25">
      <c r="P61" s="122" t="str">
        <f>Cen!A278</f>
        <v>Čelní kování C, EXPANDO</v>
      </c>
      <c r="Q61" s="122" t="str">
        <f>Cen!B278</f>
        <v>ZF7C70E2</v>
      </c>
      <c r="R61" s="122" t="str">
        <f>Cen!C278</f>
        <v>BL</v>
      </c>
      <c r="S61" s="123">
        <f>SUM($S$3:$S$11)*2</f>
        <v>0</v>
      </c>
      <c r="T61" s="118">
        <f>Cen!F278</f>
        <v>0.76134999999999986</v>
      </c>
      <c r="U61" s="118">
        <f>S61*T61</f>
        <v>0</v>
      </c>
    </row>
    <row r="62" spans="16:21" x14ac:dyDescent="0.25">
      <c r="P62" s="119"/>
      <c r="Q62" s="119"/>
    </row>
    <row r="63" spans="16:21" x14ac:dyDescent="0.25">
      <c r="P63" s="119"/>
      <c r="Q63" s="119"/>
      <c r="S63" s="73" t="str">
        <f>List!$B$94</f>
        <v>cena kování</v>
      </c>
      <c r="U63" s="353">
        <f>SUM(U3:U62)</f>
        <v>0</v>
      </c>
    </row>
    <row r="64" spans="16:21" x14ac:dyDescent="0.25">
      <c r="P64" s="119"/>
      <c r="Q64" s="119"/>
    </row>
    <row r="65" spans="16:17" x14ac:dyDescent="0.25">
      <c r="P65" s="119"/>
      <c r="Q65" s="119"/>
    </row>
    <row r="66" spans="16:17" x14ac:dyDescent="0.25">
      <c r="P66" s="119"/>
      <c r="Q66" s="119"/>
    </row>
    <row r="67" spans="16:17" x14ac:dyDescent="0.25">
      <c r="P67" s="119"/>
      <c r="Q67" s="119"/>
    </row>
    <row r="68" spans="16:17" x14ac:dyDescent="0.25">
      <c r="P68" s="119"/>
      <c r="Q68" s="119"/>
    </row>
    <row r="69" spans="16:17" x14ac:dyDescent="0.25">
      <c r="P69" s="119"/>
      <c r="Q69" s="119"/>
    </row>
    <row r="70" spans="16:17" x14ac:dyDescent="0.25">
      <c r="P70" s="119"/>
      <c r="Q70" s="119"/>
    </row>
    <row r="71" spans="16:17" x14ac:dyDescent="0.25">
      <c r="P71" s="119"/>
      <c r="Q71" s="119"/>
    </row>
    <row r="80" spans="16:17" x14ac:dyDescent="0.25">
      <c r="P80" s="119" t="str">
        <f>List!$B$305&amp;"!"</f>
        <v>S1 pouze pro jmenovitou délku 270 a 300 mm!</v>
      </c>
    </row>
    <row r="81" spans="16:16" x14ac:dyDescent="0.25">
      <c r="P81" s="119" t="str">
        <f>List!$B$306&amp;"!"</f>
        <v>Pro výsuvy délky 270 a 300 mm vyberte jednotky S1!</v>
      </c>
    </row>
    <row r="82" spans="16:16" x14ac:dyDescent="0.25">
      <c r="P82" s="119" t="str">
        <f>List!$B$307&amp;"!"</f>
        <v>Počet jednotek L neodpovídá počtu korpusových lišt!</v>
      </c>
    </row>
    <row r="83" spans="16:16" x14ac:dyDescent="0.25">
      <c r="P83" s="119" t="str">
        <f>List!$B$308&amp;"!"</f>
        <v>Počet jednotek S1 neodpovídá počtu korpusových lišt!</v>
      </c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22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zXd6y+QNJfH62VW0bSQOwZs4dKOnm90Wj7wqTolL4hCj4OWUcc/v7X6KGoeHImwhkmbSzgE4Co/iYJYdo2bOrw==" saltValue="azLafSLYTzF1NdJrWCICcA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C410P'!A100" tooltip=" " display="'7C410P'!A100"/>
    <hyperlink ref="N111" location="'7C410P'!A1" tooltip=" " display="'7C410P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5" tint="0.39997558519241921"/>
  </sheetPr>
  <dimension ref="A1:U140"/>
  <sheetViews>
    <sheetView showGridLines="0" showRowColHeader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8.2695312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List!$B$51&amp;" C"</f>
        <v>Čelní výsuv C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/>
      <c r="Q3" s="127"/>
      <c r="R3" s="127"/>
      <c r="S3" s="262"/>
      <c r="T3" s="266"/>
      <c r="U3" s="263"/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473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/>
      <c r="Q4" s="127"/>
      <c r="R4" s="127"/>
      <c r="S4" s="262"/>
      <c r="T4" s="266"/>
      <c r="U4" s="263"/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 t="str">
        <f>Cen!A119</f>
        <v>Bočnice C free, 350mm, Orion šedé</v>
      </c>
      <c r="Q5" s="127" t="str">
        <f>Cen!B119</f>
        <v>780C3502S</v>
      </c>
      <c r="R5" s="127" t="str">
        <f>Cen!C119</f>
        <v>OG-M</v>
      </c>
      <c r="S5" s="262">
        <f>SUM(F21,F27,F33)</f>
        <v>0</v>
      </c>
      <c r="T5" s="266">
        <f>Cen!F119</f>
        <v>30.157519999999998</v>
      </c>
      <c r="U5" s="263">
        <f t="shared" ref="U5:U10" si="0">S5*T5</f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952</v>
      </c>
      <c r="K6" s="122"/>
      <c r="L6" s="144"/>
      <c r="M6" s="119"/>
      <c r="N6" s="2" t="str">
        <f>List!$B$12&amp;":"</f>
        <v>Pokračovat na:</v>
      </c>
      <c r="O6" s="119"/>
      <c r="P6" s="127" t="str">
        <f>Cen!A123</f>
        <v>Bočnice C free, 400mm, Orion šedé</v>
      </c>
      <c r="Q6" s="127" t="str">
        <f>Cen!B123</f>
        <v>780C4002S</v>
      </c>
      <c r="R6" s="127" t="str">
        <f>Cen!C123</f>
        <v>OG-M</v>
      </c>
      <c r="S6" s="262">
        <f>SUM(G21,G27,G33)</f>
        <v>0</v>
      </c>
      <c r="T6" s="266">
        <f>Cen!F123</f>
        <v>30.37988</v>
      </c>
      <c r="U6" s="2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2" t="str">
        <f>List!$B$39&amp;":"</f>
        <v>čelní kování:</v>
      </c>
      <c r="I7" s="122"/>
      <c r="J7" s="121" t="str">
        <f>Form!$O$13</f>
        <v>EXPANDO</v>
      </c>
      <c r="K7" s="118"/>
      <c r="L7" s="154"/>
      <c r="M7" s="119"/>
      <c r="N7" s="151" t="str">
        <f>" "&amp;List!$B$5</f>
        <v xml:space="preserve"> Výběr doplňků</v>
      </c>
      <c r="O7" s="119"/>
      <c r="P7" s="127" t="str">
        <f>Cen!A127</f>
        <v>Bočnice C free, 450mm, Orion šedé</v>
      </c>
      <c r="Q7" s="127" t="str">
        <f>Cen!B127</f>
        <v>780C4502S</v>
      </c>
      <c r="R7" s="127" t="str">
        <f>Cen!C127</f>
        <v>OG-M</v>
      </c>
      <c r="S7" s="262">
        <f>SUM(H21:H22,H27:H28,H33:H34)</f>
        <v>0</v>
      </c>
      <c r="T7" s="266">
        <f>Cen!F127</f>
        <v>30.602429999999998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$U$71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Cen!A131</f>
        <v>Bočnice C free, 500mm, Orion šedé</v>
      </c>
      <c r="Q8" s="127" t="str">
        <f>Cen!B131</f>
        <v>780C5002S</v>
      </c>
      <c r="R8" s="127" t="str">
        <f>Cen!C131</f>
        <v>OG-M</v>
      </c>
      <c r="S8" s="262">
        <f>SUM(I21:I22,I27:I28,I33:I34)</f>
        <v>0</v>
      </c>
      <c r="T8" s="266">
        <f>Cen!F131</f>
        <v>30.824969999999997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Cen!A135</f>
        <v>Bočnice C free, 550mm, Orion šedé</v>
      </c>
      <c r="Q9" s="127" t="str">
        <f>Cen!B135</f>
        <v>780C5502S</v>
      </c>
      <c r="R9" s="127" t="str">
        <f>Cen!C135</f>
        <v>OG-M</v>
      </c>
      <c r="S9" s="262">
        <f>SUM(J21:J22,J27:J28,J33:J34)</f>
        <v>0</v>
      </c>
      <c r="T9" s="266">
        <f>Cen!F135</f>
        <v>32.604779999999998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Cen!A139</f>
        <v>Bočnice C free, 600mm, Orion šedé</v>
      </c>
      <c r="Q10" s="127" t="str">
        <f>Cen!B139</f>
        <v>780C6002S</v>
      </c>
      <c r="R10" s="127" t="str">
        <f>Cen!C139</f>
        <v>OG-M</v>
      </c>
      <c r="S10" s="262">
        <f>SUM(K21:K22,K27:K28,K33:K34)</f>
        <v>0</v>
      </c>
      <c r="T10" s="266">
        <f>Cen!F139</f>
        <v>35.385860000000001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/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Cen!A143</f>
        <v>Bočnice C free, 650mm, Orion šedé</v>
      </c>
      <c r="Q11" s="127" t="str">
        <f>Cen!B143</f>
        <v>780C6502S</v>
      </c>
      <c r="R11" s="127" t="str">
        <f>Cen!C143</f>
        <v>OG-M</v>
      </c>
      <c r="S11" s="262">
        <f>SUM(L22,L28,L34)</f>
        <v>0</v>
      </c>
      <c r="T11" s="266">
        <f>Cen!F143</f>
        <v>36.432029999999997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/>
      <c r="I12" s="291"/>
      <c r="J12" s="291"/>
      <c r="K12" s="291"/>
      <c r="L12" s="29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293"/>
      <c r="I13" s="293"/>
      <c r="J13" s="293"/>
      <c r="K13" s="293"/>
      <c r="L13" s="293"/>
      <c r="M13" s="119"/>
      <c r="N13" s="119"/>
      <c r="O13" s="119"/>
      <c r="P13" s="209" t="str">
        <f>Cen!A177</f>
        <v>Korpusové lišty BLUMOTION, 270mm, 40kg</v>
      </c>
      <c r="Q13" s="209" t="str">
        <f>Cen!B177</f>
        <v>750.2701B</v>
      </c>
      <c r="R13" s="209" t="str">
        <f>Cen!C177</f>
        <v>ZN</v>
      </c>
      <c r="S13" s="260">
        <f>D21</f>
        <v>0</v>
      </c>
      <c r="T13" s="261">
        <f>Cen!F177</f>
        <v>21.845690000000001</v>
      </c>
      <c r="U13" s="261">
        <f t="shared" ref="U13:U24" si="1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290"/>
      <c r="I14" s="290"/>
      <c r="J14" s="290"/>
      <c r="K14" s="290"/>
      <c r="L14" s="290"/>
      <c r="M14" s="119"/>
      <c r="N14" s="119"/>
      <c r="O14" s="119"/>
      <c r="P14" s="209" t="str">
        <f>Cen!A178</f>
        <v>Korpusové lišty BLUMOTION, 300mm, 40kg</v>
      </c>
      <c r="Q14" s="209" t="str">
        <f>Cen!B178</f>
        <v>750.3001B</v>
      </c>
      <c r="R14" s="209" t="str">
        <f>Cen!C178</f>
        <v>ZN</v>
      </c>
      <c r="S14" s="260">
        <f>E21</f>
        <v>0</v>
      </c>
      <c r="T14" s="261">
        <f>Cen!F178</f>
        <v>21.925909999999998</v>
      </c>
      <c r="U14" s="26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288"/>
      <c r="I15" s="288"/>
      <c r="J15" s="288"/>
      <c r="K15" s="288"/>
      <c r="L15" s="288"/>
      <c r="M15" s="119"/>
      <c r="N15" s="119"/>
      <c r="O15" s="119"/>
      <c r="P15" s="209" t="str">
        <f>Cen!A179</f>
        <v>Korpusové lišty BLUMOTION, 350mm, 40kg</v>
      </c>
      <c r="Q15" s="209" t="str">
        <f>Cen!B179</f>
        <v>750.3501B</v>
      </c>
      <c r="R15" s="209" t="str">
        <f>Cen!C179</f>
        <v>ZN</v>
      </c>
      <c r="S15" s="260">
        <f>F21</f>
        <v>0</v>
      </c>
      <c r="T15" s="261">
        <f>Cen!F179</f>
        <v>21.845690000000001</v>
      </c>
      <c r="U15" s="26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Cen!A180</f>
        <v>Korpusové lišty BLUMOTION, 400mm, 40kg</v>
      </c>
      <c r="Q16" s="209" t="str">
        <f>Cen!B180</f>
        <v>750.4001B</v>
      </c>
      <c r="R16" s="209" t="str">
        <f>Cen!C180</f>
        <v>ZN</v>
      </c>
      <c r="S16" s="260">
        <f>G21</f>
        <v>0</v>
      </c>
      <c r="T16" s="261">
        <f>Cen!F180</f>
        <v>22.204979999999999</v>
      </c>
      <c r="U16" s="261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x14ac:dyDescent="0.25">
      <c r="A18" s="119"/>
      <c r="C18" s="119"/>
      <c r="D18" s="119"/>
      <c r="E18" s="119"/>
      <c r="F18" s="119"/>
      <c r="G18" s="119"/>
      <c r="H18" s="290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/>
      <c r="E20" s="305"/>
      <c r="F20" s="305" t="s">
        <v>615</v>
      </c>
      <c r="G20" s="305" t="s">
        <v>616</v>
      </c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521</v>
      </c>
      <c r="C21" s="298" t="s">
        <v>505</v>
      </c>
      <c r="D21" s="572"/>
      <c r="E21" s="572"/>
      <c r="F21" s="299"/>
      <c r="G21" s="299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522</v>
      </c>
      <c r="C22" s="311" t="s">
        <v>506</v>
      </c>
      <c r="D22" s="415"/>
      <c r="E22" s="415"/>
      <c r="F22" s="415"/>
      <c r="G22" s="415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/>
      <c r="E26" s="305"/>
      <c r="F26" s="305" t="s">
        <v>615</v>
      </c>
      <c r="G26" s="305" t="s">
        <v>616</v>
      </c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523</v>
      </c>
      <c r="C27" s="298" t="s">
        <v>505</v>
      </c>
      <c r="D27" s="572"/>
      <c r="E27" s="572"/>
      <c r="F27" s="299"/>
      <c r="G27" s="299"/>
      <c r="H27" s="299"/>
      <c r="I27" s="299"/>
      <c r="J27" s="299"/>
      <c r="K27" s="300"/>
      <c r="L27" s="572"/>
      <c r="M27" s="119"/>
      <c r="N27" s="119"/>
      <c r="O27" s="119"/>
      <c r="P27" s="209" t="str">
        <f>Cen!A193</f>
        <v>Korpusové lišty TIP-ON, 270mm, 40kg</v>
      </c>
      <c r="Q27" s="209" t="str">
        <f>Cen!B193</f>
        <v>750.2701T</v>
      </c>
      <c r="R27" s="209" t="str">
        <f>Cen!C193</f>
        <v>ZN</v>
      </c>
      <c r="S27" s="260">
        <f>D27</f>
        <v>0</v>
      </c>
      <c r="T27" s="261">
        <f>Cen!F193</f>
        <v>30.366460000000004</v>
      </c>
      <c r="U27" s="261">
        <f t="shared" ref="U27:U38" si="2">S27*T27</f>
        <v>0</v>
      </c>
    </row>
    <row r="28" spans="1:21" ht="14" x14ac:dyDescent="0.3">
      <c r="A28" s="119"/>
      <c r="B28" s="296" t="s">
        <v>524</v>
      </c>
      <c r="C28" s="310" t="s">
        <v>506</v>
      </c>
      <c r="D28" s="415"/>
      <c r="E28" s="415"/>
      <c r="F28" s="415"/>
      <c r="G28" s="415"/>
      <c r="H28" s="303"/>
      <c r="I28" s="303"/>
      <c r="J28" s="303"/>
      <c r="K28" s="304"/>
      <c r="L28" s="304"/>
      <c r="M28" s="119"/>
      <c r="N28" s="119"/>
      <c r="O28" s="119"/>
      <c r="P28" s="209" t="str">
        <f>Cen!A194</f>
        <v>Korpusové lišty TIP-ON, 300mm, 40kg</v>
      </c>
      <c r="Q28" s="209" t="str">
        <f>Cen!B194</f>
        <v>750.3001T</v>
      </c>
      <c r="R28" s="209" t="str">
        <f>Cen!C194</f>
        <v>ZN</v>
      </c>
      <c r="S28" s="260">
        <f>E27</f>
        <v>0</v>
      </c>
      <c r="T28" s="261">
        <f>Cen!F194</f>
        <v>30.366460000000004</v>
      </c>
      <c r="U28" s="261">
        <f t="shared" si="2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209" t="str">
        <f>Cen!A195</f>
        <v>Korpusové lišty TIP-ON, 350mm, 40kg</v>
      </c>
      <c r="Q29" s="209" t="str">
        <f>Cen!B195</f>
        <v>750.3501T</v>
      </c>
      <c r="R29" s="209" t="str">
        <f>Cen!C195</f>
        <v>ZN</v>
      </c>
      <c r="S29" s="260">
        <f>F27</f>
        <v>0</v>
      </c>
      <c r="T29" s="261">
        <f>Cen!F195</f>
        <v>30.366460000000004</v>
      </c>
      <c r="U29" s="261">
        <f t="shared" si="2"/>
        <v>0</v>
      </c>
    </row>
    <row r="30" spans="1:21" ht="13" x14ac:dyDescent="0.3">
      <c r="A30" s="119"/>
      <c r="B30" s="287"/>
      <c r="C30" s="287"/>
      <c r="D30" s="119"/>
      <c r="E30" s="119"/>
      <c r="F30" s="119"/>
      <c r="G30" s="119"/>
      <c r="H30" s="144"/>
      <c r="I30" s="144"/>
      <c r="J30" s="119"/>
      <c r="K30" s="119"/>
      <c r="L30" s="119"/>
      <c r="M30" s="119"/>
      <c r="N30" s="119"/>
      <c r="O30" s="119"/>
      <c r="P30" s="209" t="str">
        <f>Cen!A196</f>
        <v>Korpusové lišty TIP-ON, 400mm, 40kg</v>
      </c>
      <c r="Q30" s="209" t="str">
        <f>Cen!B196</f>
        <v>750.4001T</v>
      </c>
      <c r="R30" s="209" t="str">
        <f>Cen!C196</f>
        <v>ZN</v>
      </c>
      <c r="S30" s="260">
        <f>G27</f>
        <v>0</v>
      </c>
      <c r="T30" s="261">
        <f>Cen!F196</f>
        <v>30.645720000000001</v>
      </c>
      <c r="U30" s="261">
        <f t="shared" si="2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Cen!A197</f>
        <v>Korpusové lišty TIP-ON, 450mm, 40kg</v>
      </c>
      <c r="Q31" s="209" t="str">
        <f>Cen!B197</f>
        <v>750.4501T</v>
      </c>
      <c r="R31" s="209" t="str">
        <f>Cen!C197</f>
        <v>ZN</v>
      </c>
      <c r="S31" s="260">
        <f>H27</f>
        <v>0</v>
      </c>
      <c r="T31" s="261">
        <f>Cen!F197</f>
        <v>32.552599999999998</v>
      </c>
      <c r="U31" s="261">
        <f t="shared" si="2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/>
      <c r="E32" s="305"/>
      <c r="F32" s="305" t="s">
        <v>615</v>
      </c>
      <c r="G32" s="305" t="s">
        <v>616</v>
      </c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Cen!A198</f>
        <v>Korpusové lišty TIP-ON, 450mm, 70kg</v>
      </c>
      <c r="Q32" s="209" t="str">
        <f>Cen!B198</f>
        <v>753.4501T</v>
      </c>
      <c r="R32" s="209" t="str">
        <f>Cen!C198</f>
        <v>ZN</v>
      </c>
      <c r="S32" s="260">
        <f>H28</f>
        <v>0</v>
      </c>
      <c r="T32" s="261">
        <f>Cen!F198</f>
        <v>36.006259999999997</v>
      </c>
      <c r="U32" s="261">
        <f t="shared" si="2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572"/>
      <c r="E33" s="572"/>
      <c r="F33" s="299"/>
      <c r="G33" s="299"/>
      <c r="H33" s="299"/>
      <c r="I33" s="299"/>
      <c r="J33" s="299"/>
      <c r="K33" s="300"/>
      <c r="L33" s="572"/>
      <c r="M33" s="119"/>
      <c r="N33" s="119"/>
      <c r="P33" s="209" t="str">
        <f>Cen!A199</f>
        <v>Korpusové lišty TIP-ON, 500mm, 40kg</v>
      </c>
      <c r="Q33" s="209" t="str">
        <f>Cen!B199</f>
        <v>750.5001T</v>
      </c>
      <c r="R33" s="209" t="str">
        <f>Cen!C199</f>
        <v>ZN</v>
      </c>
      <c r="S33" s="260">
        <f>I27</f>
        <v>0</v>
      </c>
      <c r="T33" s="261">
        <f>Cen!F199</f>
        <v>32.846359999999997</v>
      </c>
      <c r="U33" s="261">
        <f t="shared" si="2"/>
        <v>0</v>
      </c>
    </row>
    <row r="34" spans="1:21" ht="14" x14ac:dyDescent="0.3">
      <c r="B34" s="296" t="s">
        <v>1188</v>
      </c>
      <c r="C34" s="310" t="s">
        <v>506</v>
      </c>
      <c r="D34" s="415"/>
      <c r="E34" s="415"/>
      <c r="F34" s="415"/>
      <c r="G34" s="415"/>
      <c r="H34" s="303"/>
      <c r="I34" s="303"/>
      <c r="J34" s="303"/>
      <c r="K34" s="304"/>
      <c r="L34" s="304"/>
      <c r="M34" s="119"/>
      <c r="N34" s="119"/>
      <c r="P34" s="209" t="str">
        <f>Cen!A200</f>
        <v>Korpusové lišty TIP-ON, 500mm, 70kg</v>
      </c>
      <c r="Q34" s="209" t="str">
        <f>Cen!B200</f>
        <v>753.5001T</v>
      </c>
      <c r="R34" s="209" t="str">
        <f>Cen!C200</f>
        <v>ZN</v>
      </c>
      <c r="S34" s="260">
        <f>I28</f>
        <v>0</v>
      </c>
      <c r="T34" s="261">
        <f>Cen!F200</f>
        <v>36.285339999999998</v>
      </c>
      <c r="U34" s="261">
        <f t="shared" si="2"/>
        <v>0</v>
      </c>
    </row>
    <row r="35" spans="1:21" ht="15.5" x14ac:dyDescent="0.3"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P35" s="209" t="str">
        <f>Cen!A201</f>
        <v>Korpusové lišty TIP-ON, 550mm, 40kg</v>
      </c>
      <c r="Q35" s="209" t="str">
        <f>Cen!B201</f>
        <v>750.5501T</v>
      </c>
      <c r="R35" s="209" t="str">
        <f>Cen!C201</f>
        <v>ZN</v>
      </c>
      <c r="S35" s="260">
        <f>J27</f>
        <v>0</v>
      </c>
      <c r="T35" s="261">
        <f>Cen!F201</f>
        <v>32.694760000000002</v>
      </c>
      <c r="U35" s="261">
        <f t="shared" si="2"/>
        <v>0</v>
      </c>
    </row>
    <row r="36" spans="1:21" ht="13" x14ac:dyDescent="0.3"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P36" s="209" t="str">
        <f>Cen!A202</f>
        <v>Korpusové lišty TIP-ON, 550mm, 70kg</v>
      </c>
      <c r="Q36" s="209" t="str">
        <f>Cen!B202</f>
        <v>753.5501T</v>
      </c>
      <c r="R36" s="209" t="str">
        <f>Cen!C202</f>
        <v>ZN</v>
      </c>
      <c r="S36" s="260">
        <f>J28</f>
        <v>0</v>
      </c>
      <c r="T36" s="261">
        <f>Cen!F202</f>
        <v>37.776060000000001</v>
      </c>
      <c r="U36" s="261">
        <f t="shared" si="2"/>
        <v>0</v>
      </c>
    </row>
    <row r="37" spans="1:21" ht="14" x14ac:dyDescent="0.3">
      <c r="B37" s="291"/>
      <c r="C37" s="291"/>
      <c r="D37" s="308"/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122" t="str">
        <f>Cen!A203</f>
        <v>Korpusové lišty TIP-ON, 600mm, 40kg</v>
      </c>
      <c r="Q37" s="122" t="str">
        <f>Cen!B203</f>
        <v>750.6001T</v>
      </c>
      <c r="R37" s="122" t="str">
        <f>Cen!C203</f>
        <v>ZN</v>
      </c>
      <c r="S37" s="123">
        <f>K27</f>
        <v>0</v>
      </c>
      <c r="T37" s="118">
        <f>Cen!F203</f>
        <v>35.700530000000001</v>
      </c>
      <c r="U37" s="261">
        <f t="shared" si="2"/>
        <v>0</v>
      </c>
    </row>
    <row r="38" spans="1:21" ht="14.5" thickBot="1" x14ac:dyDescent="0.35">
      <c r="B38" s="179"/>
      <c r="C38" s="291"/>
      <c r="D38" s="572"/>
      <c r="E38" s="299"/>
      <c r="F38" s="299"/>
      <c r="G38" s="300"/>
      <c r="H38" s="662" t="str">
        <f>IF(SUM(F33:K33,H34:L34)=SUM(E38:G38)," ",P82)</f>
        <v xml:space="preserve"> </v>
      </c>
      <c r="I38" s="291"/>
      <c r="M38" s="119"/>
      <c r="P38" s="122" t="str">
        <f>Cen!A204</f>
        <v>Korpusové lišty TIP-ON, 600mm, 70kg</v>
      </c>
      <c r="Q38" s="122" t="str">
        <f>Cen!B204</f>
        <v>753.6001T</v>
      </c>
      <c r="R38" s="122" t="str">
        <f>Cen!C204</f>
        <v>ZN</v>
      </c>
      <c r="S38" s="123">
        <f>K28</f>
        <v>0</v>
      </c>
      <c r="T38" s="118">
        <f>Cen!F204</f>
        <v>40.781829999999999</v>
      </c>
      <c r="U38" s="118">
        <f t="shared" si="2"/>
        <v>0</v>
      </c>
    </row>
    <row r="39" spans="1:21" x14ac:dyDescent="0.25">
      <c r="C39" s="661"/>
      <c r="D39" s="660"/>
      <c r="E39" s="291"/>
      <c r="F39" s="291"/>
      <c r="G39" s="291"/>
      <c r="H39" s="291"/>
      <c r="I39" s="291"/>
      <c r="M39" s="119"/>
      <c r="P39" s="122" t="str">
        <f>Cen!A205</f>
        <v>Korpusové lišty TIP-ON, 650mm, 70kg</v>
      </c>
      <c r="Q39" s="122" t="str">
        <f>Cen!B205</f>
        <v>753.6501T</v>
      </c>
      <c r="R39" s="122" t="str">
        <f>Cen!C205</f>
        <v>ZN</v>
      </c>
      <c r="S39" s="123">
        <f>L28</f>
        <v>0</v>
      </c>
      <c r="T39" s="118">
        <f>Cen!F205</f>
        <v>42.272550000000003</v>
      </c>
      <c r="U39" s="118">
        <f>S39*T39</f>
        <v>0</v>
      </c>
    </row>
    <row r="40" spans="1:21" x14ac:dyDescent="0.25">
      <c r="B40" s="661"/>
      <c r="C40" s="661"/>
      <c r="D40" s="660"/>
      <c r="P40" s="144"/>
      <c r="Q40" s="144"/>
      <c r="R40" s="144"/>
      <c r="S40" s="150"/>
      <c r="T40" s="154"/>
      <c r="U40" s="154"/>
    </row>
    <row r="41" spans="1:21" x14ac:dyDescent="0.25">
      <c r="P41" s="122" t="str">
        <f>Cen!A209</f>
        <v>Korpusové lišty TIP-ON BLUMOTION, 270mm, 40kg</v>
      </c>
      <c r="Q41" s="122" t="str">
        <f>Cen!B209</f>
        <v>750.2700M</v>
      </c>
      <c r="R41" s="122" t="str">
        <f>Cen!C209</f>
        <v>ZN</v>
      </c>
      <c r="S41" s="123">
        <f>D33</f>
        <v>0</v>
      </c>
      <c r="T41" s="118">
        <f>Cen!F209</f>
        <v>21.925909999999998</v>
      </c>
      <c r="U41" s="118">
        <f>S41*T41</f>
        <v>0</v>
      </c>
    </row>
    <row r="42" spans="1:21" x14ac:dyDescent="0.25">
      <c r="P42" s="122" t="str">
        <f>Cen!A210</f>
        <v>Korpusové lišty TIP-ON BLUMOTION, 300mm, 40kg</v>
      </c>
      <c r="Q42" s="122" t="str">
        <f>Cen!B210</f>
        <v>750.3001M</v>
      </c>
      <c r="R42" s="122" t="str">
        <f>Cen!C210</f>
        <v>ZN</v>
      </c>
      <c r="S42" s="123">
        <f>E33</f>
        <v>0</v>
      </c>
      <c r="T42" s="118">
        <f>Cen!F210</f>
        <v>21.925909999999998</v>
      </c>
      <c r="U42" s="118">
        <f t="shared" ref="U42:U58" si="3">S42*T42</f>
        <v>0</v>
      </c>
    </row>
    <row r="43" spans="1:21" x14ac:dyDescent="0.25">
      <c r="P43" s="122" t="str">
        <f>Cen!A211</f>
        <v>Korpusové lišty TIP-ON BLUMOTION, 350mm, 40kg</v>
      </c>
      <c r="Q43" s="122" t="str">
        <f>Cen!B211</f>
        <v>750.3501M</v>
      </c>
      <c r="R43" s="122" t="str">
        <f>Cen!C211</f>
        <v>ZN</v>
      </c>
      <c r="S43" s="123">
        <f>F33</f>
        <v>0</v>
      </c>
      <c r="T43" s="118">
        <f>Cen!F211</f>
        <v>21.925909999999998</v>
      </c>
      <c r="U43" s="118">
        <f t="shared" si="3"/>
        <v>0</v>
      </c>
    </row>
    <row r="44" spans="1:21" x14ac:dyDescent="0.25">
      <c r="P44" s="122" t="str">
        <f>Cen!A212</f>
        <v>Korpusové lišty TIP-ON BLUMOTION, 400mm, 40kg</v>
      </c>
      <c r="Q44" s="122" t="str">
        <f>Cen!B212</f>
        <v>750.4001M</v>
      </c>
      <c r="R44" s="122" t="str">
        <f>Cen!C212</f>
        <v>ZN</v>
      </c>
      <c r="S44" s="123">
        <f>G33</f>
        <v>0</v>
      </c>
      <c r="T44" s="118">
        <f>Cen!F212</f>
        <v>22.204979999999999</v>
      </c>
      <c r="U44" s="118">
        <f t="shared" si="3"/>
        <v>0</v>
      </c>
    </row>
    <row r="45" spans="1:21" x14ac:dyDescent="0.25">
      <c r="B45" s="119" t="str">
        <f>"        "&amp;List!$B$169</f>
        <v xml:space="preserve">        Boční zásuvné prvky se načtou automaticky</v>
      </c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3"/>
        <v>0</v>
      </c>
    </row>
    <row r="46" spans="1:21" x14ac:dyDescent="0.25">
      <c r="B46" s="119" t="str">
        <f>"        "&amp;List!$B$173</f>
        <v xml:space="preserve">        Máte-li zásuvné prvky vlastní, upravte počty v objednávce</v>
      </c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3"/>
        <v>0</v>
      </c>
    </row>
    <row r="47" spans="1:21" ht="13" x14ac:dyDescent="0.3"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3"/>
        <v>0</v>
      </c>
    </row>
    <row r="48" spans="1:21" ht="13" x14ac:dyDescent="0.3"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3"/>
        <v>0</v>
      </c>
    </row>
    <row r="49" spans="16:21" x14ac:dyDescent="0.25"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3"/>
        <v>0</v>
      </c>
    </row>
    <row r="50" spans="16:21" x14ac:dyDescent="0.25"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3"/>
        <v>0</v>
      </c>
    </row>
    <row r="51" spans="16:21" x14ac:dyDescent="0.25"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3"/>
        <v>0</v>
      </c>
    </row>
    <row r="52" spans="16:21" x14ac:dyDescent="0.25"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3"/>
        <v>0</v>
      </c>
    </row>
    <row r="53" spans="16:21" x14ac:dyDescent="0.25"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3"/>
        <v>0</v>
      </c>
    </row>
    <row r="54" spans="16:21" x14ac:dyDescent="0.25">
      <c r="P54" s="122"/>
      <c r="Q54" s="122"/>
      <c r="R54" s="122"/>
      <c r="S54" s="123"/>
      <c r="T54" s="118"/>
      <c r="U54" s="118"/>
    </row>
    <row r="55" spans="16:21" x14ac:dyDescent="0.25"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>
        <f>D38</f>
        <v>0</v>
      </c>
      <c r="T55" s="118">
        <f>Cen!F223</f>
        <v>15.883479999999999</v>
      </c>
      <c r="U55" s="118">
        <f t="shared" si="3"/>
        <v>0</v>
      </c>
    </row>
    <row r="56" spans="16:21" x14ac:dyDescent="0.25"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 t="shared" si="3"/>
        <v>0</v>
      </c>
    </row>
    <row r="57" spans="16:21" x14ac:dyDescent="0.25"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 t="shared" si="3"/>
        <v>0</v>
      </c>
    </row>
    <row r="58" spans="16:21" x14ac:dyDescent="0.25"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 t="shared" si="3"/>
        <v>0</v>
      </c>
    </row>
    <row r="59" spans="16:21" x14ac:dyDescent="0.25">
      <c r="P59" s="144"/>
      <c r="Q59" s="144"/>
      <c r="R59" s="144"/>
      <c r="S59" s="150"/>
      <c r="T59" s="154"/>
      <c r="U59" s="154"/>
    </row>
    <row r="60" spans="16:21" x14ac:dyDescent="0.25"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SUM($S$3:$S$11)</f>
        <v>0</v>
      </c>
      <c r="T60" s="118">
        <f>Cen!$F259</f>
        <v>1.59894</v>
      </c>
      <c r="U60" s="118">
        <f>S60*T60</f>
        <v>0</v>
      </c>
    </row>
    <row r="61" spans="16:21" x14ac:dyDescent="0.25">
      <c r="P61" s="122" t="str">
        <f>Cen!A278</f>
        <v>Čelní kování C, EXPANDO</v>
      </c>
      <c r="Q61" s="122" t="str">
        <f>Cen!B278</f>
        <v>ZF7C70E2</v>
      </c>
      <c r="R61" s="122" t="str">
        <f>Cen!C278</f>
        <v>BL</v>
      </c>
      <c r="S61" s="123">
        <f>SUM($S$3:$S$11)*2</f>
        <v>0</v>
      </c>
      <c r="T61" s="118">
        <f>Cen!F278</f>
        <v>0.76134999999999986</v>
      </c>
      <c r="U61" s="118">
        <f>S61*T61</f>
        <v>0</v>
      </c>
    </row>
    <row r="62" spans="16:21" x14ac:dyDescent="0.25">
      <c r="P62" s="119"/>
      <c r="Q62" s="119"/>
    </row>
    <row r="63" spans="16:21" x14ac:dyDescent="0.25">
      <c r="P63" s="209" t="str">
        <f>Cen!A168</f>
        <v>Boční zásuvné prvky, sklo, pro 350 mm</v>
      </c>
      <c r="Q63" s="209" t="str">
        <f>Cen!B168</f>
        <v>ZE7S238G</v>
      </c>
      <c r="R63" s="209" t="str">
        <f>Cen!C168</f>
        <v>KLA</v>
      </c>
      <c r="S63" s="260">
        <f>S5</f>
        <v>0</v>
      </c>
      <c r="T63" s="607">
        <f>Cen!F168</f>
        <v>20.738469999999996</v>
      </c>
      <c r="U63" s="261">
        <f t="shared" ref="U63:U68" si="4">S63*T63</f>
        <v>0</v>
      </c>
    </row>
    <row r="64" spans="16:21" x14ac:dyDescent="0.25">
      <c r="P64" s="127" t="str">
        <f>Cen!A169</f>
        <v>Boční zásuvné prvky, sklo, pro 400 mm</v>
      </c>
      <c r="Q64" s="127" t="str">
        <f>Cen!B169</f>
        <v>ZE7S288G</v>
      </c>
      <c r="R64" s="127" t="str">
        <f>Cen!C169</f>
        <v>KLA</v>
      </c>
      <c r="S64" s="262">
        <f t="shared" ref="S64:S69" si="5">S6</f>
        <v>0</v>
      </c>
      <c r="T64" s="266">
        <f>Cen!F169</f>
        <v>21.912770000000002</v>
      </c>
      <c r="U64" s="263">
        <f t="shared" si="4"/>
        <v>0</v>
      </c>
    </row>
    <row r="65" spans="16:21" x14ac:dyDescent="0.25">
      <c r="P65" s="127" t="str">
        <f>Cen!A170</f>
        <v>Boční zásuvné prvky, sklo, pro 450 mm</v>
      </c>
      <c r="Q65" s="127" t="str">
        <f>Cen!B170</f>
        <v>ZE7S338G</v>
      </c>
      <c r="R65" s="127" t="str">
        <f>Cen!C170</f>
        <v>KLA</v>
      </c>
      <c r="S65" s="262">
        <f t="shared" si="5"/>
        <v>0</v>
      </c>
      <c r="T65" s="266">
        <f>Cen!F170</f>
        <v>23.087060000000001</v>
      </c>
      <c r="U65" s="263">
        <f t="shared" si="4"/>
        <v>0</v>
      </c>
    </row>
    <row r="66" spans="16:21" x14ac:dyDescent="0.25">
      <c r="P66" s="127" t="str">
        <f>Cen!A171</f>
        <v>Boční zásuvné prvky, sklo, pro 500 mm</v>
      </c>
      <c r="Q66" s="127" t="str">
        <f>Cen!B171</f>
        <v>ZE7S388G</v>
      </c>
      <c r="R66" s="127" t="str">
        <f>Cen!C171</f>
        <v>KLA</v>
      </c>
      <c r="S66" s="262">
        <f t="shared" si="5"/>
        <v>0</v>
      </c>
      <c r="T66" s="266">
        <f>Cen!F171</f>
        <v>24.26136</v>
      </c>
      <c r="U66" s="263">
        <f t="shared" si="4"/>
        <v>0</v>
      </c>
    </row>
    <row r="67" spans="16:21" x14ac:dyDescent="0.25">
      <c r="P67" s="127" t="str">
        <f>Cen!A172</f>
        <v>Boční zásuvné prvky, sklo, pro 550 mm</v>
      </c>
      <c r="Q67" s="127" t="str">
        <f>Cen!B172</f>
        <v>ZE7S438G</v>
      </c>
      <c r="R67" s="127" t="str">
        <f>Cen!C172</f>
        <v>KLA</v>
      </c>
      <c r="S67" s="262">
        <f t="shared" si="5"/>
        <v>0</v>
      </c>
      <c r="T67" s="266">
        <f>Cen!F172</f>
        <v>26.609179999999995</v>
      </c>
      <c r="U67" s="263">
        <f t="shared" si="4"/>
        <v>0</v>
      </c>
    </row>
    <row r="68" spans="16:21" x14ac:dyDescent="0.25">
      <c r="P68" s="127" t="str">
        <f>Cen!A173</f>
        <v>Boční zásuvné prvky, sklo, pro 600 mm</v>
      </c>
      <c r="Q68" s="127" t="str">
        <f>Cen!B173</f>
        <v>ZE7S488G</v>
      </c>
      <c r="R68" s="127" t="str">
        <f>Cen!C173</f>
        <v>KLA</v>
      </c>
      <c r="S68" s="262">
        <f t="shared" si="5"/>
        <v>0</v>
      </c>
      <c r="T68" s="266">
        <f>Cen!F173</f>
        <v>28.957020000000004</v>
      </c>
      <c r="U68" s="263">
        <f t="shared" si="4"/>
        <v>0</v>
      </c>
    </row>
    <row r="69" spans="16:21" ht="13" thickBot="1" x14ac:dyDescent="0.3">
      <c r="P69" s="608" t="str">
        <f>Cen!A174</f>
        <v>Boční zásuvné prvky, sklo, pro 650 mm</v>
      </c>
      <c r="Q69" s="608" t="str">
        <f>Cen!B174</f>
        <v>ZE7S538G</v>
      </c>
      <c r="R69" s="608" t="str">
        <f>Cen!C174</f>
        <v>KLA</v>
      </c>
      <c r="S69" s="609">
        <f t="shared" si="5"/>
        <v>0</v>
      </c>
      <c r="T69" s="610">
        <f>Cen!F174</f>
        <v>31.304870000000001</v>
      </c>
      <c r="U69" s="611">
        <f>S69*T69</f>
        <v>0</v>
      </c>
    </row>
    <row r="70" spans="16:21" x14ac:dyDescent="0.25">
      <c r="P70" s="144"/>
      <c r="Q70" s="144"/>
      <c r="R70" s="144"/>
      <c r="S70" s="150"/>
      <c r="T70" s="461"/>
      <c r="U70" s="154"/>
    </row>
    <row r="71" spans="16:21" x14ac:dyDescent="0.25">
      <c r="P71" s="119"/>
      <c r="Q71" s="119"/>
      <c r="S71" s="73" t="str">
        <f>List!$B$94</f>
        <v>cena kování</v>
      </c>
      <c r="U71" s="353">
        <f>SUM(U3:U69)</f>
        <v>0</v>
      </c>
    </row>
    <row r="72" spans="16:21" x14ac:dyDescent="0.25">
      <c r="P72" s="119"/>
      <c r="Q72" s="119"/>
    </row>
    <row r="73" spans="16:21" x14ac:dyDescent="0.25">
      <c r="P73" s="119"/>
      <c r="Q73" s="119"/>
    </row>
    <row r="74" spans="16:21" x14ac:dyDescent="0.25">
      <c r="P74" s="119"/>
      <c r="Q74" s="119"/>
    </row>
    <row r="75" spans="16:21" x14ac:dyDescent="0.25">
      <c r="P75" s="119"/>
      <c r="Q75" s="119"/>
    </row>
    <row r="76" spans="16:21" x14ac:dyDescent="0.25">
      <c r="P76" s="119"/>
      <c r="Q76" s="119"/>
    </row>
    <row r="77" spans="16:21" x14ac:dyDescent="0.25">
      <c r="P77" s="119"/>
      <c r="Q77" s="119"/>
    </row>
    <row r="78" spans="16:21" x14ac:dyDescent="0.25">
      <c r="P78" s="119"/>
      <c r="Q78" s="119"/>
    </row>
    <row r="79" spans="16:21" x14ac:dyDescent="0.25">
      <c r="P79" s="119"/>
      <c r="Q79" s="119"/>
    </row>
    <row r="80" spans="16:21" x14ac:dyDescent="0.25">
      <c r="P80" s="119" t="str">
        <f>List!$B$305&amp;"!"</f>
        <v>S1 pouze pro jmenovitou délku 270 a 300 mm!</v>
      </c>
    </row>
    <row r="81" spans="16:16" x14ac:dyDescent="0.25">
      <c r="P81" s="119" t="str">
        <f>List!$B$306&amp;"!"</f>
        <v>Pro výsuvy délky 270 a 300 mm vyberte jednotky S1!</v>
      </c>
    </row>
    <row r="82" spans="16:16" x14ac:dyDescent="0.25">
      <c r="P82" s="119" t="str">
        <f>List!$B$307&amp;"!"</f>
        <v>Počet jednotek L neodpovídá počtu korpusových lišt!</v>
      </c>
    </row>
    <row r="83" spans="16:16" x14ac:dyDescent="0.25">
      <c r="P83" s="119" t="str">
        <f>List!$B$308&amp;"!"</f>
        <v>Počet jednotek S1 neodpovídá počtu korpusových lišt!</v>
      </c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22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rQmVgB5cpSe64WVfL6Q/pZzbS2ikel1nZIUhq0YWqq5BSAdzXiCgAHYoAhRwV3YLaa09gUcNWuKCdT8Pmt15Ow==" saltValue="ULoV44Dc/f/OCWFVif90jA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C410F'!A100" tooltip=" " display="'7C410F'!A100"/>
    <hyperlink ref="N111" location="'7C410F'!A1" tooltip=" " display="'7C410F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indexed="22"/>
  </sheetPr>
  <dimension ref="A1:U14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6.5429687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1.453125" style="2" hidden="1" customWidth="1"/>
    <col min="22" max="16384" width="9.1796875" style="2"/>
  </cols>
  <sheetData>
    <row r="1" spans="1:2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1" ht="22.5" x14ac:dyDescent="0.4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 t="str">
        <f>List!$B$52&amp;" C, "&amp;List!$B$68&amp;" "&amp;List!$B$66</f>
        <v>Vnitřní výsuv C, vysoký přední zásuvný prvek</v>
      </c>
      <c r="L2" s="120"/>
      <c r="M2" s="119"/>
      <c r="N2" s="2" t="str">
        <f>List!$B$11&amp;":"</f>
        <v>Zpět na:</v>
      </c>
      <c r="O2" s="119"/>
      <c r="P2" s="188" t="str">
        <f>List!$B$22&amp;":"</f>
        <v>Soupis kování:</v>
      </c>
      <c r="Q2" s="121"/>
      <c r="R2" s="121"/>
      <c r="S2" s="121"/>
      <c r="T2" s="121"/>
      <c r="U2" s="121"/>
    </row>
    <row r="3" spans="1:21" ht="13" thickBot="1" x14ac:dyDescent="0.3">
      <c r="A3" s="119"/>
      <c r="B3" s="119"/>
      <c r="C3" s="119"/>
      <c r="D3" s="119"/>
      <c r="E3" s="119"/>
      <c r="F3" s="119"/>
      <c r="G3" s="119"/>
      <c r="H3" s="121"/>
      <c r="I3" s="121"/>
      <c r="J3" s="121"/>
      <c r="K3" s="121"/>
      <c r="L3" s="144"/>
      <c r="M3" s="119"/>
      <c r="N3" s="151" t="str">
        <f>" "&amp;List!$B$13</f>
        <v xml:space="preserve"> Úvod</v>
      </c>
      <c r="O3" s="119"/>
      <c r="P3" s="127" t="str">
        <f>Cen!A75</f>
        <v>Bočnice C pure, 270mm, Orion šedé</v>
      </c>
      <c r="Q3" s="127" t="str">
        <f>Cen!B75</f>
        <v>770C2702S</v>
      </c>
      <c r="R3" s="127" t="str">
        <f>Cen!C75</f>
        <v>OG-M</v>
      </c>
      <c r="S3" s="262">
        <f>SUM(D21,D27,D33)</f>
        <v>0</v>
      </c>
      <c r="T3" s="266">
        <f>Cen!F75</f>
        <v>29.004729999999999</v>
      </c>
      <c r="U3" s="263">
        <f t="shared" ref="U3:U10" si="0">S3*T3</f>
        <v>0</v>
      </c>
    </row>
    <row r="4" spans="1:21" x14ac:dyDescent="0.25">
      <c r="A4" s="119"/>
      <c r="B4" s="119"/>
      <c r="C4" s="119"/>
      <c r="D4" s="119"/>
      <c r="E4" s="119"/>
      <c r="F4" s="119"/>
      <c r="G4" s="119"/>
      <c r="H4" s="122" t="str">
        <f>List!$B$79&amp;":"</f>
        <v>bočnice:</v>
      </c>
      <c r="I4" s="122"/>
      <c r="J4" s="122" t="s">
        <v>473</v>
      </c>
      <c r="K4" s="122"/>
      <c r="L4" s="144"/>
      <c r="M4" s="119"/>
      <c r="N4" s="152" t="str">
        <f>" "&amp;List!$B$4</f>
        <v xml:space="preserve"> Výběr zásuvek a výsuvů</v>
      </c>
      <c r="O4" s="119"/>
      <c r="P4" s="127" t="str">
        <f>Cen!A79</f>
        <v>Bočnice C pure, 300mm, Orion šedé</v>
      </c>
      <c r="Q4" s="127" t="str">
        <f>Cen!B79</f>
        <v>770C3002S</v>
      </c>
      <c r="R4" s="127" t="str">
        <f>Cen!C79</f>
        <v>OG-M</v>
      </c>
      <c r="S4" s="262">
        <f>SUM(E21,E27,E33)</f>
        <v>0</v>
      </c>
      <c r="T4" s="266">
        <f>Cen!F79</f>
        <v>29.004729999999999</v>
      </c>
      <c r="U4" s="263">
        <f t="shared" si="0"/>
        <v>0</v>
      </c>
    </row>
    <row r="5" spans="1:21" x14ac:dyDescent="0.25">
      <c r="A5" s="119"/>
      <c r="B5" s="119"/>
      <c r="C5" s="119"/>
      <c r="D5" s="119"/>
      <c r="E5" s="119"/>
      <c r="F5" s="119"/>
      <c r="G5" s="119"/>
      <c r="H5" s="121" t="str">
        <f>List!$B$27&amp;":"</f>
        <v>barva:</v>
      </c>
      <c r="I5" s="121"/>
      <c r="J5" s="121" t="str">
        <f>Form!$O$2</f>
        <v>Orion šedá (OG-M)</v>
      </c>
      <c r="K5" s="121"/>
      <c r="L5" s="144"/>
      <c r="M5" s="119"/>
      <c r="O5" s="119"/>
      <c r="P5" s="127" t="str">
        <f>Cen!A83</f>
        <v>Bočnice C pure, 350mm, Orion šedé</v>
      </c>
      <c r="Q5" s="127" t="str">
        <f>Cen!B83</f>
        <v>770C3502S</v>
      </c>
      <c r="R5" s="127" t="str">
        <f>Cen!C83</f>
        <v>OG-M</v>
      </c>
      <c r="S5" s="262">
        <f>SUM(F21,F27,F33)</f>
        <v>0</v>
      </c>
      <c r="T5" s="266">
        <f>Cen!F83</f>
        <v>29.004729999999999</v>
      </c>
      <c r="U5" s="263">
        <f t="shared" si="0"/>
        <v>0</v>
      </c>
    </row>
    <row r="6" spans="1:21" x14ac:dyDescent="0.25">
      <c r="A6" s="119"/>
      <c r="B6" s="119"/>
      <c r="C6" s="119"/>
      <c r="D6" s="119"/>
      <c r="E6" s="119"/>
      <c r="F6" s="119"/>
      <c r="G6" s="119"/>
      <c r="H6" s="121" t="str">
        <f>List!$B$80&amp;":"</f>
        <v>provedení:</v>
      </c>
      <c r="I6" s="122"/>
      <c r="J6" s="121" t="s">
        <v>951</v>
      </c>
      <c r="K6" s="122"/>
      <c r="L6" s="144"/>
      <c r="M6" s="119"/>
      <c r="N6" s="2" t="str">
        <f>List!$B$12&amp;":"</f>
        <v>Pokračovat na:</v>
      </c>
      <c r="O6" s="119"/>
      <c r="P6" s="127" t="str">
        <f>Cen!A87</f>
        <v>Bočnice C pure, 400mm, Orion šedé</v>
      </c>
      <c r="Q6" s="127" t="str">
        <f>Cen!B87</f>
        <v>770C4002S</v>
      </c>
      <c r="R6" s="127" t="str">
        <f>Cen!C87</f>
        <v>OG-M</v>
      </c>
      <c r="S6" s="262">
        <f>SUM(G21,G27,G33)</f>
        <v>0</v>
      </c>
      <c r="T6" s="266">
        <f>Cen!F87</f>
        <v>29.360900000000001</v>
      </c>
      <c r="U6" s="263">
        <f t="shared" si="0"/>
        <v>0</v>
      </c>
    </row>
    <row r="7" spans="1:21" ht="13" thickBot="1" x14ac:dyDescent="0.3">
      <c r="A7" s="119"/>
      <c r="B7" s="119"/>
      <c r="C7" s="119"/>
      <c r="D7" s="119"/>
      <c r="E7" s="119"/>
      <c r="F7" s="119"/>
      <c r="G7" s="119"/>
      <c r="H7" s="121" t="str">
        <f>List!$B$35&amp;":"</f>
        <v>sklo:</v>
      </c>
      <c r="I7" s="122"/>
      <c r="J7" s="121" t="str">
        <f>Form!$O$8</f>
        <v>čiré</v>
      </c>
      <c r="K7" s="122"/>
      <c r="L7" s="144"/>
      <c r="M7" s="119"/>
      <c r="N7" s="151" t="str">
        <f>" "&amp;List!$B$5</f>
        <v xml:space="preserve"> Výběr doplňků</v>
      </c>
      <c r="O7" s="119"/>
      <c r="P7" s="127" t="str">
        <f>Cen!A91</f>
        <v>Bočnice C pure, 450mm, Orion šedé</v>
      </c>
      <c r="Q7" s="127" t="str">
        <f>Cen!B91</f>
        <v>770C4502S</v>
      </c>
      <c r="R7" s="127" t="str">
        <f>Cen!C91</f>
        <v>OG-M</v>
      </c>
      <c r="S7" s="262">
        <f>SUM(H21:H22,H27:H28,H33:H34)</f>
        <v>0</v>
      </c>
      <c r="T7" s="266">
        <f>Cen!F91</f>
        <v>31.28134</v>
      </c>
      <c r="U7" s="263">
        <f t="shared" si="0"/>
        <v>0</v>
      </c>
    </row>
    <row r="8" spans="1:21" ht="13" thickBot="1" x14ac:dyDescent="0.3">
      <c r="A8" s="119"/>
      <c r="B8" s="119"/>
      <c r="C8" s="119"/>
      <c r="D8" s="119"/>
      <c r="E8" s="119"/>
      <c r="F8" s="119"/>
      <c r="G8" s="119"/>
      <c r="H8" s="122" t="str">
        <f>List!$B$94&amp;":"</f>
        <v>cena kování:</v>
      </c>
      <c r="I8" s="122"/>
      <c r="J8" s="122"/>
      <c r="K8" s="118">
        <f>$U$70</f>
        <v>0</v>
      </c>
      <c r="L8" s="154"/>
      <c r="M8" s="119"/>
      <c r="N8" s="151" t="str">
        <f>" "&amp;List!$B$6</f>
        <v xml:space="preserve"> Výběr SERVO-DRIVE</v>
      </c>
      <c r="O8" s="119"/>
      <c r="P8" s="127" t="str">
        <f>Cen!A95</f>
        <v>Bočnice C pure, 500mm, Orion šedé</v>
      </c>
      <c r="Q8" s="127" t="str">
        <f>Cen!B95</f>
        <v>770C5002S</v>
      </c>
      <c r="R8" s="127" t="str">
        <f>Cen!C95</f>
        <v>OG-M</v>
      </c>
      <c r="S8" s="262">
        <f>SUM(I21:I22,I27:I28,I33:I34)</f>
        <v>0</v>
      </c>
      <c r="T8" s="266">
        <f>Cen!F95</f>
        <v>31.656259999999996</v>
      </c>
      <c r="U8" s="263">
        <f t="shared" si="0"/>
        <v>0</v>
      </c>
    </row>
    <row r="9" spans="1:21" ht="13" thickBo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247" t="str">
        <f>" "&amp;List!$B$7</f>
        <v xml:space="preserve"> Výběr AMBIA-LINE</v>
      </c>
      <c r="O9" s="119"/>
      <c r="P9" s="127" t="str">
        <f>Cen!A99</f>
        <v>Bočnice C pure, 550mm, Orion šedé</v>
      </c>
      <c r="Q9" s="127" t="str">
        <f>Cen!B99</f>
        <v>770C5502S</v>
      </c>
      <c r="R9" s="127" t="str">
        <f>Cen!C99</f>
        <v>OG-M</v>
      </c>
      <c r="S9" s="262">
        <f>SUM(J21:J22,J27:J28,J33:J34)</f>
        <v>0</v>
      </c>
      <c r="T9" s="266">
        <f>Cen!F99</f>
        <v>31.853429999999999</v>
      </c>
      <c r="U9" s="263">
        <f t="shared" si="0"/>
        <v>0</v>
      </c>
    </row>
    <row r="10" spans="1:21" ht="13" thickBot="1" x14ac:dyDescent="0.3">
      <c r="A10" s="119"/>
      <c r="B10" s="119"/>
      <c r="C10" s="119"/>
      <c r="D10" s="119"/>
      <c r="E10" s="119"/>
      <c r="F10" s="119"/>
      <c r="G10" s="119"/>
      <c r="H10" s="259"/>
      <c r="I10" s="259"/>
      <c r="J10" s="292"/>
      <c r="K10" s="292"/>
      <c r="L10" s="292"/>
      <c r="M10" s="119"/>
      <c r="N10" s="152" t="str">
        <f>" "&amp;List!$B$18</f>
        <v xml:space="preserve"> Souhrn</v>
      </c>
      <c r="O10" s="119"/>
      <c r="P10" s="127" t="str">
        <f>Cen!A103</f>
        <v>Bočnice C pure, 600mm, Orion šedé</v>
      </c>
      <c r="Q10" s="127" t="str">
        <f>Cen!B103</f>
        <v>770C6002S</v>
      </c>
      <c r="R10" s="127" t="str">
        <f>Cen!C103</f>
        <v>OG-M</v>
      </c>
      <c r="S10" s="262">
        <f>SUM(K21:K22,K27:K28,K33:K34)</f>
        <v>0</v>
      </c>
      <c r="T10" s="266">
        <f>Cen!F103</f>
        <v>35.537379999999999</v>
      </c>
      <c r="U10" s="263">
        <f t="shared" si="0"/>
        <v>0</v>
      </c>
    </row>
    <row r="11" spans="1:21" ht="13" x14ac:dyDescent="0.25">
      <c r="A11" s="119"/>
      <c r="B11" s="119"/>
      <c r="C11" s="119"/>
      <c r="D11" s="119"/>
      <c r="E11" s="119"/>
      <c r="F11" s="119"/>
      <c r="G11" s="119"/>
      <c r="H11" s="119" t="str">
        <f>List!$B$146&amp;":"</f>
        <v>Přířezy prvků:</v>
      </c>
      <c r="I11" s="231"/>
      <c r="J11" s="231"/>
      <c r="K11" s="231"/>
      <c r="L11" s="231"/>
      <c r="M11" s="119"/>
      <c r="N11" s="152" t="str">
        <f>" "&amp;List!$B$20</f>
        <v xml:space="preserve"> Objednávka</v>
      </c>
      <c r="O11" s="119"/>
      <c r="P11" s="127" t="str">
        <f>Cen!A107</f>
        <v>Bočnice C pure, 650mm, Orion šedé</v>
      </c>
      <c r="Q11" s="127" t="str">
        <f>Cen!B107</f>
        <v>770C6502S</v>
      </c>
      <c r="R11" s="127" t="str">
        <f>Cen!C107</f>
        <v>OG-M</v>
      </c>
      <c r="S11" s="262">
        <f>SUM(L22,L28,L34)</f>
        <v>0</v>
      </c>
      <c r="T11" s="266">
        <f>Cen!F107</f>
        <v>36.783200000000001</v>
      </c>
      <c r="U11" s="263">
        <f>S11*T11</f>
        <v>0</v>
      </c>
    </row>
    <row r="12" spans="1:21" x14ac:dyDescent="0.25">
      <c r="A12" s="119"/>
      <c r="B12" s="119"/>
      <c r="C12" s="119"/>
      <c r="D12" s="119"/>
      <c r="E12" s="119"/>
      <c r="F12" s="119"/>
      <c r="G12" s="119"/>
      <c r="H12" s="119" t="str">
        <f>List!$C$150&amp;":   LW - 126"</f>
        <v>Přední díl:   LW - 126</v>
      </c>
      <c r="I12" s="291"/>
      <c r="J12" s="291"/>
      <c r="K12" s="291"/>
      <c r="L12" s="291"/>
      <c r="M12" s="119"/>
      <c r="N12" s="119"/>
      <c r="O12" s="119"/>
      <c r="P12" s="122"/>
      <c r="Q12" s="122"/>
      <c r="R12" s="122"/>
      <c r="S12" s="123"/>
      <c r="T12" s="117"/>
      <c r="U12" s="118"/>
    </row>
    <row r="13" spans="1:21" ht="13" x14ac:dyDescent="0.3">
      <c r="A13" s="119"/>
      <c r="B13" s="119"/>
      <c r="C13" s="119"/>
      <c r="D13" s="119"/>
      <c r="E13" s="119"/>
      <c r="F13" s="119"/>
      <c r="G13" s="119"/>
      <c r="H13" s="119" t="str">
        <f>List!$C$66&amp;":"</f>
        <v>přední zásuvný prvek:</v>
      </c>
      <c r="I13" s="293"/>
      <c r="J13" s="293"/>
      <c r="K13" s="293"/>
      <c r="L13" s="293"/>
      <c r="M13" s="119"/>
      <c r="N13" s="119"/>
      <c r="O13" s="119"/>
      <c r="P13" s="209" t="str">
        <f>Cen!A177</f>
        <v>Korpusové lišty BLUMOTION, 270mm, 40kg</v>
      </c>
      <c r="Q13" s="209" t="str">
        <f>Cen!B177</f>
        <v>750.2701B</v>
      </c>
      <c r="R13" s="209" t="str">
        <f>Cen!C177</f>
        <v>ZN</v>
      </c>
      <c r="S13" s="260">
        <f>D21</f>
        <v>0</v>
      </c>
      <c r="T13" s="261">
        <f>Cen!F177</f>
        <v>21.845690000000001</v>
      </c>
      <c r="U13" s="261">
        <f t="shared" ref="U13:U68" si="1">S13*T13</f>
        <v>0</v>
      </c>
    </row>
    <row r="14" spans="1:21" x14ac:dyDescent="0.25">
      <c r="A14" s="119"/>
      <c r="B14" s="119"/>
      <c r="C14" s="119"/>
      <c r="D14" s="119"/>
      <c r="E14" s="119"/>
      <c r="F14" s="119"/>
      <c r="G14" s="119"/>
      <c r="H14" s="119" t="str">
        <f>"       "&amp;List!$C$74&amp;"  =  LW - 80"</f>
        <v xml:space="preserve">       šířka  =  LW - 80</v>
      </c>
      <c r="I14" s="290"/>
      <c r="J14" s="290"/>
      <c r="K14" s="290"/>
      <c r="L14" s="290"/>
      <c r="M14" s="119"/>
      <c r="N14" s="119"/>
      <c r="O14" s="119"/>
      <c r="P14" s="209" t="str">
        <f>Cen!A178</f>
        <v>Korpusové lišty BLUMOTION, 300mm, 40kg</v>
      </c>
      <c r="Q14" s="209" t="str">
        <f>Cen!B178</f>
        <v>750.3001B</v>
      </c>
      <c r="R14" s="209" t="str">
        <f>Cen!C178</f>
        <v>ZN</v>
      </c>
      <c r="S14" s="260">
        <f>E21</f>
        <v>0</v>
      </c>
      <c r="T14" s="261">
        <f>Cen!F178</f>
        <v>21.925909999999998</v>
      </c>
      <c r="U14" s="261">
        <f t="shared" si="1"/>
        <v>0</v>
      </c>
    </row>
    <row r="15" spans="1:21" ht="13" x14ac:dyDescent="0.3">
      <c r="A15" s="119"/>
      <c r="B15" s="119"/>
      <c r="C15" s="119"/>
      <c r="D15" s="119"/>
      <c r="E15" s="119"/>
      <c r="F15" s="119"/>
      <c r="G15" s="119"/>
      <c r="H15" s="119" t="str">
        <f>"       "&amp;List!$C$75&amp;" = 138 mm"</f>
        <v xml:space="preserve">       výška = 138 mm</v>
      </c>
      <c r="I15" s="288"/>
      <c r="J15" s="288"/>
      <c r="K15" s="288"/>
      <c r="L15" s="288"/>
      <c r="M15" s="119"/>
      <c r="N15" s="119"/>
      <c r="O15" s="119"/>
      <c r="P15" s="209" t="str">
        <f>Cen!A179</f>
        <v>Korpusové lišty BLUMOTION, 350mm, 40kg</v>
      </c>
      <c r="Q15" s="209" t="str">
        <f>Cen!B179</f>
        <v>750.3501B</v>
      </c>
      <c r="R15" s="209" t="str">
        <f>Cen!C179</f>
        <v>ZN</v>
      </c>
      <c r="S15" s="260">
        <f>F21</f>
        <v>0</v>
      </c>
      <c r="T15" s="261">
        <f>Cen!F179</f>
        <v>21.845690000000001</v>
      </c>
      <c r="U15" s="261">
        <f t="shared" si="1"/>
        <v>0</v>
      </c>
    </row>
    <row r="16" spans="1:21" x14ac:dyDescent="0.25">
      <c r="A16" s="119"/>
      <c r="B16" s="119"/>
      <c r="C16" s="119"/>
      <c r="D16" s="119"/>
      <c r="E16" s="119"/>
      <c r="F16" s="119"/>
      <c r="G16" s="119"/>
      <c r="H16" s="179"/>
      <c r="I16" s="179"/>
      <c r="J16" s="179"/>
      <c r="K16" s="179"/>
      <c r="L16" s="179"/>
      <c r="M16" s="119"/>
      <c r="N16" s="119"/>
      <c r="O16" s="119"/>
      <c r="P16" s="209" t="str">
        <f>Cen!A180</f>
        <v>Korpusové lišty BLUMOTION, 400mm, 40kg</v>
      </c>
      <c r="Q16" s="209" t="str">
        <f>Cen!B180</f>
        <v>750.4001B</v>
      </c>
      <c r="R16" s="209" t="str">
        <f>Cen!C180</f>
        <v>ZN</v>
      </c>
      <c r="S16" s="260">
        <f>G21</f>
        <v>0</v>
      </c>
      <c r="T16" s="261">
        <f>Cen!F180</f>
        <v>22.204979999999999</v>
      </c>
      <c r="U16" s="261">
        <f t="shared" si="1"/>
        <v>0</v>
      </c>
    </row>
    <row r="17" spans="1:21" ht="13" x14ac:dyDescent="0.3">
      <c r="A17" s="119"/>
      <c r="B17" s="119"/>
      <c r="C17" s="119"/>
      <c r="D17" s="119"/>
      <c r="E17" s="119"/>
      <c r="F17" s="119"/>
      <c r="G17" s="119"/>
      <c r="H17" s="294"/>
      <c r="I17" s="294"/>
      <c r="J17" s="294"/>
      <c r="K17" s="294"/>
      <c r="L17" s="294"/>
      <c r="M17" s="119"/>
      <c r="N17" s="119"/>
      <c r="O17" s="119"/>
      <c r="P17" s="209" t="str">
        <f>Cen!A181</f>
        <v>Korpusové lišty BLUMOTION, 450mm, 40kg</v>
      </c>
      <c r="Q17" s="209" t="str">
        <f>Cen!B181</f>
        <v>750.4501B</v>
      </c>
      <c r="R17" s="209" t="str">
        <f>Cen!C181</f>
        <v>ZN</v>
      </c>
      <c r="S17" s="260">
        <f>H21</f>
        <v>0</v>
      </c>
      <c r="T17" s="261">
        <f>Cen!F181</f>
        <v>23.667639999999995</v>
      </c>
      <c r="U17" s="261">
        <f t="shared" si="1"/>
        <v>0</v>
      </c>
    </row>
    <row r="18" spans="1:21" ht="15.5" x14ac:dyDescent="0.25">
      <c r="A18" s="119"/>
      <c r="C18" s="119"/>
      <c r="D18" s="119"/>
      <c r="E18" s="119"/>
      <c r="F18" s="119"/>
      <c r="G18" s="478"/>
      <c r="I18" s="290"/>
      <c r="J18" s="290"/>
      <c r="K18" s="290"/>
      <c r="L18" s="290"/>
      <c r="M18" s="119"/>
      <c r="N18" s="119"/>
      <c r="O18" s="119"/>
      <c r="P18" s="209" t="str">
        <f>Cen!A182</f>
        <v>Korpusové lišty BLUMOTION, 450mm, 70kg</v>
      </c>
      <c r="Q18" s="209" t="str">
        <f>Cen!B182</f>
        <v>753.4501B</v>
      </c>
      <c r="R18" s="209" t="str">
        <f>Cen!C182</f>
        <v>ZN</v>
      </c>
      <c r="S18" s="260">
        <f>H22</f>
        <v>0</v>
      </c>
      <c r="T18" s="261">
        <f>Cen!F182</f>
        <v>27.780560000000001</v>
      </c>
      <c r="U18" s="261">
        <f t="shared" si="1"/>
        <v>0</v>
      </c>
    </row>
    <row r="19" spans="1:21" ht="15.5" x14ac:dyDescent="0.25">
      <c r="A19" s="119"/>
      <c r="B19" s="312" t="s">
        <v>507</v>
      </c>
      <c r="C19" s="7"/>
      <c r="H19" s="290"/>
      <c r="I19" s="290"/>
      <c r="J19" s="290"/>
      <c r="K19" s="290"/>
      <c r="L19" s="290"/>
      <c r="M19" s="119"/>
      <c r="N19" s="119"/>
      <c r="O19" s="119"/>
      <c r="P19" s="209" t="str">
        <f>Cen!A183</f>
        <v>Korpusové lišty BLUMOTION, 500mm, 40kg</v>
      </c>
      <c r="Q19" s="209" t="str">
        <f>Cen!B183</f>
        <v>750.5001B</v>
      </c>
      <c r="R19" s="209" t="str">
        <f>Cen!C183</f>
        <v>ZN</v>
      </c>
      <c r="S19" s="260">
        <f>I21</f>
        <v>0</v>
      </c>
      <c r="T19" s="261">
        <f>Cen!F183</f>
        <v>22.680199999999999</v>
      </c>
      <c r="U19" s="261">
        <f t="shared" si="1"/>
        <v>0</v>
      </c>
    </row>
    <row r="20" spans="1:21" ht="14" x14ac:dyDescent="0.3">
      <c r="A20" s="119"/>
      <c r="C20" s="320" t="str">
        <f>List!$B$115&amp;":"</f>
        <v>Jmenovitá délka:</v>
      </c>
      <c r="D20" s="308" t="s">
        <v>614</v>
      </c>
      <c r="E20" s="305" t="s">
        <v>57</v>
      </c>
      <c r="F20" s="305" t="s">
        <v>615</v>
      </c>
      <c r="G20" s="305" t="s">
        <v>616</v>
      </c>
      <c r="H20" s="305" t="s">
        <v>122</v>
      </c>
      <c r="I20" s="306" t="s">
        <v>617</v>
      </c>
      <c r="J20" s="305" t="s">
        <v>618</v>
      </c>
      <c r="K20" s="307" t="s">
        <v>123</v>
      </c>
      <c r="L20" s="307" t="s">
        <v>950</v>
      </c>
      <c r="M20" s="119"/>
      <c r="N20" s="119"/>
      <c r="O20" s="119"/>
      <c r="P20" s="209" t="str">
        <f>Cen!A184</f>
        <v>Korpusové lišty BLUMOTION, 500mm, 70kg</v>
      </c>
      <c r="Q20" s="209" t="str">
        <f>Cen!B184</f>
        <v>753.5001B</v>
      </c>
      <c r="R20" s="209" t="str">
        <f>Cen!C184</f>
        <v>ZN</v>
      </c>
      <c r="S20" s="260">
        <f>I22</f>
        <v>0</v>
      </c>
      <c r="T20" s="261">
        <f>Cen!F184</f>
        <v>28.059809999999999</v>
      </c>
      <c r="U20" s="261">
        <f t="shared" si="1"/>
        <v>0</v>
      </c>
    </row>
    <row r="21" spans="1:21" ht="14.5" thickBot="1" x14ac:dyDescent="0.35">
      <c r="A21" s="119"/>
      <c r="B21" s="297" t="s">
        <v>830</v>
      </c>
      <c r="C21" s="298" t="s">
        <v>505</v>
      </c>
      <c r="D21" s="299"/>
      <c r="E21" s="299"/>
      <c r="F21" s="299"/>
      <c r="G21" s="299"/>
      <c r="H21" s="299"/>
      <c r="I21" s="299"/>
      <c r="J21" s="299"/>
      <c r="K21" s="300"/>
      <c r="L21" s="572"/>
      <c r="M21" s="119"/>
      <c r="N21" s="119"/>
      <c r="O21" s="119"/>
      <c r="P21" s="209" t="str">
        <f>Cen!A185</f>
        <v>Korpusové lišty BLUMOTION, 550mm, 40kg</v>
      </c>
      <c r="Q21" s="209" t="str">
        <f>Cen!B185</f>
        <v>750.5501B</v>
      </c>
      <c r="R21" s="209" t="str">
        <f>Cen!C185</f>
        <v>ZN</v>
      </c>
      <c r="S21" s="260">
        <f>J21</f>
        <v>0</v>
      </c>
      <c r="T21" s="261">
        <f>Cen!F185</f>
        <v>24.254210000000004</v>
      </c>
      <c r="U21" s="261">
        <f t="shared" si="1"/>
        <v>0</v>
      </c>
    </row>
    <row r="22" spans="1:21" ht="14" x14ac:dyDescent="0.3">
      <c r="A22" s="119"/>
      <c r="B22" s="301" t="s">
        <v>831</v>
      </c>
      <c r="C22" s="311" t="s">
        <v>506</v>
      </c>
      <c r="D22" s="415"/>
      <c r="E22" s="415"/>
      <c r="F22" s="415"/>
      <c r="G22" s="415"/>
      <c r="H22" s="303"/>
      <c r="I22" s="303"/>
      <c r="J22" s="303"/>
      <c r="K22" s="304"/>
      <c r="L22" s="304"/>
      <c r="M22" s="119"/>
      <c r="N22" s="119"/>
      <c r="O22" s="119"/>
      <c r="P22" s="209" t="str">
        <f>Cen!A186</f>
        <v>Korpusové lišty BLUMOTION, 550mm, 70kg</v>
      </c>
      <c r="Q22" s="209" t="str">
        <f>Cen!B186</f>
        <v>753.5501B</v>
      </c>
      <c r="R22" s="209" t="str">
        <f>Cen!C186</f>
        <v>ZN</v>
      </c>
      <c r="S22" s="260">
        <f>J22</f>
        <v>0</v>
      </c>
      <c r="T22" s="261">
        <f>Cen!F186</f>
        <v>29.550529999999998</v>
      </c>
      <c r="U22" s="261">
        <f t="shared" si="1"/>
        <v>0</v>
      </c>
    </row>
    <row r="23" spans="1:21" ht="13" x14ac:dyDescent="0.3">
      <c r="A23" s="119"/>
      <c r="B23" s="287"/>
      <c r="C23" s="287"/>
      <c r="H23" s="290"/>
      <c r="I23" s="290"/>
      <c r="J23" s="290"/>
      <c r="K23" s="290"/>
      <c r="L23" s="290"/>
      <c r="M23" s="119"/>
      <c r="N23" s="119"/>
      <c r="O23" s="119"/>
      <c r="P23" s="209" t="str">
        <f>Cen!A187</f>
        <v>Korpusové lišty BLUMOTION, 600mm, 40kg</v>
      </c>
      <c r="Q23" s="209" t="str">
        <f>Cen!B187</f>
        <v>750.6001B</v>
      </c>
      <c r="R23" s="209" t="str">
        <f>Cen!C187</f>
        <v>ZN</v>
      </c>
      <c r="S23" s="260">
        <f>K21</f>
        <v>0</v>
      </c>
      <c r="T23" s="261">
        <f>Cen!F187</f>
        <v>27.259979999999999</v>
      </c>
      <c r="U23" s="261">
        <f t="shared" si="1"/>
        <v>0</v>
      </c>
    </row>
    <row r="24" spans="1:21" ht="13" x14ac:dyDescent="0.3">
      <c r="A24" s="119"/>
      <c r="B24" s="287"/>
      <c r="C24" s="287"/>
      <c r="H24" s="290"/>
      <c r="I24" s="290"/>
      <c r="J24" s="290"/>
      <c r="K24" s="290"/>
      <c r="L24" s="290"/>
      <c r="M24" s="119"/>
      <c r="N24" s="119"/>
      <c r="O24" s="119"/>
      <c r="P24" s="209" t="str">
        <f>Cen!A188</f>
        <v>Korpusové lišty BLUMOTION, 600mm, 70kg</v>
      </c>
      <c r="Q24" s="209" t="str">
        <f>Cen!B188</f>
        <v>753.6001B</v>
      </c>
      <c r="R24" s="209" t="str">
        <f>Cen!C188</f>
        <v>ZN</v>
      </c>
      <c r="S24" s="260">
        <f>K22</f>
        <v>0</v>
      </c>
      <c r="T24" s="261">
        <f>Cen!F188</f>
        <v>32.5563</v>
      </c>
      <c r="U24" s="261">
        <f t="shared" si="1"/>
        <v>0</v>
      </c>
    </row>
    <row r="25" spans="1:21" ht="15.5" x14ac:dyDescent="0.35">
      <c r="A25" s="119"/>
      <c r="B25" s="313" t="s">
        <v>239</v>
      </c>
      <c r="C25" s="309"/>
      <c r="H25" s="288"/>
      <c r="I25" s="288"/>
      <c r="J25" s="288"/>
      <c r="K25" s="288"/>
      <c r="L25" s="288"/>
      <c r="M25" s="119"/>
      <c r="N25" s="119"/>
      <c r="O25" s="119"/>
      <c r="P25" s="209" t="str">
        <f>Cen!A189</f>
        <v>Korpusové lišty BLUMOTION, 650mm, 70kg</v>
      </c>
      <c r="Q25" s="209" t="str">
        <f>Cen!B189</f>
        <v>753.6501B</v>
      </c>
      <c r="R25" s="209" t="str">
        <f>Cen!C189</f>
        <v>ZN</v>
      </c>
      <c r="S25" s="260">
        <f>L22</f>
        <v>0</v>
      </c>
      <c r="T25" s="261">
        <f>Cen!F189</f>
        <v>34.047020000000003</v>
      </c>
      <c r="U25" s="261">
        <f>S25*T25</f>
        <v>0</v>
      </c>
    </row>
    <row r="26" spans="1:21" ht="15.5" x14ac:dyDescent="0.35">
      <c r="A26" s="119"/>
      <c r="B26" s="313"/>
      <c r="C26" s="320" t="str">
        <f>List!$B$115&amp;":"</f>
        <v>Jmenovitá délka:</v>
      </c>
      <c r="D26" s="308" t="s">
        <v>614</v>
      </c>
      <c r="E26" s="305" t="s">
        <v>57</v>
      </c>
      <c r="F26" s="305" t="s">
        <v>615</v>
      </c>
      <c r="G26" s="305" t="s">
        <v>616</v>
      </c>
      <c r="H26" s="305" t="s">
        <v>122</v>
      </c>
      <c r="I26" s="306" t="s">
        <v>617</v>
      </c>
      <c r="J26" s="305" t="s">
        <v>618</v>
      </c>
      <c r="K26" s="307" t="s">
        <v>123</v>
      </c>
      <c r="L26" s="307" t="s">
        <v>950</v>
      </c>
      <c r="M26" s="119"/>
      <c r="N26" s="119"/>
      <c r="O26" s="119"/>
      <c r="P26" s="209"/>
      <c r="Q26" s="209"/>
      <c r="R26" s="209"/>
      <c r="S26" s="260"/>
      <c r="T26" s="261"/>
      <c r="U26" s="261"/>
    </row>
    <row r="27" spans="1:21" ht="14.5" thickBot="1" x14ac:dyDescent="0.35">
      <c r="A27" s="119"/>
      <c r="B27" s="297" t="s">
        <v>832</v>
      </c>
      <c r="C27" s="298" t="s">
        <v>505</v>
      </c>
      <c r="D27" s="299"/>
      <c r="E27" s="299"/>
      <c r="F27" s="299"/>
      <c r="G27" s="299"/>
      <c r="H27" s="299"/>
      <c r="I27" s="299"/>
      <c r="J27" s="299"/>
      <c r="K27" s="300"/>
      <c r="L27" s="572"/>
      <c r="M27" s="119"/>
      <c r="N27" s="119"/>
      <c r="O27" s="119"/>
      <c r="P27" s="209" t="str">
        <f>Cen!A193</f>
        <v>Korpusové lišty TIP-ON, 270mm, 40kg</v>
      </c>
      <c r="Q27" s="209" t="str">
        <f>Cen!B193</f>
        <v>750.2701T</v>
      </c>
      <c r="R27" s="209" t="str">
        <f>Cen!C193</f>
        <v>ZN</v>
      </c>
      <c r="S27" s="260">
        <f>D27</f>
        <v>0</v>
      </c>
      <c r="T27" s="261">
        <f>Cen!F193</f>
        <v>30.366460000000004</v>
      </c>
      <c r="U27" s="261">
        <f t="shared" si="1"/>
        <v>0</v>
      </c>
    </row>
    <row r="28" spans="1:21" ht="14" x14ac:dyDescent="0.3">
      <c r="A28" s="119"/>
      <c r="B28" s="296" t="s">
        <v>833</v>
      </c>
      <c r="C28" s="310" t="s">
        <v>506</v>
      </c>
      <c r="D28" s="415"/>
      <c r="E28" s="415"/>
      <c r="F28" s="415"/>
      <c r="G28" s="415"/>
      <c r="H28" s="303"/>
      <c r="I28" s="303"/>
      <c r="J28" s="303"/>
      <c r="K28" s="304"/>
      <c r="L28" s="304"/>
      <c r="M28" s="119"/>
      <c r="N28" s="119"/>
      <c r="O28" s="119"/>
      <c r="P28" s="209" t="str">
        <f>Cen!A194</f>
        <v>Korpusové lišty TIP-ON, 300mm, 40kg</v>
      </c>
      <c r="Q28" s="209" t="str">
        <f>Cen!B194</f>
        <v>750.3001T</v>
      </c>
      <c r="R28" s="209" t="str">
        <f>Cen!C194</f>
        <v>ZN</v>
      </c>
      <c r="S28" s="260">
        <f>E27</f>
        <v>0</v>
      </c>
      <c r="T28" s="261">
        <f>Cen!F194</f>
        <v>30.366460000000004</v>
      </c>
      <c r="U28" s="261">
        <f t="shared" si="1"/>
        <v>0</v>
      </c>
    </row>
    <row r="29" spans="1:21" ht="13" x14ac:dyDescent="0.3">
      <c r="A29" s="119"/>
      <c r="B29" s="287"/>
      <c r="C29" s="287"/>
      <c r="D29" s="119"/>
      <c r="E29" s="119"/>
      <c r="F29" s="119"/>
      <c r="G29" s="119"/>
      <c r="H29" s="288"/>
      <c r="I29" s="288"/>
      <c r="J29" s="288"/>
      <c r="K29" s="288"/>
      <c r="L29" s="288"/>
      <c r="M29" s="119"/>
      <c r="N29" s="119"/>
      <c r="O29" s="119"/>
      <c r="P29" s="209" t="str">
        <f>Cen!A195</f>
        <v>Korpusové lišty TIP-ON, 350mm, 40kg</v>
      </c>
      <c r="Q29" s="209" t="str">
        <f>Cen!B195</f>
        <v>750.3501T</v>
      </c>
      <c r="R29" s="209" t="str">
        <f>Cen!C195</f>
        <v>ZN</v>
      </c>
      <c r="S29" s="260">
        <f>F27</f>
        <v>0</v>
      </c>
      <c r="T29" s="261">
        <f>Cen!F195</f>
        <v>30.366460000000004</v>
      </c>
      <c r="U29" s="261">
        <f t="shared" si="1"/>
        <v>0</v>
      </c>
    </row>
    <row r="30" spans="1:21" x14ac:dyDescent="0.25">
      <c r="A30" s="119"/>
      <c r="M30" s="119"/>
      <c r="N30" s="119"/>
      <c r="O30" s="119"/>
      <c r="P30" s="209" t="str">
        <f>Cen!A196</f>
        <v>Korpusové lišty TIP-ON, 400mm, 40kg</v>
      </c>
      <c r="Q30" s="209" t="str">
        <f>Cen!B196</f>
        <v>750.4001T</v>
      </c>
      <c r="R30" s="209" t="str">
        <f>Cen!C196</f>
        <v>ZN</v>
      </c>
      <c r="S30" s="260">
        <f>G27</f>
        <v>0</v>
      </c>
      <c r="T30" s="261">
        <f>Cen!F196</f>
        <v>30.645720000000001</v>
      </c>
      <c r="U30" s="261">
        <f t="shared" si="1"/>
        <v>0</v>
      </c>
    </row>
    <row r="31" spans="1:21" ht="16" thickBot="1" x14ac:dyDescent="0.4">
      <c r="A31" s="119"/>
      <c r="B31" s="313" t="s">
        <v>1186</v>
      </c>
      <c r="C31" s="309"/>
      <c r="H31" s="288"/>
      <c r="I31" s="288"/>
      <c r="J31" s="288"/>
      <c r="K31" s="288"/>
      <c r="L31" s="288"/>
      <c r="M31" s="179"/>
      <c r="N31" s="258"/>
      <c r="O31" s="119"/>
      <c r="P31" s="209" t="str">
        <f>Cen!A197</f>
        <v>Korpusové lišty TIP-ON, 450mm, 40kg</v>
      </c>
      <c r="Q31" s="209" t="str">
        <f>Cen!B197</f>
        <v>750.4501T</v>
      </c>
      <c r="R31" s="209" t="str">
        <f>Cen!C197</f>
        <v>ZN</v>
      </c>
      <c r="S31" s="260">
        <f>H27</f>
        <v>0</v>
      </c>
      <c r="T31" s="261">
        <f>Cen!F197</f>
        <v>32.552599999999998</v>
      </c>
      <c r="U31" s="261">
        <f t="shared" si="1"/>
        <v>0</v>
      </c>
    </row>
    <row r="32" spans="1:21" ht="15.5" x14ac:dyDescent="0.35">
      <c r="A32" s="119"/>
      <c r="B32" s="313"/>
      <c r="C32" s="320" t="str">
        <f>List!$B$115&amp;":"</f>
        <v>Jmenovitá délka:</v>
      </c>
      <c r="D32" s="308" t="s">
        <v>614</v>
      </c>
      <c r="E32" s="305" t="s">
        <v>57</v>
      </c>
      <c r="F32" s="305" t="s">
        <v>615</v>
      </c>
      <c r="G32" s="305" t="s">
        <v>616</v>
      </c>
      <c r="H32" s="305" t="s">
        <v>122</v>
      </c>
      <c r="I32" s="306" t="s">
        <v>617</v>
      </c>
      <c r="J32" s="305" t="s">
        <v>618</v>
      </c>
      <c r="K32" s="307" t="s">
        <v>123</v>
      </c>
      <c r="L32" s="307" t="s">
        <v>950</v>
      </c>
      <c r="M32" s="179"/>
      <c r="N32" s="152" t="str">
        <f>" "&amp;List!$B$293</f>
        <v xml:space="preserve"> Výběr sady jednotek</v>
      </c>
      <c r="O32" s="119"/>
      <c r="P32" s="209" t="str">
        <f>Cen!A198</f>
        <v>Korpusové lišty TIP-ON, 450mm, 70kg</v>
      </c>
      <c r="Q32" s="209" t="str">
        <f>Cen!B198</f>
        <v>753.4501T</v>
      </c>
      <c r="R32" s="209" t="str">
        <f>Cen!C198</f>
        <v>ZN</v>
      </c>
      <c r="S32" s="260">
        <f>H28</f>
        <v>0</v>
      </c>
      <c r="T32" s="261">
        <f>Cen!F198</f>
        <v>36.006259999999997</v>
      </c>
      <c r="U32" s="261">
        <f t="shared" si="1"/>
        <v>0</v>
      </c>
    </row>
    <row r="33" spans="1:21" ht="14.5" thickBot="1" x14ac:dyDescent="0.35">
      <c r="A33" s="119"/>
      <c r="B33" s="297" t="s">
        <v>1187</v>
      </c>
      <c r="C33" s="298" t="s">
        <v>505</v>
      </c>
      <c r="D33" s="299"/>
      <c r="E33" s="299"/>
      <c r="F33" s="299"/>
      <c r="G33" s="299"/>
      <c r="H33" s="299"/>
      <c r="I33" s="299"/>
      <c r="J33" s="299"/>
      <c r="K33" s="300"/>
      <c r="L33" s="572"/>
      <c r="M33" s="119"/>
      <c r="N33" s="119"/>
      <c r="P33" s="209" t="str">
        <f>Cen!A199</f>
        <v>Korpusové lišty TIP-ON, 500mm, 40kg</v>
      </c>
      <c r="Q33" s="209" t="str">
        <f>Cen!B199</f>
        <v>750.5001T</v>
      </c>
      <c r="R33" s="209" t="str">
        <f>Cen!C199</f>
        <v>ZN</v>
      </c>
      <c r="S33" s="260">
        <f>I27</f>
        <v>0</v>
      </c>
      <c r="T33" s="261">
        <f>Cen!F199</f>
        <v>32.846359999999997</v>
      </c>
      <c r="U33" s="261">
        <f t="shared" si="1"/>
        <v>0</v>
      </c>
    </row>
    <row r="34" spans="1:21" ht="14" x14ac:dyDescent="0.3">
      <c r="B34" s="296" t="s">
        <v>1188</v>
      </c>
      <c r="C34" s="310" t="s">
        <v>506</v>
      </c>
      <c r="D34" s="415"/>
      <c r="E34" s="415"/>
      <c r="F34" s="415"/>
      <c r="G34" s="415"/>
      <c r="H34" s="303"/>
      <c r="I34" s="303"/>
      <c r="J34" s="303"/>
      <c r="K34" s="304"/>
      <c r="L34" s="304"/>
      <c r="M34" s="119"/>
      <c r="N34" s="119"/>
      <c r="P34" s="209" t="str">
        <f>Cen!A200</f>
        <v>Korpusové lišty TIP-ON, 500mm, 70kg</v>
      </c>
      <c r="Q34" s="209" t="str">
        <f>Cen!B200</f>
        <v>753.5001T</v>
      </c>
      <c r="R34" s="209" t="str">
        <f>Cen!C200</f>
        <v>ZN</v>
      </c>
      <c r="S34" s="260">
        <f>I28</f>
        <v>0</v>
      </c>
      <c r="T34" s="261">
        <f>Cen!F200</f>
        <v>36.285339999999998</v>
      </c>
      <c r="U34" s="261">
        <f t="shared" si="1"/>
        <v>0</v>
      </c>
    </row>
    <row r="35" spans="1:21" ht="15.5" x14ac:dyDescent="0.3">
      <c r="B35" s="346"/>
      <c r="C35" s="291"/>
      <c r="D35" s="347"/>
      <c r="E35" s="348"/>
      <c r="F35" s="349"/>
      <c r="G35" s="348"/>
      <c r="H35" s="348"/>
      <c r="I35" s="291"/>
      <c r="J35" s="291"/>
      <c r="K35" s="291"/>
      <c r="L35" s="291"/>
      <c r="M35" s="119"/>
      <c r="N35" s="119"/>
      <c r="P35" s="209" t="str">
        <f>Cen!A201</f>
        <v>Korpusové lišty TIP-ON, 550mm, 40kg</v>
      </c>
      <c r="Q35" s="209" t="str">
        <f>Cen!B201</f>
        <v>750.5501T</v>
      </c>
      <c r="R35" s="209" t="str">
        <f>Cen!C201</f>
        <v>ZN</v>
      </c>
      <c r="S35" s="260">
        <f>J27</f>
        <v>0</v>
      </c>
      <c r="T35" s="261">
        <f>Cen!F201</f>
        <v>32.694760000000002</v>
      </c>
      <c r="U35" s="261">
        <f t="shared" si="1"/>
        <v>0</v>
      </c>
    </row>
    <row r="36" spans="1:21" ht="13" x14ac:dyDescent="0.3">
      <c r="C36" s="179"/>
      <c r="D36" s="659" t="str">
        <f>List!B302</f>
        <v>Sada jednotek TIP-ON BLUMOTION</v>
      </c>
      <c r="E36" s="179"/>
      <c r="F36" s="179"/>
      <c r="G36" s="179"/>
      <c r="H36" s="179"/>
      <c r="I36" s="804" t="str">
        <f>List!B303</f>
        <v>Synchronizaci vyberte v sekci "Výběr doplňků"</v>
      </c>
      <c r="J36" s="804"/>
      <c r="K36" s="804"/>
      <c r="L36" s="804"/>
      <c r="M36" s="119"/>
      <c r="N36" s="119"/>
      <c r="P36" s="209" t="str">
        <f>Cen!A202</f>
        <v>Korpusové lišty TIP-ON, 550mm, 70kg</v>
      </c>
      <c r="Q36" s="209" t="str">
        <f>Cen!B202</f>
        <v>753.5501T</v>
      </c>
      <c r="R36" s="209" t="str">
        <f>Cen!C202</f>
        <v>ZN</v>
      </c>
      <c r="S36" s="260">
        <f>J28</f>
        <v>0</v>
      </c>
      <c r="T36" s="261">
        <f>Cen!F202</f>
        <v>37.776060000000001</v>
      </c>
      <c r="U36" s="261">
        <f t="shared" si="1"/>
        <v>0</v>
      </c>
    </row>
    <row r="37" spans="1:21" ht="14" x14ac:dyDescent="0.3">
      <c r="B37" s="291"/>
      <c r="C37" s="291"/>
      <c r="D37" s="308" t="s">
        <v>1192</v>
      </c>
      <c r="E37" s="305" t="s">
        <v>1193</v>
      </c>
      <c r="F37" s="305" t="s">
        <v>1194</v>
      </c>
      <c r="G37" s="307" t="s">
        <v>1195</v>
      </c>
      <c r="H37" s="291"/>
      <c r="I37" s="804"/>
      <c r="J37" s="804"/>
      <c r="K37" s="804"/>
      <c r="L37" s="804"/>
      <c r="M37" s="119"/>
      <c r="P37" s="122" t="str">
        <f>Cen!A203</f>
        <v>Korpusové lišty TIP-ON, 600mm, 40kg</v>
      </c>
      <c r="Q37" s="122" t="str">
        <f>Cen!B203</f>
        <v>750.6001T</v>
      </c>
      <c r="R37" s="122" t="str">
        <f>Cen!C203</f>
        <v>ZN</v>
      </c>
      <c r="S37" s="123">
        <f>K27</f>
        <v>0</v>
      </c>
      <c r="T37" s="118">
        <f>Cen!F203</f>
        <v>35.700530000000001</v>
      </c>
      <c r="U37" s="261">
        <f t="shared" si="1"/>
        <v>0</v>
      </c>
    </row>
    <row r="38" spans="1:21" ht="14.5" thickBot="1" x14ac:dyDescent="0.35">
      <c r="B38" s="179"/>
      <c r="C38" s="291"/>
      <c r="D38" s="299"/>
      <c r="E38" s="299"/>
      <c r="F38" s="299"/>
      <c r="G38" s="300"/>
      <c r="H38" s="662" t="str">
        <f>IF(SUM(F33:K33,H34:L34)=SUM(E38:G38)," ",P82)</f>
        <v xml:space="preserve"> </v>
      </c>
      <c r="I38" s="291"/>
      <c r="M38" s="119"/>
      <c r="P38" s="122" t="str">
        <f>Cen!A204</f>
        <v>Korpusové lišty TIP-ON, 600mm, 70kg</v>
      </c>
      <c r="Q38" s="122" t="str">
        <f>Cen!B204</f>
        <v>753.6001T</v>
      </c>
      <c r="R38" s="122" t="str">
        <f>Cen!C204</f>
        <v>ZN</v>
      </c>
      <c r="S38" s="123">
        <f>K28</f>
        <v>0</v>
      </c>
      <c r="T38" s="118">
        <f>Cen!F204</f>
        <v>40.781829999999999</v>
      </c>
      <c r="U38" s="118">
        <f t="shared" si="1"/>
        <v>0</v>
      </c>
    </row>
    <row r="39" spans="1:21" x14ac:dyDescent="0.25">
      <c r="C39" s="661"/>
      <c r="D39" s="660" t="str">
        <f>IF(AND(SUM($D$33,$E$33)&gt;0,$D$38=0),$P$81,IF(AND(SUM($D$33,$E$33)=0,$D$38&gt;0),$P$80,IF(SUM($D$33,$E$33)&lt;&gt;$D$38,$P$80," ")))</f>
        <v xml:space="preserve"> </v>
      </c>
      <c r="E39" s="291"/>
      <c r="F39" s="291"/>
      <c r="G39" s="291"/>
      <c r="H39" s="291"/>
      <c r="I39" s="291"/>
      <c r="M39" s="119"/>
      <c r="P39" s="122" t="str">
        <f>Cen!A205</f>
        <v>Korpusové lišty TIP-ON, 650mm, 70kg</v>
      </c>
      <c r="Q39" s="122" t="str">
        <f>Cen!B205</f>
        <v>753.6501T</v>
      </c>
      <c r="R39" s="122" t="str">
        <f>Cen!C205</f>
        <v>ZN</v>
      </c>
      <c r="S39" s="123">
        <f>L28</f>
        <v>0</v>
      </c>
      <c r="T39" s="118">
        <f>Cen!F205</f>
        <v>42.272550000000003</v>
      </c>
      <c r="U39" s="118">
        <f>S39*T39</f>
        <v>0</v>
      </c>
    </row>
    <row r="40" spans="1:21" x14ac:dyDescent="0.25">
      <c r="B40" s="661"/>
      <c r="C40" s="661"/>
      <c r="D40" s="660" t="str">
        <f>IF(SUM($D$33,$E$33)&lt;&gt;$D$38,$P$83," ")</f>
        <v xml:space="preserve"> </v>
      </c>
      <c r="P40" s="144"/>
      <c r="Q40" s="144"/>
      <c r="R40" s="144"/>
      <c r="S40" s="150"/>
      <c r="T40" s="154"/>
      <c r="U40" s="154"/>
    </row>
    <row r="41" spans="1:21" ht="13" x14ac:dyDescent="0.3">
      <c r="B41" s="119"/>
      <c r="C41" s="287"/>
      <c r="H41" s="291"/>
      <c r="I41" s="291"/>
      <c r="J41" s="291"/>
      <c r="K41" s="291"/>
      <c r="L41" s="291"/>
      <c r="P41" s="122" t="str">
        <f>Cen!A209</f>
        <v>Korpusové lišty TIP-ON BLUMOTION, 270mm, 40kg</v>
      </c>
      <c r="Q41" s="122" t="str">
        <f>Cen!B209</f>
        <v>750.2700M</v>
      </c>
      <c r="R41" s="122" t="str">
        <f>Cen!C209</f>
        <v>ZN</v>
      </c>
      <c r="S41" s="123">
        <f>D33</f>
        <v>0</v>
      </c>
      <c r="T41" s="118">
        <f>Cen!F209</f>
        <v>21.925909999999998</v>
      </c>
      <c r="U41" s="118">
        <f>S41*T41</f>
        <v>0</v>
      </c>
    </row>
    <row r="42" spans="1:21" ht="13" x14ac:dyDescent="0.3">
      <c r="B42" s="287"/>
      <c r="C42" s="287"/>
      <c r="D42" s="119"/>
      <c r="E42" s="119"/>
      <c r="F42" s="119"/>
      <c r="G42" s="119"/>
      <c r="H42" s="144"/>
      <c r="I42" s="144"/>
      <c r="J42" s="119"/>
      <c r="K42" s="119"/>
      <c r="L42" s="119"/>
      <c r="P42" s="122" t="str">
        <f>Cen!A210</f>
        <v>Korpusové lišty TIP-ON BLUMOTION, 300mm, 40kg</v>
      </c>
      <c r="Q42" s="122" t="str">
        <f>Cen!B210</f>
        <v>750.3001M</v>
      </c>
      <c r="R42" s="122" t="str">
        <f>Cen!C210</f>
        <v>ZN</v>
      </c>
      <c r="S42" s="123">
        <f>E33</f>
        <v>0</v>
      </c>
      <c r="T42" s="118">
        <f>Cen!F210</f>
        <v>21.925909999999998</v>
      </c>
      <c r="U42" s="118">
        <f t="shared" ref="U42:U58" si="2">S42*T42</f>
        <v>0</v>
      </c>
    </row>
    <row r="43" spans="1:21" ht="14" x14ac:dyDescent="0.3">
      <c r="B43" s="477" t="str">
        <f>IF(AND(SUM(S3:S10)&gt;0,SUM(S65:S68)=0),"        *"&amp;List!$B$166&amp;" "&amp;List!$B$167," ")</f>
        <v xml:space="preserve"> </v>
      </c>
      <c r="C43" s="287"/>
      <c r="H43" s="289"/>
      <c r="I43" s="289"/>
      <c r="J43" s="289"/>
      <c r="K43" s="289"/>
      <c r="L43" s="289"/>
      <c r="P43" s="122" t="str">
        <f>Cen!A211</f>
        <v>Korpusové lišty TIP-ON BLUMOTION, 350mm, 40kg</v>
      </c>
      <c r="Q43" s="122" t="str">
        <f>Cen!B211</f>
        <v>750.3501M</v>
      </c>
      <c r="R43" s="122" t="str">
        <f>Cen!C211</f>
        <v>ZN</v>
      </c>
      <c r="S43" s="123">
        <f>F33</f>
        <v>0</v>
      </c>
      <c r="T43" s="118">
        <f>Cen!F211</f>
        <v>21.925909999999998</v>
      </c>
      <c r="U43" s="118">
        <f t="shared" si="2"/>
        <v>0</v>
      </c>
    </row>
    <row r="44" spans="1:21" ht="13" x14ac:dyDescent="0.3">
      <c r="B44" s="287"/>
      <c r="C44" s="287"/>
      <c r="H44" s="290"/>
      <c r="I44" s="290"/>
      <c r="J44" s="290"/>
      <c r="K44" s="290"/>
      <c r="L44" s="290"/>
      <c r="P44" s="122" t="str">
        <f>Cen!A212</f>
        <v>Korpusové lišty TIP-ON BLUMOTION, 400mm, 40kg</v>
      </c>
      <c r="Q44" s="122" t="str">
        <f>Cen!B212</f>
        <v>750.4001M</v>
      </c>
      <c r="R44" s="122" t="str">
        <f>Cen!C212</f>
        <v>ZN</v>
      </c>
      <c r="S44" s="123">
        <f>G33</f>
        <v>0</v>
      </c>
      <c r="T44" s="118">
        <f>Cen!F212</f>
        <v>22.204979999999999</v>
      </c>
      <c r="U44" s="118">
        <f t="shared" si="2"/>
        <v>0</v>
      </c>
    </row>
    <row r="45" spans="1:21" ht="15.5" x14ac:dyDescent="0.35">
      <c r="B45" s="321" t="str">
        <f>List!$B$65&amp;" - "&amp;List!$B$35</f>
        <v>Přední zásuvné prvky - sklo</v>
      </c>
      <c r="C45" s="287"/>
      <c r="H45" s="288"/>
      <c r="I45" s="288"/>
      <c r="J45" s="288"/>
      <c r="K45" s="288"/>
      <c r="L45" s="288"/>
      <c r="P45" s="122" t="str">
        <f>Cen!A213</f>
        <v>Korpusové lišty TIP-ON BLUMOTION, 450mm, 40kg</v>
      </c>
      <c r="Q45" s="122" t="str">
        <f>Cen!B213</f>
        <v>750.4501M</v>
      </c>
      <c r="R45" s="122" t="str">
        <f>Cen!C213</f>
        <v>ZN</v>
      </c>
      <c r="S45" s="123">
        <f>H33</f>
        <v>0</v>
      </c>
      <c r="T45" s="118">
        <f>Cen!F213</f>
        <v>23.667639999999995</v>
      </c>
      <c r="U45" s="118">
        <f t="shared" si="2"/>
        <v>0</v>
      </c>
    </row>
    <row r="46" spans="1:21" ht="15.5" x14ac:dyDescent="0.3">
      <c r="B46" s="312"/>
      <c r="C46" s="7"/>
      <c r="D46" s="320" t="str">
        <f>List!$B$112&amp;" KB: "</f>
        <v xml:space="preserve">Šířka korpusu KB: </v>
      </c>
      <c r="E46" s="308" t="s">
        <v>122</v>
      </c>
      <c r="F46" s="314" t="s">
        <v>123</v>
      </c>
      <c r="G46" s="305" t="s">
        <v>817</v>
      </c>
      <c r="H46" s="307" t="s">
        <v>818</v>
      </c>
      <c r="I46" s="291"/>
      <c r="J46" s="291"/>
      <c r="K46" s="291"/>
      <c r="L46" s="291"/>
      <c r="P46" s="122" t="str">
        <f>Cen!A214</f>
        <v>Korpusové lišty TIP-ON BLUMOTION, 450mm, 70kg</v>
      </c>
      <c r="Q46" s="122" t="str">
        <f>Cen!B214</f>
        <v>753.4501M</v>
      </c>
      <c r="R46" s="122" t="str">
        <f>Cen!C214</f>
        <v>ZN</v>
      </c>
      <c r="S46" s="123">
        <f>H34</f>
        <v>0</v>
      </c>
      <c r="T46" s="118">
        <f>Cen!F214</f>
        <v>27.780560000000001</v>
      </c>
      <c r="U46" s="118">
        <f t="shared" si="2"/>
        <v>0</v>
      </c>
    </row>
    <row r="47" spans="1:21" ht="14" x14ac:dyDescent="0.3">
      <c r="B47" s="319"/>
      <c r="D47" s="322" t="str">
        <f>List!$B$100&amp;": "</f>
        <v xml:space="preserve">Celkový počet ks: </v>
      </c>
      <c r="E47" s="317"/>
      <c r="F47" s="317"/>
      <c r="G47" s="317"/>
      <c r="H47" s="318"/>
      <c r="I47" s="289"/>
      <c r="J47" s="289"/>
      <c r="K47" s="289"/>
      <c r="L47" s="289"/>
      <c r="P47" s="694" t="str">
        <f>Cen!A215</f>
        <v>Korpusové lišty TIP-ON BLUMOTION, 500mm, 40kg</v>
      </c>
      <c r="Q47" s="694" t="str">
        <f>Cen!B215</f>
        <v>750.5001M</v>
      </c>
      <c r="R47" s="694" t="str">
        <f>Cen!C215</f>
        <v>ZN</v>
      </c>
      <c r="S47" s="695">
        <f>I33</f>
        <v>0</v>
      </c>
      <c r="T47" s="696">
        <f>Cen!F215</f>
        <v>23.961559999999999</v>
      </c>
      <c r="U47" s="696">
        <f t="shared" si="2"/>
        <v>0</v>
      </c>
    </row>
    <row r="48" spans="1:21" ht="14" x14ac:dyDescent="0.3">
      <c r="B48" s="319"/>
      <c r="D48" s="322"/>
      <c r="E48" s="295"/>
      <c r="F48" s="295"/>
      <c r="G48" s="295"/>
      <c r="H48" s="295"/>
      <c r="I48" s="289"/>
      <c r="J48" s="289"/>
      <c r="K48" s="289"/>
      <c r="L48" s="289"/>
      <c r="P48" s="694" t="str">
        <f>Cen!A216</f>
        <v>Korpusové lišty TIP-ON BLUMOTION, 500mm, 70kg</v>
      </c>
      <c r="Q48" s="694" t="str">
        <f>Cen!B216</f>
        <v>753.5001M</v>
      </c>
      <c r="R48" s="694" t="str">
        <f>Cen!C216</f>
        <v>ZN</v>
      </c>
      <c r="S48" s="695">
        <f>I34</f>
        <v>0</v>
      </c>
      <c r="T48" s="696">
        <f>Cen!F216</f>
        <v>28.059809999999999</v>
      </c>
      <c r="U48" s="696">
        <f t="shared" si="2"/>
        <v>0</v>
      </c>
    </row>
    <row r="49" spans="2:21" ht="14" x14ac:dyDescent="0.3">
      <c r="B49" s="315"/>
      <c r="C49" s="316"/>
      <c r="D49" s="295"/>
      <c r="E49" s="295"/>
      <c r="F49" s="295"/>
      <c r="G49" s="295"/>
      <c r="I49" s="290"/>
      <c r="J49" s="290"/>
      <c r="K49" s="290"/>
      <c r="L49" s="290"/>
      <c r="P49" s="122" t="str">
        <f>Cen!A217</f>
        <v>Korpusové lišty TIP-ON BLUMOTION, 550mm, 40kg</v>
      </c>
      <c r="Q49" s="122" t="str">
        <f>Cen!B217</f>
        <v>750.5501M</v>
      </c>
      <c r="R49" s="122" t="str">
        <f>Cen!C217</f>
        <v>ZN</v>
      </c>
      <c r="S49" s="123">
        <f>J33</f>
        <v>0</v>
      </c>
      <c r="T49" s="118">
        <f>Cen!F217</f>
        <v>24.254210000000004</v>
      </c>
      <c r="U49" s="118">
        <f t="shared" si="2"/>
        <v>0</v>
      </c>
    </row>
    <row r="50" spans="2:21" ht="13" x14ac:dyDescent="0.3">
      <c r="B50" s="119" t="str">
        <f>"        "&amp;List!$B$168</f>
        <v xml:space="preserve">        Zadejte celkový počet předních zásuvných prvků pro příslušnou šířku korpusu</v>
      </c>
      <c r="C50" s="287"/>
      <c r="H50" s="288"/>
      <c r="I50" s="288"/>
      <c r="J50" s="288"/>
      <c r="K50" s="288"/>
      <c r="L50" s="288"/>
      <c r="P50" s="122" t="str">
        <f>Cen!A218</f>
        <v>Korpusové lišty TIP-ON BLUMOTION, 550mm, 70kg</v>
      </c>
      <c r="Q50" s="122" t="str">
        <f>Cen!B218</f>
        <v>753.5501M</v>
      </c>
      <c r="R50" s="122" t="str">
        <f>Cen!C218</f>
        <v>ZN</v>
      </c>
      <c r="S50" s="123">
        <f>J34</f>
        <v>0</v>
      </c>
      <c r="T50" s="118">
        <f>Cen!F218</f>
        <v>29.550529999999998</v>
      </c>
      <c r="U50" s="118">
        <f t="shared" si="2"/>
        <v>0</v>
      </c>
    </row>
    <row r="51" spans="2:21" ht="13" x14ac:dyDescent="0.3">
      <c r="B51" s="119" t="str">
        <f>"        "&amp;List!$B$172</f>
        <v xml:space="preserve">        Máte-li zásuvné prvky vlastní, počty nezadávejte</v>
      </c>
      <c r="C51" s="287"/>
      <c r="H51" s="291"/>
      <c r="I51" s="291"/>
      <c r="J51" s="291"/>
      <c r="K51" s="291"/>
      <c r="L51" s="291"/>
      <c r="P51" s="122" t="str">
        <f>Cen!A219</f>
        <v>Korpusové lišty TIP-ON BLUMOTION, 600mm, 40kg</v>
      </c>
      <c r="Q51" s="122" t="str">
        <f>Cen!B219</f>
        <v>750.6001M</v>
      </c>
      <c r="R51" s="122" t="str">
        <f>Cen!C219</f>
        <v>ZN</v>
      </c>
      <c r="S51" s="123">
        <f>K33</f>
        <v>0</v>
      </c>
      <c r="T51" s="118">
        <f>Cen!F219</f>
        <v>27.259979999999999</v>
      </c>
      <c r="U51" s="118">
        <f t="shared" si="2"/>
        <v>0</v>
      </c>
    </row>
    <row r="52" spans="2:21" ht="13" x14ac:dyDescent="0.3">
      <c r="B52" s="119"/>
      <c r="C52" s="287"/>
      <c r="H52" s="291"/>
      <c r="I52" s="291"/>
      <c r="J52" s="291"/>
      <c r="K52" s="291"/>
      <c r="L52" s="291"/>
      <c r="P52" s="122" t="str">
        <f>Cen!A220</f>
        <v>Korpusové lišty TIP-ON BLUMOTION, 600mm, 70kg</v>
      </c>
      <c r="Q52" s="122" t="str">
        <f>Cen!B220</f>
        <v>753.6001M</v>
      </c>
      <c r="R52" s="122" t="str">
        <f>Cen!C220</f>
        <v>ZN</v>
      </c>
      <c r="S52" s="123">
        <f>K34</f>
        <v>0</v>
      </c>
      <c r="T52" s="118">
        <f>Cen!F220</f>
        <v>32.5563</v>
      </c>
      <c r="U52" s="118">
        <f t="shared" si="2"/>
        <v>0</v>
      </c>
    </row>
    <row r="53" spans="2:21" ht="13" x14ac:dyDescent="0.3">
      <c r="B53" s="119"/>
      <c r="C53" s="287"/>
      <c r="H53" s="291"/>
      <c r="I53" s="291"/>
      <c r="J53" s="291"/>
      <c r="K53" s="291"/>
      <c r="L53" s="291"/>
      <c r="P53" s="122" t="str">
        <f>Cen!A221</f>
        <v>Korpusové lišty TIP-ON BLUMOTION, 650mm, 70kg</v>
      </c>
      <c r="Q53" s="122" t="str">
        <f>Cen!B221</f>
        <v>753.6501M</v>
      </c>
      <c r="R53" s="122" t="str">
        <f>Cen!C221</f>
        <v>ZN</v>
      </c>
      <c r="S53" s="123">
        <f>L34</f>
        <v>0</v>
      </c>
      <c r="T53" s="118">
        <f>Cen!F221</f>
        <v>34.047020000000003</v>
      </c>
      <c r="U53" s="118">
        <f t="shared" si="2"/>
        <v>0</v>
      </c>
    </row>
    <row r="54" spans="2:21" ht="13" x14ac:dyDescent="0.3">
      <c r="B54" s="119"/>
      <c r="C54" s="287"/>
      <c r="H54" s="291"/>
      <c r="I54" s="291"/>
      <c r="J54" s="291"/>
      <c r="K54" s="291"/>
      <c r="L54" s="291"/>
      <c r="P54" s="122"/>
      <c r="Q54" s="122"/>
      <c r="R54" s="122"/>
      <c r="S54" s="123"/>
      <c r="T54" s="118"/>
      <c r="U54" s="118"/>
    </row>
    <row r="55" spans="2:21" ht="13" x14ac:dyDescent="0.3">
      <c r="B55" s="119"/>
      <c r="C55" s="287"/>
      <c r="H55" s="291"/>
      <c r="I55" s="291"/>
      <c r="J55" s="291"/>
      <c r="K55" s="291"/>
      <c r="L55" s="291"/>
      <c r="P55" s="122" t="str">
        <f>Cen!A223</f>
        <v>Sada jednotek TIP-ON BLUMOTION, S1</v>
      </c>
      <c r="Q55" s="122" t="str">
        <f>Cen!B223</f>
        <v>T60L7140</v>
      </c>
      <c r="R55" s="122" t="str">
        <f>Cen!C223</f>
        <v>ZN</v>
      </c>
      <c r="S55" s="123">
        <f>D38</f>
        <v>0</v>
      </c>
      <c r="T55" s="118">
        <f>Cen!F223</f>
        <v>15.883479999999999</v>
      </c>
      <c r="U55" s="118">
        <f t="shared" si="2"/>
        <v>0</v>
      </c>
    </row>
    <row r="56" spans="2:21" ht="13" x14ac:dyDescent="0.3">
      <c r="B56" s="119"/>
      <c r="C56" s="287"/>
      <c r="H56" s="291"/>
      <c r="I56" s="291"/>
      <c r="J56" s="291"/>
      <c r="K56" s="291"/>
      <c r="L56" s="291"/>
      <c r="P56" s="122" t="str">
        <f>Cen!A224</f>
        <v>Sada jednotek TIP-ON BLUMOTION, L1</v>
      </c>
      <c r="Q56" s="122" t="str">
        <f>Cen!B224</f>
        <v>T60L7340</v>
      </c>
      <c r="R56" s="122" t="str">
        <f>Cen!C224</f>
        <v>ZN</v>
      </c>
      <c r="S56" s="123">
        <f>E38</f>
        <v>0</v>
      </c>
      <c r="T56" s="118">
        <f>Cen!F224</f>
        <v>15.883479999999999</v>
      </c>
      <c r="U56" s="118">
        <f t="shared" si="2"/>
        <v>0</v>
      </c>
    </row>
    <row r="57" spans="2:21" ht="13" x14ac:dyDescent="0.3">
      <c r="B57" s="119"/>
      <c r="C57" s="287"/>
      <c r="H57" s="291"/>
      <c r="I57" s="291"/>
      <c r="J57" s="291"/>
      <c r="K57" s="291"/>
      <c r="L57" s="291"/>
      <c r="P57" s="122" t="str">
        <f>Cen!A225</f>
        <v>Sada jednotek TIP-ON BLUMOTION, L3</v>
      </c>
      <c r="Q57" s="122" t="str">
        <f>Cen!B225</f>
        <v>T60L7540</v>
      </c>
      <c r="R57" s="122" t="str">
        <f>Cen!C225</f>
        <v>ZN</v>
      </c>
      <c r="S57" s="123">
        <f>F38</f>
        <v>0</v>
      </c>
      <c r="T57" s="118">
        <f>Cen!F225</f>
        <v>15.883479999999999</v>
      </c>
      <c r="U57" s="118">
        <f t="shared" si="2"/>
        <v>0</v>
      </c>
    </row>
    <row r="58" spans="2:21" ht="13" x14ac:dyDescent="0.3">
      <c r="B58" s="119"/>
      <c r="C58" s="287"/>
      <c r="H58" s="291"/>
      <c r="I58" s="291"/>
      <c r="J58" s="291"/>
      <c r="K58" s="291"/>
      <c r="L58" s="291"/>
      <c r="P58" s="122" t="str">
        <f>Cen!A226</f>
        <v>Sada jednotek TIP-ON BLUMOTION, L5</v>
      </c>
      <c r="Q58" s="122" t="str">
        <f>Cen!B226</f>
        <v>T60L7570</v>
      </c>
      <c r="R58" s="122" t="str">
        <f>Cen!C226</f>
        <v>ZN</v>
      </c>
      <c r="S58" s="123">
        <f>G38</f>
        <v>0</v>
      </c>
      <c r="T58" s="118">
        <f>Cen!F226</f>
        <v>15.883479999999999</v>
      </c>
      <c r="U58" s="118">
        <f t="shared" si="2"/>
        <v>0</v>
      </c>
    </row>
    <row r="59" spans="2:21" ht="13" x14ac:dyDescent="0.3">
      <c r="B59" s="119"/>
      <c r="C59" s="287"/>
      <c r="H59" s="291"/>
      <c r="I59" s="291"/>
      <c r="J59" s="291"/>
      <c r="K59" s="291"/>
      <c r="L59" s="291"/>
      <c r="P59" s="144"/>
      <c r="Q59" s="144"/>
      <c r="R59" s="144"/>
      <c r="S59" s="150"/>
      <c r="T59" s="154"/>
      <c r="U59" s="154"/>
    </row>
    <row r="60" spans="2:21" ht="13" x14ac:dyDescent="0.3">
      <c r="B60" s="119" t="str">
        <f>"        "&amp;List!$B$158</f>
        <v xml:space="preserve">        Pro každý výsuv je započítán jeden přední díl</v>
      </c>
      <c r="C60" s="287"/>
      <c r="H60" s="289"/>
      <c r="I60" s="289"/>
      <c r="J60" s="289"/>
      <c r="K60" s="289"/>
      <c r="L60" s="289"/>
      <c r="P60" s="122" t="str">
        <f>Cen!A259</f>
        <v>Držáky zadní stěny C, Orion šedé</v>
      </c>
      <c r="Q60" s="122" t="str">
        <f>Cen!B259</f>
        <v>ZB7C000S</v>
      </c>
      <c r="R60" s="122" t="str">
        <f>Cen!C259</f>
        <v>OG-M</v>
      </c>
      <c r="S60" s="123">
        <f>SUM(S3:S11)</f>
        <v>0</v>
      </c>
      <c r="T60" s="118">
        <f>Cen!$F259</f>
        <v>1.59894</v>
      </c>
      <c r="U60" s="118">
        <f t="shared" si="1"/>
        <v>0</v>
      </c>
    </row>
    <row r="61" spans="2:21" x14ac:dyDescent="0.25">
      <c r="B61" s="119" t="str">
        <f>"        "&amp;List!$B$160</f>
        <v xml:space="preserve">        Potřebný počet předních dílů upravte v objednávce</v>
      </c>
      <c r="H61" s="290"/>
      <c r="I61" s="290"/>
      <c r="J61" s="290"/>
      <c r="K61" s="290"/>
      <c r="L61" s="290"/>
      <c r="P61" s="122" t="str">
        <f>Cen!A293</f>
        <v>Sada kování vnitř.výs. C, se zás.prvkem, Orion šedá</v>
      </c>
      <c r="Q61" s="122" t="str">
        <f>Cen!B293</f>
        <v>ZI7.2CS0</v>
      </c>
      <c r="R61" s="122" t="str">
        <f>Cen!C293</f>
        <v>OG-M</v>
      </c>
      <c r="S61" s="123">
        <f>SUM(S3:S11)</f>
        <v>0</v>
      </c>
      <c r="T61" s="118">
        <f>Cen!F293</f>
        <v>19.402619999999999</v>
      </c>
      <c r="U61" s="118">
        <f t="shared" si="1"/>
        <v>0</v>
      </c>
    </row>
    <row r="62" spans="2:21" ht="13" x14ac:dyDescent="0.3">
      <c r="H62" s="288"/>
      <c r="I62" s="288"/>
      <c r="J62" s="288"/>
      <c r="K62" s="288"/>
      <c r="L62" s="288"/>
      <c r="P62" s="122"/>
      <c r="Q62" s="122"/>
      <c r="R62" s="122"/>
      <c r="S62" s="123"/>
      <c r="T62" s="118"/>
      <c r="U62" s="118"/>
    </row>
    <row r="63" spans="2:21" x14ac:dyDescent="0.25">
      <c r="P63" s="122" t="str">
        <f>Cen!A306</f>
        <v>Přední díl vnitřní zásuvky, s drážkou, Orion šedý</v>
      </c>
      <c r="Q63" s="122" t="str">
        <f>Cen!B306</f>
        <v>ZV7.1043MN1</v>
      </c>
      <c r="R63" s="122" t="str">
        <f>Cen!C306</f>
        <v>OG-M</v>
      </c>
      <c r="S63" s="336">
        <f>SUM($S$3:$S$11)</f>
        <v>0</v>
      </c>
      <c r="T63" s="118">
        <f>Cen!F306</f>
        <v>14.808439999999997</v>
      </c>
      <c r="U63" s="118">
        <f t="shared" si="1"/>
        <v>0</v>
      </c>
    </row>
    <row r="64" spans="2:21" x14ac:dyDescent="0.25">
      <c r="P64" s="122"/>
      <c r="Q64" s="122"/>
      <c r="R64" s="122"/>
      <c r="S64" s="123"/>
      <c r="T64" s="118"/>
      <c r="U64" s="118"/>
    </row>
    <row r="65" spans="16:21" x14ac:dyDescent="0.25">
      <c r="P65" s="126" t="str">
        <f>Cen!A322</f>
        <v>Přední zásuvný prvek vysoký, sklo, KB 450mm</v>
      </c>
      <c r="Q65" s="126" t="str">
        <f>Cen!B322</f>
        <v>ZE7W332G</v>
      </c>
      <c r="R65" s="126" t="str">
        <f>Cen!C322</f>
        <v>KLA</v>
      </c>
      <c r="S65" s="334">
        <f>IF(SUM($S$3:$S$11)&gt;0,E47,0)</f>
        <v>0</v>
      </c>
      <c r="T65" s="335">
        <f>Cen!F322</f>
        <v>12.912559999999999</v>
      </c>
      <c r="U65" s="335">
        <f t="shared" si="1"/>
        <v>0</v>
      </c>
    </row>
    <row r="66" spans="16:21" x14ac:dyDescent="0.25">
      <c r="P66" s="127" t="str">
        <f>Cen!A323</f>
        <v>Přední zásuvný prvek vysoký, sklo, KB 600mm</v>
      </c>
      <c r="Q66" s="127" t="str">
        <f>Cen!B323</f>
        <v>ZE7W482G</v>
      </c>
      <c r="R66" s="127" t="str">
        <f>Cen!C323</f>
        <v>KLA</v>
      </c>
      <c r="S66" s="334">
        <f>IF(SUM($S$3:$S$11)&gt;0,F47,0)</f>
        <v>0</v>
      </c>
      <c r="T66" s="263">
        <f>Cen!F323</f>
        <v>14.673980000000002</v>
      </c>
      <c r="U66" s="263">
        <f t="shared" si="1"/>
        <v>0</v>
      </c>
    </row>
    <row r="67" spans="16:21" x14ac:dyDescent="0.25">
      <c r="P67" s="127" t="str">
        <f>Cen!A324</f>
        <v>Přední zásuvný prvek vysoký, sklo, KB 900mm</v>
      </c>
      <c r="Q67" s="127" t="str">
        <f>Cen!B324</f>
        <v>ZE7W782G</v>
      </c>
      <c r="R67" s="127" t="str">
        <f>Cen!C324</f>
        <v>KLA</v>
      </c>
      <c r="S67" s="334">
        <f>IF(SUM($S$3:$S$11)&gt;0,G47,0)</f>
        <v>0</v>
      </c>
      <c r="T67" s="263">
        <f>Cen!F324</f>
        <v>24.45665</v>
      </c>
      <c r="U67" s="263">
        <f t="shared" si="1"/>
        <v>0</v>
      </c>
    </row>
    <row r="68" spans="16:21" x14ac:dyDescent="0.25">
      <c r="P68" s="206" t="str">
        <f>Cen!A325</f>
        <v>Přední zásuvný prvek vysoký, sklo, KB 1200mm</v>
      </c>
      <c r="Q68" s="206" t="str">
        <f>Cen!B325</f>
        <v>ZE7W1082G</v>
      </c>
      <c r="R68" s="206" t="str">
        <f>Cen!C325</f>
        <v>KLA</v>
      </c>
      <c r="S68" s="264">
        <f>IF(SUM($S$3:$S$11)&gt;0,H47,0)</f>
        <v>0</v>
      </c>
      <c r="T68" s="265">
        <f>Cen!F325</f>
        <v>31.500150000000005</v>
      </c>
      <c r="U68" s="265">
        <f t="shared" si="1"/>
        <v>0</v>
      </c>
    </row>
    <row r="69" spans="16:21" x14ac:dyDescent="0.25">
      <c r="P69" s="119"/>
      <c r="Q69" s="119"/>
    </row>
    <row r="70" spans="16:21" x14ac:dyDescent="0.25">
      <c r="Q70" s="119"/>
      <c r="S70" s="73" t="str">
        <f>List!$B$94</f>
        <v>cena kování</v>
      </c>
      <c r="U70" s="353">
        <f>SUM(U3:U69)</f>
        <v>0</v>
      </c>
    </row>
    <row r="71" spans="16:21" x14ac:dyDescent="0.25">
      <c r="Q71" s="119"/>
    </row>
    <row r="72" spans="16:21" x14ac:dyDescent="0.25">
      <c r="Q72" s="119"/>
    </row>
    <row r="73" spans="16:21" x14ac:dyDescent="0.25">
      <c r="Q73" s="119"/>
    </row>
    <row r="74" spans="16:21" x14ac:dyDescent="0.25">
      <c r="P74" s="119"/>
      <c r="Q74" s="119"/>
    </row>
    <row r="75" spans="16:21" x14ac:dyDescent="0.25">
      <c r="P75" s="119"/>
      <c r="Q75" s="119"/>
    </row>
    <row r="76" spans="16:21" x14ac:dyDescent="0.25">
      <c r="P76" s="119"/>
      <c r="Q76" s="119"/>
    </row>
    <row r="77" spans="16:21" x14ac:dyDescent="0.25">
      <c r="P77" s="119"/>
      <c r="Q77" s="119"/>
    </row>
    <row r="78" spans="16:21" x14ac:dyDescent="0.25">
      <c r="P78" s="119"/>
      <c r="Q78" s="119"/>
    </row>
    <row r="80" spans="16:21" x14ac:dyDescent="0.25">
      <c r="P80" s="119" t="str">
        <f>List!$B$305&amp;"!"</f>
        <v>S1 pouze pro jmenovitou délku 270 a 300 mm!</v>
      </c>
    </row>
    <row r="81" spans="16:16" x14ac:dyDescent="0.25">
      <c r="P81" s="119" t="str">
        <f>List!$B$306&amp;"!"</f>
        <v>Pro výsuvy délky 270 a 300 mm vyberte jednotky S1!</v>
      </c>
    </row>
    <row r="82" spans="16:16" x14ac:dyDescent="0.25">
      <c r="P82" s="119" t="str">
        <f>List!$B$307&amp;"!"</f>
        <v>Počet jednotek L neodpovídá počtu korpusových lišt!</v>
      </c>
    </row>
    <row r="83" spans="16:16" x14ac:dyDescent="0.25">
      <c r="P83" s="119" t="str">
        <f>List!$B$308&amp;"!"</f>
        <v>Počet jednotek S1 neodpovídá počtu korpusových lišt!</v>
      </c>
    </row>
    <row r="99" spans="1:14" x14ac:dyDescent="0.25">
      <c r="A99" s="783"/>
    </row>
    <row r="100" spans="1:14" x14ac:dyDescent="0.25">
      <c r="A100" s="783"/>
      <c r="B100" s="805" t="str">
        <f>List!B25</f>
        <v>Informace k objednávání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</row>
    <row r="101" spans="1:14" x14ac:dyDescent="0.25">
      <c r="A101" s="783"/>
      <c r="B101" s="805"/>
      <c r="C101" s="805"/>
      <c r="D101" s="805"/>
      <c r="E101" s="805"/>
      <c r="F101" s="805"/>
      <c r="G101" s="805"/>
      <c r="H101" s="805"/>
      <c r="I101" s="805"/>
      <c r="J101" s="805"/>
      <c r="K101" s="805"/>
      <c r="L101" s="805"/>
    </row>
    <row r="102" spans="1:14" ht="3.75" customHeight="1" x14ac:dyDescent="0.25">
      <c r="A102" s="783"/>
    </row>
    <row r="103" spans="1:14" ht="22.5" customHeight="1" thickBot="1" x14ac:dyDescent="0.3">
      <c r="A103" s="783"/>
      <c r="B103" s="806"/>
      <c r="C103" s="806"/>
      <c r="D103" s="807" t="str">
        <f>List!B302&amp;" "&amp;List!B312</f>
        <v>Sada jednotek TIP-ON BLUMOTION a sada unašečů TIP-ON BLUMOTION</v>
      </c>
      <c r="E103" s="807"/>
      <c r="F103" s="807"/>
      <c r="G103" s="807"/>
      <c r="H103" s="807"/>
      <c r="I103" s="807"/>
      <c r="J103" s="807"/>
      <c r="K103" s="807"/>
      <c r="L103" s="807"/>
    </row>
    <row r="104" spans="1:14" ht="22.5" customHeight="1" thickBot="1" x14ac:dyDescent="0.3">
      <c r="A104" s="783"/>
      <c r="B104" s="808"/>
      <c r="C104" s="809"/>
      <c r="D104" s="812" t="s">
        <v>1237</v>
      </c>
      <c r="E104" s="813"/>
      <c r="F104" s="813"/>
      <c r="G104" s="813"/>
      <c r="H104" s="813"/>
      <c r="I104" s="814"/>
      <c r="J104" s="815" t="str">
        <f>List!B310&amp;"*"</f>
        <v>Doporučené hodnoty hmotnosti*</v>
      </c>
      <c r="K104" s="816"/>
      <c r="L104" s="816"/>
    </row>
    <row r="105" spans="1:14" ht="22.5" customHeight="1" thickBot="1" x14ac:dyDescent="0.3">
      <c r="A105" s="783"/>
      <c r="B105" s="810"/>
      <c r="C105" s="811"/>
      <c r="D105" s="819" t="str">
        <f>List!B115&amp;" (NL)"</f>
        <v>Jmenovitá délka (NL)</v>
      </c>
      <c r="E105" s="819"/>
      <c r="F105" s="819"/>
      <c r="G105" s="704" t="str">
        <f>List!B304</f>
        <v>Jednotka</v>
      </c>
      <c r="H105" s="820" t="s">
        <v>114</v>
      </c>
      <c r="I105" s="821"/>
      <c r="J105" s="817"/>
      <c r="K105" s="818"/>
      <c r="L105" s="818"/>
    </row>
    <row r="106" spans="1:14" ht="19.5" customHeight="1" thickBot="1" x14ac:dyDescent="0.3">
      <c r="A106" s="783"/>
      <c r="B106" s="810"/>
      <c r="C106" s="811"/>
      <c r="D106" s="819" t="s">
        <v>1238</v>
      </c>
      <c r="E106" s="819"/>
      <c r="F106" s="819"/>
      <c r="G106" s="720" t="s">
        <v>1192</v>
      </c>
      <c r="H106" s="822" t="s">
        <v>1197</v>
      </c>
      <c r="I106" s="823"/>
      <c r="J106" s="706" t="s">
        <v>1244</v>
      </c>
      <c r="K106" s="707"/>
      <c r="L106" s="707"/>
    </row>
    <row r="107" spans="1:14" ht="19.5" customHeight="1" thickBot="1" x14ac:dyDescent="0.3">
      <c r="A107" s="783"/>
      <c r="B107" s="810"/>
      <c r="C107" s="811"/>
      <c r="D107" s="824" t="s">
        <v>1239</v>
      </c>
      <c r="E107" s="825"/>
      <c r="F107" s="826"/>
      <c r="G107" s="720" t="s">
        <v>1193</v>
      </c>
      <c r="H107" s="822" t="s">
        <v>1198</v>
      </c>
      <c r="I107" s="823"/>
      <c r="J107" s="706" t="s">
        <v>1244</v>
      </c>
      <c r="K107" s="707"/>
      <c r="L107" s="707"/>
    </row>
    <row r="108" spans="1:14" ht="19.5" customHeight="1" thickBot="1" x14ac:dyDescent="0.3">
      <c r="A108" s="783"/>
      <c r="B108" s="810"/>
      <c r="C108" s="811"/>
      <c r="D108" s="827"/>
      <c r="E108" s="828"/>
      <c r="F108" s="829"/>
      <c r="G108" s="720" t="s">
        <v>1194</v>
      </c>
      <c r="H108" s="822" t="s">
        <v>1199</v>
      </c>
      <c r="I108" s="823"/>
      <c r="J108" s="833" t="s">
        <v>1245</v>
      </c>
      <c r="K108" s="802"/>
      <c r="L108" s="707"/>
    </row>
    <row r="109" spans="1:14" ht="19.5" customHeight="1" thickBot="1" x14ac:dyDescent="0.3">
      <c r="A109" s="783"/>
      <c r="B109" s="810"/>
      <c r="C109" s="811"/>
      <c r="D109" s="830"/>
      <c r="E109" s="831"/>
      <c r="F109" s="832"/>
      <c r="G109" s="720" t="s">
        <v>1195</v>
      </c>
      <c r="H109" s="822" t="s">
        <v>1200</v>
      </c>
      <c r="I109" s="823"/>
      <c r="J109" s="708"/>
      <c r="K109" s="802" t="s">
        <v>1246</v>
      </c>
      <c r="L109" s="802"/>
    </row>
    <row r="110" spans="1:14" ht="18" customHeight="1" thickBot="1" x14ac:dyDescent="0.3">
      <c r="A110" s="783"/>
      <c r="B110" s="810"/>
      <c r="C110" s="811"/>
      <c r="D110" s="702"/>
      <c r="E110" s="702"/>
      <c r="F110" s="702"/>
      <c r="G110" s="709"/>
      <c r="H110" s="803" t="str">
        <f>"* "&amp;List!B311</f>
        <v>* Celková hmotnost výsuvu (hmotnost výsuvu včetně náplně)</v>
      </c>
      <c r="I110" s="803"/>
      <c r="J110" s="803"/>
      <c r="K110" s="803"/>
      <c r="L110" s="803"/>
    </row>
    <row r="111" spans="1:14" ht="18" customHeight="1" x14ac:dyDescent="0.25">
      <c r="A111" s="783"/>
      <c r="B111" s="810"/>
      <c r="C111" s="811"/>
      <c r="D111" s="702"/>
      <c r="E111" s="702"/>
      <c r="F111" s="702"/>
      <c r="G111" s="703"/>
      <c r="H111" s="803"/>
      <c r="I111" s="803"/>
      <c r="J111" s="803"/>
      <c r="K111" s="803"/>
      <c r="L111" s="803"/>
      <c r="N111" s="710" t="str">
        <f>" "&amp;List!$B$109</f>
        <v xml:space="preserve"> Zpět</v>
      </c>
    </row>
    <row r="112" spans="1:14" x14ac:dyDescent="0.25">
      <c r="A112" s="783"/>
    </row>
    <row r="113" spans="1:1" x14ac:dyDescent="0.25">
      <c r="A113" s="783"/>
    </row>
    <row r="114" spans="1:1" x14ac:dyDescent="0.25">
      <c r="A114" s="783"/>
    </row>
    <row r="115" spans="1:1" x14ac:dyDescent="0.25">
      <c r="A115" s="783"/>
    </row>
    <row r="116" spans="1:1" x14ac:dyDescent="0.25">
      <c r="A116" s="783"/>
    </row>
    <row r="117" spans="1:1" x14ac:dyDescent="0.25">
      <c r="A117" s="783"/>
    </row>
    <row r="118" spans="1:1" x14ac:dyDescent="0.25">
      <c r="A118" s="783"/>
    </row>
    <row r="119" spans="1:1" x14ac:dyDescent="0.25">
      <c r="A119" s="783"/>
    </row>
    <row r="120" spans="1:1" x14ac:dyDescent="0.25">
      <c r="A120" s="783"/>
    </row>
    <row r="121" spans="1:1" x14ac:dyDescent="0.25">
      <c r="A121" s="783"/>
    </row>
    <row r="122" spans="1:1" x14ac:dyDescent="0.25">
      <c r="A122" s="783"/>
    </row>
    <row r="123" spans="1:1" x14ac:dyDescent="0.25">
      <c r="A123" s="783"/>
    </row>
    <row r="124" spans="1:1" x14ac:dyDescent="0.25">
      <c r="A124" s="783"/>
    </row>
    <row r="125" spans="1:1" x14ac:dyDescent="0.25">
      <c r="A125" s="783"/>
    </row>
    <row r="126" spans="1:1" x14ac:dyDescent="0.25">
      <c r="A126" s="783"/>
    </row>
    <row r="127" spans="1:1" x14ac:dyDescent="0.25">
      <c r="A127" s="783"/>
    </row>
    <row r="128" spans="1:1" x14ac:dyDescent="0.25">
      <c r="A128" s="783"/>
    </row>
    <row r="129" spans="1:1" x14ac:dyDescent="0.25">
      <c r="A129" s="783"/>
    </row>
    <row r="130" spans="1:1" x14ac:dyDescent="0.25">
      <c r="A130" s="783"/>
    </row>
    <row r="131" spans="1:1" x14ac:dyDescent="0.25">
      <c r="A131" s="783"/>
    </row>
    <row r="132" spans="1:1" x14ac:dyDescent="0.25">
      <c r="A132" s="783"/>
    </row>
    <row r="133" spans="1:1" x14ac:dyDescent="0.25">
      <c r="A133" s="783"/>
    </row>
    <row r="134" spans="1:1" x14ac:dyDescent="0.25">
      <c r="A134" s="783"/>
    </row>
    <row r="135" spans="1:1" x14ac:dyDescent="0.25">
      <c r="A135" s="783"/>
    </row>
    <row r="136" spans="1:1" x14ac:dyDescent="0.25">
      <c r="A136" s="783"/>
    </row>
    <row r="137" spans="1:1" x14ac:dyDescent="0.25">
      <c r="A137" s="783"/>
    </row>
    <row r="138" spans="1:1" x14ac:dyDescent="0.25">
      <c r="A138" s="783"/>
    </row>
    <row r="139" spans="1:1" x14ac:dyDescent="0.25">
      <c r="A139" s="783"/>
    </row>
    <row r="140" spans="1:1" x14ac:dyDescent="0.25">
      <c r="A140" s="783"/>
    </row>
  </sheetData>
  <sheetProtection algorithmName="SHA-512" hashValue="OBSKwEp+//z5mcQdKbeakvgOI2h77BJyvZznAkiHfE0gtjhmuh++DHiqmVLS2dGYa2yW6rzkPBSBY36Vt/14Og==" saltValue="+ppiLxTi5UX9LOgyLJ105Q==" spinCount="100000" sheet="1" objects="1" scenarios="1"/>
  <mergeCells count="19">
    <mergeCell ref="H109:I109"/>
    <mergeCell ref="K109:L109"/>
    <mergeCell ref="H110:L111"/>
    <mergeCell ref="I36:L37"/>
    <mergeCell ref="A99:A140"/>
    <mergeCell ref="B100:L101"/>
    <mergeCell ref="B103:C103"/>
    <mergeCell ref="D103:L103"/>
    <mergeCell ref="B104:C111"/>
    <mergeCell ref="D104:I104"/>
    <mergeCell ref="J104:L105"/>
    <mergeCell ref="D105:F105"/>
    <mergeCell ref="H105:I105"/>
    <mergeCell ref="D106:F106"/>
    <mergeCell ref="H106:I106"/>
    <mergeCell ref="D107:F109"/>
    <mergeCell ref="H107:I107"/>
    <mergeCell ref="H108:I108"/>
    <mergeCell ref="J108:K108"/>
  </mergeCells>
  <phoneticPr fontId="51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8" location="SD!A1" tooltip=" " display="SD!A1"/>
    <hyperlink ref="N10" location="Sum!A1" tooltip=" " display="Sum!A1"/>
    <hyperlink ref="N11" location="Ord!A1" tooltip=" " display="Ord!A1"/>
    <hyperlink ref="N9" location="AL!A1" tooltip=" " display="AL!A1"/>
    <hyperlink ref="N32" location="'7C41VP'!A100" tooltip=" " display="'7C41VP'!A100"/>
    <hyperlink ref="N111" location="'7C41VP'!A1" tooltip=" " display="'7C41VP'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46</vt:i4>
      </vt:variant>
      <vt:variant>
        <vt:lpstr>Pojmenované oblasti</vt:lpstr>
      </vt:variant>
      <vt:variant>
        <vt:i4>13</vt:i4>
      </vt:variant>
    </vt:vector>
  </HeadingPairs>
  <TitlesOfParts>
    <vt:vector size="59" baseType="lpstr">
      <vt:lpstr>Form</vt:lpstr>
      <vt:lpstr>Menu</vt:lpstr>
      <vt:lpstr>7N400P</vt:lpstr>
      <vt:lpstr>7M400P</vt:lpstr>
      <vt:lpstr>7M40VP</vt:lpstr>
      <vt:lpstr>7K400P</vt:lpstr>
      <vt:lpstr>7C410P</vt:lpstr>
      <vt:lpstr>7C410F</vt:lpstr>
      <vt:lpstr>7C41VP</vt:lpstr>
      <vt:lpstr>7C41VF</vt:lpstr>
      <vt:lpstr>7C41NP</vt:lpstr>
      <vt:lpstr>7C41NF</vt:lpstr>
      <vt:lpstr>7C41RP</vt:lpstr>
      <vt:lpstr>7C41RF</vt:lpstr>
      <vt:lpstr>7F410P</vt:lpstr>
      <vt:lpstr>7M442P</vt:lpstr>
      <vt:lpstr>7C442P</vt:lpstr>
      <vt:lpstr>7C442F</vt:lpstr>
      <vt:lpstr>7CM42P</vt:lpstr>
      <vt:lpstr>7CM42F</vt:lpstr>
      <vt:lpstr>7CM52P</vt:lpstr>
      <vt:lpstr>7CM52F</vt:lpstr>
      <vt:lpstr>7STCGP</vt:lpstr>
      <vt:lpstr>7STCGF</vt:lpstr>
      <vt:lpstr>7STCRP</vt:lpstr>
      <vt:lpstr>7STCRF</vt:lpstr>
      <vt:lpstr>7STMGP</vt:lpstr>
      <vt:lpstr>7STMGF</vt:lpstr>
      <vt:lpstr>7STMRP</vt:lpstr>
      <vt:lpstr>7STMRF</vt:lpstr>
      <vt:lpstr>Acs</vt:lpstr>
      <vt:lpstr>SD</vt:lpstr>
      <vt:lpstr>AL</vt:lpstr>
      <vt:lpstr>ALds</vt:lpstr>
      <vt:lpstr>ALpos</vt:lpstr>
      <vt:lpstr>ALbot</vt:lpstr>
      <vt:lpstr>ALdw</vt:lpstr>
      <vt:lpstr>ALpow</vt:lpstr>
      <vt:lpstr>ALrel</vt:lpstr>
      <vt:lpstr>ALkh</vt:lpstr>
      <vt:lpstr>Sum</vt:lpstr>
      <vt:lpstr>Zones</vt:lpstr>
      <vt:lpstr>Ord</vt:lpstr>
      <vt:lpstr>List</vt:lpstr>
      <vt:lpstr>Cen</vt:lpstr>
      <vt:lpstr>Price</vt:lpstr>
      <vt:lpstr>Ord!Názvy_tisku</vt:lpstr>
      <vt:lpstr>Acs!Oblast_tisku</vt:lpstr>
      <vt:lpstr>AL!Oblast_tisku</vt:lpstr>
      <vt:lpstr>ALbot!Oblast_tisku</vt:lpstr>
      <vt:lpstr>ALds!Oblast_tisku</vt:lpstr>
      <vt:lpstr>ALdw!Oblast_tisku</vt:lpstr>
      <vt:lpstr>ALkh!Oblast_tisku</vt:lpstr>
      <vt:lpstr>ALpos!Oblast_tisku</vt:lpstr>
      <vt:lpstr>ALpow!Oblast_tisku</vt:lpstr>
      <vt:lpstr>ALrel!Oblast_tisku</vt:lpstr>
      <vt:lpstr>Menu!Oblast_tisku</vt:lpstr>
      <vt:lpstr>SD!Oblast_tisku</vt:lpstr>
      <vt:lpstr>Sum!Oblast_tisku</vt:lpstr>
    </vt:vector>
  </TitlesOfParts>
  <Company>Blum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BOXPLAN LBX</dc:title>
  <dc:creator>Richard Sajdl</dc:creator>
  <cp:lastModifiedBy>Zniszczol Martin</cp:lastModifiedBy>
  <cp:lastPrinted>2015-03-11T14:54:46Z</cp:lastPrinted>
  <dcterms:created xsi:type="dcterms:W3CDTF">2013-03-11T16:03:23Z</dcterms:created>
  <dcterms:modified xsi:type="dcterms:W3CDTF">2017-10-30T07:51:19Z</dcterms:modified>
  <cp:category>BOXPLAN</cp:category>
</cp:coreProperties>
</file>