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 codeName="{21656B06-1B9B-AA78-C99D-37B55691406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niszczol\Documents\KATALOGY+CENY\Katalog BLUM\Antaro\Excely\"/>
    </mc:Choice>
  </mc:AlternateContent>
  <bookViews>
    <workbookView showSheetTabs="0" xWindow="0" yWindow="0" windowWidth="21540" windowHeight="10350" tabRatio="810"/>
  </bookViews>
  <sheets>
    <sheet name="Form" sheetId="11" r:id="rId1"/>
    <sheet name="Menu" sheetId="10" r:id="rId2"/>
    <sheet name="AN300" sheetId="24" r:id="rId3"/>
    <sheet name="AM300" sheetId="22" r:id="rId4"/>
    <sheet name="AK300" sheetId="25" r:id="rId5"/>
    <sheet name="AM30V" sheetId="23" r:id="rId6"/>
    <sheet name="AK30V" sheetId="26" r:id="rId7"/>
    <sheet name="AD310G" sheetId="2" r:id="rId8"/>
    <sheet name="AD310M" sheetId="17" r:id="rId9"/>
    <sheet name="AD310R" sheetId="18" r:id="rId10"/>
    <sheet name="AD31VG" sheetId="19" r:id="rId11"/>
    <sheet name="AD31VM" sheetId="20" r:id="rId12"/>
    <sheet name="AD31VR" sheetId="21" r:id="rId13"/>
    <sheet name="AC310G" sheetId="76" r:id="rId14"/>
    <sheet name="AC310M" sheetId="27" r:id="rId15"/>
    <sheet name="AC310R" sheetId="29" r:id="rId16"/>
    <sheet name="AC31VG" sheetId="77" r:id="rId17"/>
    <sheet name="AC31VM" sheetId="30" r:id="rId18"/>
    <sheet name="AC31VR" sheetId="31" r:id="rId19"/>
    <sheet name="AM530S" sheetId="35" r:id="rId20"/>
    <sheet name="AD535SG" sheetId="32" r:id="rId21"/>
    <sheet name="AD535SM" sheetId="33" r:id="rId22"/>
    <sheet name="AD535SR" sheetId="34" r:id="rId23"/>
    <sheet name="AM530" sheetId="40" r:id="rId24"/>
    <sheet name="AD535G" sheetId="37" r:id="rId25"/>
    <sheet name="AD535M" sheetId="38" r:id="rId26"/>
    <sheet name="AD535R" sheetId="39" r:id="rId27"/>
    <sheet name="AM340" sheetId="44" r:id="rId28"/>
    <sheet name="AD342G" sheetId="41" r:id="rId29"/>
    <sheet name="AD342M" sheetId="42" r:id="rId30"/>
    <sheet name="AD342R" sheetId="43" r:id="rId31"/>
    <sheet name="ADD32G" sheetId="49" r:id="rId32"/>
    <sheet name="ADD32M" sheetId="50" r:id="rId33"/>
    <sheet name="ADD32R" sheetId="51" r:id="rId34"/>
    <sheet name="ADM30G" sheetId="52" r:id="rId35"/>
    <sheet name="ADM30M" sheetId="53" r:id="rId36"/>
    <sheet name="ADM30R" sheetId="54" r:id="rId37"/>
    <sheet name="ADM45G" sheetId="69" r:id="rId38"/>
    <sheet name="ADM45M" sheetId="71" r:id="rId39"/>
    <sheet name="ADM45R" sheetId="72" r:id="rId40"/>
    <sheet name="ADD45G" sheetId="70" r:id="rId41"/>
    <sheet name="ADD45M" sheetId="73" r:id="rId42"/>
    <sheet name="ADD45R" sheetId="74" r:id="rId43"/>
    <sheet name="Acs" sheetId="16" r:id="rId44"/>
    <sheet name="SD" sheetId="75" r:id="rId45"/>
    <sheet name="OL" sheetId="3" r:id="rId46"/>
    <sheet name="OLMi" sheetId="55" r:id="rId47"/>
    <sheet name="OLRo" sheetId="56" r:id="rId48"/>
    <sheet name="OLP1" sheetId="58" r:id="rId49"/>
    <sheet name="OLP2" sheetId="59" r:id="rId50"/>
    <sheet name="OLTa" sheetId="60" r:id="rId51"/>
    <sheet name="OLVMP" sheetId="14" r:id="rId52"/>
    <sheet name="OLKMP" sheetId="57" r:id="rId53"/>
    <sheet name="OLKo" sheetId="64" r:id="rId54"/>
    <sheet name="OLVM" sheetId="61" r:id="rId55"/>
    <sheet name="OLVa" sheetId="62" r:id="rId56"/>
    <sheet name="OLMe" sheetId="65" r:id="rId57"/>
    <sheet name="OLRel" sheetId="66" r:id="rId58"/>
    <sheet name="OLOst" sheetId="67" r:id="rId59"/>
    <sheet name="Sum" sheetId="15" r:id="rId60"/>
    <sheet name="Zones" sheetId="1" state="hidden" r:id="rId61"/>
    <sheet name="Ord" sheetId="48" r:id="rId62"/>
    <sheet name="List" sheetId="12" r:id="rId63"/>
    <sheet name="Cen" sheetId="9" state="hidden" r:id="rId64"/>
    <sheet name="Price" sheetId="8" r:id="rId65"/>
  </sheets>
  <definedNames>
    <definedName name="_xlnm._FilterDatabase" localSheetId="61" hidden="1">Ord!$F$10:$F$320</definedName>
    <definedName name="_xlnm._FilterDatabase" localSheetId="64" hidden="1">Price!$F$1:$F$665</definedName>
    <definedName name="_xlnm.Print_Titles" localSheetId="61">Ord!$1:$2</definedName>
    <definedName name="_xlnm.Print_Area" localSheetId="43">Acs!$A$1:$G$61</definedName>
    <definedName name="_xlnm.Print_Area" localSheetId="40">ADD45G!$A$1:$M$61</definedName>
    <definedName name="_xlnm.Print_Area" localSheetId="41">ADD45M!$A$1:$M$63</definedName>
    <definedName name="_xlnm.Print_Area" localSheetId="42">ADD45R!$A$1:$M$63</definedName>
    <definedName name="_xlnm.Print_Area" localSheetId="37">ADM45G!$A$1:$M$63</definedName>
    <definedName name="_xlnm.Print_Area" localSheetId="38">ADM45M!$A$1:$M$63</definedName>
    <definedName name="_xlnm.Print_Area" localSheetId="39">ADM45R!$A$1:$M$65</definedName>
    <definedName name="_xlnm.Print_Area" localSheetId="1">Menu!$B$14:$R$109</definedName>
    <definedName name="_xlnm.Print_Area" localSheetId="45">OL!$A$1:$N$75</definedName>
    <definedName name="_xlnm.Print_Area" localSheetId="52">OLKMP!$A$1:$H$39</definedName>
    <definedName name="_xlnm.Print_Area" localSheetId="53">OLKo!$A$1:$H$35</definedName>
    <definedName name="_xlnm.Print_Area" localSheetId="56">OLMe!$A$1:$H$37</definedName>
    <definedName name="_xlnm.Print_Area" localSheetId="46">OLMi!$A$1:$I$57</definedName>
    <definedName name="_xlnm.Print_Area" localSheetId="58">OLOst!$A$1:$I$34</definedName>
    <definedName name="_xlnm.Print_Area" localSheetId="48">'OLP1'!$A$1:$H$36</definedName>
    <definedName name="_xlnm.Print_Area" localSheetId="49">'OLP2'!$A$1:$H$36</definedName>
    <definedName name="_xlnm.Print_Area" localSheetId="57">OLRel!$A$1:$H$33</definedName>
    <definedName name="_xlnm.Print_Area" localSheetId="47">OLRo!$A$1:$I$40</definedName>
    <definedName name="_xlnm.Print_Area" localSheetId="50">OLTa!$A$1:$H$34</definedName>
    <definedName name="_xlnm.Print_Area" localSheetId="55">OLVa!$A$1:$H$34</definedName>
    <definedName name="_xlnm.Print_Area" localSheetId="54">OLVM!$A$1:$H$34</definedName>
    <definedName name="_xlnm.Print_Area" localSheetId="51">OLVMP!$A$1:$H$37</definedName>
    <definedName name="_xlnm.Print_Area" localSheetId="61">Ord!$B$1:$K$328</definedName>
    <definedName name="_xlnm.Print_Area" localSheetId="44">SD!$A$1:$G$36</definedName>
  </definedNames>
  <calcPr calcId="171027"/>
</workbook>
</file>

<file path=xl/calcChain.xml><?xml version="1.0" encoding="utf-8"?>
<calcChain xmlns="http://schemas.openxmlformats.org/spreadsheetml/2006/main">
  <c r="S81" i="27" l="1"/>
  <c r="B23" i="56" l="1"/>
  <c r="BY274" i="48" l="1"/>
  <c r="BY275" i="48"/>
  <c r="F275" i="48" l="1"/>
  <c r="L275" i="48" s="1"/>
  <c r="BY278" i="48"/>
  <c r="BY279" i="48"/>
  <c r="BY280" i="48"/>
  <c r="BY276" i="48"/>
  <c r="F276" i="48" s="1"/>
  <c r="L276" i="48" s="1"/>
  <c r="L616" i="9"/>
  <c r="A616" i="9" s="1"/>
  <c r="B32" i="16" s="1"/>
  <c r="M616" i="9"/>
  <c r="N616" i="9"/>
  <c r="C616" i="9" s="1"/>
  <c r="D280" i="48" s="1"/>
  <c r="O616" i="9"/>
  <c r="D616" i="9" s="1"/>
  <c r="E280" i="48" s="1"/>
  <c r="P616" i="9"/>
  <c r="Q616" i="9"/>
  <c r="T616" i="9"/>
  <c r="I616" i="9" s="1"/>
  <c r="J280" i="48" s="1"/>
  <c r="U616" i="9"/>
  <c r="J616" i="9" s="1"/>
  <c r="K280" i="48" s="1"/>
  <c r="L611" i="9"/>
  <c r="A611" i="9" s="1"/>
  <c r="M611" i="9"/>
  <c r="B611" i="9" s="1"/>
  <c r="N611" i="9"/>
  <c r="C611" i="9" s="1"/>
  <c r="O611" i="9"/>
  <c r="D611" i="9" s="1"/>
  <c r="E275" i="48" s="1"/>
  <c r="P611" i="9"/>
  <c r="Q611" i="9"/>
  <c r="T611" i="9"/>
  <c r="I611" i="9" s="1"/>
  <c r="J275" i="48" s="1"/>
  <c r="U611" i="9"/>
  <c r="J611" i="9" s="1"/>
  <c r="K275" i="48" s="1"/>
  <c r="F278" i="48"/>
  <c r="L278" i="48" s="1"/>
  <c r="F279" i="48"/>
  <c r="L279" i="48" s="1"/>
  <c r="F280" i="48"/>
  <c r="L280" i="48" s="1"/>
  <c r="B616" i="9"/>
  <c r="C280" i="48" s="1"/>
  <c r="L612" i="9"/>
  <c r="A612" i="9" s="1"/>
  <c r="M612" i="9"/>
  <c r="B612" i="9" s="1"/>
  <c r="N612" i="9"/>
  <c r="C612" i="9" s="1"/>
  <c r="O612" i="9"/>
  <c r="D612" i="9" s="1"/>
  <c r="E276" i="48" s="1"/>
  <c r="P612" i="9"/>
  <c r="Q612" i="9"/>
  <c r="T612" i="9"/>
  <c r="I612" i="9" s="1"/>
  <c r="J276" i="48" s="1"/>
  <c r="U612" i="9"/>
  <c r="J612" i="9" s="1"/>
  <c r="K276" i="48" s="1"/>
  <c r="L613" i="9"/>
  <c r="A613" i="9" s="1"/>
  <c r="M613" i="9"/>
  <c r="B613" i="9" s="1"/>
  <c r="N613" i="9"/>
  <c r="C613" i="9" s="1"/>
  <c r="O613" i="9"/>
  <c r="D613" i="9" s="1"/>
  <c r="P613" i="9"/>
  <c r="Q613" i="9"/>
  <c r="T613" i="9"/>
  <c r="I613" i="9" s="1"/>
  <c r="U613" i="9"/>
  <c r="J613" i="9" s="1"/>
  <c r="L614" i="9"/>
  <c r="A614" i="9" s="1"/>
  <c r="M614" i="9"/>
  <c r="B614" i="9" s="1"/>
  <c r="N614" i="9"/>
  <c r="C614" i="9" s="1"/>
  <c r="O614" i="9"/>
  <c r="D614" i="9" s="1"/>
  <c r="E278" i="48" s="1"/>
  <c r="P614" i="9"/>
  <c r="Q614" i="9"/>
  <c r="T614" i="9"/>
  <c r="I614" i="9" s="1"/>
  <c r="J278" i="48" s="1"/>
  <c r="U614" i="9"/>
  <c r="J614" i="9" s="1"/>
  <c r="K278" i="48" s="1"/>
  <c r="L615" i="9"/>
  <c r="A615" i="9" s="1"/>
  <c r="M615" i="9"/>
  <c r="B615" i="9" s="1"/>
  <c r="N615" i="9"/>
  <c r="C615" i="9" s="1"/>
  <c r="D279" i="48" s="1"/>
  <c r="O615" i="9"/>
  <c r="D615" i="9" s="1"/>
  <c r="E279" i="48" s="1"/>
  <c r="P615" i="9"/>
  <c r="Q615" i="9"/>
  <c r="T615" i="9"/>
  <c r="I615" i="9" s="1"/>
  <c r="J279" i="48" s="1"/>
  <c r="U615" i="9"/>
  <c r="J615" i="9" s="1"/>
  <c r="K279" i="48" s="1"/>
  <c r="BB46" i="48"/>
  <c r="D27" i="16" l="1"/>
  <c r="D275" i="48"/>
  <c r="C27" i="16"/>
  <c r="C275" i="48"/>
  <c r="B27" i="16"/>
  <c r="B275" i="48"/>
  <c r="D278" i="48"/>
  <c r="D30" i="16"/>
  <c r="C279" i="48"/>
  <c r="C31" i="16"/>
  <c r="C276" i="48"/>
  <c r="C28" i="16"/>
  <c r="D28" i="16"/>
  <c r="D276" i="48"/>
  <c r="C30" i="16"/>
  <c r="C278" i="48"/>
  <c r="B31" i="16"/>
  <c r="B279" i="48"/>
  <c r="B30" i="16"/>
  <c r="B278" i="48"/>
  <c r="B28" i="16"/>
  <c r="B276" i="48"/>
  <c r="D31" i="16"/>
  <c r="B280" i="48"/>
  <c r="D32" i="16"/>
  <c r="C32" i="16"/>
  <c r="T2" i="54"/>
  <c r="S11" i="54"/>
  <c r="BB23" i="48" s="1"/>
  <c r="S10" i="54"/>
  <c r="S9" i="54"/>
  <c r="S8" i="54"/>
  <c r="S7" i="54"/>
  <c r="S6" i="54"/>
  <c r="S5" i="54"/>
  <c r="S4" i="54"/>
  <c r="S3" i="54"/>
  <c r="S2" i="54"/>
  <c r="S24" i="54"/>
  <c r="S25" i="54"/>
  <c r="P26" i="54"/>
  <c r="Q26" i="54"/>
  <c r="R26" i="54"/>
  <c r="T26" i="54"/>
  <c r="Q27" i="54"/>
  <c r="R27" i="54"/>
  <c r="T27" i="54"/>
  <c r="U27" i="54" s="1"/>
  <c r="BY263" i="48"/>
  <c r="BY264" i="48"/>
  <c r="U26" i="54" l="1"/>
  <c r="BY85" i="48"/>
  <c r="BY86" i="48"/>
  <c r="BY87" i="48"/>
  <c r="BY79" i="48"/>
  <c r="BY80" i="48"/>
  <c r="BY81" i="48"/>
  <c r="BY82" i="48"/>
  <c r="BY83" i="48"/>
  <c r="S83" i="73" l="1"/>
  <c r="U2" i="73"/>
  <c r="S87" i="73" s="1"/>
  <c r="U2" i="71"/>
  <c r="S34" i="71" s="1"/>
  <c r="U2" i="53"/>
  <c r="U2" i="50"/>
  <c r="S21" i="50" s="1"/>
  <c r="U2" i="42"/>
  <c r="S13" i="42" s="1"/>
  <c r="U2" i="38"/>
  <c r="U2" i="33"/>
  <c r="U2" i="30"/>
  <c r="S43" i="30" s="1"/>
  <c r="U2" i="27"/>
  <c r="S40" i="27" s="1"/>
  <c r="U2" i="20"/>
  <c r="S35" i="20" s="1"/>
  <c r="U2" i="17"/>
  <c r="S35" i="17" s="1"/>
  <c r="S19" i="71" l="1"/>
  <c r="S17" i="50"/>
  <c r="S19" i="42"/>
  <c r="S7" i="30"/>
  <c r="S16" i="30"/>
  <c r="S24" i="30"/>
  <c r="S32" i="30"/>
  <c r="S41" i="30"/>
  <c r="S7" i="27"/>
  <c r="S16" i="27"/>
  <c r="S24" i="27"/>
  <c r="S32" i="27"/>
  <c r="S41" i="27"/>
  <c r="S18" i="73"/>
  <c r="S23" i="50"/>
  <c r="S33" i="42"/>
  <c r="S10" i="30"/>
  <c r="S19" i="30"/>
  <c r="S27" i="30"/>
  <c r="S35" i="30"/>
  <c r="S44" i="30"/>
  <c r="S10" i="27"/>
  <c r="S19" i="27"/>
  <c r="S27" i="27"/>
  <c r="S35" i="27"/>
  <c r="S44" i="27"/>
  <c r="S22" i="73"/>
  <c r="S8" i="50"/>
  <c r="S25" i="50"/>
  <c r="S3" i="30"/>
  <c r="S11" i="30"/>
  <c r="S20" i="30"/>
  <c r="S28" i="30"/>
  <c r="S36" i="30"/>
  <c r="S3" i="27"/>
  <c r="S11" i="27"/>
  <c r="S20" i="27"/>
  <c r="S28" i="27"/>
  <c r="S36" i="27"/>
  <c r="S19" i="20"/>
  <c r="S11" i="50"/>
  <c r="S6" i="30"/>
  <c r="S15" i="30"/>
  <c r="S23" i="30"/>
  <c r="S31" i="30"/>
  <c r="S40" i="30"/>
  <c r="S6" i="27"/>
  <c r="S15" i="27"/>
  <c r="S23" i="27"/>
  <c r="S31" i="27"/>
  <c r="S24" i="33"/>
  <c r="S11" i="33"/>
  <c r="S23" i="53"/>
  <c r="S11" i="53"/>
  <c r="S7" i="53"/>
  <c r="S21" i="53"/>
  <c r="S10" i="53"/>
  <c r="S8" i="53"/>
  <c r="S25" i="33"/>
  <c r="S10" i="17"/>
  <c r="S27" i="17"/>
  <c r="S44" i="17"/>
  <c r="S43" i="20"/>
  <c r="S38" i="20"/>
  <c r="S34" i="20"/>
  <c r="S30" i="20"/>
  <c r="S26" i="20"/>
  <c r="S22" i="20"/>
  <c r="S18" i="20"/>
  <c r="S14" i="20"/>
  <c r="S9" i="20"/>
  <c r="S5" i="20"/>
  <c r="S36" i="20"/>
  <c r="S28" i="20"/>
  <c r="S20" i="20"/>
  <c r="S11" i="20"/>
  <c r="S42" i="20"/>
  <c r="S37" i="20"/>
  <c r="S33" i="20"/>
  <c r="S29" i="20"/>
  <c r="S25" i="20"/>
  <c r="S21" i="20"/>
  <c r="S17" i="20"/>
  <c r="S13" i="20"/>
  <c r="S8" i="20"/>
  <c r="S4" i="20"/>
  <c r="S41" i="20"/>
  <c r="S32" i="20"/>
  <c r="S24" i="20"/>
  <c r="S16" i="20"/>
  <c r="S7" i="20"/>
  <c r="S3" i="20"/>
  <c r="S24" i="38"/>
  <c r="S11" i="38"/>
  <c r="S33" i="71"/>
  <c r="S22" i="71"/>
  <c r="S18" i="71"/>
  <c r="S7" i="71"/>
  <c r="S32" i="71"/>
  <c r="S21" i="71"/>
  <c r="S17" i="71"/>
  <c r="S20" i="71"/>
  <c r="S35" i="71"/>
  <c r="S9" i="53"/>
  <c r="S10" i="38"/>
  <c r="S6" i="20"/>
  <c r="S23" i="20"/>
  <c r="S40" i="20"/>
  <c r="S15" i="17"/>
  <c r="S31" i="17"/>
  <c r="S8" i="71"/>
  <c r="S30" i="71"/>
  <c r="S17" i="53"/>
  <c r="S25" i="38"/>
  <c r="S10" i="20"/>
  <c r="S27" i="20"/>
  <c r="S44" i="20"/>
  <c r="S19" i="17"/>
  <c r="S43" i="17"/>
  <c r="S38" i="17"/>
  <c r="S34" i="17"/>
  <c r="S30" i="17"/>
  <c r="S26" i="17"/>
  <c r="S22" i="17"/>
  <c r="S18" i="17"/>
  <c r="S14" i="17"/>
  <c r="S9" i="17"/>
  <c r="S5" i="17"/>
  <c r="S41" i="17"/>
  <c r="S36" i="17"/>
  <c r="S28" i="17"/>
  <c r="S20" i="17"/>
  <c r="S16" i="17"/>
  <c r="S7" i="17"/>
  <c r="S3" i="17"/>
  <c r="S42" i="17"/>
  <c r="S37" i="17"/>
  <c r="S33" i="17"/>
  <c r="S29" i="17"/>
  <c r="S25" i="17"/>
  <c r="S21" i="17"/>
  <c r="S17" i="17"/>
  <c r="S13" i="17"/>
  <c r="S8" i="17"/>
  <c r="S4" i="17"/>
  <c r="S32" i="17"/>
  <c r="S24" i="17"/>
  <c r="S11" i="17"/>
  <c r="S25" i="53"/>
  <c r="S9" i="71"/>
  <c r="S31" i="71"/>
  <c r="S44" i="71" s="1"/>
  <c r="S19" i="53"/>
  <c r="S10" i="33"/>
  <c r="S15" i="20"/>
  <c r="S31" i="20"/>
  <c r="S6" i="17"/>
  <c r="S23" i="17"/>
  <c r="S40" i="17"/>
  <c r="S33" i="73"/>
  <c r="S9" i="50"/>
  <c r="S19" i="50"/>
  <c r="S7" i="50"/>
  <c r="S20" i="42"/>
  <c r="S4" i="30"/>
  <c r="S8" i="30"/>
  <c r="S13" i="30"/>
  <c r="S17" i="30"/>
  <c r="S21" i="30"/>
  <c r="S25" i="30"/>
  <c r="S29" i="30"/>
  <c r="S33" i="30"/>
  <c r="S38" i="30"/>
  <c r="S42" i="30"/>
  <c r="S4" i="27"/>
  <c r="S8" i="27"/>
  <c r="S80" i="27" s="1"/>
  <c r="S13" i="27"/>
  <c r="S17" i="27"/>
  <c r="S21" i="27"/>
  <c r="S25" i="27"/>
  <c r="S29" i="27"/>
  <c r="S33" i="27"/>
  <c r="S37" i="27"/>
  <c r="S42" i="27"/>
  <c r="S7" i="73"/>
  <c r="S10" i="50"/>
  <c r="S8" i="42"/>
  <c r="S32" i="42"/>
  <c r="S5" i="30"/>
  <c r="S9" i="30"/>
  <c r="S14" i="30"/>
  <c r="S18" i="30"/>
  <c r="S22" i="30"/>
  <c r="S26" i="30"/>
  <c r="S30" i="30"/>
  <c r="S34" i="30"/>
  <c r="S37" i="30"/>
  <c r="S5" i="27"/>
  <c r="S9" i="27"/>
  <c r="S14" i="27"/>
  <c r="S18" i="27"/>
  <c r="S22" i="27"/>
  <c r="S26" i="27"/>
  <c r="S30" i="27"/>
  <c r="S34" i="27"/>
  <c r="S38" i="27"/>
  <c r="S43" i="27"/>
  <c r="S17" i="73"/>
  <c r="S21" i="73"/>
  <c r="S32" i="73"/>
  <c r="S61" i="73"/>
  <c r="S8" i="73"/>
  <c r="S19" i="73"/>
  <c r="S30" i="73"/>
  <c r="S34" i="73"/>
  <c r="S47" i="73"/>
  <c r="S85" i="73"/>
  <c r="S9" i="73"/>
  <c r="S20" i="73"/>
  <c r="S31" i="73"/>
  <c r="S35" i="73"/>
  <c r="S60" i="73"/>
  <c r="S43" i="71" l="1"/>
  <c r="S43" i="73"/>
  <c r="S44" i="73"/>
  <c r="U2" i="26"/>
  <c r="U2" i="25"/>
  <c r="S42" i="25" s="1"/>
  <c r="L652" i="9"/>
  <c r="M652" i="9"/>
  <c r="N652" i="9"/>
  <c r="O652" i="9"/>
  <c r="P652" i="9"/>
  <c r="Q652" i="9"/>
  <c r="T652" i="9"/>
  <c r="U652" i="9"/>
  <c r="L533" i="9"/>
  <c r="M533" i="9"/>
  <c r="N533" i="9"/>
  <c r="O533" i="9"/>
  <c r="P533" i="9"/>
  <c r="Q533" i="9"/>
  <c r="T533" i="9"/>
  <c r="U533" i="9"/>
  <c r="L529" i="9"/>
  <c r="M529" i="9"/>
  <c r="N529" i="9"/>
  <c r="O529" i="9"/>
  <c r="P529" i="9"/>
  <c r="Q529" i="9"/>
  <c r="T529" i="9"/>
  <c r="U529" i="9"/>
  <c r="L525" i="9"/>
  <c r="M525" i="9"/>
  <c r="N525" i="9"/>
  <c r="O525" i="9"/>
  <c r="P525" i="9"/>
  <c r="Q525" i="9"/>
  <c r="T525" i="9"/>
  <c r="U525" i="9"/>
  <c r="L521" i="9"/>
  <c r="M521" i="9"/>
  <c r="N521" i="9"/>
  <c r="O521" i="9"/>
  <c r="P521" i="9"/>
  <c r="Q521" i="9"/>
  <c r="T521" i="9"/>
  <c r="U521" i="9"/>
  <c r="S40" i="25" l="1"/>
  <c r="S17" i="25"/>
  <c r="S11" i="25"/>
  <c r="S33" i="25"/>
  <c r="S23" i="25"/>
  <c r="S5" i="25"/>
  <c r="S28" i="25"/>
  <c r="S19" i="25"/>
  <c r="S4" i="25"/>
  <c r="S9" i="25"/>
  <c r="S16" i="25"/>
  <c r="S21" i="25"/>
  <c r="S27" i="25"/>
  <c r="S32" i="25"/>
  <c r="S37" i="25"/>
  <c r="S44" i="25"/>
  <c r="S8" i="26"/>
  <c r="S17" i="26"/>
  <c r="S25" i="26"/>
  <c r="S33" i="26"/>
  <c r="S42" i="26"/>
  <c r="S9" i="26"/>
  <c r="S34" i="26"/>
  <c r="S13" i="25"/>
  <c r="S29" i="25"/>
  <c r="S41" i="25"/>
  <c r="S4" i="26"/>
  <c r="S13" i="26"/>
  <c r="S21" i="26"/>
  <c r="S29" i="26"/>
  <c r="S37" i="26"/>
  <c r="S63" i="26"/>
  <c r="S18" i="26"/>
  <c r="S26" i="26"/>
  <c r="S43" i="26"/>
  <c r="S7" i="25"/>
  <c r="S24" i="25"/>
  <c r="S35" i="25"/>
  <c r="S3" i="25"/>
  <c r="S8" i="25"/>
  <c r="S15" i="25"/>
  <c r="S20" i="25"/>
  <c r="S25" i="25"/>
  <c r="S31" i="25"/>
  <c r="S36" i="25"/>
  <c r="S5" i="26"/>
  <c r="S14" i="26"/>
  <c r="S22" i="26"/>
  <c r="S30" i="26"/>
  <c r="S38" i="26"/>
  <c r="S6" i="25"/>
  <c r="S10" i="25"/>
  <c r="S14" i="25"/>
  <c r="S18" i="25"/>
  <c r="S22" i="25"/>
  <c r="S26" i="25"/>
  <c r="S30" i="25"/>
  <c r="S34" i="25"/>
  <c r="S38" i="25"/>
  <c r="S43" i="25"/>
  <c r="S3" i="26"/>
  <c r="S7" i="26"/>
  <c r="S11" i="26"/>
  <c r="S16" i="26"/>
  <c r="S20" i="26"/>
  <c r="S24" i="26"/>
  <c r="S28" i="26"/>
  <c r="S32" i="26"/>
  <c r="S36" i="26"/>
  <c r="S41" i="26"/>
  <c r="S62" i="26"/>
  <c r="S6" i="26"/>
  <c r="S10" i="26"/>
  <c r="S15" i="26"/>
  <c r="S19" i="26"/>
  <c r="S23" i="26"/>
  <c r="S27" i="26"/>
  <c r="S31" i="26"/>
  <c r="S35" i="26"/>
  <c r="S40" i="26"/>
  <c r="S44" i="26"/>
  <c r="L509" i="9"/>
  <c r="M509" i="9"/>
  <c r="N509" i="9"/>
  <c r="O509" i="9"/>
  <c r="P509" i="9"/>
  <c r="Q509" i="9"/>
  <c r="T509" i="9"/>
  <c r="U509" i="9"/>
  <c r="L504" i="9"/>
  <c r="M504" i="9"/>
  <c r="N504" i="9"/>
  <c r="O504" i="9"/>
  <c r="P504" i="9"/>
  <c r="Q504" i="9"/>
  <c r="T504" i="9"/>
  <c r="U504" i="9"/>
  <c r="L499" i="9"/>
  <c r="M499" i="9"/>
  <c r="N499" i="9"/>
  <c r="O499" i="9"/>
  <c r="P499" i="9"/>
  <c r="Q499" i="9"/>
  <c r="T499" i="9"/>
  <c r="U499" i="9"/>
  <c r="L494" i="9"/>
  <c r="M494" i="9"/>
  <c r="N494" i="9"/>
  <c r="O494" i="9"/>
  <c r="P494" i="9"/>
  <c r="Q494" i="9"/>
  <c r="T494" i="9"/>
  <c r="U494" i="9"/>
  <c r="L490" i="9"/>
  <c r="M490" i="9"/>
  <c r="N490" i="9"/>
  <c r="O490" i="9"/>
  <c r="P490" i="9"/>
  <c r="Q490" i="9"/>
  <c r="T490" i="9"/>
  <c r="U490" i="9"/>
  <c r="L486" i="9"/>
  <c r="M486" i="9"/>
  <c r="N486" i="9"/>
  <c r="O486" i="9"/>
  <c r="P486" i="9"/>
  <c r="Q486" i="9"/>
  <c r="T486" i="9"/>
  <c r="U486" i="9"/>
  <c r="L481" i="9"/>
  <c r="M481" i="9"/>
  <c r="N481" i="9"/>
  <c r="O481" i="9"/>
  <c r="P481" i="9"/>
  <c r="Q481" i="9"/>
  <c r="T481" i="9"/>
  <c r="U481" i="9"/>
  <c r="L477" i="9"/>
  <c r="M477" i="9"/>
  <c r="N477" i="9"/>
  <c r="O477" i="9"/>
  <c r="P477" i="9"/>
  <c r="Q477" i="9"/>
  <c r="T477" i="9"/>
  <c r="U477" i="9"/>
  <c r="L473" i="9"/>
  <c r="M473" i="9"/>
  <c r="N473" i="9"/>
  <c r="O473" i="9"/>
  <c r="P473" i="9"/>
  <c r="Q473" i="9"/>
  <c r="T473" i="9"/>
  <c r="U473" i="9"/>
  <c r="L469" i="9"/>
  <c r="M469" i="9"/>
  <c r="N469" i="9"/>
  <c r="O469" i="9"/>
  <c r="P469" i="9"/>
  <c r="Q469" i="9"/>
  <c r="T469" i="9"/>
  <c r="U469" i="9"/>
  <c r="S46" i="25" l="1"/>
  <c r="L352" i="9"/>
  <c r="M352" i="9"/>
  <c r="N352" i="9"/>
  <c r="O352" i="9"/>
  <c r="P352" i="9"/>
  <c r="Q352" i="9"/>
  <c r="T352" i="9"/>
  <c r="U352" i="9"/>
  <c r="L341" i="9"/>
  <c r="M341" i="9"/>
  <c r="N341" i="9"/>
  <c r="O341" i="9"/>
  <c r="P341" i="9"/>
  <c r="Q341" i="9"/>
  <c r="T341" i="9"/>
  <c r="U341" i="9"/>
  <c r="L337" i="9"/>
  <c r="M337" i="9"/>
  <c r="N337" i="9"/>
  <c r="O337" i="9"/>
  <c r="P337" i="9"/>
  <c r="Q337" i="9"/>
  <c r="T337" i="9"/>
  <c r="U337" i="9"/>
  <c r="L327" i="9"/>
  <c r="M327" i="9"/>
  <c r="N327" i="9"/>
  <c r="O327" i="9"/>
  <c r="P327" i="9"/>
  <c r="Q327" i="9"/>
  <c r="T327" i="9"/>
  <c r="U327" i="9"/>
  <c r="L246" i="9" l="1"/>
  <c r="M246" i="9"/>
  <c r="N246" i="9"/>
  <c r="O246" i="9"/>
  <c r="P246" i="9"/>
  <c r="Q246" i="9"/>
  <c r="T246" i="9"/>
  <c r="U246" i="9"/>
  <c r="L242" i="9"/>
  <c r="M242" i="9"/>
  <c r="N242" i="9"/>
  <c r="O242" i="9"/>
  <c r="P242" i="9"/>
  <c r="Q242" i="9"/>
  <c r="T242" i="9"/>
  <c r="U242" i="9"/>
  <c r="L238" i="9"/>
  <c r="M238" i="9"/>
  <c r="N238" i="9"/>
  <c r="O238" i="9"/>
  <c r="P238" i="9"/>
  <c r="Q238" i="9"/>
  <c r="T238" i="9"/>
  <c r="U238" i="9"/>
  <c r="L234" i="9"/>
  <c r="M234" i="9"/>
  <c r="N234" i="9"/>
  <c r="O234" i="9"/>
  <c r="P234" i="9"/>
  <c r="Q234" i="9"/>
  <c r="T234" i="9"/>
  <c r="U234" i="9"/>
  <c r="L230" i="9"/>
  <c r="M230" i="9"/>
  <c r="N230" i="9"/>
  <c r="O230" i="9"/>
  <c r="P230" i="9"/>
  <c r="Q230" i="9"/>
  <c r="T230" i="9"/>
  <c r="U230" i="9"/>
  <c r="L226" i="9"/>
  <c r="M226" i="9"/>
  <c r="N226" i="9"/>
  <c r="O226" i="9"/>
  <c r="P226" i="9"/>
  <c r="Q226" i="9"/>
  <c r="T226" i="9"/>
  <c r="U226" i="9"/>
  <c r="L222" i="9"/>
  <c r="M222" i="9"/>
  <c r="N222" i="9"/>
  <c r="O222" i="9"/>
  <c r="P222" i="9"/>
  <c r="Q222" i="9"/>
  <c r="T222" i="9"/>
  <c r="U222" i="9"/>
  <c r="L218" i="9"/>
  <c r="M218" i="9"/>
  <c r="N218" i="9"/>
  <c r="O218" i="9"/>
  <c r="P218" i="9"/>
  <c r="Q218" i="9"/>
  <c r="T218" i="9"/>
  <c r="U218" i="9"/>
  <c r="L165" i="9"/>
  <c r="M165" i="9"/>
  <c r="N165" i="9"/>
  <c r="O165" i="9"/>
  <c r="P165" i="9"/>
  <c r="Q165" i="9"/>
  <c r="T165" i="9"/>
  <c r="U165" i="9"/>
  <c r="L161" i="9"/>
  <c r="M161" i="9"/>
  <c r="N161" i="9"/>
  <c r="O161" i="9"/>
  <c r="P161" i="9"/>
  <c r="Q161" i="9"/>
  <c r="T161" i="9"/>
  <c r="U161" i="9"/>
  <c r="L157" i="9"/>
  <c r="M157" i="9"/>
  <c r="N157" i="9"/>
  <c r="O157" i="9"/>
  <c r="P157" i="9"/>
  <c r="Q157" i="9"/>
  <c r="T157" i="9"/>
  <c r="U157" i="9"/>
  <c r="L150" i="9"/>
  <c r="M150" i="9"/>
  <c r="N150" i="9"/>
  <c r="O150" i="9"/>
  <c r="P150" i="9"/>
  <c r="Q150" i="9"/>
  <c r="T150" i="9"/>
  <c r="U150" i="9"/>
  <c r="L146" i="9"/>
  <c r="M146" i="9"/>
  <c r="N146" i="9"/>
  <c r="O146" i="9"/>
  <c r="P146" i="9"/>
  <c r="Q146" i="9"/>
  <c r="T146" i="9"/>
  <c r="U146" i="9"/>
  <c r="U211" i="9"/>
  <c r="T211" i="9"/>
  <c r="Q211" i="9"/>
  <c r="P211" i="9"/>
  <c r="O211" i="9"/>
  <c r="N211" i="9"/>
  <c r="M211" i="9"/>
  <c r="L211" i="9"/>
  <c r="L207" i="9"/>
  <c r="M207" i="9"/>
  <c r="N207" i="9"/>
  <c r="O207" i="9"/>
  <c r="P207" i="9"/>
  <c r="Q207" i="9"/>
  <c r="T207" i="9"/>
  <c r="U207" i="9"/>
  <c r="L202" i="9"/>
  <c r="M202" i="9"/>
  <c r="N202" i="9"/>
  <c r="O202" i="9"/>
  <c r="P202" i="9"/>
  <c r="Q202" i="9"/>
  <c r="T202" i="9"/>
  <c r="U202" i="9"/>
  <c r="L197" i="9"/>
  <c r="M197" i="9"/>
  <c r="N197" i="9"/>
  <c r="O197" i="9"/>
  <c r="P197" i="9"/>
  <c r="Q197" i="9"/>
  <c r="T197" i="9"/>
  <c r="U197" i="9"/>
  <c r="L192" i="9"/>
  <c r="M192" i="9"/>
  <c r="N192" i="9"/>
  <c r="O192" i="9"/>
  <c r="P192" i="9"/>
  <c r="Q192" i="9"/>
  <c r="T192" i="9"/>
  <c r="U192" i="9"/>
  <c r="L188" i="9"/>
  <c r="M188" i="9"/>
  <c r="N188" i="9"/>
  <c r="O188" i="9"/>
  <c r="P188" i="9"/>
  <c r="Q188" i="9"/>
  <c r="T188" i="9"/>
  <c r="U188" i="9"/>
  <c r="L181" i="9"/>
  <c r="M181" i="9"/>
  <c r="N181" i="9"/>
  <c r="O181" i="9"/>
  <c r="P181" i="9"/>
  <c r="Q181" i="9"/>
  <c r="T181" i="9"/>
  <c r="U181" i="9"/>
  <c r="T72" i="9"/>
  <c r="U72" i="9"/>
  <c r="L18" i="9"/>
  <c r="M18" i="9"/>
  <c r="N18" i="9"/>
  <c r="O18" i="9"/>
  <c r="P18" i="9"/>
  <c r="Q18" i="9"/>
  <c r="T18" i="9"/>
  <c r="U18" i="9"/>
  <c r="L63" i="9"/>
  <c r="M63" i="9"/>
  <c r="N63" i="9"/>
  <c r="O63" i="9"/>
  <c r="P63" i="9"/>
  <c r="Q63" i="9"/>
  <c r="T63" i="9"/>
  <c r="U63" i="9"/>
  <c r="L59" i="9"/>
  <c r="M59" i="9"/>
  <c r="N59" i="9"/>
  <c r="O59" i="9"/>
  <c r="P59" i="9"/>
  <c r="Q59" i="9"/>
  <c r="T59" i="9"/>
  <c r="U59" i="9"/>
  <c r="L55" i="9"/>
  <c r="M55" i="9"/>
  <c r="N55" i="9"/>
  <c r="O55" i="9"/>
  <c r="P55" i="9"/>
  <c r="Q55" i="9"/>
  <c r="T55" i="9"/>
  <c r="U55" i="9"/>
  <c r="L51" i="9"/>
  <c r="M51" i="9"/>
  <c r="N51" i="9"/>
  <c r="O51" i="9"/>
  <c r="P51" i="9"/>
  <c r="Q51" i="9"/>
  <c r="T51" i="9"/>
  <c r="U51" i="9"/>
  <c r="L47" i="9"/>
  <c r="M47" i="9"/>
  <c r="N47" i="9"/>
  <c r="O47" i="9"/>
  <c r="P47" i="9"/>
  <c r="Q47" i="9"/>
  <c r="T47" i="9"/>
  <c r="U47" i="9"/>
  <c r="L43" i="9"/>
  <c r="M43" i="9"/>
  <c r="N43" i="9"/>
  <c r="O43" i="9"/>
  <c r="P43" i="9"/>
  <c r="Q43" i="9"/>
  <c r="T43" i="9"/>
  <c r="U43" i="9"/>
  <c r="L39" i="9"/>
  <c r="M39" i="9"/>
  <c r="N39" i="9"/>
  <c r="O39" i="9"/>
  <c r="P39" i="9"/>
  <c r="Q39" i="9"/>
  <c r="T39" i="9"/>
  <c r="U39" i="9"/>
  <c r="L35" i="9"/>
  <c r="M35" i="9"/>
  <c r="N35" i="9"/>
  <c r="O35" i="9"/>
  <c r="P35" i="9"/>
  <c r="Q35" i="9"/>
  <c r="T35" i="9"/>
  <c r="U35" i="9"/>
  <c r="L31" i="9"/>
  <c r="M31" i="9"/>
  <c r="N31" i="9"/>
  <c r="O31" i="9"/>
  <c r="P31" i="9"/>
  <c r="Q31" i="9"/>
  <c r="T31" i="9"/>
  <c r="U31" i="9"/>
  <c r="L27" i="9"/>
  <c r="M27" i="9"/>
  <c r="N27" i="9"/>
  <c r="O27" i="9"/>
  <c r="P27" i="9"/>
  <c r="Q27" i="9"/>
  <c r="T27" i="9"/>
  <c r="U27" i="9"/>
  <c r="L22" i="9"/>
  <c r="M22" i="9"/>
  <c r="N22" i="9"/>
  <c r="O22" i="9"/>
  <c r="P22" i="9"/>
  <c r="Q22" i="9"/>
  <c r="T22" i="9"/>
  <c r="U22" i="9"/>
  <c r="L14" i="9"/>
  <c r="M14" i="9"/>
  <c r="N14" i="9"/>
  <c r="O14" i="9"/>
  <c r="P14" i="9"/>
  <c r="Q14" i="9"/>
  <c r="T14" i="9"/>
  <c r="U14" i="9"/>
  <c r="P18" i="67" l="1"/>
  <c r="BW144" i="48" s="1"/>
  <c r="P17" i="67"/>
  <c r="BW143" i="48" s="1"/>
  <c r="P4" i="66" l="1"/>
  <c r="BV214" i="48" s="1"/>
  <c r="P3" i="66"/>
  <c r="BV213" i="48" s="1"/>
  <c r="P2" i="66"/>
  <c r="BV212" i="48" s="1"/>
  <c r="P3" i="65"/>
  <c r="BU216" i="48" s="1"/>
  <c r="P4" i="65"/>
  <c r="BU217" i="48" s="1"/>
  <c r="P5" i="65"/>
  <c r="BU218" i="48" s="1"/>
  <c r="P6" i="65"/>
  <c r="BU219" i="48" s="1"/>
  <c r="P2" i="65"/>
  <c r="BU215" i="48" s="1"/>
  <c r="BT209" i="48"/>
  <c r="P3" i="62"/>
  <c r="BT208" i="48" s="1"/>
  <c r="P4" i="62"/>
  <c r="P5" i="62"/>
  <c r="BT220" i="48" s="1"/>
  <c r="P2" i="62"/>
  <c r="BT204" i="48" s="1"/>
  <c r="P3" i="61"/>
  <c r="BS208" i="48" s="1"/>
  <c r="P4" i="61"/>
  <c r="BS209" i="48" s="1"/>
  <c r="P5" i="61"/>
  <c r="BS210" i="48" s="1"/>
  <c r="P6" i="61"/>
  <c r="BS216" i="48" s="1"/>
  <c r="P7" i="61"/>
  <c r="BS220" i="48" s="1"/>
  <c r="P2" i="61"/>
  <c r="BS204" i="48" s="1"/>
  <c r="P3" i="64"/>
  <c r="BR205" i="48" s="1"/>
  <c r="P4" i="64"/>
  <c r="BR206" i="48" s="1"/>
  <c r="P5" i="64"/>
  <c r="BR207" i="48" s="1"/>
  <c r="P6" i="64"/>
  <c r="BR208" i="48" s="1"/>
  <c r="P7" i="64"/>
  <c r="BR209" i="48" s="1"/>
  <c r="P8" i="64"/>
  <c r="BR211" i="48" s="1"/>
  <c r="P9" i="64"/>
  <c r="BR223" i="48" s="1"/>
  <c r="P10" i="64"/>
  <c r="BR224" i="48" s="1"/>
  <c r="P11" i="64"/>
  <c r="BR225" i="48" s="1"/>
  <c r="P2" i="64"/>
  <c r="BR204" i="48" s="1"/>
  <c r="BQ206" i="48" l="1"/>
  <c r="P3" i="57"/>
  <c r="BQ205" i="48" s="1"/>
  <c r="P4" i="57"/>
  <c r="P5" i="57"/>
  <c r="BQ207" i="48" s="1"/>
  <c r="P6" i="57"/>
  <c r="BQ208" i="48" s="1"/>
  <c r="P7" i="57"/>
  <c r="BQ209" i="48" s="1"/>
  <c r="P8" i="57"/>
  <c r="BQ210" i="48" s="1"/>
  <c r="P9" i="57"/>
  <c r="BQ211" i="48" s="1"/>
  <c r="P10" i="57"/>
  <c r="BQ216" i="48" s="1"/>
  <c r="P11" i="57"/>
  <c r="BQ223" i="48" s="1"/>
  <c r="P12" i="57"/>
  <c r="BQ224" i="48" s="1"/>
  <c r="P13" i="57"/>
  <c r="BQ225" i="48" s="1"/>
  <c r="P2" i="57"/>
  <c r="BQ204" i="48" s="1"/>
  <c r="BP206" i="48"/>
  <c r="P8" i="14"/>
  <c r="BP210" i="48" s="1"/>
  <c r="P9" i="14"/>
  <c r="BP211" i="48" s="1"/>
  <c r="P10" i="14"/>
  <c r="BP216" i="48" s="1"/>
  <c r="P11" i="14"/>
  <c r="BP220" i="48" s="1"/>
  <c r="P7" i="14"/>
  <c r="BP209" i="48" s="1"/>
  <c r="P6" i="14"/>
  <c r="BP208" i="48" s="1"/>
  <c r="P5" i="14"/>
  <c r="BP207" i="48" s="1"/>
  <c r="P4" i="14"/>
  <c r="P3" i="14"/>
  <c r="BP205" i="48" s="1"/>
  <c r="P2" i="14"/>
  <c r="BP204" i="48" s="1"/>
  <c r="P2" i="60"/>
  <c r="BO221" i="48" s="1"/>
  <c r="P8" i="59"/>
  <c r="BN211" i="48" s="1"/>
  <c r="P7" i="59"/>
  <c r="BN209" i="48" s="1"/>
  <c r="P6" i="59"/>
  <c r="BN208" i="48" s="1"/>
  <c r="P5" i="59"/>
  <c r="BN207" i="48" s="1"/>
  <c r="P4" i="59"/>
  <c r="BN206" i="48" s="1"/>
  <c r="P3" i="59"/>
  <c r="BN205" i="48" s="1"/>
  <c r="P2" i="59"/>
  <c r="BN204" i="48" s="1"/>
  <c r="P3" i="58"/>
  <c r="BM205" i="48" s="1"/>
  <c r="P4" i="58"/>
  <c r="P5" i="58"/>
  <c r="BM207" i="48" s="1"/>
  <c r="P6" i="58"/>
  <c r="BM208" i="48" s="1"/>
  <c r="P7" i="58"/>
  <c r="BM209" i="48" s="1"/>
  <c r="P8" i="58"/>
  <c r="BM211" i="48" s="1"/>
  <c r="P2" i="58"/>
  <c r="BM204" i="48" s="1"/>
  <c r="P64" i="67"/>
  <c r="BW226" i="48" s="1"/>
  <c r="P65" i="67"/>
  <c r="BW227" i="48" s="1"/>
  <c r="P66" i="67"/>
  <c r="BW223" i="48" s="1"/>
  <c r="P67" i="67"/>
  <c r="P68" i="67"/>
  <c r="BW225" i="48" s="1"/>
  <c r="P69" i="67"/>
  <c r="BW221" i="48" s="1"/>
  <c r="P70" i="67"/>
  <c r="BW228" i="48" s="1"/>
  <c r="P63" i="67"/>
  <c r="P57" i="67"/>
  <c r="BW199" i="48" s="1"/>
  <c r="P58" i="67"/>
  <c r="BW200" i="48" s="1"/>
  <c r="P59" i="67"/>
  <c r="BW201" i="48" s="1"/>
  <c r="P60" i="67"/>
  <c r="P61" i="67"/>
  <c r="BW203" i="48" s="1"/>
  <c r="P56" i="67"/>
  <c r="L62" i="67"/>
  <c r="M62" i="67"/>
  <c r="N62" i="67"/>
  <c r="O62" i="67"/>
  <c r="Q62" i="67"/>
  <c r="R62" i="67" s="1"/>
  <c r="L55" i="67"/>
  <c r="M55" i="67"/>
  <c r="N55" i="67"/>
  <c r="O55" i="67"/>
  <c r="Q55" i="67"/>
  <c r="R55" i="67" s="1"/>
  <c r="P53" i="67"/>
  <c r="BW197" i="48" s="1"/>
  <c r="P52" i="67"/>
  <c r="BW196" i="48" s="1"/>
  <c r="P51" i="67"/>
  <c r="BW195" i="48" s="1"/>
  <c r="P50" i="67"/>
  <c r="P49" i="67"/>
  <c r="BW193" i="48" s="1"/>
  <c r="P48" i="67"/>
  <c r="P47" i="67"/>
  <c r="P46" i="67"/>
  <c r="BW190" i="48" s="1"/>
  <c r="P45" i="67"/>
  <c r="P44" i="67"/>
  <c r="P43" i="67"/>
  <c r="P42" i="67"/>
  <c r="BW186" i="48" s="1"/>
  <c r="P41" i="67"/>
  <c r="P40" i="67"/>
  <c r="P39" i="67"/>
  <c r="BW183" i="48" s="1"/>
  <c r="P38" i="67"/>
  <c r="BW182" i="48" s="1"/>
  <c r="P37" i="67"/>
  <c r="BW181" i="48" s="1"/>
  <c r="P36" i="67"/>
  <c r="P35" i="67"/>
  <c r="P34" i="67"/>
  <c r="BW178" i="48" s="1"/>
  <c r="P33" i="67"/>
  <c r="BW168" i="48" s="1"/>
  <c r="P32" i="67"/>
  <c r="BW167" i="48" s="1"/>
  <c r="P31" i="67"/>
  <c r="P30" i="67"/>
  <c r="P29" i="67"/>
  <c r="BW164" i="48" s="1"/>
  <c r="P24" i="67"/>
  <c r="BW159" i="48" s="1"/>
  <c r="P28" i="67"/>
  <c r="P27" i="67"/>
  <c r="BW162" i="48" s="1"/>
  <c r="P26" i="67"/>
  <c r="BW161" i="48" s="1"/>
  <c r="P25" i="67"/>
  <c r="BW160" i="48" s="1"/>
  <c r="P23" i="67"/>
  <c r="BW158" i="48" s="1"/>
  <c r="P22" i="67"/>
  <c r="BW157" i="48" s="1"/>
  <c r="P21" i="67"/>
  <c r="BW156" i="48" s="1"/>
  <c r="P20" i="67"/>
  <c r="P19" i="67"/>
  <c r="P16" i="67"/>
  <c r="BW142" i="48" s="1"/>
  <c r="P15" i="67"/>
  <c r="BW141" i="48" s="1"/>
  <c r="P14" i="67"/>
  <c r="P13" i="67"/>
  <c r="BW139" i="48" s="1"/>
  <c r="P12" i="67"/>
  <c r="BW138" i="48" s="1"/>
  <c r="P11" i="67"/>
  <c r="P10" i="67"/>
  <c r="P9" i="67"/>
  <c r="BW135" i="48" s="1"/>
  <c r="P8" i="67"/>
  <c r="BW134" i="48" s="1"/>
  <c r="P7" i="67"/>
  <c r="BW133" i="48" s="1"/>
  <c r="P6" i="67"/>
  <c r="BW132" i="48" s="1"/>
  <c r="P5" i="67"/>
  <c r="BW131" i="48" s="1"/>
  <c r="P4" i="67"/>
  <c r="BW130" i="48" s="1"/>
  <c r="P3" i="67"/>
  <c r="BW129" i="48" s="1"/>
  <c r="P2" i="67"/>
  <c r="BW128" i="48" s="1"/>
  <c r="Q54" i="67"/>
  <c r="R54" i="67" s="1"/>
  <c r="M54" i="67"/>
  <c r="N54" i="67"/>
  <c r="O54" i="67"/>
  <c r="L54" i="67"/>
  <c r="P12" i="56"/>
  <c r="BL159" i="48" s="1"/>
  <c r="P28" i="56"/>
  <c r="BL175" i="48" s="1"/>
  <c r="P25" i="56"/>
  <c r="BL172" i="48" s="1"/>
  <c r="P22" i="56"/>
  <c r="BL169" i="48" s="1"/>
  <c r="P17" i="56"/>
  <c r="BL164" i="48" s="1"/>
  <c r="P41" i="56"/>
  <c r="BL193" i="48" s="1"/>
  <c r="P36" i="56"/>
  <c r="BL183" i="48" s="1"/>
  <c r="P31" i="56"/>
  <c r="BL178" i="48" s="1"/>
  <c r="P45" i="56"/>
  <c r="BL197" i="48" s="1"/>
  <c r="P44" i="56"/>
  <c r="BL196" i="48" s="1"/>
  <c r="P43" i="56"/>
  <c r="BL195" i="48" s="1"/>
  <c r="P42" i="56"/>
  <c r="BL194" i="48" s="1"/>
  <c r="P40" i="56"/>
  <c r="BL187" i="48" s="1"/>
  <c r="P39" i="56"/>
  <c r="BL186" i="48" s="1"/>
  <c r="P38" i="56"/>
  <c r="BL185" i="48" s="1"/>
  <c r="P37" i="56"/>
  <c r="BL184" i="48" s="1"/>
  <c r="P35" i="56"/>
  <c r="BL182" i="48" s="1"/>
  <c r="P34" i="56"/>
  <c r="BL181" i="48" s="1"/>
  <c r="P33" i="56"/>
  <c r="BL180" i="48" s="1"/>
  <c r="P32" i="56"/>
  <c r="BL179" i="48" s="1"/>
  <c r="P30" i="56"/>
  <c r="BL177" i="48" s="1"/>
  <c r="P29" i="56"/>
  <c r="BL176" i="48" s="1"/>
  <c r="P27" i="56"/>
  <c r="BL174" i="48" s="1"/>
  <c r="P26" i="56"/>
  <c r="BL173" i="48" s="1"/>
  <c r="P24" i="56"/>
  <c r="BL171" i="48" s="1"/>
  <c r="P23" i="56"/>
  <c r="BL170" i="48" s="1"/>
  <c r="P21" i="56"/>
  <c r="BL168" i="48" s="1"/>
  <c r="P20" i="56"/>
  <c r="BL167" i="48" s="1"/>
  <c r="P19" i="56"/>
  <c r="BL166" i="48" s="1"/>
  <c r="P18" i="56"/>
  <c r="BL165" i="48" s="1"/>
  <c r="P16" i="56"/>
  <c r="BL163" i="48" s="1"/>
  <c r="P15" i="56"/>
  <c r="BL162" i="48" s="1"/>
  <c r="P14" i="56"/>
  <c r="BL161" i="48" s="1"/>
  <c r="P13" i="56"/>
  <c r="BL160" i="48" s="1"/>
  <c r="P11" i="56"/>
  <c r="BL158" i="48" s="1"/>
  <c r="P10" i="56"/>
  <c r="BL157" i="48" s="1"/>
  <c r="P9" i="56"/>
  <c r="BL156" i="48" s="1"/>
  <c r="P8" i="56"/>
  <c r="BL155" i="48" s="1"/>
  <c r="P7" i="56"/>
  <c r="BL154" i="48" s="1"/>
  <c r="P49" i="56"/>
  <c r="BL227" i="48" s="1"/>
  <c r="P48" i="56"/>
  <c r="BL226" i="48" s="1"/>
  <c r="P47" i="56"/>
  <c r="BL222" i="48" s="1"/>
  <c r="O28" i="56"/>
  <c r="O29" i="56"/>
  <c r="P6" i="56"/>
  <c r="BL132" i="48" s="1"/>
  <c r="P5" i="56"/>
  <c r="BL131" i="48" s="1"/>
  <c r="P4" i="56"/>
  <c r="BL130" i="48" s="1"/>
  <c r="P3" i="56"/>
  <c r="BL129" i="48" s="1"/>
  <c r="P2" i="56"/>
  <c r="BL128" i="48" s="1"/>
  <c r="P32" i="55"/>
  <c r="BK144" i="48" s="1"/>
  <c r="P31" i="55"/>
  <c r="BK143" i="48" s="1"/>
  <c r="P30" i="55"/>
  <c r="BK153" i="48" s="1"/>
  <c r="P29" i="55"/>
  <c r="BK152" i="48" s="1"/>
  <c r="P28" i="55"/>
  <c r="BK151" i="48" s="1"/>
  <c r="P27" i="55"/>
  <c r="BK150" i="48" s="1"/>
  <c r="P26" i="55"/>
  <c r="BK149" i="48" s="1"/>
  <c r="P25" i="55"/>
  <c r="BK148" i="48" s="1"/>
  <c r="P24" i="55"/>
  <c r="BK147" i="48" s="1"/>
  <c r="P23" i="55"/>
  <c r="BK146" i="48" s="1"/>
  <c r="P22" i="55"/>
  <c r="BK145" i="48" s="1"/>
  <c r="P21" i="55"/>
  <c r="BK192" i="48" s="1"/>
  <c r="P20" i="55"/>
  <c r="BK191" i="48" s="1"/>
  <c r="P19" i="55"/>
  <c r="BK190" i="48" s="1"/>
  <c r="P18" i="55"/>
  <c r="BK189" i="48" s="1"/>
  <c r="P17" i="55"/>
  <c r="BK188" i="48" s="1"/>
  <c r="P16" i="55"/>
  <c r="BK142" i="48" s="1"/>
  <c r="P15" i="55"/>
  <c r="BK141" i="48" s="1"/>
  <c r="P14" i="55"/>
  <c r="BK140" i="48" s="1"/>
  <c r="P13" i="55"/>
  <c r="BK139" i="48" s="1"/>
  <c r="P12" i="55"/>
  <c r="BK138" i="48" s="1"/>
  <c r="P11" i="55"/>
  <c r="BK137" i="48" s="1"/>
  <c r="P10" i="55"/>
  <c r="BK136" i="48" s="1"/>
  <c r="P9" i="55"/>
  <c r="BK135" i="48" s="1"/>
  <c r="P8" i="55"/>
  <c r="BK134" i="48" s="1"/>
  <c r="P7" i="55"/>
  <c r="BK133" i="48" s="1"/>
  <c r="P6" i="55"/>
  <c r="BK132" i="48" s="1"/>
  <c r="P5" i="55"/>
  <c r="BK131" i="48" s="1"/>
  <c r="P4" i="55"/>
  <c r="BK130" i="48" s="1"/>
  <c r="P3" i="55"/>
  <c r="BK129" i="48" s="1"/>
  <c r="P2" i="55"/>
  <c r="BK128" i="48" s="1"/>
  <c r="BW194" i="48" l="1"/>
  <c r="BW136" i="48"/>
  <c r="BW140" i="48"/>
  <c r="F140" i="48" s="1"/>
  <c r="L140" i="48" s="1"/>
  <c r="BW155" i="48"/>
  <c r="BW163" i="48"/>
  <c r="F163" i="48" s="1"/>
  <c r="L163" i="48" s="1"/>
  <c r="BW166" i="48"/>
  <c r="F166" i="48" s="1"/>
  <c r="L166" i="48" s="1"/>
  <c r="BW179" i="48"/>
  <c r="BW187" i="48"/>
  <c r="F187" i="48" s="1"/>
  <c r="L187" i="48" s="1"/>
  <c r="BW191" i="48"/>
  <c r="F191" i="48" s="1"/>
  <c r="L191" i="48" s="1"/>
  <c r="BW202" i="48"/>
  <c r="BW222" i="48"/>
  <c r="BW224" i="48"/>
  <c r="BW137" i="48"/>
  <c r="BW189" i="48"/>
  <c r="F189" i="48" s="1"/>
  <c r="L189" i="48" s="1"/>
  <c r="BW185" i="48"/>
  <c r="F185" i="48" s="1"/>
  <c r="L185" i="48" s="1"/>
  <c r="BW198" i="48"/>
  <c r="BW154" i="48"/>
  <c r="F154" i="48" s="1"/>
  <c r="L154" i="48" s="1"/>
  <c r="BW165" i="48"/>
  <c r="BW192" i="48"/>
  <c r="BW188" i="48"/>
  <c r="BW184" i="48"/>
  <c r="BW180" i="48"/>
  <c r="BM206" i="48"/>
  <c r="F197" i="48"/>
  <c r="L197" i="48" s="1"/>
  <c r="F186" i="48"/>
  <c r="L186" i="48" s="1"/>
  <c r="F183" i="48"/>
  <c r="L183" i="48" s="1"/>
  <c r="F192" i="48"/>
  <c r="L192" i="48" s="1"/>
  <c r="F190" i="48"/>
  <c r="L190" i="48" s="1"/>
  <c r="F175" i="48"/>
  <c r="L175" i="48" s="1"/>
  <c r="F172" i="48"/>
  <c r="L172" i="48" s="1"/>
  <c r="F164" i="48"/>
  <c r="L164" i="48" s="1"/>
  <c r="F178" i="48"/>
  <c r="L178" i="48" s="1"/>
  <c r="F177" i="48"/>
  <c r="L177" i="48" s="1"/>
  <c r="F174" i="48"/>
  <c r="L174" i="48" s="1"/>
  <c r="F171" i="48"/>
  <c r="L171" i="48" s="1"/>
  <c r="F167" i="48"/>
  <c r="L167" i="48" s="1"/>
  <c r="F168" i="48"/>
  <c r="L168" i="48" s="1"/>
  <c r="F162" i="48"/>
  <c r="L162" i="48" s="1"/>
  <c r="F153" i="48"/>
  <c r="L153" i="48" s="1"/>
  <c r="F151" i="48"/>
  <c r="L151" i="48" s="1"/>
  <c r="F150" i="48"/>
  <c r="L150" i="48" s="1"/>
  <c r="F145" i="48"/>
  <c r="L145" i="48" s="1"/>
  <c r="F135" i="48"/>
  <c r="L135" i="48" s="1"/>
  <c r="F133" i="48"/>
  <c r="L133" i="48" s="1"/>
  <c r="F158" i="48"/>
  <c r="L158" i="48" s="1"/>
  <c r="F159" i="48"/>
  <c r="L159" i="48" s="1"/>
  <c r="F217" i="48"/>
  <c r="H217" i="48"/>
  <c r="F218" i="48"/>
  <c r="H218" i="48"/>
  <c r="F219" i="48"/>
  <c r="H219" i="48"/>
  <c r="F215" i="48"/>
  <c r="H215" i="48"/>
  <c r="O12" i="9"/>
  <c r="O13" i="9"/>
  <c r="O15" i="9"/>
  <c r="O16" i="9"/>
  <c r="O17" i="9"/>
  <c r="O19" i="9"/>
  <c r="O20" i="9"/>
  <c r="O21" i="9"/>
  <c r="O23" i="9"/>
  <c r="O24" i="9"/>
  <c r="O25" i="9"/>
  <c r="O26" i="9"/>
  <c r="O28" i="9"/>
  <c r="O29" i="9"/>
  <c r="O30" i="9"/>
  <c r="O32" i="9"/>
  <c r="O33" i="9"/>
  <c r="O34" i="9"/>
  <c r="O36" i="9"/>
  <c r="O37" i="9"/>
  <c r="O38" i="9"/>
  <c r="O40" i="9"/>
  <c r="O41" i="9"/>
  <c r="O42" i="9"/>
  <c r="O44" i="9"/>
  <c r="O45" i="9"/>
  <c r="O46" i="9"/>
  <c r="O48" i="9"/>
  <c r="O49" i="9"/>
  <c r="O50" i="9"/>
  <c r="O52" i="9"/>
  <c r="O53" i="9"/>
  <c r="O54" i="9"/>
  <c r="O56" i="9"/>
  <c r="O57" i="9"/>
  <c r="O58" i="9"/>
  <c r="O60" i="9"/>
  <c r="O61" i="9"/>
  <c r="O62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D94" i="9" s="1"/>
  <c r="O95" i="9"/>
  <c r="D95" i="9" s="1"/>
  <c r="O96" i="9"/>
  <c r="D96" i="9" s="1"/>
  <c r="O97" i="9"/>
  <c r="D97" i="9" s="1"/>
  <c r="O98" i="9"/>
  <c r="D98" i="9" s="1"/>
  <c r="O99" i="9"/>
  <c r="D99" i="9" s="1"/>
  <c r="O100" i="9"/>
  <c r="D100" i="9" s="1"/>
  <c r="O101" i="9"/>
  <c r="D101" i="9" s="1"/>
  <c r="O102" i="9"/>
  <c r="D102" i="9" s="1"/>
  <c r="O103" i="9"/>
  <c r="D103" i="9" s="1"/>
  <c r="O104" i="9"/>
  <c r="D104" i="9" s="1"/>
  <c r="O105" i="9"/>
  <c r="D105" i="9" s="1"/>
  <c r="O106" i="9"/>
  <c r="D106" i="9" s="1"/>
  <c r="O107" i="9"/>
  <c r="O108" i="9"/>
  <c r="O109" i="9"/>
  <c r="D109" i="9" s="1"/>
  <c r="O110" i="9"/>
  <c r="D110" i="9" s="1"/>
  <c r="O111" i="9"/>
  <c r="D111" i="9" s="1"/>
  <c r="O112" i="9"/>
  <c r="D112" i="9" s="1"/>
  <c r="O113" i="9"/>
  <c r="D113" i="9" s="1"/>
  <c r="O114" i="9"/>
  <c r="D114" i="9" s="1"/>
  <c r="O115" i="9"/>
  <c r="D115" i="9" s="1"/>
  <c r="O116" i="9"/>
  <c r="D116" i="9" s="1"/>
  <c r="O117" i="9"/>
  <c r="D117" i="9" s="1"/>
  <c r="O118" i="9"/>
  <c r="D118" i="9" s="1"/>
  <c r="O119" i="9"/>
  <c r="D119" i="9" s="1"/>
  <c r="O120" i="9"/>
  <c r="D120" i="9" s="1"/>
  <c r="O121" i="9"/>
  <c r="D121" i="9" s="1"/>
  <c r="O122" i="9"/>
  <c r="O123" i="9"/>
  <c r="O124" i="9"/>
  <c r="D124" i="9" s="1"/>
  <c r="O125" i="9"/>
  <c r="D125" i="9" s="1"/>
  <c r="O126" i="9"/>
  <c r="D126" i="9" s="1"/>
  <c r="O127" i="9"/>
  <c r="D127" i="9" s="1"/>
  <c r="O128" i="9"/>
  <c r="D128" i="9" s="1"/>
  <c r="O129" i="9"/>
  <c r="O130" i="9"/>
  <c r="D130" i="9" s="1"/>
  <c r="O131" i="9"/>
  <c r="D131" i="9" s="1"/>
  <c r="O132" i="9"/>
  <c r="D132" i="9" s="1"/>
  <c r="O133" i="9"/>
  <c r="O134" i="9"/>
  <c r="D134" i="9" s="1"/>
  <c r="O135" i="9"/>
  <c r="D135" i="9" s="1"/>
  <c r="O136" i="9"/>
  <c r="O137" i="9"/>
  <c r="O138" i="9"/>
  <c r="O139" i="9"/>
  <c r="O140" i="9"/>
  <c r="O141" i="9"/>
  <c r="O142" i="9"/>
  <c r="O143" i="9"/>
  <c r="O144" i="9"/>
  <c r="O145" i="9"/>
  <c r="O147" i="9"/>
  <c r="O148" i="9"/>
  <c r="O149" i="9"/>
  <c r="O151" i="9"/>
  <c r="O152" i="9"/>
  <c r="O153" i="9"/>
  <c r="O154" i="9"/>
  <c r="O155" i="9"/>
  <c r="O156" i="9"/>
  <c r="O158" i="9"/>
  <c r="O159" i="9"/>
  <c r="O160" i="9"/>
  <c r="O162" i="9"/>
  <c r="O163" i="9"/>
  <c r="O164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2" i="9"/>
  <c r="O183" i="9"/>
  <c r="O184" i="9"/>
  <c r="O185" i="9"/>
  <c r="O186" i="9"/>
  <c r="O187" i="9"/>
  <c r="O189" i="9"/>
  <c r="O190" i="9"/>
  <c r="O191" i="9"/>
  <c r="O194" i="9"/>
  <c r="O195" i="9"/>
  <c r="O196" i="9"/>
  <c r="O199" i="9"/>
  <c r="O200" i="9"/>
  <c r="O201" i="9"/>
  <c r="O204" i="9"/>
  <c r="O205" i="9"/>
  <c r="O206" i="9"/>
  <c r="O208" i="9"/>
  <c r="O209" i="9"/>
  <c r="O210" i="9"/>
  <c r="O212" i="9"/>
  <c r="O213" i="9"/>
  <c r="O214" i="9"/>
  <c r="O215" i="9"/>
  <c r="O216" i="9"/>
  <c r="O217" i="9"/>
  <c r="O219" i="9"/>
  <c r="O220" i="9"/>
  <c r="O221" i="9"/>
  <c r="O223" i="9"/>
  <c r="O224" i="9"/>
  <c r="O225" i="9"/>
  <c r="O227" i="9"/>
  <c r="O228" i="9"/>
  <c r="O229" i="9"/>
  <c r="O231" i="9"/>
  <c r="O232" i="9"/>
  <c r="O233" i="9"/>
  <c r="O235" i="9"/>
  <c r="O236" i="9"/>
  <c r="O237" i="9"/>
  <c r="O239" i="9"/>
  <c r="O240" i="9"/>
  <c r="O241" i="9"/>
  <c r="O243" i="9"/>
  <c r="O244" i="9"/>
  <c r="O245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O261" i="9"/>
  <c r="O262" i="9"/>
  <c r="O263" i="9"/>
  <c r="O264" i="9"/>
  <c r="O265" i="9"/>
  <c r="O266" i="9"/>
  <c r="O267" i="9"/>
  <c r="O268" i="9"/>
  <c r="O269" i="9"/>
  <c r="O270" i="9"/>
  <c r="O271" i="9"/>
  <c r="O272" i="9"/>
  <c r="O273" i="9"/>
  <c r="O274" i="9"/>
  <c r="O275" i="9"/>
  <c r="O276" i="9"/>
  <c r="O277" i="9"/>
  <c r="O278" i="9"/>
  <c r="O279" i="9"/>
  <c r="O280" i="9"/>
  <c r="O281" i="9"/>
  <c r="O282" i="9"/>
  <c r="O283" i="9"/>
  <c r="O284" i="9"/>
  <c r="O285" i="9"/>
  <c r="O286" i="9"/>
  <c r="O287" i="9"/>
  <c r="O288" i="9"/>
  <c r="O289" i="9"/>
  <c r="O290" i="9"/>
  <c r="O291" i="9"/>
  <c r="O292" i="9"/>
  <c r="O293" i="9"/>
  <c r="O294" i="9"/>
  <c r="O295" i="9"/>
  <c r="O296" i="9"/>
  <c r="O297" i="9"/>
  <c r="O298" i="9"/>
  <c r="O299" i="9"/>
  <c r="O300" i="9"/>
  <c r="O301" i="9"/>
  <c r="O302" i="9"/>
  <c r="O303" i="9"/>
  <c r="O304" i="9"/>
  <c r="O305" i="9"/>
  <c r="O306" i="9"/>
  <c r="O307" i="9"/>
  <c r="O308" i="9"/>
  <c r="O309" i="9"/>
  <c r="O310" i="9"/>
  <c r="O311" i="9"/>
  <c r="O312" i="9"/>
  <c r="O313" i="9"/>
  <c r="O314" i="9"/>
  <c r="O315" i="9"/>
  <c r="O316" i="9"/>
  <c r="O317" i="9"/>
  <c r="O318" i="9"/>
  <c r="O319" i="9"/>
  <c r="O320" i="9"/>
  <c r="O321" i="9"/>
  <c r="O322" i="9"/>
  <c r="O323" i="9"/>
  <c r="O324" i="9"/>
  <c r="O325" i="9"/>
  <c r="O326" i="9"/>
  <c r="O328" i="9"/>
  <c r="O329" i="9"/>
  <c r="O330" i="9"/>
  <c r="O331" i="9"/>
  <c r="O332" i="9"/>
  <c r="O333" i="9"/>
  <c r="O334" i="9"/>
  <c r="O335" i="9"/>
  <c r="O336" i="9"/>
  <c r="O338" i="9"/>
  <c r="O339" i="9"/>
  <c r="O340" i="9"/>
  <c r="O343" i="9"/>
  <c r="O344" i="9"/>
  <c r="O345" i="9"/>
  <c r="O346" i="9"/>
  <c r="O347" i="9"/>
  <c r="O348" i="9"/>
  <c r="O349" i="9"/>
  <c r="O350" i="9"/>
  <c r="O351" i="9"/>
  <c r="O353" i="9"/>
  <c r="O354" i="9"/>
  <c r="O355" i="9"/>
  <c r="O356" i="9"/>
  <c r="O357" i="9"/>
  <c r="O358" i="9"/>
  <c r="O359" i="9"/>
  <c r="O360" i="9"/>
  <c r="O361" i="9"/>
  <c r="O362" i="9"/>
  <c r="O363" i="9"/>
  <c r="O364" i="9"/>
  <c r="O365" i="9"/>
  <c r="D365" i="9" s="1"/>
  <c r="O366" i="9"/>
  <c r="O367" i="9"/>
  <c r="O368" i="9"/>
  <c r="O369" i="9"/>
  <c r="O370" i="9"/>
  <c r="O371" i="9"/>
  <c r="O372" i="9"/>
  <c r="O373" i="9"/>
  <c r="O374" i="9"/>
  <c r="O375" i="9"/>
  <c r="O376" i="9"/>
  <c r="O377" i="9"/>
  <c r="O378" i="9"/>
  <c r="O379" i="9"/>
  <c r="O380" i="9"/>
  <c r="O381" i="9"/>
  <c r="D381" i="9" s="1"/>
  <c r="O382" i="9"/>
  <c r="D382" i="9" s="1"/>
  <c r="O383" i="9"/>
  <c r="D383" i="9" s="1"/>
  <c r="O384" i="9"/>
  <c r="D384" i="9" s="1"/>
  <c r="O385" i="9"/>
  <c r="D385" i="9" s="1"/>
  <c r="O386" i="9"/>
  <c r="D386" i="9" s="1"/>
  <c r="O387" i="9"/>
  <c r="D387" i="9" s="1"/>
  <c r="O388" i="9"/>
  <c r="D388" i="9" s="1"/>
  <c r="O389" i="9"/>
  <c r="D389" i="9" s="1"/>
  <c r="O390" i="9"/>
  <c r="D390" i="9" s="1"/>
  <c r="O391" i="9"/>
  <c r="D391" i="9" s="1"/>
  <c r="O392" i="9"/>
  <c r="D392" i="9" s="1"/>
  <c r="O393" i="9"/>
  <c r="D393" i="9" s="1"/>
  <c r="O394" i="9"/>
  <c r="D394" i="9" s="1"/>
  <c r="O395" i="9"/>
  <c r="D395" i="9" s="1"/>
  <c r="O396" i="9"/>
  <c r="D396" i="9" s="1"/>
  <c r="O397" i="9"/>
  <c r="D397" i="9" s="1"/>
  <c r="O398" i="9"/>
  <c r="D398" i="9" s="1"/>
  <c r="O399" i="9"/>
  <c r="D399" i="9" s="1"/>
  <c r="O400" i="9"/>
  <c r="D400" i="9" s="1"/>
  <c r="O401" i="9"/>
  <c r="D401" i="9" s="1"/>
  <c r="O402" i="9"/>
  <c r="D402" i="9" s="1"/>
  <c r="O403" i="9"/>
  <c r="D403" i="9" s="1"/>
  <c r="O404" i="9"/>
  <c r="D404" i="9" s="1"/>
  <c r="O405" i="9"/>
  <c r="D405" i="9" s="1"/>
  <c r="O406" i="9"/>
  <c r="D406" i="9" s="1"/>
  <c r="O407" i="9"/>
  <c r="O408" i="9"/>
  <c r="O409" i="9"/>
  <c r="D409" i="9" s="1"/>
  <c r="O410" i="9"/>
  <c r="D410" i="9" s="1"/>
  <c r="O411" i="9"/>
  <c r="D411" i="9" s="1"/>
  <c r="O412" i="9"/>
  <c r="D412" i="9" s="1"/>
  <c r="O413" i="9"/>
  <c r="D413" i="9" s="1"/>
  <c r="O414" i="9"/>
  <c r="D414" i="9" s="1"/>
  <c r="O415" i="9"/>
  <c r="D415" i="9" s="1"/>
  <c r="O416" i="9"/>
  <c r="D416" i="9" s="1"/>
  <c r="O417" i="9"/>
  <c r="D417" i="9" s="1"/>
  <c r="O418" i="9"/>
  <c r="D418" i="9" s="1"/>
  <c r="O419" i="9"/>
  <c r="D419" i="9" s="1"/>
  <c r="O420" i="9"/>
  <c r="D420" i="9" s="1"/>
  <c r="O421" i="9"/>
  <c r="D421" i="9" s="1"/>
  <c r="O422" i="9"/>
  <c r="D422" i="9" s="1"/>
  <c r="O423" i="9"/>
  <c r="D423" i="9" s="1"/>
  <c r="O424" i="9"/>
  <c r="D424" i="9" s="1"/>
  <c r="O425" i="9"/>
  <c r="D425" i="9" s="1"/>
  <c r="O426" i="9"/>
  <c r="D426" i="9" s="1"/>
  <c r="O427" i="9"/>
  <c r="D427" i="9" s="1"/>
  <c r="O428" i="9"/>
  <c r="D428" i="9" s="1"/>
  <c r="O429" i="9"/>
  <c r="D429" i="9" s="1"/>
  <c r="O430" i="9"/>
  <c r="D430" i="9" s="1"/>
  <c r="O431" i="9"/>
  <c r="D431" i="9" s="1"/>
  <c r="O432" i="9"/>
  <c r="D432" i="9" s="1"/>
  <c r="O433" i="9"/>
  <c r="O434" i="9"/>
  <c r="O435" i="9"/>
  <c r="D435" i="9" s="1"/>
  <c r="O436" i="9"/>
  <c r="D436" i="9" s="1"/>
  <c r="O437" i="9"/>
  <c r="D437" i="9" s="1"/>
  <c r="O438" i="9"/>
  <c r="D438" i="9" s="1"/>
  <c r="O439" i="9"/>
  <c r="D439" i="9" s="1"/>
  <c r="O440" i="9"/>
  <c r="D440" i="9" s="1"/>
  <c r="O441" i="9"/>
  <c r="D441" i="9" s="1"/>
  <c r="O442" i="9"/>
  <c r="D442" i="9" s="1"/>
  <c r="O443" i="9"/>
  <c r="D443" i="9" s="1"/>
  <c r="O444" i="9"/>
  <c r="D444" i="9" s="1"/>
  <c r="O445" i="9"/>
  <c r="D445" i="9" s="1"/>
  <c r="O446" i="9"/>
  <c r="D446" i="9" s="1"/>
  <c r="O447" i="9"/>
  <c r="D447" i="9" s="1"/>
  <c r="O448" i="9"/>
  <c r="D448" i="9" s="1"/>
  <c r="O449" i="9"/>
  <c r="D449" i="9" s="1"/>
  <c r="O450" i="9"/>
  <c r="D450" i="9" s="1"/>
  <c r="O451" i="9"/>
  <c r="D451" i="9" s="1"/>
  <c r="O452" i="9"/>
  <c r="D452" i="9" s="1"/>
  <c r="O453" i="9"/>
  <c r="D453" i="9" s="1"/>
  <c r="O454" i="9"/>
  <c r="D454" i="9" s="1"/>
  <c r="O455" i="9"/>
  <c r="O456" i="9"/>
  <c r="O457" i="9"/>
  <c r="D457" i="9" s="1"/>
  <c r="O458" i="9"/>
  <c r="D458" i="9" s="1"/>
  <c r="O459" i="9"/>
  <c r="D459" i="9" s="1"/>
  <c r="O460" i="9"/>
  <c r="D460" i="9" s="1"/>
  <c r="O461" i="9"/>
  <c r="D461" i="9" s="1"/>
  <c r="O462" i="9"/>
  <c r="D462" i="9" s="1"/>
  <c r="O463" i="9"/>
  <c r="O464" i="9"/>
  <c r="O465" i="9"/>
  <c r="O466" i="9"/>
  <c r="O467" i="9"/>
  <c r="O468" i="9"/>
  <c r="O470" i="9"/>
  <c r="O471" i="9"/>
  <c r="O472" i="9"/>
  <c r="O474" i="9"/>
  <c r="O475" i="9"/>
  <c r="O476" i="9"/>
  <c r="O478" i="9"/>
  <c r="O479" i="9"/>
  <c r="O480" i="9"/>
  <c r="O482" i="9"/>
  <c r="O483" i="9"/>
  <c r="O484" i="9"/>
  <c r="O485" i="9"/>
  <c r="O487" i="9"/>
  <c r="O488" i="9"/>
  <c r="O489" i="9"/>
  <c r="O491" i="9"/>
  <c r="O492" i="9"/>
  <c r="O493" i="9"/>
  <c r="O495" i="9"/>
  <c r="O496" i="9"/>
  <c r="O497" i="9"/>
  <c r="O498" i="9"/>
  <c r="O500" i="9"/>
  <c r="O501" i="9"/>
  <c r="O502" i="9"/>
  <c r="O503" i="9"/>
  <c r="O505" i="9"/>
  <c r="O506" i="9"/>
  <c r="O507" i="9"/>
  <c r="O508" i="9"/>
  <c r="O510" i="9"/>
  <c r="O511" i="9"/>
  <c r="O512" i="9"/>
  <c r="O513" i="9"/>
  <c r="O514" i="9"/>
  <c r="O515" i="9"/>
  <c r="O516" i="9"/>
  <c r="O517" i="9"/>
  <c r="O518" i="9"/>
  <c r="O519" i="9"/>
  <c r="O520" i="9"/>
  <c r="O522" i="9"/>
  <c r="O523" i="9"/>
  <c r="O524" i="9"/>
  <c r="O526" i="9"/>
  <c r="O527" i="9"/>
  <c r="O528" i="9"/>
  <c r="O530" i="9"/>
  <c r="O531" i="9"/>
  <c r="O532" i="9"/>
  <c r="O534" i="9"/>
  <c r="O535" i="9"/>
  <c r="O536" i="9"/>
  <c r="O537" i="9"/>
  <c r="O538" i="9"/>
  <c r="O539" i="9"/>
  <c r="O540" i="9"/>
  <c r="D540" i="9" s="1"/>
  <c r="O541" i="9"/>
  <c r="O542" i="9"/>
  <c r="O543" i="9"/>
  <c r="O544" i="9"/>
  <c r="D544" i="9" s="1"/>
  <c r="O545" i="9"/>
  <c r="D545" i="9" s="1"/>
  <c r="O546" i="9"/>
  <c r="D546" i="9" s="1"/>
  <c r="O547" i="9"/>
  <c r="D547" i="9" s="1"/>
  <c r="O548" i="9"/>
  <c r="D548" i="9" s="1"/>
  <c r="O549" i="9"/>
  <c r="D549" i="9" s="1"/>
  <c r="O550" i="9"/>
  <c r="D550" i="9" s="1"/>
  <c r="O551" i="9"/>
  <c r="D551" i="9" s="1"/>
  <c r="O552" i="9"/>
  <c r="O553" i="9"/>
  <c r="O554" i="9"/>
  <c r="O555" i="9"/>
  <c r="O556" i="9"/>
  <c r="O557" i="9"/>
  <c r="O558" i="9"/>
  <c r="O559" i="9"/>
  <c r="O560" i="9"/>
  <c r="O561" i="9"/>
  <c r="O562" i="9"/>
  <c r="O563" i="9"/>
  <c r="O564" i="9"/>
  <c r="O565" i="9"/>
  <c r="O566" i="9"/>
  <c r="O567" i="9"/>
  <c r="O568" i="9"/>
  <c r="O569" i="9"/>
  <c r="O570" i="9"/>
  <c r="D570" i="9" s="1"/>
  <c r="O571" i="9"/>
  <c r="D571" i="9" s="1"/>
  <c r="O572" i="9"/>
  <c r="D572" i="9" s="1"/>
  <c r="O573" i="9"/>
  <c r="D573" i="9" s="1"/>
  <c r="O574" i="9"/>
  <c r="D574" i="9" s="1"/>
  <c r="O575" i="9"/>
  <c r="D575" i="9" s="1"/>
  <c r="O576" i="9"/>
  <c r="D576" i="9" s="1"/>
  <c r="O577" i="9"/>
  <c r="D577" i="9" s="1"/>
  <c r="O578" i="9"/>
  <c r="D578" i="9" s="1"/>
  <c r="O579" i="9"/>
  <c r="D579" i="9" s="1"/>
  <c r="O580" i="9"/>
  <c r="D580" i="9" s="1"/>
  <c r="O581" i="9"/>
  <c r="D581" i="9" s="1"/>
  <c r="O582" i="9"/>
  <c r="D582" i="9" s="1"/>
  <c r="O583" i="9"/>
  <c r="D583" i="9" s="1"/>
  <c r="O584" i="9"/>
  <c r="D584" i="9" s="1"/>
  <c r="O585" i="9"/>
  <c r="D585" i="9" s="1"/>
  <c r="O586" i="9"/>
  <c r="D586" i="9" s="1"/>
  <c r="O587" i="9"/>
  <c r="D587" i="9" s="1"/>
  <c r="O588" i="9"/>
  <c r="D588" i="9" s="1"/>
  <c r="O589" i="9"/>
  <c r="D589" i="9" s="1"/>
  <c r="O590" i="9"/>
  <c r="D590" i="9" s="1"/>
  <c r="O591" i="9"/>
  <c r="D591" i="9" s="1"/>
  <c r="O592" i="9"/>
  <c r="D592" i="9" s="1"/>
  <c r="O593" i="9"/>
  <c r="D593" i="9" s="1"/>
  <c r="O594" i="9"/>
  <c r="D594" i="9" s="1"/>
  <c r="O595" i="9"/>
  <c r="D595" i="9" s="1"/>
  <c r="O596" i="9"/>
  <c r="D596" i="9" s="1"/>
  <c r="O597" i="9"/>
  <c r="D597" i="9" s="1"/>
  <c r="O598" i="9"/>
  <c r="D598" i="9" s="1"/>
  <c r="O599" i="9"/>
  <c r="D599" i="9" s="1"/>
  <c r="O600" i="9"/>
  <c r="D600" i="9" s="1"/>
  <c r="O601" i="9"/>
  <c r="D601" i="9" s="1"/>
  <c r="O602" i="9"/>
  <c r="D602" i="9" s="1"/>
  <c r="O603" i="9"/>
  <c r="D603" i="9" s="1"/>
  <c r="O604" i="9"/>
  <c r="D604" i="9" s="1"/>
  <c r="O605" i="9"/>
  <c r="O606" i="9"/>
  <c r="O607" i="9"/>
  <c r="O608" i="9"/>
  <c r="O609" i="9"/>
  <c r="O610" i="9"/>
  <c r="D610" i="9" s="1"/>
  <c r="O617" i="9"/>
  <c r="O618" i="9"/>
  <c r="O619" i="9"/>
  <c r="O620" i="9"/>
  <c r="O621" i="9"/>
  <c r="O622" i="9"/>
  <c r="O624" i="9"/>
  <c r="O625" i="9"/>
  <c r="O626" i="9"/>
  <c r="O627" i="9"/>
  <c r="O628" i="9"/>
  <c r="O629" i="9"/>
  <c r="O630" i="9"/>
  <c r="O631" i="9"/>
  <c r="D631" i="9" s="1"/>
  <c r="O632" i="9"/>
  <c r="D632" i="9" s="1"/>
  <c r="O633" i="9"/>
  <c r="D633" i="9" s="1"/>
  <c r="O634" i="9"/>
  <c r="D634" i="9" s="1"/>
  <c r="O635" i="9"/>
  <c r="O636" i="9"/>
  <c r="D636" i="9" s="1"/>
  <c r="O637" i="9"/>
  <c r="D637" i="9" s="1"/>
  <c r="O638" i="9"/>
  <c r="D638" i="9" s="1"/>
  <c r="O639" i="9"/>
  <c r="D639" i="9" s="1"/>
  <c r="O640" i="9"/>
  <c r="D640" i="9" s="1"/>
  <c r="O641" i="9"/>
  <c r="D641" i="9" s="1"/>
  <c r="O642" i="9"/>
  <c r="D642" i="9" s="1"/>
  <c r="O643" i="9"/>
  <c r="D643" i="9" s="1"/>
  <c r="O644" i="9"/>
  <c r="D644" i="9" s="1"/>
  <c r="O645" i="9"/>
  <c r="D645" i="9" s="1"/>
  <c r="O646" i="9"/>
  <c r="O647" i="9"/>
  <c r="O648" i="9"/>
  <c r="O649" i="9"/>
  <c r="O650" i="9"/>
  <c r="O651" i="9"/>
  <c r="O653" i="9"/>
  <c r="D653" i="9" s="1"/>
  <c r="O654" i="9"/>
  <c r="O655" i="9"/>
  <c r="O656" i="9"/>
  <c r="O657" i="9"/>
  <c r="O658" i="9"/>
  <c r="O659" i="9"/>
  <c r="O660" i="9"/>
  <c r="O661" i="9"/>
  <c r="O662" i="9"/>
  <c r="O663" i="9"/>
  <c r="O664" i="9"/>
  <c r="O665" i="9"/>
  <c r="O666" i="9"/>
  <c r="O667" i="9"/>
  <c r="O668" i="9"/>
  <c r="O669" i="9"/>
  <c r="O670" i="9"/>
  <c r="O671" i="9"/>
  <c r="O672" i="9"/>
  <c r="O673" i="9"/>
  <c r="O674" i="9"/>
  <c r="O675" i="9"/>
  <c r="O676" i="9"/>
  <c r="O11" i="9"/>
  <c r="F156" i="48" l="1"/>
  <c r="L156" i="48" s="1"/>
  <c r="F180" i="48"/>
  <c r="L180" i="48" s="1"/>
  <c r="F193" i="48"/>
  <c r="L193" i="48" s="1"/>
  <c r="F157" i="48"/>
  <c r="L157" i="48" s="1"/>
  <c r="F161" i="48"/>
  <c r="L161" i="48" s="1"/>
  <c r="F169" i="48"/>
  <c r="L169" i="48" s="1"/>
  <c r="F181" i="48"/>
  <c r="L181" i="48" s="1"/>
  <c r="F131" i="48"/>
  <c r="L131" i="48" s="1"/>
  <c r="F182" i="48"/>
  <c r="L182" i="48" s="1"/>
  <c r="F195" i="48"/>
  <c r="L195" i="48" s="1"/>
  <c r="F138" i="48"/>
  <c r="L138" i="48" s="1"/>
  <c r="F148" i="48"/>
  <c r="L148" i="48" s="1"/>
  <c r="F196" i="48"/>
  <c r="L196" i="48" s="1"/>
  <c r="F188" i="48"/>
  <c r="L188" i="48" s="1"/>
  <c r="F143" i="48"/>
  <c r="L143" i="48" s="1"/>
  <c r="F147" i="48"/>
  <c r="L147" i="48" s="1"/>
  <c r="F142" i="48"/>
  <c r="L142" i="48" s="1"/>
  <c r="F141" i="48"/>
  <c r="L141" i="48" s="1"/>
  <c r="F136" i="48"/>
  <c r="L136" i="48" s="1"/>
  <c r="F137" i="48"/>
  <c r="L137" i="48" s="1"/>
  <c r="F132" i="48"/>
  <c r="L132" i="48" s="1"/>
  <c r="F130" i="48"/>
  <c r="L130" i="48" s="1"/>
  <c r="F128" i="48"/>
  <c r="L128" i="48" s="1"/>
  <c r="P668" i="9"/>
  <c r="P667" i="9"/>
  <c r="P666" i="9"/>
  <c r="P665" i="9"/>
  <c r="P664" i="9"/>
  <c r="P663" i="9"/>
  <c r="P662" i="9"/>
  <c r="P661" i="9"/>
  <c r="P660" i="9"/>
  <c r="P659" i="9"/>
  <c r="P658" i="9"/>
  <c r="P657" i="9"/>
  <c r="P656" i="9"/>
  <c r="P655" i="9"/>
  <c r="P654" i="9"/>
  <c r="P653" i="9"/>
  <c r="P651" i="9"/>
  <c r="P650" i="9"/>
  <c r="P649" i="9"/>
  <c r="P648" i="9"/>
  <c r="P647" i="9"/>
  <c r="P646" i="9"/>
  <c r="P645" i="9"/>
  <c r="P644" i="9"/>
  <c r="P643" i="9"/>
  <c r="P642" i="9"/>
  <c r="P641" i="9"/>
  <c r="P640" i="9"/>
  <c r="P639" i="9"/>
  <c r="P638" i="9"/>
  <c r="P637" i="9"/>
  <c r="P636" i="9"/>
  <c r="P635" i="9"/>
  <c r="P634" i="9"/>
  <c r="P633" i="9"/>
  <c r="P632" i="9"/>
  <c r="P631" i="9"/>
  <c r="P630" i="9"/>
  <c r="P629" i="9"/>
  <c r="P628" i="9"/>
  <c r="P627" i="9"/>
  <c r="P626" i="9"/>
  <c r="P625" i="9"/>
  <c r="P624" i="9"/>
  <c r="P622" i="9"/>
  <c r="P621" i="9"/>
  <c r="P620" i="9"/>
  <c r="P619" i="9"/>
  <c r="P618" i="9"/>
  <c r="P617" i="9"/>
  <c r="P610" i="9"/>
  <c r="P609" i="9"/>
  <c r="P608" i="9"/>
  <c r="P607" i="9"/>
  <c r="P606" i="9"/>
  <c r="P605" i="9"/>
  <c r="P604" i="9"/>
  <c r="P603" i="9"/>
  <c r="P602" i="9"/>
  <c r="P601" i="9"/>
  <c r="P600" i="9"/>
  <c r="P599" i="9"/>
  <c r="P598" i="9"/>
  <c r="P597" i="9"/>
  <c r="P596" i="9"/>
  <c r="P595" i="9"/>
  <c r="P594" i="9"/>
  <c r="P593" i="9"/>
  <c r="P592" i="9"/>
  <c r="P591" i="9"/>
  <c r="P590" i="9"/>
  <c r="P589" i="9"/>
  <c r="P588" i="9"/>
  <c r="P587" i="9"/>
  <c r="P586" i="9"/>
  <c r="P585" i="9"/>
  <c r="P584" i="9"/>
  <c r="P583" i="9"/>
  <c r="P582" i="9"/>
  <c r="P581" i="9"/>
  <c r="P580" i="9"/>
  <c r="P579" i="9"/>
  <c r="P578" i="9"/>
  <c r="P577" i="9"/>
  <c r="P576" i="9"/>
  <c r="P575" i="9"/>
  <c r="P574" i="9"/>
  <c r="P573" i="9"/>
  <c r="P572" i="9"/>
  <c r="P571" i="9"/>
  <c r="P570" i="9"/>
  <c r="P569" i="9"/>
  <c r="P568" i="9"/>
  <c r="P567" i="9"/>
  <c r="P566" i="9"/>
  <c r="P565" i="9"/>
  <c r="P564" i="9"/>
  <c r="P563" i="9"/>
  <c r="P562" i="9"/>
  <c r="P561" i="9"/>
  <c r="P560" i="9"/>
  <c r="P559" i="9"/>
  <c r="P558" i="9"/>
  <c r="P557" i="9"/>
  <c r="P556" i="9"/>
  <c r="P555" i="9"/>
  <c r="P554" i="9"/>
  <c r="P553" i="9"/>
  <c r="P552" i="9"/>
  <c r="P551" i="9"/>
  <c r="P550" i="9"/>
  <c r="P549" i="9"/>
  <c r="P548" i="9"/>
  <c r="P547" i="9"/>
  <c r="P546" i="9"/>
  <c r="P545" i="9"/>
  <c r="P544" i="9"/>
  <c r="P543" i="9"/>
  <c r="P542" i="9"/>
  <c r="P541" i="9"/>
  <c r="P540" i="9"/>
  <c r="P539" i="9"/>
  <c r="P538" i="9"/>
  <c r="P537" i="9"/>
  <c r="P536" i="9"/>
  <c r="P535" i="9"/>
  <c r="P534" i="9"/>
  <c r="P532" i="9"/>
  <c r="P531" i="9"/>
  <c r="P530" i="9"/>
  <c r="P528" i="9"/>
  <c r="P527" i="9"/>
  <c r="P526" i="9"/>
  <c r="P524" i="9"/>
  <c r="P523" i="9"/>
  <c r="P522" i="9"/>
  <c r="P520" i="9"/>
  <c r="P519" i="9"/>
  <c r="P518" i="9"/>
  <c r="P517" i="9"/>
  <c r="P516" i="9"/>
  <c r="P515" i="9"/>
  <c r="P514" i="9"/>
  <c r="P513" i="9"/>
  <c r="P512" i="9"/>
  <c r="P511" i="9"/>
  <c r="P510" i="9"/>
  <c r="P508" i="9"/>
  <c r="P507" i="9"/>
  <c r="P506" i="9"/>
  <c r="P505" i="9"/>
  <c r="P503" i="9"/>
  <c r="P502" i="9"/>
  <c r="P501" i="9"/>
  <c r="P500" i="9"/>
  <c r="P498" i="9"/>
  <c r="P497" i="9"/>
  <c r="P496" i="9"/>
  <c r="P495" i="9"/>
  <c r="P493" i="9"/>
  <c r="P492" i="9"/>
  <c r="P491" i="9"/>
  <c r="P489" i="9"/>
  <c r="P488" i="9"/>
  <c r="P487" i="9"/>
  <c r="P485" i="9"/>
  <c r="P484" i="9"/>
  <c r="P483" i="9"/>
  <c r="P482" i="9"/>
  <c r="P480" i="9"/>
  <c r="P479" i="9"/>
  <c r="P478" i="9"/>
  <c r="P476" i="9"/>
  <c r="P475" i="9"/>
  <c r="P474" i="9"/>
  <c r="P472" i="9"/>
  <c r="P471" i="9"/>
  <c r="P470" i="9"/>
  <c r="P468" i="9"/>
  <c r="P467" i="9"/>
  <c r="P466" i="9"/>
  <c r="P465" i="9"/>
  <c r="P464" i="9"/>
  <c r="P463" i="9"/>
  <c r="P462" i="9"/>
  <c r="P461" i="9"/>
  <c r="P460" i="9"/>
  <c r="P459" i="9"/>
  <c r="P458" i="9"/>
  <c r="P457" i="9"/>
  <c r="P456" i="9"/>
  <c r="P455" i="9"/>
  <c r="P454" i="9"/>
  <c r="P453" i="9"/>
  <c r="P452" i="9"/>
  <c r="P451" i="9"/>
  <c r="P450" i="9"/>
  <c r="P449" i="9"/>
  <c r="P448" i="9"/>
  <c r="P447" i="9"/>
  <c r="P446" i="9"/>
  <c r="P445" i="9"/>
  <c r="P444" i="9"/>
  <c r="P443" i="9"/>
  <c r="P442" i="9"/>
  <c r="P441" i="9"/>
  <c r="P440" i="9"/>
  <c r="P439" i="9"/>
  <c r="P438" i="9"/>
  <c r="P437" i="9"/>
  <c r="P436" i="9"/>
  <c r="P435" i="9"/>
  <c r="P434" i="9"/>
  <c r="P433" i="9"/>
  <c r="P432" i="9"/>
  <c r="P431" i="9"/>
  <c r="P430" i="9"/>
  <c r="P429" i="9"/>
  <c r="P428" i="9"/>
  <c r="P427" i="9"/>
  <c r="P426" i="9"/>
  <c r="P425" i="9"/>
  <c r="P424" i="9"/>
  <c r="P423" i="9"/>
  <c r="P422" i="9"/>
  <c r="P421" i="9"/>
  <c r="P420" i="9"/>
  <c r="P419" i="9"/>
  <c r="P418" i="9"/>
  <c r="P417" i="9"/>
  <c r="P416" i="9"/>
  <c r="P415" i="9"/>
  <c r="P414" i="9"/>
  <c r="P413" i="9"/>
  <c r="P412" i="9"/>
  <c r="P411" i="9"/>
  <c r="P410" i="9"/>
  <c r="P409" i="9"/>
  <c r="P408" i="9"/>
  <c r="P407" i="9"/>
  <c r="P406" i="9"/>
  <c r="P405" i="9"/>
  <c r="P404" i="9"/>
  <c r="P403" i="9"/>
  <c r="P402" i="9"/>
  <c r="P401" i="9"/>
  <c r="P400" i="9"/>
  <c r="P399" i="9"/>
  <c r="P398" i="9"/>
  <c r="P397" i="9"/>
  <c r="P396" i="9"/>
  <c r="P395" i="9"/>
  <c r="P394" i="9"/>
  <c r="P393" i="9"/>
  <c r="P392" i="9"/>
  <c r="P391" i="9"/>
  <c r="P390" i="9"/>
  <c r="P389" i="9"/>
  <c r="P388" i="9"/>
  <c r="P387" i="9"/>
  <c r="P386" i="9"/>
  <c r="P385" i="9"/>
  <c r="P384" i="9"/>
  <c r="P383" i="9"/>
  <c r="P382" i="9"/>
  <c r="P381" i="9"/>
  <c r="P380" i="9"/>
  <c r="P379" i="9"/>
  <c r="P378" i="9"/>
  <c r="P377" i="9"/>
  <c r="P376" i="9"/>
  <c r="P375" i="9"/>
  <c r="P374" i="9"/>
  <c r="P373" i="9"/>
  <c r="P372" i="9"/>
  <c r="P371" i="9"/>
  <c r="P370" i="9"/>
  <c r="P369" i="9"/>
  <c r="P368" i="9"/>
  <c r="P367" i="9"/>
  <c r="P366" i="9"/>
  <c r="P365" i="9"/>
  <c r="P364" i="9"/>
  <c r="P363" i="9"/>
  <c r="P362" i="9"/>
  <c r="P361" i="9"/>
  <c r="P360" i="9"/>
  <c r="P359" i="9"/>
  <c r="P358" i="9"/>
  <c r="P357" i="9"/>
  <c r="P356" i="9"/>
  <c r="P355" i="9"/>
  <c r="P354" i="9"/>
  <c r="P353" i="9"/>
  <c r="P351" i="9"/>
  <c r="P350" i="9"/>
  <c r="P349" i="9"/>
  <c r="P348" i="9"/>
  <c r="P347" i="9"/>
  <c r="P346" i="9"/>
  <c r="P345" i="9"/>
  <c r="P344" i="9"/>
  <c r="P343" i="9"/>
  <c r="P340" i="9"/>
  <c r="P339" i="9"/>
  <c r="P338" i="9"/>
  <c r="P336" i="9"/>
  <c r="P335" i="9"/>
  <c r="P334" i="9"/>
  <c r="P333" i="9"/>
  <c r="P332" i="9"/>
  <c r="P331" i="9"/>
  <c r="P330" i="9"/>
  <c r="P329" i="9"/>
  <c r="P328" i="9"/>
  <c r="P326" i="9"/>
  <c r="P325" i="9"/>
  <c r="P324" i="9"/>
  <c r="P323" i="9"/>
  <c r="P322" i="9"/>
  <c r="P321" i="9"/>
  <c r="P320" i="9"/>
  <c r="P319" i="9"/>
  <c r="P318" i="9"/>
  <c r="P317" i="9"/>
  <c r="P316" i="9"/>
  <c r="P315" i="9"/>
  <c r="P314" i="9"/>
  <c r="P313" i="9"/>
  <c r="P312" i="9"/>
  <c r="P311" i="9"/>
  <c r="P310" i="9"/>
  <c r="P309" i="9"/>
  <c r="P308" i="9"/>
  <c r="P307" i="9"/>
  <c r="P306" i="9"/>
  <c r="P305" i="9"/>
  <c r="P304" i="9"/>
  <c r="P303" i="9"/>
  <c r="P302" i="9"/>
  <c r="P301" i="9"/>
  <c r="P300" i="9"/>
  <c r="P299" i="9"/>
  <c r="P298" i="9"/>
  <c r="P297" i="9"/>
  <c r="P296" i="9"/>
  <c r="P295" i="9"/>
  <c r="P294" i="9"/>
  <c r="P293" i="9"/>
  <c r="P292" i="9"/>
  <c r="P291" i="9"/>
  <c r="P290" i="9"/>
  <c r="P289" i="9"/>
  <c r="P288" i="9"/>
  <c r="P287" i="9"/>
  <c r="P286" i="9"/>
  <c r="P285" i="9"/>
  <c r="P284" i="9"/>
  <c r="P283" i="9"/>
  <c r="P282" i="9"/>
  <c r="P281" i="9"/>
  <c r="P280" i="9"/>
  <c r="P279" i="9"/>
  <c r="P278" i="9"/>
  <c r="P277" i="9"/>
  <c r="P276" i="9"/>
  <c r="P275" i="9"/>
  <c r="P274" i="9"/>
  <c r="P273" i="9"/>
  <c r="P272" i="9"/>
  <c r="P271" i="9"/>
  <c r="P270" i="9"/>
  <c r="P269" i="9"/>
  <c r="P268" i="9"/>
  <c r="P267" i="9"/>
  <c r="P266" i="9"/>
  <c r="P265" i="9"/>
  <c r="P264" i="9"/>
  <c r="P263" i="9"/>
  <c r="P262" i="9"/>
  <c r="P261" i="9"/>
  <c r="P260" i="9"/>
  <c r="P259" i="9"/>
  <c r="P258" i="9"/>
  <c r="P257" i="9"/>
  <c r="P256" i="9"/>
  <c r="P255" i="9"/>
  <c r="P254" i="9"/>
  <c r="P253" i="9"/>
  <c r="P252" i="9"/>
  <c r="P251" i="9"/>
  <c r="P250" i="9"/>
  <c r="P249" i="9"/>
  <c r="P248" i="9"/>
  <c r="P247" i="9"/>
  <c r="P245" i="9"/>
  <c r="P244" i="9"/>
  <c r="P243" i="9"/>
  <c r="P241" i="9"/>
  <c r="P240" i="9"/>
  <c r="P239" i="9"/>
  <c r="P237" i="9"/>
  <c r="P236" i="9"/>
  <c r="P235" i="9"/>
  <c r="P233" i="9"/>
  <c r="P232" i="9"/>
  <c r="P231" i="9"/>
  <c r="P229" i="9"/>
  <c r="P228" i="9"/>
  <c r="P227" i="9"/>
  <c r="P225" i="9"/>
  <c r="P224" i="9"/>
  <c r="P223" i="9"/>
  <c r="P221" i="9"/>
  <c r="P220" i="9"/>
  <c r="P219" i="9"/>
  <c r="P217" i="9"/>
  <c r="P216" i="9"/>
  <c r="P215" i="9"/>
  <c r="P214" i="9"/>
  <c r="P213" i="9"/>
  <c r="P212" i="9"/>
  <c r="P210" i="9"/>
  <c r="P209" i="9"/>
  <c r="P208" i="9"/>
  <c r="P206" i="9"/>
  <c r="P205" i="9"/>
  <c r="P204" i="9"/>
  <c r="P201" i="9"/>
  <c r="P200" i="9"/>
  <c r="P199" i="9"/>
  <c r="P196" i="9"/>
  <c r="P195" i="9"/>
  <c r="P194" i="9"/>
  <c r="P191" i="9"/>
  <c r="P190" i="9"/>
  <c r="P189" i="9"/>
  <c r="P187" i="9"/>
  <c r="P186" i="9"/>
  <c r="P185" i="9"/>
  <c r="P184" i="9"/>
  <c r="P183" i="9"/>
  <c r="P182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4" i="9"/>
  <c r="P163" i="9"/>
  <c r="P162" i="9"/>
  <c r="P160" i="9"/>
  <c r="P159" i="9"/>
  <c r="P158" i="9"/>
  <c r="P156" i="9"/>
  <c r="P155" i="9"/>
  <c r="P154" i="9"/>
  <c r="P153" i="9"/>
  <c r="P152" i="9"/>
  <c r="P151" i="9"/>
  <c r="P149" i="9"/>
  <c r="P148" i="9"/>
  <c r="P147" i="9"/>
  <c r="P145" i="9"/>
  <c r="P144" i="9"/>
  <c r="P143" i="9"/>
  <c r="P142" i="9"/>
  <c r="P141" i="9"/>
  <c r="P140" i="9"/>
  <c r="P139" i="9"/>
  <c r="P138" i="9"/>
  <c r="P137" i="9"/>
  <c r="P136" i="9"/>
  <c r="P135" i="9"/>
  <c r="P134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2" i="9"/>
  <c r="P61" i="9"/>
  <c r="P60" i="9"/>
  <c r="P58" i="9"/>
  <c r="P57" i="9"/>
  <c r="P56" i="9"/>
  <c r="P54" i="9"/>
  <c r="P53" i="9"/>
  <c r="P52" i="9"/>
  <c r="P50" i="9"/>
  <c r="P49" i="9"/>
  <c r="P48" i="9"/>
  <c r="P46" i="9"/>
  <c r="P45" i="9"/>
  <c r="P44" i="9"/>
  <c r="P42" i="9"/>
  <c r="P41" i="9"/>
  <c r="P40" i="9"/>
  <c r="P38" i="9"/>
  <c r="P37" i="9"/>
  <c r="P36" i="9"/>
  <c r="P34" i="9"/>
  <c r="P33" i="9"/>
  <c r="P32" i="9"/>
  <c r="P30" i="9"/>
  <c r="P29" i="9"/>
  <c r="P28" i="9"/>
  <c r="P26" i="9"/>
  <c r="P25" i="9"/>
  <c r="P24" i="9"/>
  <c r="P23" i="9"/>
  <c r="P21" i="9"/>
  <c r="P20" i="9"/>
  <c r="P19" i="9"/>
  <c r="P17" i="9"/>
  <c r="P16" i="9"/>
  <c r="P15" i="9"/>
  <c r="P13" i="9"/>
  <c r="P12" i="9"/>
  <c r="P11" i="9"/>
  <c r="L526" i="9"/>
  <c r="M526" i="9"/>
  <c r="N526" i="9"/>
  <c r="Q526" i="9"/>
  <c r="T526" i="9"/>
  <c r="U526" i="9"/>
  <c r="L527" i="9"/>
  <c r="M527" i="9"/>
  <c r="N527" i="9"/>
  <c r="Q527" i="9"/>
  <c r="T527" i="9"/>
  <c r="U527" i="9"/>
  <c r="L528" i="9"/>
  <c r="M528" i="9"/>
  <c r="N528" i="9"/>
  <c r="Q528" i="9"/>
  <c r="T528" i="9"/>
  <c r="U528" i="9"/>
  <c r="L530" i="9"/>
  <c r="M530" i="9"/>
  <c r="N530" i="9"/>
  <c r="Q530" i="9"/>
  <c r="T530" i="9"/>
  <c r="U530" i="9"/>
  <c r="L531" i="9"/>
  <c r="M531" i="9"/>
  <c r="N531" i="9"/>
  <c r="Q531" i="9"/>
  <c r="T531" i="9"/>
  <c r="U531" i="9"/>
  <c r="L532" i="9"/>
  <c r="M532" i="9"/>
  <c r="N532" i="9"/>
  <c r="Q532" i="9"/>
  <c r="T532" i="9"/>
  <c r="U532" i="9"/>
  <c r="L534" i="9"/>
  <c r="M534" i="9"/>
  <c r="N534" i="9"/>
  <c r="Q534" i="9"/>
  <c r="T534" i="9"/>
  <c r="U534" i="9"/>
  <c r="L535" i="9"/>
  <c r="M535" i="9"/>
  <c r="N535" i="9"/>
  <c r="Q535" i="9"/>
  <c r="T535" i="9"/>
  <c r="U535" i="9"/>
  <c r="L536" i="9"/>
  <c r="M536" i="9"/>
  <c r="N536" i="9"/>
  <c r="Q536" i="9"/>
  <c r="T536" i="9"/>
  <c r="U536" i="9"/>
  <c r="L518" i="9"/>
  <c r="M518" i="9"/>
  <c r="N518" i="9"/>
  <c r="Q518" i="9"/>
  <c r="T518" i="9"/>
  <c r="U518" i="9"/>
  <c r="L519" i="9"/>
  <c r="M519" i="9"/>
  <c r="N519" i="9"/>
  <c r="Q519" i="9"/>
  <c r="T519" i="9"/>
  <c r="U519" i="9"/>
  <c r="L520" i="9"/>
  <c r="M520" i="9"/>
  <c r="N520" i="9"/>
  <c r="Q520" i="9"/>
  <c r="T520" i="9"/>
  <c r="U520" i="9"/>
  <c r="L437" i="9"/>
  <c r="A437" i="9" s="1"/>
  <c r="M437" i="9"/>
  <c r="B437" i="9" s="1"/>
  <c r="N437" i="9"/>
  <c r="C437" i="9" s="1"/>
  <c r="Q437" i="9"/>
  <c r="T437" i="9"/>
  <c r="I437" i="9" s="1"/>
  <c r="J180" i="48" s="1"/>
  <c r="U437" i="9"/>
  <c r="J437" i="9" s="1"/>
  <c r="K180" i="48" s="1"/>
  <c r="L438" i="9"/>
  <c r="A438" i="9" s="1"/>
  <c r="M438" i="9"/>
  <c r="B438" i="9" s="1"/>
  <c r="N438" i="9"/>
  <c r="C438" i="9" s="1"/>
  <c r="Q438" i="9"/>
  <c r="T438" i="9"/>
  <c r="I438" i="9" s="1"/>
  <c r="J181" i="48" s="1"/>
  <c r="U438" i="9"/>
  <c r="J438" i="9" s="1"/>
  <c r="K181" i="48" s="1"/>
  <c r="L439" i="9"/>
  <c r="A439" i="9" s="1"/>
  <c r="M439" i="9"/>
  <c r="B439" i="9" s="1"/>
  <c r="N439" i="9"/>
  <c r="C439" i="9" s="1"/>
  <c r="Q439" i="9"/>
  <c r="T439" i="9"/>
  <c r="I439" i="9" s="1"/>
  <c r="J182" i="48" s="1"/>
  <c r="U439" i="9"/>
  <c r="J439" i="9" s="1"/>
  <c r="K182" i="48" s="1"/>
  <c r="L440" i="9"/>
  <c r="A440" i="9" s="1"/>
  <c r="M440" i="9"/>
  <c r="B440" i="9" s="1"/>
  <c r="N440" i="9"/>
  <c r="C440" i="9" s="1"/>
  <c r="Q440" i="9"/>
  <c r="T440" i="9"/>
  <c r="I440" i="9" s="1"/>
  <c r="J183" i="48" s="1"/>
  <c r="U440" i="9"/>
  <c r="J440" i="9" s="1"/>
  <c r="K183" i="48" s="1"/>
  <c r="L441" i="9"/>
  <c r="A441" i="9" s="1"/>
  <c r="M441" i="9"/>
  <c r="B441" i="9" s="1"/>
  <c r="N441" i="9"/>
  <c r="C441" i="9" s="1"/>
  <c r="Q441" i="9"/>
  <c r="T441" i="9"/>
  <c r="I441" i="9" s="1"/>
  <c r="U441" i="9"/>
  <c r="J441" i="9" s="1"/>
  <c r="L442" i="9"/>
  <c r="A442" i="9" s="1"/>
  <c r="M442" i="9"/>
  <c r="B442" i="9" s="1"/>
  <c r="N442" i="9"/>
  <c r="C442" i="9" s="1"/>
  <c r="Q442" i="9"/>
  <c r="T442" i="9"/>
  <c r="I442" i="9" s="1"/>
  <c r="J185" i="48" s="1"/>
  <c r="U442" i="9"/>
  <c r="J442" i="9" s="1"/>
  <c r="K185" i="48" s="1"/>
  <c r="L443" i="9"/>
  <c r="A443" i="9" s="1"/>
  <c r="M443" i="9"/>
  <c r="B443" i="9" s="1"/>
  <c r="N443" i="9"/>
  <c r="C443" i="9" s="1"/>
  <c r="Q443" i="9"/>
  <c r="T443" i="9"/>
  <c r="I443" i="9" s="1"/>
  <c r="J186" i="48" s="1"/>
  <c r="U443" i="9"/>
  <c r="J443" i="9" s="1"/>
  <c r="K186" i="48" s="1"/>
  <c r="L444" i="9"/>
  <c r="A444" i="9" s="1"/>
  <c r="M444" i="9"/>
  <c r="B444" i="9" s="1"/>
  <c r="N444" i="9"/>
  <c r="C444" i="9" s="1"/>
  <c r="Q444" i="9"/>
  <c r="T444" i="9"/>
  <c r="I444" i="9" s="1"/>
  <c r="J187" i="48" s="1"/>
  <c r="U444" i="9"/>
  <c r="J444" i="9" s="1"/>
  <c r="K187" i="48" s="1"/>
  <c r="L445" i="9"/>
  <c r="A445" i="9" s="1"/>
  <c r="M445" i="9"/>
  <c r="B445" i="9" s="1"/>
  <c r="N445" i="9"/>
  <c r="C445" i="9" s="1"/>
  <c r="Q445" i="9"/>
  <c r="T445" i="9"/>
  <c r="I445" i="9" s="1"/>
  <c r="J188" i="48" s="1"/>
  <c r="U445" i="9"/>
  <c r="J445" i="9" s="1"/>
  <c r="K188" i="48" s="1"/>
  <c r="L446" i="9"/>
  <c r="A446" i="9" s="1"/>
  <c r="M446" i="9"/>
  <c r="B446" i="9" s="1"/>
  <c r="N446" i="9"/>
  <c r="C446" i="9" s="1"/>
  <c r="Q446" i="9"/>
  <c r="T446" i="9"/>
  <c r="I446" i="9" s="1"/>
  <c r="J189" i="48" s="1"/>
  <c r="U446" i="9"/>
  <c r="J446" i="9" s="1"/>
  <c r="K189" i="48" s="1"/>
  <c r="L447" i="9"/>
  <c r="A447" i="9" s="1"/>
  <c r="M447" i="9"/>
  <c r="B447" i="9" s="1"/>
  <c r="N447" i="9"/>
  <c r="C447" i="9" s="1"/>
  <c r="Q447" i="9"/>
  <c r="T447" i="9"/>
  <c r="I447" i="9" s="1"/>
  <c r="J190" i="48" s="1"/>
  <c r="U447" i="9"/>
  <c r="J447" i="9" s="1"/>
  <c r="K190" i="48" s="1"/>
  <c r="L448" i="9"/>
  <c r="A448" i="9" s="1"/>
  <c r="M448" i="9"/>
  <c r="B448" i="9" s="1"/>
  <c r="N448" i="9"/>
  <c r="C448" i="9" s="1"/>
  <c r="Q448" i="9"/>
  <c r="T448" i="9"/>
  <c r="I448" i="9" s="1"/>
  <c r="J191" i="48" s="1"/>
  <c r="U448" i="9"/>
  <c r="J448" i="9" s="1"/>
  <c r="K191" i="48" s="1"/>
  <c r="L449" i="9"/>
  <c r="A449" i="9" s="1"/>
  <c r="M449" i="9"/>
  <c r="B449" i="9" s="1"/>
  <c r="N449" i="9"/>
  <c r="C449" i="9" s="1"/>
  <c r="Q449" i="9"/>
  <c r="T449" i="9"/>
  <c r="I449" i="9" s="1"/>
  <c r="J192" i="48" s="1"/>
  <c r="U449" i="9"/>
  <c r="J449" i="9" s="1"/>
  <c r="K192" i="48" s="1"/>
  <c r="L450" i="9"/>
  <c r="A450" i="9" s="1"/>
  <c r="M450" i="9"/>
  <c r="B450" i="9" s="1"/>
  <c r="N450" i="9"/>
  <c r="C450" i="9" s="1"/>
  <c r="Q450" i="9"/>
  <c r="T450" i="9"/>
  <c r="I450" i="9" s="1"/>
  <c r="J193" i="48" s="1"/>
  <c r="U450" i="9"/>
  <c r="J450" i="9" s="1"/>
  <c r="K193" i="48" s="1"/>
  <c r="L451" i="9"/>
  <c r="A451" i="9" s="1"/>
  <c r="M451" i="9"/>
  <c r="B451" i="9" s="1"/>
  <c r="N451" i="9"/>
  <c r="C451" i="9" s="1"/>
  <c r="Q451" i="9"/>
  <c r="T451" i="9"/>
  <c r="I451" i="9" s="1"/>
  <c r="U451" i="9"/>
  <c r="J451" i="9" s="1"/>
  <c r="L452" i="9"/>
  <c r="A452" i="9" s="1"/>
  <c r="M452" i="9"/>
  <c r="B452" i="9" s="1"/>
  <c r="N452" i="9"/>
  <c r="C452" i="9" s="1"/>
  <c r="Q452" i="9"/>
  <c r="T452" i="9"/>
  <c r="I452" i="9" s="1"/>
  <c r="J195" i="48" s="1"/>
  <c r="U452" i="9"/>
  <c r="J452" i="9" s="1"/>
  <c r="K195" i="48" s="1"/>
  <c r="L453" i="9"/>
  <c r="A453" i="9" s="1"/>
  <c r="M453" i="9"/>
  <c r="B453" i="9" s="1"/>
  <c r="N453" i="9"/>
  <c r="C453" i="9" s="1"/>
  <c r="Q453" i="9"/>
  <c r="T453" i="9"/>
  <c r="I453" i="9" s="1"/>
  <c r="J196" i="48" s="1"/>
  <c r="U453" i="9"/>
  <c r="J453" i="9" s="1"/>
  <c r="K196" i="48" s="1"/>
  <c r="L454" i="9"/>
  <c r="A454" i="9" s="1"/>
  <c r="M454" i="9"/>
  <c r="B454" i="9" s="1"/>
  <c r="N454" i="9"/>
  <c r="C454" i="9" s="1"/>
  <c r="Q454" i="9"/>
  <c r="T454" i="9"/>
  <c r="I454" i="9" s="1"/>
  <c r="J197" i="48" s="1"/>
  <c r="U454" i="9"/>
  <c r="J454" i="9" s="1"/>
  <c r="K197" i="48" s="1"/>
  <c r="L435" i="9"/>
  <c r="A435" i="9" s="1"/>
  <c r="M435" i="9"/>
  <c r="B435" i="9" s="1"/>
  <c r="N435" i="9"/>
  <c r="C435" i="9" s="1"/>
  <c r="Q435" i="9"/>
  <c r="T435" i="9"/>
  <c r="I435" i="9" s="1"/>
  <c r="J178" i="48" s="1"/>
  <c r="U435" i="9"/>
  <c r="J435" i="9" s="1"/>
  <c r="K178" i="48" s="1"/>
  <c r="L430" i="9"/>
  <c r="A430" i="9" s="1"/>
  <c r="M430" i="9"/>
  <c r="B430" i="9" s="1"/>
  <c r="N430" i="9"/>
  <c r="C430" i="9" s="1"/>
  <c r="Q430" i="9"/>
  <c r="T430" i="9"/>
  <c r="I430" i="9" s="1"/>
  <c r="J175" i="48" s="1"/>
  <c r="U430" i="9"/>
  <c r="J430" i="9" s="1"/>
  <c r="K175" i="48" s="1"/>
  <c r="L431" i="9"/>
  <c r="A431" i="9" s="1"/>
  <c r="L29" i="56" s="1"/>
  <c r="M431" i="9"/>
  <c r="B431" i="9" s="1"/>
  <c r="M29" i="56" s="1"/>
  <c r="N431" i="9"/>
  <c r="C431" i="9" s="1"/>
  <c r="N29" i="56" s="1"/>
  <c r="Q431" i="9"/>
  <c r="T431" i="9"/>
  <c r="I431" i="9" s="1"/>
  <c r="U431" i="9"/>
  <c r="J431" i="9" s="1"/>
  <c r="L432" i="9"/>
  <c r="A432" i="9" s="1"/>
  <c r="M432" i="9"/>
  <c r="B432" i="9" s="1"/>
  <c r="N432" i="9"/>
  <c r="C432" i="9" s="1"/>
  <c r="Q432" i="9"/>
  <c r="T432" i="9"/>
  <c r="I432" i="9" s="1"/>
  <c r="J177" i="48" s="1"/>
  <c r="U432" i="9"/>
  <c r="J432" i="9" s="1"/>
  <c r="K177" i="48" s="1"/>
  <c r="L426" i="9"/>
  <c r="A426" i="9" s="1"/>
  <c r="M426" i="9"/>
  <c r="B426" i="9" s="1"/>
  <c r="N426" i="9"/>
  <c r="C426" i="9" s="1"/>
  <c r="Q426" i="9"/>
  <c r="T426" i="9"/>
  <c r="I426" i="9" s="1"/>
  <c r="J171" i="48" s="1"/>
  <c r="U426" i="9"/>
  <c r="J426" i="9" s="1"/>
  <c r="K171" i="48" s="1"/>
  <c r="L427" i="9"/>
  <c r="A427" i="9" s="1"/>
  <c r="M427" i="9"/>
  <c r="B427" i="9" s="1"/>
  <c r="N427" i="9"/>
  <c r="C427" i="9" s="1"/>
  <c r="Q427" i="9"/>
  <c r="T427" i="9"/>
  <c r="I427" i="9" s="1"/>
  <c r="J172" i="48" s="1"/>
  <c r="U427" i="9"/>
  <c r="J427" i="9" s="1"/>
  <c r="K172" i="48" s="1"/>
  <c r="L428" i="9"/>
  <c r="A428" i="9" s="1"/>
  <c r="L26" i="56" s="1"/>
  <c r="M428" i="9"/>
  <c r="B428" i="9" s="1"/>
  <c r="M26" i="56" s="1"/>
  <c r="N428" i="9"/>
  <c r="C428" i="9" s="1"/>
  <c r="N26" i="56" s="1"/>
  <c r="Q428" i="9"/>
  <c r="T428" i="9"/>
  <c r="I428" i="9" s="1"/>
  <c r="U428" i="9"/>
  <c r="J428" i="9" s="1"/>
  <c r="L429" i="9"/>
  <c r="A429" i="9" s="1"/>
  <c r="M429" i="9"/>
  <c r="B429" i="9" s="1"/>
  <c r="N429" i="9"/>
  <c r="C429" i="9" s="1"/>
  <c r="Q429" i="9"/>
  <c r="T429" i="9"/>
  <c r="I429" i="9" s="1"/>
  <c r="J174" i="48" s="1"/>
  <c r="U429" i="9"/>
  <c r="J429" i="9" s="1"/>
  <c r="K174" i="48" s="1"/>
  <c r="L421" i="9"/>
  <c r="A421" i="9" s="1"/>
  <c r="M421" i="9"/>
  <c r="B421" i="9" s="1"/>
  <c r="N421" i="9"/>
  <c r="C421" i="9" s="1"/>
  <c r="Q421" i="9"/>
  <c r="T421" i="9"/>
  <c r="I421" i="9" s="1"/>
  <c r="J166" i="48" s="1"/>
  <c r="U421" i="9"/>
  <c r="J421" i="9" s="1"/>
  <c r="K166" i="48" s="1"/>
  <c r="L422" i="9"/>
  <c r="A422" i="9" s="1"/>
  <c r="M422" i="9"/>
  <c r="B422" i="9" s="1"/>
  <c r="N422" i="9"/>
  <c r="C422" i="9" s="1"/>
  <c r="Q422" i="9"/>
  <c r="T422" i="9"/>
  <c r="I422" i="9" s="1"/>
  <c r="J167" i="48" s="1"/>
  <c r="U422" i="9"/>
  <c r="J422" i="9" s="1"/>
  <c r="K167" i="48" s="1"/>
  <c r="L423" i="9"/>
  <c r="A423" i="9" s="1"/>
  <c r="M423" i="9"/>
  <c r="B423" i="9" s="1"/>
  <c r="N423" i="9"/>
  <c r="C423" i="9" s="1"/>
  <c r="Q423" i="9"/>
  <c r="T423" i="9"/>
  <c r="I423" i="9" s="1"/>
  <c r="J168" i="48" s="1"/>
  <c r="U423" i="9"/>
  <c r="J423" i="9" s="1"/>
  <c r="K168" i="48" s="1"/>
  <c r="L424" i="9"/>
  <c r="A424" i="9" s="1"/>
  <c r="M424" i="9"/>
  <c r="B424" i="9" s="1"/>
  <c r="N424" i="9"/>
  <c r="C424" i="9" s="1"/>
  <c r="Q424" i="9"/>
  <c r="T424" i="9"/>
  <c r="I424" i="9" s="1"/>
  <c r="J169" i="48" s="1"/>
  <c r="U424" i="9"/>
  <c r="J424" i="9" s="1"/>
  <c r="K169" i="48" s="1"/>
  <c r="L416" i="9"/>
  <c r="A416" i="9" s="1"/>
  <c r="M416" i="9"/>
  <c r="B416" i="9" s="1"/>
  <c r="N416" i="9"/>
  <c r="C416" i="9" s="1"/>
  <c r="Q416" i="9"/>
  <c r="T416" i="9"/>
  <c r="I416" i="9" s="1"/>
  <c r="J161" i="48" s="1"/>
  <c r="U416" i="9"/>
  <c r="J416" i="9" s="1"/>
  <c r="K161" i="48" s="1"/>
  <c r="L417" i="9"/>
  <c r="A417" i="9" s="1"/>
  <c r="M417" i="9"/>
  <c r="B417" i="9" s="1"/>
  <c r="N417" i="9"/>
  <c r="C417" i="9" s="1"/>
  <c r="Q417" i="9"/>
  <c r="T417" i="9"/>
  <c r="I417" i="9" s="1"/>
  <c r="J162" i="48" s="1"/>
  <c r="U417" i="9"/>
  <c r="J417" i="9" s="1"/>
  <c r="K162" i="48" s="1"/>
  <c r="L418" i="9"/>
  <c r="A418" i="9" s="1"/>
  <c r="M418" i="9"/>
  <c r="B418" i="9" s="1"/>
  <c r="N418" i="9"/>
  <c r="C418" i="9" s="1"/>
  <c r="Q418" i="9"/>
  <c r="T418" i="9"/>
  <c r="I418" i="9" s="1"/>
  <c r="J163" i="48" s="1"/>
  <c r="U418" i="9"/>
  <c r="J418" i="9" s="1"/>
  <c r="K163" i="48" s="1"/>
  <c r="L419" i="9"/>
  <c r="A419" i="9" s="1"/>
  <c r="M419" i="9"/>
  <c r="B419" i="9" s="1"/>
  <c r="N419" i="9"/>
  <c r="C419" i="9" s="1"/>
  <c r="Q419" i="9"/>
  <c r="T419" i="9"/>
  <c r="I419" i="9" s="1"/>
  <c r="J164" i="48" s="1"/>
  <c r="U419" i="9"/>
  <c r="J419" i="9" s="1"/>
  <c r="K164" i="48" s="1"/>
  <c r="L411" i="9"/>
  <c r="A411" i="9" s="1"/>
  <c r="M411" i="9"/>
  <c r="B411" i="9" s="1"/>
  <c r="N411" i="9"/>
  <c r="C411" i="9" s="1"/>
  <c r="Q411" i="9"/>
  <c r="T411" i="9"/>
  <c r="I411" i="9" s="1"/>
  <c r="J156" i="48" s="1"/>
  <c r="U411" i="9"/>
  <c r="J411" i="9" s="1"/>
  <c r="K156" i="48" s="1"/>
  <c r="L412" i="9"/>
  <c r="A412" i="9" s="1"/>
  <c r="M412" i="9"/>
  <c r="B412" i="9" s="1"/>
  <c r="N412" i="9"/>
  <c r="C412" i="9" s="1"/>
  <c r="Q412" i="9"/>
  <c r="T412" i="9"/>
  <c r="I412" i="9" s="1"/>
  <c r="J157" i="48" s="1"/>
  <c r="U412" i="9"/>
  <c r="J412" i="9" s="1"/>
  <c r="K157" i="48" s="1"/>
  <c r="L413" i="9"/>
  <c r="A413" i="9" s="1"/>
  <c r="M413" i="9"/>
  <c r="B413" i="9" s="1"/>
  <c r="N413" i="9"/>
  <c r="C413" i="9" s="1"/>
  <c r="Q413" i="9"/>
  <c r="T413" i="9"/>
  <c r="I413" i="9" s="1"/>
  <c r="J158" i="48" s="1"/>
  <c r="U413" i="9"/>
  <c r="J413" i="9" s="1"/>
  <c r="K158" i="48" s="1"/>
  <c r="L414" i="9"/>
  <c r="A414" i="9" s="1"/>
  <c r="M414" i="9"/>
  <c r="B414" i="9" s="1"/>
  <c r="N414" i="9"/>
  <c r="C414" i="9" s="1"/>
  <c r="Q414" i="9"/>
  <c r="T414" i="9"/>
  <c r="I414" i="9" s="1"/>
  <c r="J159" i="48" s="1"/>
  <c r="U414" i="9"/>
  <c r="J414" i="9" s="1"/>
  <c r="K159" i="48" s="1"/>
  <c r="L409" i="9"/>
  <c r="A409" i="9" s="1"/>
  <c r="M409" i="9"/>
  <c r="B409" i="9" s="1"/>
  <c r="N409" i="9"/>
  <c r="C409" i="9" s="1"/>
  <c r="Q409" i="9"/>
  <c r="T409" i="9"/>
  <c r="I409" i="9" s="1"/>
  <c r="J154" i="48" s="1"/>
  <c r="U409" i="9"/>
  <c r="J409" i="9" s="1"/>
  <c r="K154" i="48" s="1"/>
  <c r="L400" i="9"/>
  <c r="A400" i="9" s="1"/>
  <c r="M400" i="9"/>
  <c r="B400" i="9" s="1"/>
  <c r="N400" i="9"/>
  <c r="C400" i="9" s="1"/>
  <c r="Q400" i="9"/>
  <c r="T400" i="9"/>
  <c r="I400" i="9" s="1"/>
  <c r="J147" i="48" s="1"/>
  <c r="U400" i="9"/>
  <c r="J400" i="9" s="1"/>
  <c r="K147" i="48" s="1"/>
  <c r="L401" i="9"/>
  <c r="A401" i="9" s="1"/>
  <c r="M401" i="9"/>
  <c r="B401" i="9" s="1"/>
  <c r="N401" i="9"/>
  <c r="C401" i="9" s="1"/>
  <c r="Q401" i="9"/>
  <c r="T401" i="9"/>
  <c r="I401" i="9" s="1"/>
  <c r="J148" i="48" s="1"/>
  <c r="U401" i="9"/>
  <c r="J401" i="9" s="1"/>
  <c r="K148" i="48" s="1"/>
  <c r="L402" i="9"/>
  <c r="A402" i="9" s="1"/>
  <c r="L26" i="55" s="1"/>
  <c r="M402" i="9"/>
  <c r="B402" i="9" s="1"/>
  <c r="M26" i="55" s="1"/>
  <c r="N402" i="9"/>
  <c r="C402" i="9" s="1"/>
  <c r="N26" i="55" s="1"/>
  <c r="Q402" i="9"/>
  <c r="T402" i="9"/>
  <c r="I402" i="9" s="1"/>
  <c r="U402" i="9"/>
  <c r="J402" i="9" s="1"/>
  <c r="L403" i="9"/>
  <c r="A403" i="9" s="1"/>
  <c r="M403" i="9"/>
  <c r="B403" i="9" s="1"/>
  <c r="N403" i="9"/>
  <c r="C403" i="9" s="1"/>
  <c r="Q403" i="9"/>
  <c r="T403" i="9"/>
  <c r="I403" i="9" s="1"/>
  <c r="J150" i="48" s="1"/>
  <c r="U403" i="9"/>
  <c r="J403" i="9" s="1"/>
  <c r="K150" i="48" s="1"/>
  <c r="L404" i="9"/>
  <c r="A404" i="9" s="1"/>
  <c r="M404" i="9"/>
  <c r="B404" i="9" s="1"/>
  <c r="N404" i="9"/>
  <c r="C404" i="9" s="1"/>
  <c r="Q404" i="9"/>
  <c r="T404" i="9"/>
  <c r="I404" i="9" s="1"/>
  <c r="J151" i="48" s="1"/>
  <c r="U404" i="9"/>
  <c r="J404" i="9" s="1"/>
  <c r="K151" i="48" s="1"/>
  <c r="L398" i="9"/>
  <c r="A398" i="9" s="1"/>
  <c r="M398" i="9"/>
  <c r="B398" i="9" s="1"/>
  <c r="N398" i="9"/>
  <c r="C398" i="9" s="1"/>
  <c r="Q398" i="9"/>
  <c r="T398" i="9"/>
  <c r="I398" i="9" s="1"/>
  <c r="J145" i="48" s="1"/>
  <c r="U398" i="9"/>
  <c r="J398" i="9" s="1"/>
  <c r="K145" i="48" s="1"/>
  <c r="L393" i="9"/>
  <c r="A393" i="9" s="1"/>
  <c r="M393" i="9"/>
  <c r="B393" i="9" s="1"/>
  <c r="N393" i="9"/>
  <c r="C393" i="9" s="1"/>
  <c r="Q393" i="9"/>
  <c r="T393" i="9"/>
  <c r="I393" i="9" s="1"/>
  <c r="J140" i="48" s="1"/>
  <c r="U393" i="9"/>
  <c r="J393" i="9" s="1"/>
  <c r="K140" i="48" s="1"/>
  <c r="L394" i="9"/>
  <c r="A394" i="9" s="1"/>
  <c r="M394" i="9"/>
  <c r="B394" i="9" s="1"/>
  <c r="N394" i="9"/>
  <c r="C394" i="9" s="1"/>
  <c r="Q394" i="9"/>
  <c r="T394" i="9"/>
  <c r="I394" i="9" s="1"/>
  <c r="J141" i="48" s="1"/>
  <c r="U394" i="9"/>
  <c r="J394" i="9" s="1"/>
  <c r="K141" i="48" s="1"/>
  <c r="L395" i="9"/>
  <c r="A395" i="9" s="1"/>
  <c r="M395" i="9"/>
  <c r="B395" i="9" s="1"/>
  <c r="N395" i="9"/>
  <c r="C395" i="9" s="1"/>
  <c r="Q395" i="9"/>
  <c r="T395" i="9"/>
  <c r="I395" i="9" s="1"/>
  <c r="J142" i="48" s="1"/>
  <c r="U395" i="9"/>
  <c r="J395" i="9" s="1"/>
  <c r="K142" i="48" s="1"/>
  <c r="L396" i="9"/>
  <c r="A396" i="9" s="1"/>
  <c r="M396" i="9"/>
  <c r="B396" i="9" s="1"/>
  <c r="N396" i="9"/>
  <c r="C396" i="9" s="1"/>
  <c r="Q396" i="9"/>
  <c r="T396" i="9"/>
  <c r="I396" i="9" s="1"/>
  <c r="J143" i="48" s="1"/>
  <c r="U396" i="9"/>
  <c r="J396" i="9" s="1"/>
  <c r="K143" i="48" s="1"/>
  <c r="L388" i="9"/>
  <c r="A388" i="9" s="1"/>
  <c r="M388" i="9"/>
  <c r="B388" i="9" s="1"/>
  <c r="N388" i="9"/>
  <c r="C388" i="9" s="1"/>
  <c r="Q388" i="9"/>
  <c r="T388" i="9"/>
  <c r="I388" i="9" s="1"/>
  <c r="J135" i="48" s="1"/>
  <c r="U388" i="9"/>
  <c r="J388" i="9" s="1"/>
  <c r="K135" i="48" s="1"/>
  <c r="L389" i="9"/>
  <c r="A389" i="9" s="1"/>
  <c r="M389" i="9"/>
  <c r="B389" i="9" s="1"/>
  <c r="N389" i="9"/>
  <c r="C389" i="9" s="1"/>
  <c r="Q389" i="9"/>
  <c r="T389" i="9"/>
  <c r="I389" i="9" s="1"/>
  <c r="J136" i="48" s="1"/>
  <c r="U389" i="9"/>
  <c r="J389" i="9" s="1"/>
  <c r="K136" i="48" s="1"/>
  <c r="L390" i="9"/>
  <c r="A390" i="9" s="1"/>
  <c r="M390" i="9"/>
  <c r="B390" i="9" s="1"/>
  <c r="N390" i="9"/>
  <c r="C390" i="9" s="1"/>
  <c r="Q390" i="9"/>
  <c r="T390" i="9"/>
  <c r="I390" i="9" s="1"/>
  <c r="J137" i="48" s="1"/>
  <c r="U390" i="9"/>
  <c r="J390" i="9" s="1"/>
  <c r="K137" i="48" s="1"/>
  <c r="L391" i="9"/>
  <c r="A391" i="9" s="1"/>
  <c r="M391" i="9"/>
  <c r="B391" i="9" s="1"/>
  <c r="N391" i="9"/>
  <c r="C391" i="9" s="1"/>
  <c r="Q391" i="9"/>
  <c r="T391" i="9"/>
  <c r="I391" i="9" s="1"/>
  <c r="J138" i="48" s="1"/>
  <c r="U391" i="9"/>
  <c r="J391" i="9" s="1"/>
  <c r="K138" i="48" s="1"/>
  <c r="L383" i="9"/>
  <c r="A383" i="9" s="1"/>
  <c r="M383" i="9"/>
  <c r="B383" i="9" s="1"/>
  <c r="N383" i="9"/>
  <c r="C383" i="9" s="1"/>
  <c r="Q383" i="9"/>
  <c r="T383" i="9"/>
  <c r="I383" i="9" s="1"/>
  <c r="J130" i="48" s="1"/>
  <c r="U383" i="9"/>
  <c r="J383" i="9" s="1"/>
  <c r="K130" i="48" s="1"/>
  <c r="L384" i="9"/>
  <c r="A384" i="9" s="1"/>
  <c r="M384" i="9"/>
  <c r="B384" i="9" s="1"/>
  <c r="N384" i="9"/>
  <c r="C384" i="9" s="1"/>
  <c r="Q384" i="9"/>
  <c r="T384" i="9"/>
  <c r="I384" i="9" s="1"/>
  <c r="J131" i="48" s="1"/>
  <c r="U384" i="9"/>
  <c r="J384" i="9" s="1"/>
  <c r="K131" i="48" s="1"/>
  <c r="L385" i="9"/>
  <c r="A385" i="9" s="1"/>
  <c r="M385" i="9"/>
  <c r="B385" i="9" s="1"/>
  <c r="N385" i="9"/>
  <c r="C385" i="9" s="1"/>
  <c r="Q385" i="9"/>
  <c r="T385" i="9"/>
  <c r="I385" i="9" s="1"/>
  <c r="J132" i="48" s="1"/>
  <c r="U385" i="9"/>
  <c r="J385" i="9" s="1"/>
  <c r="K132" i="48" s="1"/>
  <c r="L386" i="9"/>
  <c r="A386" i="9" s="1"/>
  <c r="M386" i="9"/>
  <c r="B386" i="9" s="1"/>
  <c r="N386" i="9"/>
  <c r="C386" i="9" s="1"/>
  <c r="Q386" i="9"/>
  <c r="T386" i="9"/>
  <c r="I386" i="9" s="1"/>
  <c r="J133" i="48" s="1"/>
  <c r="U386" i="9"/>
  <c r="J386" i="9" s="1"/>
  <c r="K133" i="48" s="1"/>
  <c r="L381" i="9"/>
  <c r="A381" i="9" s="1"/>
  <c r="M381" i="9"/>
  <c r="B381" i="9" s="1"/>
  <c r="N381" i="9"/>
  <c r="C381" i="9" s="1"/>
  <c r="Q381" i="9"/>
  <c r="T381" i="9"/>
  <c r="I381" i="9" s="1"/>
  <c r="J128" i="48" s="1"/>
  <c r="U381" i="9"/>
  <c r="J381" i="9" s="1"/>
  <c r="K128" i="48" s="1"/>
  <c r="L129" i="15"/>
  <c r="D127" i="15"/>
  <c r="M2" i="56" l="1"/>
  <c r="M2" i="55"/>
  <c r="M2" i="67"/>
  <c r="C128" i="48"/>
  <c r="M24" i="55"/>
  <c r="C147" i="48"/>
  <c r="M22" i="67"/>
  <c r="M10" i="56"/>
  <c r="C157" i="48"/>
  <c r="M27" i="67"/>
  <c r="M15" i="56"/>
  <c r="C162" i="48"/>
  <c r="M27" i="56"/>
  <c r="C174" i="48"/>
  <c r="M25" i="56"/>
  <c r="C172" i="48"/>
  <c r="M28" i="56"/>
  <c r="C175" i="48"/>
  <c r="M47" i="67"/>
  <c r="M20" i="55"/>
  <c r="C191" i="48"/>
  <c r="M41" i="67"/>
  <c r="M38" i="56"/>
  <c r="C185" i="48"/>
  <c r="M39" i="67"/>
  <c r="M36" i="56"/>
  <c r="C183" i="48"/>
  <c r="M37" i="67"/>
  <c r="M34" i="56"/>
  <c r="C181" i="48"/>
  <c r="L2" i="67"/>
  <c r="L2" i="56"/>
  <c r="L2" i="55"/>
  <c r="B128" i="48"/>
  <c r="L6" i="67"/>
  <c r="L6" i="55"/>
  <c r="L6" i="56"/>
  <c r="B132" i="48"/>
  <c r="N12" i="55"/>
  <c r="N12" i="67"/>
  <c r="D138" i="48"/>
  <c r="L11" i="67"/>
  <c r="L11" i="55"/>
  <c r="B137" i="48"/>
  <c r="L9" i="67"/>
  <c r="L9" i="55"/>
  <c r="B135" i="48"/>
  <c r="N15" i="55"/>
  <c r="N15" i="67"/>
  <c r="D141" i="48"/>
  <c r="L14" i="67"/>
  <c r="L14" i="55"/>
  <c r="B140" i="48"/>
  <c r="N19" i="67"/>
  <c r="N7" i="56"/>
  <c r="D154" i="48"/>
  <c r="N11" i="56"/>
  <c r="N23" i="67"/>
  <c r="D158" i="48"/>
  <c r="L22" i="67"/>
  <c r="L10" i="56"/>
  <c r="B157" i="48"/>
  <c r="L17" i="56"/>
  <c r="L29" i="67"/>
  <c r="B164" i="48"/>
  <c r="N14" i="56"/>
  <c r="N26" i="67"/>
  <c r="D161" i="48"/>
  <c r="L22" i="56"/>
  <c r="B169" i="48"/>
  <c r="L32" i="67"/>
  <c r="L20" i="56"/>
  <c r="B167" i="48"/>
  <c r="L27" i="56"/>
  <c r="B174" i="48"/>
  <c r="N24" i="56"/>
  <c r="D171" i="48"/>
  <c r="L28" i="56"/>
  <c r="B175" i="48"/>
  <c r="L45" i="56"/>
  <c r="L53" i="67"/>
  <c r="B197" i="48"/>
  <c r="N50" i="67"/>
  <c r="N42" i="56"/>
  <c r="L49" i="67"/>
  <c r="L41" i="56"/>
  <c r="B193" i="48"/>
  <c r="N46" i="67"/>
  <c r="N19" i="55"/>
  <c r="D190" i="48"/>
  <c r="N44" i="67"/>
  <c r="N17" i="55"/>
  <c r="D188" i="48"/>
  <c r="L40" i="56"/>
  <c r="L43" i="67"/>
  <c r="B187" i="48"/>
  <c r="N37" i="56"/>
  <c r="N40" i="67"/>
  <c r="L39" i="67"/>
  <c r="L36" i="56"/>
  <c r="B183" i="48"/>
  <c r="L37" i="67"/>
  <c r="L34" i="56"/>
  <c r="B181" i="48"/>
  <c r="M7" i="67"/>
  <c r="M7" i="55"/>
  <c r="C133" i="48"/>
  <c r="M5" i="67"/>
  <c r="M5" i="56"/>
  <c r="M5" i="55"/>
  <c r="C131" i="48"/>
  <c r="M12" i="67"/>
  <c r="M12" i="55"/>
  <c r="C138" i="48"/>
  <c r="M10" i="55"/>
  <c r="M10" i="67"/>
  <c r="C136" i="48"/>
  <c r="M17" i="67"/>
  <c r="M31" i="55"/>
  <c r="C143" i="48"/>
  <c r="M15" i="67"/>
  <c r="M15" i="55"/>
  <c r="C141" i="48"/>
  <c r="M22" i="55"/>
  <c r="C145" i="48"/>
  <c r="M27" i="55"/>
  <c r="C150" i="48"/>
  <c r="M25" i="55"/>
  <c r="C148" i="48"/>
  <c r="M19" i="67"/>
  <c r="M7" i="56"/>
  <c r="C154" i="48"/>
  <c r="M23" i="67"/>
  <c r="M11" i="56"/>
  <c r="C158" i="48"/>
  <c r="M21" i="67"/>
  <c r="M9" i="56"/>
  <c r="C156" i="48"/>
  <c r="M28" i="67"/>
  <c r="M16" i="56"/>
  <c r="C163" i="48"/>
  <c r="M26" i="67"/>
  <c r="M14" i="56"/>
  <c r="C161" i="48"/>
  <c r="M33" i="67"/>
  <c r="M21" i="56"/>
  <c r="C168" i="48"/>
  <c r="M31" i="67"/>
  <c r="M19" i="56"/>
  <c r="C166" i="48"/>
  <c r="M24" i="56"/>
  <c r="C171" i="48"/>
  <c r="M34" i="67"/>
  <c r="M31" i="56"/>
  <c r="C178" i="48"/>
  <c r="M52" i="67"/>
  <c r="M44" i="56"/>
  <c r="C196" i="48"/>
  <c r="M50" i="67"/>
  <c r="M42" i="56"/>
  <c r="M21" i="55"/>
  <c r="M48" i="67"/>
  <c r="C192" i="48"/>
  <c r="M46" i="67"/>
  <c r="M19" i="55"/>
  <c r="C190" i="48"/>
  <c r="M17" i="55"/>
  <c r="M44" i="67"/>
  <c r="C188" i="48"/>
  <c r="M42" i="67"/>
  <c r="M39" i="56"/>
  <c r="C186" i="48"/>
  <c r="M37" i="56"/>
  <c r="M40" i="67"/>
  <c r="M38" i="67"/>
  <c r="M35" i="56"/>
  <c r="C182" i="48"/>
  <c r="M36" i="67"/>
  <c r="M33" i="56"/>
  <c r="C180" i="48"/>
  <c r="M6" i="56"/>
  <c r="M6" i="55"/>
  <c r="M6" i="67"/>
  <c r="C132" i="48"/>
  <c r="M4" i="56"/>
  <c r="M4" i="55"/>
  <c r="M4" i="67"/>
  <c r="C130" i="48"/>
  <c r="M11" i="67"/>
  <c r="M11" i="55"/>
  <c r="C137" i="48"/>
  <c r="M9" i="67"/>
  <c r="M9" i="55"/>
  <c r="C135" i="48"/>
  <c r="M16" i="67"/>
  <c r="M16" i="55"/>
  <c r="C142" i="48"/>
  <c r="M14" i="67"/>
  <c r="M14" i="55"/>
  <c r="C140" i="48"/>
  <c r="M28" i="55"/>
  <c r="C151" i="48"/>
  <c r="M24" i="67"/>
  <c r="M12" i="56"/>
  <c r="C159" i="48"/>
  <c r="M29" i="67"/>
  <c r="M17" i="56"/>
  <c r="C164" i="48"/>
  <c r="M22" i="56"/>
  <c r="C169" i="48"/>
  <c r="M32" i="67"/>
  <c r="M20" i="56"/>
  <c r="C167" i="48"/>
  <c r="M30" i="56"/>
  <c r="C177" i="48"/>
  <c r="M53" i="67"/>
  <c r="M45" i="56"/>
  <c r="C197" i="48"/>
  <c r="M51" i="67"/>
  <c r="M43" i="56"/>
  <c r="C195" i="48"/>
  <c r="M49" i="67"/>
  <c r="M41" i="56"/>
  <c r="C193" i="48"/>
  <c r="M45" i="67"/>
  <c r="M18" i="55"/>
  <c r="C189" i="48"/>
  <c r="M43" i="67"/>
  <c r="M40" i="56"/>
  <c r="C187" i="48"/>
  <c r="N7" i="55"/>
  <c r="N7" i="67"/>
  <c r="D133" i="48"/>
  <c r="N5" i="55"/>
  <c r="N5" i="67"/>
  <c r="N5" i="56"/>
  <c r="D131" i="48"/>
  <c r="L4" i="67"/>
  <c r="L4" i="56"/>
  <c r="L4" i="55"/>
  <c r="B130" i="48"/>
  <c r="N10" i="55"/>
  <c r="N10" i="67"/>
  <c r="D136" i="48"/>
  <c r="N17" i="67"/>
  <c r="N31" i="55"/>
  <c r="D143" i="48"/>
  <c r="L16" i="55"/>
  <c r="L16" i="67"/>
  <c r="B142" i="48"/>
  <c r="N22" i="55"/>
  <c r="D145" i="48"/>
  <c r="L28" i="55"/>
  <c r="B151" i="48"/>
  <c r="N27" i="55"/>
  <c r="D150" i="48"/>
  <c r="N25" i="55"/>
  <c r="D148" i="48"/>
  <c r="L24" i="55"/>
  <c r="B147" i="48"/>
  <c r="L24" i="67"/>
  <c r="L12" i="56"/>
  <c r="B159" i="48"/>
  <c r="N9" i="56"/>
  <c r="N21" i="67"/>
  <c r="D156" i="48"/>
  <c r="N16" i="56"/>
  <c r="N28" i="67"/>
  <c r="D163" i="48"/>
  <c r="L15" i="56"/>
  <c r="L27" i="67"/>
  <c r="B162" i="48"/>
  <c r="N21" i="56"/>
  <c r="N33" i="67"/>
  <c r="D168" i="48"/>
  <c r="N19" i="56"/>
  <c r="N31" i="67"/>
  <c r="D166" i="48"/>
  <c r="L25" i="56"/>
  <c r="B172" i="48"/>
  <c r="L30" i="56"/>
  <c r="B177" i="48"/>
  <c r="N34" i="67"/>
  <c r="N31" i="56"/>
  <c r="D178" i="48"/>
  <c r="N52" i="67"/>
  <c r="N44" i="56"/>
  <c r="D196" i="48"/>
  <c r="L51" i="67"/>
  <c r="L43" i="56"/>
  <c r="B195" i="48"/>
  <c r="N21" i="55"/>
  <c r="N48" i="67"/>
  <c r="D192" i="48"/>
  <c r="L47" i="67"/>
  <c r="L20" i="55"/>
  <c r="B191" i="48"/>
  <c r="L45" i="67"/>
  <c r="L18" i="55"/>
  <c r="B189" i="48"/>
  <c r="N42" i="67"/>
  <c r="N39" i="56"/>
  <c r="D186" i="48"/>
  <c r="L41" i="67"/>
  <c r="L38" i="56"/>
  <c r="B185" i="48"/>
  <c r="N38" i="67"/>
  <c r="N35" i="56"/>
  <c r="D182" i="48"/>
  <c r="N36" i="67"/>
  <c r="N33" i="56"/>
  <c r="D180" i="48"/>
  <c r="N2" i="56"/>
  <c r="N2" i="55"/>
  <c r="N2" i="67"/>
  <c r="D128" i="48"/>
  <c r="L7" i="67"/>
  <c r="L7" i="55"/>
  <c r="B133" i="48"/>
  <c r="N6" i="56"/>
  <c r="N6" i="55"/>
  <c r="N6" i="67"/>
  <c r="D132" i="48"/>
  <c r="L5" i="67"/>
  <c r="L5" i="56"/>
  <c r="L5" i="55"/>
  <c r="B131" i="48"/>
  <c r="N4" i="55"/>
  <c r="N4" i="56"/>
  <c r="N4" i="67"/>
  <c r="D130" i="48"/>
  <c r="L12" i="67"/>
  <c r="L12" i="55"/>
  <c r="B138" i="48"/>
  <c r="N11" i="55"/>
  <c r="N11" i="67"/>
  <c r="D137" i="48"/>
  <c r="L10" i="67"/>
  <c r="L10" i="55"/>
  <c r="B136" i="48"/>
  <c r="N9" i="67"/>
  <c r="N9" i="55"/>
  <c r="D135" i="48"/>
  <c r="L17" i="67"/>
  <c r="L31" i="55"/>
  <c r="B143" i="48"/>
  <c r="N16" i="55"/>
  <c r="N16" i="67"/>
  <c r="D142" i="48"/>
  <c r="L15" i="67"/>
  <c r="L15" i="55"/>
  <c r="B141" i="48"/>
  <c r="N14" i="55"/>
  <c r="N14" i="67"/>
  <c r="D140" i="48"/>
  <c r="L22" i="55"/>
  <c r="B145" i="48"/>
  <c r="N28" i="55"/>
  <c r="D151" i="48"/>
  <c r="L25" i="55"/>
  <c r="B148" i="48"/>
  <c r="N24" i="55"/>
  <c r="D147" i="48"/>
  <c r="L7" i="56"/>
  <c r="L19" i="67"/>
  <c r="B154" i="48"/>
  <c r="N12" i="56"/>
  <c r="N24" i="67"/>
  <c r="D159" i="48"/>
  <c r="L11" i="56"/>
  <c r="L23" i="67"/>
  <c r="B158" i="48"/>
  <c r="N10" i="56"/>
  <c r="N22" i="67"/>
  <c r="D157" i="48"/>
  <c r="L9" i="56"/>
  <c r="L21" i="67"/>
  <c r="B156" i="48"/>
  <c r="N17" i="56"/>
  <c r="N29" i="67"/>
  <c r="D164" i="48"/>
  <c r="L16" i="56"/>
  <c r="L28" i="67"/>
  <c r="B163" i="48"/>
  <c r="N15" i="56"/>
  <c r="N27" i="67"/>
  <c r="D162" i="48"/>
  <c r="L26" i="67"/>
  <c r="L14" i="56"/>
  <c r="B161" i="48"/>
  <c r="N22" i="56"/>
  <c r="D169" i="48"/>
  <c r="L33" i="67"/>
  <c r="L21" i="56"/>
  <c r="B168" i="48"/>
  <c r="N20" i="56"/>
  <c r="N32" i="67"/>
  <c r="D167" i="48"/>
  <c r="L19" i="56"/>
  <c r="L31" i="67"/>
  <c r="B166" i="48"/>
  <c r="N27" i="56"/>
  <c r="D174" i="48"/>
  <c r="N25" i="56"/>
  <c r="D172" i="48"/>
  <c r="L24" i="56"/>
  <c r="B171" i="48"/>
  <c r="N30" i="56"/>
  <c r="D177" i="48"/>
  <c r="N28" i="56"/>
  <c r="D175" i="48"/>
  <c r="L34" i="67"/>
  <c r="L31" i="56"/>
  <c r="B178" i="48"/>
  <c r="N45" i="56"/>
  <c r="N53" i="67"/>
  <c r="D197" i="48"/>
  <c r="L52" i="67"/>
  <c r="L44" i="56"/>
  <c r="B196" i="48"/>
  <c r="N51" i="67"/>
  <c r="N43" i="56"/>
  <c r="D195" i="48"/>
  <c r="L50" i="67"/>
  <c r="L42" i="56"/>
  <c r="N41" i="56"/>
  <c r="N49" i="67"/>
  <c r="D193" i="48"/>
  <c r="L48" i="67"/>
  <c r="L21" i="55"/>
  <c r="B192" i="48"/>
  <c r="N47" i="67"/>
  <c r="N20" i="55"/>
  <c r="D191" i="48"/>
  <c r="L19" i="55"/>
  <c r="L46" i="67"/>
  <c r="B190" i="48"/>
  <c r="N45" i="67"/>
  <c r="N18" i="55"/>
  <c r="D189" i="48"/>
  <c r="L44" i="67"/>
  <c r="L17" i="55"/>
  <c r="B188" i="48"/>
  <c r="N43" i="67"/>
  <c r="N40" i="56"/>
  <c r="D187" i="48"/>
  <c r="L39" i="56"/>
  <c r="L42" i="67"/>
  <c r="B186" i="48"/>
  <c r="N38" i="56"/>
  <c r="N41" i="67"/>
  <c r="D185" i="48"/>
  <c r="L40" i="67"/>
  <c r="L37" i="56"/>
  <c r="N39" i="67"/>
  <c r="N36" i="56"/>
  <c r="D183" i="48"/>
  <c r="L38" i="67"/>
  <c r="L35" i="56"/>
  <c r="B182" i="48"/>
  <c r="N34" i="56"/>
  <c r="N37" i="67"/>
  <c r="D181" i="48"/>
  <c r="L33" i="56"/>
  <c r="L36" i="67"/>
  <c r="B180" i="48"/>
  <c r="L27" i="55"/>
  <c r="B150" i="48"/>
  <c r="D126" i="15"/>
  <c r="H74" i="15" l="1"/>
  <c r="T2" i="39"/>
  <c r="S2" i="39"/>
  <c r="R2" i="39"/>
  <c r="L67" i="15" s="1"/>
  <c r="Q2" i="39"/>
  <c r="T2" i="38"/>
  <c r="S2" i="38"/>
  <c r="R2" i="38"/>
  <c r="H67" i="15" s="1"/>
  <c r="Q2" i="38"/>
  <c r="T2" i="37"/>
  <c r="S2" i="37"/>
  <c r="R2" i="37"/>
  <c r="D67" i="15" s="1"/>
  <c r="Q2" i="37"/>
  <c r="T2" i="40"/>
  <c r="S2" i="40"/>
  <c r="R2" i="40"/>
  <c r="D60" i="15" s="1"/>
  <c r="Q2" i="40"/>
  <c r="T2" i="34"/>
  <c r="S2" i="34"/>
  <c r="R2" i="34"/>
  <c r="L53" i="15" s="1"/>
  <c r="Q2" i="34"/>
  <c r="T2" i="33"/>
  <c r="S2" i="33"/>
  <c r="R2" i="33"/>
  <c r="H53" i="15" s="1"/>
  <c r="Q2" i="33"/>
  <c r="T2" i="32"/>
  <c r="S2" i="32"/>
  <c r="R2" i="32"/>
  <c r="D53" i="15" s="1"/>
  <c r="Q2" i="32"/>
  <c r="R2" i="54"/>
  <c r="L88" i="15" s="1"/>
  <c r="Q2" i="54"/>
  <c r="L87" i="15" s="1"/>
  <c r="T2" i="53"/>
  <c r="S2" i="53"/>
  <c r="R2" i="53"/>
  <c r="H88" i="15" s="1"/>
  <c r="Q2" i="53"/>
  <c r="H87" i="15" s="1"/>
  <c r="T2" i="52"/>
  <c r="S2" i="52"/>
  <c r="R2" i="52"/>
  <c r="D88" i="15" s="1"/>
  <c r="Q2" i="52"/>
  <c r="D87" i="15" s="1"/>
  <c r="T2" i="51"/>
  <c r="S2" i="51"/>
  <c r="R2" i="51"/>
  <c r="L95" i="15" s="1"/>
  <c r="Q2" i="51"/>
  <c r="L94" i="15" s="1"/>
  <c r="T2" i="50"/>
  <c r="S2" i="50"/>
  <c r="R2" i="50"/>
  <c r="H95" i="15" s="1"/>
  <c r="Q2" i="50"/>
  <c r="H94" i="15" s="1"/>
  <c r="T2" i="49"/>
  <c r="S2" i="49"/>
  <c r="R2" i="49"/>
  <c r="D95" i="15" s="1"/>
  <c r="Q2" i="49"/>
  <c r="D94" i="15" s="1"/>
  <c r="T2" i="43"/>
  <c r="L76" i="15" s="1"/>
  <c r="S2" i="43"/>
  <c r="L75" i="15" s="1"/>
  <c r="R2" i="43"/>
  <c r="L74" i="15" s="1"/>
  <c r="Q2" i="43"/>
  <c r="L73" i="15" s="1"/>
  <c r="T2" i="42"/>
  <c r="H76" i="15" s="1"/>
  <c r="S2" i="42"/>
  <c r="H75" i="15" s="1"/>
  <c r="R2" i="42"/>
  <c r="Q2" i="42"/>
  <c r="H73" i="15" s="1"/>
  <c r="T2" i="41"/>
  <c r="D76" i="15" s="1"/>
  <c r="S2" i="41"/>
  <c r="D75" i="15" s="1"/>
  <c r="R2" i="41"/>
  <c r="D74" i="15" s="1"/>
  <c r="Q2" i="41"/>
  <c r="D73" i="15" s="1"/>
  <c r="T2" i="44"/>
  <c r="S2" i="44"/>
  <c r="R2" i="44"/>
  <c r="Q2" i="44"/>
  <c r="D80" i="15" s="1"/>
  <c r="T2" i="35"/>
  <c r="S2" i="35"/>
  <c r="R2" i="35"/>
  <c r="D46" i="15" s="1"/>
  <c r="Q2" i="35"/>
  <c r="T2" i="31"/>
  <c r="L40" i="15" s="1"/>
  <c r="S2" i="31"/>
  <c r="L39" i="15" s="1"/>
  <c r="R2" i="31"/>
  <c r="L38" i="15" s="1"/>
  <c r="Q2" i="31"/>
  <c r="L37" i="15" s="1"/>
  <c r="T2" i="30"/>
  <c r="H40" i="15" s="1"/>
  <c r="S2" i="30"/>
  <c r="H39" i="15" s="1"/>
  <c r="R2" i="30"/>
  <c r="H38" i="15" s="1"/>
  <c r="Q2" i="30"/>
  <c r="H37" i="15" s="1"/>
  <c r="T2" i="77"/>
  <c r="D40" i="15" s="1"/>
  <c r="S2" i="77"/>
  <c r="D39" i="15" s="1"/>
  <c r="R2" i="77"/>
  <c r="D38" i="15" s="1"/>
  <c r="Q2" i="77"/>
  <c r="D37" i="15" s="1"/>
  <c r="T2" i="29"/>
  <c r="L33" i="15" s="1"/>
  <c r="S2" i="29"/>
  <c r="L32" i="15" s="1"/>
  <c r="R2" i="29"/>
  <c r="L31" i="15" s="1"/>
  <c r="Q2" i="29"/>
  <c r="L30" i="15" s="1"/>
  <c r="T2" i="27"/>
  <c r="H33" i="15" s="1"/>
  <c r="S2" i="27"/>
  <c r="H32" i="15" s="1"/>
  <c r="R2" i="27"/>
  <c r="H31" i="15" s="1"/>
  <c r="Q2" i="27"/>
  <c r="H30" i="15" s="1"/>
  <c r="T2" i="76"/>
  <c r="D33" i="15" s="1"/>
  <c r="S2" i="76"/>
  <c r="D32" i="15" s="1"/>
  <c r="R2" i="76"/>
  <c r="D31" i="15" s="1"/>
  <c r="Q2" i="76"/>
  <c r="D30" i="15" s="1"/>
  <c r="AB114" i="48"/>
  <c r="AE114" i="48"/>
  <c r="S73" i="74" l="1"/>
  <c r="BI117" i="48" s="1"/>
  <c r="S87" i="74"/>
  <c r="BI294" i="48" s="1"/>
  <c r="S85" i="74"/>
  <c r="S86" i="74" s="1"/>
  <c r="BI289" i="48" s="1"/>
  <c r="S71" i="74"/>
  <c r="S70" i="74"/>
  <c r="S66" i="74"/>
  <c r="S65" i="74"/>
  <c r="S64" i="74"/>
  <c r="S63" i="74"/>
  <c r="S61" i="74"/>
  <c r="BI75" i="48" s="1"/>
  <c r="S60" i="74"/>
  <c r="BI74" i="48" s="1"/>
  <c r="S47" i="74"/>
  <c r="BI269" i="48" s="1"/>
  <c r="S35" i="74"/>
  <c r="BI56" i="48" s="1"/>
  <c r="S34" i="74"/>
  <c r="BI55" i="48" s="1"/>
  <c r="S33" i="74"/>
  <c r="BI54" i="48" s="1"/>
  <c r="S32" i="74"/>
  <c r="BI53" i="48" s="1"/>
  <c r="S31" i="74"/>
  <c r="S30" i="74"/>
  <c r="S22" i="74"/>
  <c r="BI43" i="48" s="1"/>
  <c r="S21" i="74"/>
  <c r="BI42" i="48" s="1"/>
  <c r="S20" i="74"/>
  <c r="BI41" i="48" s="1"/>
  <c r="S19" i="74"/>
  <c r="BI40" i="48" s="1"/>
  <c r="S17" i="74"/>
  <c r="BI38" i="48" s="1"/>
  <c r="S9" i="74"/>
  <c r="S69" i="74" s="1"/>
  <c r="BI85" i="48" s="1"/>
  <c r="S8" i="74"/>
  <c r="BI20" i="48" s="1"/>
  <c r="S7" i="74"/>
  <c r="S67" i="74" s="1"/>
  <c r="BI83" i="48" s="1"/>
  <c r="T2" i="74"/>
  <c r="L114" i="15" s="1"/>
  <c r="S2" i="74"/>
  <c r="L113" i="15" s="1"/>
  <c r="R2" i="74"/>
  <c r="L112" i="15" s="1"/>
  <c r="Q2" i="74"/>
  <c r="L111" i="15" s="1"/>
  <c r="BH294" i="48"/>
  <c r="S86" i="73"/>
  <c r="BH289" i="48" s="1"/>
  <c r="S82" i="73"/>
  <c r="S71" i="73"/>
  <c r="S70" i="73"/>
  <c r="S66" i="73"/>
  <c r="S65" i="73"/>
  <c r="S64" i="73"/>
  <c r="S63" i="73"/>
  <c r="BH75" i="48"/>
  <c r="BH74" i="48"/>
  <c r="BH269" i="48"/>
  <c r="BH267" i="48"/>
  <c r="BH56" i="48"/>
  <c r="BH55" i="48"/>
  <c r="BH54" i="48"/>
  <c r="BH53" i="48"/>
  <c r="BH52" i="48"/>
  <c r="BH51" i="48"/>
  <c r="BH43" i="48"/>
  <c r="BH42" i="48"/>
  <c r="BH41" i="48"/>
  <c r="BH40" i="48"/>
  <c r="BH39" i="48"/>
  <c r="BH38" i="48"/>
  <c r="S81" i="73"/>
  <c r="BH108" i="48" s="1"/>
  <c r="S80" i="73"/>
  <c r="BH107" i="48" s="1"/>
  <c r="S79" i="73"/>
  <c r="BH106" i="48" s="1"/>
  <c r="T2" i="73"/>
  <c r="H114" i="15" s="1"/>
  <c r="S2" i="73"/>
  <c r="H113" i="15" s="1"/>
  <c r="R2" i="73"/>
  <c r="H112" i="15" s="1"/>
  <c r="Q2" i="73"/>
  <c r="H111" i="15" s="1"/>
  <c r="S73" i="72"/>
  <c r="BF117" i="48" s="1"/>
  <c r="S87" i="72"/>
  <c r="BF294" i="48" s="1"/>
  <c r="S85" i="72"/>
  <c r="S86" i="72" s="1"/>
  <c r="BF289" i="48" s="1"/>
  <c r="S71" i="72"/>
  <c r="S70" i="72"/>
  <c r="S66" i="72"/>
  <c r="S65" i="72"/>
  <c r="S64" i="72"/>
  <c r="S63" i="72"/>
  <c r="S61" i="72"/>
  <c r="BF75" i="48" s="1"/>
  <c r="S60" i="72"/>
  <c r="BF74" i="48" s="1"/>
  <c r="S47" i="72"/>
  <c r="BF269" i="48" s="1"/>
  <c r="S35" i="72"/>
  <c r="BF56" i="48" s="1"/>
  <c r="S34" i="72"/>
  <c r="BF55" i="48" s="1"/>
  <c r="S33" i="72"/>
  <c r="BF54" i="48" s="1"/>
  <c r="S32" i="72"/>
  <c r="BF53" i="48" s="1"/>
  <c r="S31" i="72"/>
  <c r="S30" i="72"/>
  <c r="S22" i="72"/>
  <c r="BF43" i="48" s="1"/>
  <c r="S21" i="72"/>
  <c r="BF42" i="48" s="1"/>
  <c r="S20" i="72"/>
  <c r="BF41" i="48" s="1"/>
  <c r="S19" i="72"/>
  <c r="BF40" i="48" s="1"/>
  <c r="S18" i="72"/>
  <c r="BF39" i="48" s="1"/>
  <c r="S17" i="72"/>
  <c r="BF38" i="48" s="1"/>
  <c r="S9" i="72"/>
  <c r="BF21" i="48" s="1"/>
  <c r="S8" i="72"/>
  <c r="BF20" i="48" s="1"/>
  <c r="S7" i="72"/>
  <c r="BF19" i="48" s="1"/>
  <c r="T2" i="72"/>
  <c r="L104" i="15" s="1"/>
  <c r="S2" i="72"/>
  <c r="L103" i="15" s="1"/>
  <c r="R2" i="72"/>
  <c r="L102" i="15" s="1"/>
  <c r="Q2" i="72"/>
  <c r="L101" i="15" s="1"/>
  <c r="S87" i="71"/>
  <c r="BE294" i="48" s="1"/>
  <c r="S85" i="71"/>
  <c r="S86" i="71" s="1"/>
  <c r="BE289" i="48" s="1"/>
  <c r="S83" i="71"/>
  <c r="S82" i="71"/>
  <c r="S71" i="71"/>
  <c r="S70" i="71"/>
  <c r="S66" i="71"/>
  <c r="S65" i="71"/>
  <c r="S64" i="71"/>
  <c r="S63" i="71"/>
  <c r="S61" i="71"/>
  <c r="BE75" i="48" s="1"/>
  <c r="S60" i="71"/>
  <c r="BE74" i="48" s="1"/>
  <c r="S47" i="71"/>
  <c r="BE269" i="48" s="1"/>
  <c r="BE267" i="48"/>
  <c r="BE266" i="48"/>
  <c r="BE56" i="48"/>
  <c r="BE55" i="48"/>
  <c r="BE54" i="48"/>
  <c r="BE53" i="48"/>
  <c r="BE52" i="48"/>
  <c r="BE51" i="48"/>
  <c r="BE43" i="48"/>
  <c r="BE42" i="48"/>
  <c r="BE41" i="48"/>
  <c r="BE40" i="48"/>
  <c r="BE39" i="48"/>
  <c r="BE38" i="48"/>
  <c r="S81" i="71"/>
  <c r="BE108" i="48" s="1"/>
  <c r="S80" i="71"/>
  <c r="BE107" i="48" s="1"/>
  <c r="S79" i="71"/>
  <c r="BE106" i="48" s="1"/>
  <c r="T2" i="71"/>
  <c r="H104" i="15" s="1"/>
  <c r="S2" i="71"/>
  <c r="H103" i="15" s="1"/>
  <c r="R2" i="71"/>
  <c r="H102" i="15" s="1"/>
  <c r="Q2" i="71"/>
  <c r="H101" i="15" s="1"/>
  <c r="T2" i="69"/>
  <c r="D104" i="15" s="1"/>
  <c r="S2" i="69"/>
  <c r="D103" i="15" s="1"/>
  <c r="R2" i="69"/>
  <c r="D102" i="15" s="1"/>
  <c r="Q2" i="69"/>
  <c r="D101" i="15" s="1"/>
  <c r="T2" i="70"/>
  <c r="D114" i="15" s="1"/>
  <c r="S2" i="70"/>
  <c r="D113" i="15" s="1"/>
  <c r="R2" i="70"/>
  <c r="D112" i="15" s="1"/>
  <c r="Q2" i="70"/>
  <c r="D111" i="15" s="1"/>
  <c r="BF52" i="48" l="1"/>
  <c r="S44" i="72"/>
  <c r="BF267" i="48" s="1"/>
  <c r="BI52" i="48"/>
  <c r="S44" i="74"/>
  <c r="BI267" i="48" s="1"/>
  <c r="BF51" i="48"/>
  <c r="S43" i="72"/>
  <c r="BF266" i="48" s="1"/>
  <c r="BI51" i="48"/>
  <c r="S43" i="74"/>
  <c r="BI266" i="48" s="1"/>
  <c r="S46" i="73"/>
  <c r="BH268" i="48" s="1"/>
  <c r="BI21" i="48"/>
  <c r="BI283" i="48"/>
  <c r="BI19" i="48"/>
  <c r="BH266" i="48"/>
  <c r="BH21" i="48"/>
  <c r="BH19" i="48"/>
  <c r="BH20" i="48"/>
  <c r="BH283" i="48"/>
  <c r="BF283" i="48"/>
  <c r="BE19" i="48"/>
  <c r="BE283" i="48"/>
  <c r="BE21" i="48"/>
  <c r="BE20" i="48"/>
  <c r="S57" i="74"/>
  <c r="BI66" i="48" s="1"/>
  <c r="S46" i="74"/>
  <c r="BI268" i="48" s="1"/>
  <c r="S59" i="74"/>
  <c r="BI73" i="48" s="1"/>
  <c r="S68" i="74"/>
  <c r="BI84" i="48" s="1"/>
  <c r="S59" i="73"/>
  <c r="BH73" i="48" s="1"/>
  <c r="S68" i="73"/>
  <c r="BH84" i="48" s="1"/>
  <c r="S73" i="73"/>
  <c r="BH117" i="48" s="1"/>
  <c r="S57" i="73"/>
  <c r="BH66" i="48" s="1"/>
  <c r="S67" i="73"/>
  <c r="BH83" i="48" s="1"/>
  <c r="S69" i="73"/>
  <c r="BH85" i="48" s="1"/>
  <c r="S53" i="72"/>
  <c r="BF62" i="48" s="1"/>
  <c r="S46" i="72"/>
  <c r="BF268" i="48" s="1"/>
  <c r="S57" i="72"/>
  <c r="BF66" i="48" s="1"/>
  <c r="S59" i="72"/>
  <c r="BF73" i="48" s="1"/>
  <c r="S68" i="72"/>
  <c r="BF84" i="48" s="1"/>
  <c r="S58" i="72"/>
  <c r="BF70" i="48" s="1"/>
  <c r="S67" i="72"/>
  <c r="BF83" i="48" s="1"/>
  <c r="S69" i="72"/>
  <c r="BF85" i="48" s="1"/>
  <c r="S46" i="71"/>
  <c r="BE268" i="48" s="1"/>
  <c r="S58" i="71"/>
  <c r="BE70" i="48" s="1"/>
  <c r="S53" i="71"/>
  <c r="BE62" i="48" s="1"/>
  <c r="S57" i="71"/>
  <c r="BE66" i="48" s="1"/>
  <c r="S59" i="71"/>
  <c r="BE73" i="48" s="1"/>
  <c r="S68" i="71"/>
  <c r="BE84" i="48" s="1"/>
  <c r="S73" i="71"/>
  <c r="BE117" i="48" s="1"/>
  <c r="S67" i="71"/>
  <c r="BE83" i="48" s="1"/>
  <c r="S69" i="71"/>
  <c r="BE85" i="48" s="1"/>
  <c r="T2" i="21"/>
  <c r="L26" i="15" s="1"/>
  <c r="S2" i="21"/>
  <c r="L25" i="15" s="1"/>
  <c r="R2" i="21"/>
  <c r="L24" i="15" s="1"/>
  <c r="Q2" i="21"/>
  <c r="L23" i="15" s="1"/>
  <c r="T2" i="20"/>
  <c r="H26" i="15" s="1"/>
  <c r="S2" i="20"/>
  <c r="H25" i="15" s="1"/>
  <c r="R2" i="20"/>
  <c r="H24" i="15" s="1"/>
  <c r="Q2" i="20"/>
  <c r="H23" i="15" s="1"/>
  <c r="T2" i="19"/>
  <c r="D26" i="15" s="1"/>
  <c r="S2" i="19"/>
  <c r="D25" i="15" s="1"/>
  <c r="R2" i="19"/>
  <c r="D24" i="15" s="1"/>
  <c r="Q2" i="19"/>
  <c r="D23" i="15" s="1"/>
  <c r="T2" i="18"/>
  <c r="L19" i="15" s="1"/>
  <c r="S2" i="18"/>
  <c r="L18" i="15" s="1"/>
  <c r="R2" i="18"/>
  <c r="L17" i="15" s="1"/>
  <c r="Q2" i="18"/>
  <c r="L16" i="15" s="1"/>
  <c r="T2" i="17"/>
  <c r="H19" i="15" s="1"/>
  <c r="S2" i="17"/>
  <c r="H18" i="15" s="1"/>
  <c r="R2" i="17"/>
  <c r="H17" i="15" s="1"/>
  <c r="Q2" i="17"/>
  <c r="H16" i="15" s="1"/>
  <c r="T2" i="2"/>
  <c r="D19" i="15" s="1"/>
  <c r="S2" i="2"/>
  <c r="D18" i="15" s="1"/>
  <c r="R2" i="2"/>
  <c r="D17" i="15" s="1"/>
  <c r="Q2" i="2"/>
  <c r="D16" i="15" s="1"/>
  <c r="T2" i="26"/>
  <c r="L12" i="15" s="1"/>
  <c r="S2" i="26"/>
  <c r="L11" i="15" s="1"/>
  <c r="R2" i="26"/>
  <c r="L10" i="15" s="1"/>
  <c r="Q2" i="26"/>
  <c r="L9" i="15" s="1"/>
  <c r="T2" i="23"/>
  <c r="H12" i="15" s="1"/>
  <c r="S2" i="23"/>
  <c r="H11" i="15" s="1"/>
  <c r="R2" i="23"/>
  <c r="H10" i="15" s="1"/>
  <c r="Q2" i="23"/>
  <c r="H9" i="15" s="1"/>
  <c r="T2" i="25"/>
  <c r="L5" i="15" s="1"/>
  <c r="S2" i="25"/>
  <c r="L4" i="15" s="1"/>
  <c r="R2" i="25"/>
  <c r="L3" i="15" s="1"/>
  <c r="Q2" i="25"/>
  <c r="L2" i="15" s="1"/>
  <c r="T2" i="22"/>
  <c r="H5" i="15" s="1"/>
  <c r="S2" i="22"/>
  <c r="H4" i="15" s="1"/>
  <c r="R2" i="22"/>
  <c r="H3" i="15" s="1"/>
  <c r="Q2" i="22"/>
  <c r="H2" i="15" s="1"/>
  <c r="T2" i="24"/>
  <c r="S2" i="24"/>
  <c r="D4" i="15" s="1"/>
  <c r="R2" i="24"/>
  <c r="Q2" i="24"/>
  <c r="D2" i="15" s="1"/>
  <c r="M30" i="9"/>
  <c r="L21" i="9"/>
  <c r="L23" i="9"/>
  <c r="S60" i="69"/>
  <c r="BD74" i="48" s="1"/>
  <c r="S61" i="69"/>
  <c r="BD75" i="48" s="1"/>
  <c r="S87" i="69"/>
  <c r="BD294" i="48" s="1"/>
  <c r="S85" i="69"/>
  <c r="S83" i="69"/>
  <c r="S82" i="69"/>
  <c r="S78" i="69"/>
  <c r="S77" i="69"/>
  <c r="S76" i="69"/>
  <c r="S75" i="69"/>
  <c r="S71" i="69"/>
  <c r="S70" i="69"/>
  <c r="S66" i="69"/>
  <c r="S65" i="69"/>
  <c r="S64" i="69"/>
  <c r="S63" i="69"/>
  <c r="S47" i="69"/>
  <c r="BD269" i="48" s="1"/>
  <c r="S35" i="69"/>
  <c r="BD56" i="48" s="1"/>
  <c r="S34" i="69"/>
  <c r="BD55" i="48" s="1"/>
  <c r="S33" i="69"/>
  <c r="BD54" i="48" s="1"/>
  <c r="S32" i="69"/>
  <c r="BD53" i="48" s="1"/>
  <c r="S31" i="69"/>
  <c r="S30" i="69"/>
  <c r="S22" i="69"/>
  <c r="BD43" i="48" s="1"/>
  <c r="S21" i="69"/>
  <c r="BD42" i="48" s="1"/>
  <c r="S20" i="69"/>
  <c r="BD41" i="48" s="1"/>
  <c r="S19" i="69"/>
  <c r="BD40" i="48" s="1"/>
  <c r="S18" i="69"/>
  <c r="BD39" i="48" s="1"/>
  <c r="S17" i="69"/>
  <c r="BD38" i="48" s="1"/>
  <c r="S9" i="69"/>
  <c r="BD21" i="48" s="1"/>
  <c r="S8" i="69"/>
  <c r="BD20" i="48" s="1"/>
  <c r="S7" i="69"/>
  <c r="BD19" i="48" s="1"/>
  <c r="S87" i="70"/>
  <c r="BG294" i="48" s="1"/>
  <c r="S85" i="70"/>
  <c r="BG283" i="48" s="1"/>
  <c r="S47" i="70"/>
  <c r="BG269" i="48" s="1"/>
  <c r="S17" i="70"/>
  <c r="BG38" i="48" s="1"/>
  <c r="S33" i="70"/>
  <c r="BG54" i="48" s="1"/>
  <c r="S31" i="70"/>
  <c r="S30" i="70"/>
  <c r="S35" i="70"/>
  <c r="BG56" i="48" s="1"/>
  <c r="S34" i="70"/>
  <c r="BG55" i="48" s="1"/>
  <c r="S32" i="70"/>
  <c r="BG53" i="48" s="1"/>
  <c r="S22" i="70"/>
  <c r="BG43" i="48" s="1"/>
  <c r="S21" i="70"/>
  <c r="BG42" i="48" s="1"/>
  <c r="S19" i="70"/>
  <c r="BG40" i="48" s="1"/>
  <c r="S61" i="70"/>
  <c r="BG75" i="48" s="1"/>
  <c r="S60" i="70"/>
  <c r="BG74" i="48" s="1"/>
  <c r="S9" i="70"/>
  <c r="S8" i="70"/>
  <c r="S7" i="70"/>
  <c r="S83" i="70"/>
  <c r="S77" i="70"/>
  <c r="S75" i="70"/>
  <c r="S71" i="70"/>
  <c r="S65" i="70"/>
  <c r="S63" i="70"/>
  <c r="S82" i="70"/>
  <c r="S78" i="70"/>
  <c r="S76" i="70"/>
  <c r="AX109" i="48"/>
  <c r="S75" i="54"/>
  <c r="BB117" i="48" s="1"/>
  <c r="S69" i="51"/>
  <c r="AY117" i="48" s="1"/>
  <c r="S23" i="54"/>
  <c r="BB44" i="48" s="1"/>
  <c r="S22" i="54"/>
  <c r="S21" i="54"/>
  <c r="BB42" i="48" s="1"/>
  <c r="S20" i="54"/>
  <c r="S19" i="54"/>
  <c r="S18" i="54"/>
  <c r="S17" i="54"/>
  <c r="BB38" i="48" s="1"/>
  <c r="S16" i="54"/>
  <c r="S15" i="54"/>
  <c r="S14" i="54"/>
  <c r="S13" i="54"/>
  <c r="S72" i="54"/>
  <c r="BB86" i="48" s="1"/>
  <c r="S71" i="54"/>
  <c r="BB85" i="48" s="1"/>
  <c r="S68" i="54"/>
  <c r="S66" i="54"/>
  <c r="BA46" i="48"/>
  <c r="BA44" i="48"/>
  <c r="BA42" i="48"/>
  <c r="BA40" i="48"/>
  <c r="BA38" i="48"/>
  <c r="S71" i="53"/>
  <c r="BA87" i="48" s="1"/>
  <c r="S69" i="53"/>
  <c r="BA85" i="48" s="1"/>
  <c r="S80" i="53"/>
  <c r="BA107" i="48" s="1"/>
  <c r="S44" i="52"/>
  <c r="S43" i="52"/>
  <c r="S42" i="52"/>
  <c r="S41" i="52"/>
  <c r="S40" i="52"/>
  <c r="S38" i="52"/>
  <c r="S37" i="52"/>
  <c r="S36" i="52"/>
  <c r="S35" i="52"/>
  <c r="S34" i="52"/>
  <c r="S33" i="52"/>
  <c r="S32" i="52"/>
  <c r="S31" i="52"/>
  <c r="S30" i="52"/>
  <c r="S29" i="52"/>
  <c r="S28" i="52"/>
  <c r="S27" i="52"/>
  <c r="S26" i="52"/>
  <c r="S25" i="52"/>
  <c r="AZ46" i="48" s="1"/>
  <c r="S24" i="52"/>
  <c r="S23" i="52"/>
  <c r="AZ44" i="48" s="1"/>
  <c r="S22" i="52"/>
  <c r="S21" i="52"/>
  <c r="AZ42" i="48" s="1"/>
  <c r="S20" i="52"/>
  <c r="S19" i="52"/>
  <c r="AZ40" i="48" s="1"/>
  <c r="S18" i="52"/>
  <c r="S17" i="52"/>
  <c r="AZ38" i="48" s="1"/>
  <c r="S16" i="52"/>
  <c r="S15" i="52"/>
  <c r="S14" i="52"/>
  <c r="S13" i="52"/>
  <c r="S11" i="52"/>
  <c r="S83" i="52" s="1"/>
  <c r="AZ96" i="48" s="1"/>
  <c r="S10" i="52"/>
  <c r="S82" i="52" s="1"/>
  <c r="AZ95" i="48" s="1"/>
  <c r="S9" i="52"/>
  <c r="S69" i="52" s="1"/>
  <c r="AZ85" i="48" s="1"/>
  <c r="S8" i="52"/>
  <c r="S68" i="52" s="1"/>
  <c r="AZ84" i="48" s="1"/>
  <c r="S7" i="52"/>
  <c r="S6" i="52"/>
  <c r="S78" i="52" s="1"/>
  <c r="S5" i="52"/>
  <c r="S65" i="52" s="1"/>
  <c r="S4" i="52"/>
  <c r="S76" i="52" s="1"/>
  <c r="S3" i="52"/>
  <c r="S75" i="52" s="1"/>
  <c r="S34" i="51"/>
  <c r="S33" i="51"/>
  <c r="S32" i="51"/>
  <c r="S31" i="51"/>
  <c r="S30" i="51"/>
  <c r="S29" i="51"/>
  <c r="S28" i="51"/>
  <c r="S27" i="51"/>
  <c r="S26" i="51"/>
  <c r="S25" i="51"/>
  <c r="AY46" i="48" s="1"/>
  <c r="S24" i="51"/>
  <c r="S23" i="51"/>
  <c r="AY44" i="48" s="1"/>
  <c r="S22" i="51"/>
  <c r="S21" i="51"/>
  <c r="AY42" i="48" s="1"/>
  <c r="S20" i="51"/>
  <c r="S19" i="51"/>
  <c r="AY40" i="48" s="1"/>
  <c r="S18" i="51"/>
  <c r="S17" i="51"/>
  <c r="AY38" i="48" s="1"/>
  <c r="S16" i="51"/>
  <c r="S15" i="51"/>
  <c r="S14" i="51"/>
  <c r="S13" i="51"/>
  <c r="S11" i="51"/>
  <c r="S10" i="51"/>
  <c r="S9" i="51"/>
  <c r="S8" i="51"/>
  <c r="S7" i="51"/>
  <c r="S6" i="51"/>
  <c r="S5" i="51"/>
  <c r="S4" i="51"/>
  <c r="S3" i="51"/>
  <c r="AX46" i="48"/>
  <c r="AX44" i="48"/>
  <c r="AX42" i="48"/>
  <c r="AX40" i="48"/>
  <c r="AX38" i="48"/>
  <c r="S81" i="50"/>
  <c r="AX108" i="48" s="1"/>
  <c r="S80" i="50"/>
  <c r="AX107" i="48" s="1"/>
  <c r="S11" i="49"/>
  <c r="S10" i="49"/>
  <c r="S82" i="49" s="1"/>
  <c r="AW95" i="48" s="1"/>
  <c r="S9" i="49"/>
  <c r="S8" i="49"/>
  <c r="S80" i="49" s="1"/>
  <c r="AW93" i="48" s="1"/>
  <c r="S7" i="49"/>
  <c r="S44" i="49"/>
  <c r="S43" i="49"/>
  <c r="S42" i="49"/>
  <c r="S41" i="49"/>
  <c r="S40" i="49"/>
  <c r="S38" i="49"/>
  <c r="S37" i="49"/>
  <c r="S36" i="49"/>
  <c r="S35" i="49"/>
  <c r="S34" i="49"/>
  <c r="S33" i="49"/>
  <c r="S32" i="49"/>
  <c r="S31" i="49"/>
  <c r="S30" i="49"/>
  <c r="S29" i="49"/>
  <c r="S28" i="49"/>
  <c r="S27" i="49"/>
  <c r="S26" i="49"/>
  <c r="S25" i="49"/>
  <c r="AW46" i="48" s="1"/>
  <c r="S24" i="49"/>
  <c r="S23" i="49"/>
  <c r="AW44" i="48" s="1"/>
  <c r="S22" i="49"/>
  <c r="S21" i="49"/>
  <c r="AW42" i="48" s="1"/>
  <c r="S20" i="49"/>
  <c r="S19" i="49"/>
  <c r="AW40" i="48" s="1"/>
  <c r="S18" i="49"/>
  <c r="S17" i="49"/>
  <c r="AW38" i="48" s="1"/>
  <c r="S16" i="49"/>
  <c r="S15" i="49"/>
  <c r="S14" i="49"/>
  <c r="S13" i="49"/>
  <c r="S6" i="49"/>
  <c r="S78" i="49" s="1"/>
  <c r="S5" i="49"/>
  <c r="S4" i="49"/>
  <c r="S76" i="49" s="1"/>
  <c r="S3" i="49"/>
  <c r="BD52" i="48" l="1"/>
  <c r="S44" i="69"/>
  <c r="BD267" i="48" s="1"/>
  <c r="BG51" i="48"/>
  <c r="S43" i="70"/>
  <c r="BG266" i="48" s="1"/>
  <c r="BG52" i="48"/>
  <c r="S44" i="70"/>
  <c r="BG267" i="48" s="1"/>
  <c r="BD51" i="48"/>
  <c r="S43" i="69"/>
  <c r="BD266" i="48" s="1"/>
  <c r="S83" i="50"/>
  <c r="AX110" i="48" s="1"/>
  <c r="S63" i="52"/>
  <c r="S66" i="52"/>
  <c r="S77" i="52"/>
  <c r="S47" i="49"/>
  <c r="S47" i="52"/>
  <c r="S68" i="53"/>
  <c r="BA84" i="48" s="1"/>
  <c r="S79" i="50"/>
  <c r="AX106" i="48" s="1"/>
  <c r="S64" i="52"/>
  <c r="S53" i="52"/>
  <c r="AZ62" i="48" s="1"/>
  <c r="S70" i="52"/>
  <c r="AZ86" i="48" s="1"/>
  <c r="S71" i="52"/>
  <c r="AZ87" i="48" s="1"/>
  <c r="S67" i="52"/>
  <c r="AZ83" i="48" s="1"/>
  <c r="S83" i="53"/>
  <c r="BA110" i="48" s="1"/>
  <c r="S59" i="53"/>
  <c r="S80" i="69"/>
  <c r="BD93" i="48" s="1"/>
  <c r="S81" i="70"/>
  <c r="BG21" i="48"/>
  <c r="S67" i="70"/>
  <c r="BG83" i="48" s="1"/>
  <c r="BG19" i="48"/>
  <c r="S80" i="70"/>
  <c r="BG20" i="48"/>
  <c r="S86" i="70"/>
  <c r="BG289" i="48" s="1"/>
  <c r="S58" i="69"/>
  <c r="BD70" i="48" s="1"/>
  <c r="S73" i="69"/>
  <c r="BD117" i="48" s="1"/>
  <c r="S68" i="69"/>
  <c r="BD84" i="48" s="1"/>
  <c r="S53" i="69"/>
  <c r="BD62" i="48" s="1"/>
  <c r="S67" i="69"/>
  <c r="BD83" i="48" s="1"/>
  <c r="S79" i="69"/>
  <c r="S57" i="69"/>
  <c r="BD66" i="48" s="1"/>
  <c r="S69" i="69"/>
  <c r="BD85" i="48" s="1"/>
  <c r="S81" i="69"/>
  <c r="S86" i="69"/>
  <c r="BD289" i="48" s="1"/>
  <c r="BD283" i="48"/>
  <c r="S59" i="69"/>
  <c r="BD73" i="48" s="1"/>
  <c r="S73" i="50"/>
  <c r="AX117" i="48" s="1"/>
  <c r="S80" i="52"/>
  <c r="AZ93" i="48" s="1"/>
  <c r="S73" i="52"/>
  <c r="AZ117" i="48" s="1"/>
  <c r="S57" i="52"/>
  <c r="AZ66" i="48" s="1"/>
  <c r="S81" i="52"/>
  <c r="AZ94" i="48" s="1"/>
  <c r="S79" i="52"/>
  <c r="AZ92" i="48" s="1"/>
  <c r="S53" i="53"/>
  <c r="BA62" i="48" s="1"/>
  <c r="S81" i="53"/>
  <c r="BA108" i="48" s="1"/>
  <c r="S70" i="53"/>
  <c r="BA86" i="48" s="1"/>
  <c r="S57" i="53"/>
  <c r="BA66" i="48" s="1"/>
  <c r="S79" i="53"/>
  <c r="BA106" i="48" s="1"/>
  <c r="S67" i="53"/>
  <c r="BA83" i="48" s="1"/>
  <c r="S69" i="70"/>
  <c r="BG85" i="48" s="1"/>
  <c r="S79" i="70"/>
  <c r="S73" i="70"/>
  <c r="BG117" i="48" s="1"/>
  <c r="S59" i="70"/>
  <c r="BG73" i="48" s="1"/>
  <c r="S57" i="70"/>
  <c r="BG66" i="48" s="1"/>
  <c r="S64" i="70"/>
  <c r="S66" i="70"/>
  <c r="S68" i="70"/>
  <c r="BG84" i="48" s="1"/>
  <c r="S70" i="70"/>
  <c r="BA109" i="48"/>
  <c r="S59" i="54"/>
  <c r="BB66" i="48" s="1"/>
  <c r="S65" i="54"/>
  <c r="BB40" i="48"/>
  <c r="S55" i="54"/>
  <c r="S69" i="54"/>
  <c r="BB83" i="48" s="1"/>
  <c r="S61" i="54"/>
  <c r="S70" i="54"/>
  <c r="BB84" i="48" s="1"/>
  <c r="S67" i="54"/>
  <c r="S73" i="54"/>
  <c r="BB87" i="48" s="1"/>
  <c r="S73" i="53"/>
  <c r="BA117" i="48" s="1"/>
  <c r="S46" i="52"/>
  <c r="S59" i="52"/>
  <c r="S53" i="51"/>
  <c r="S59" i="51"/>
  <c r="S61" i="51"/>
  <c r="S63" i="51"/>
  <c r="AY83" i="48" s="1"/>
  <c r="S65" i="51"/>
  <c r="AY85" i="48" s="1"/>
  <c r="S67" i="51"/>
  <c r="AY87" i="48" s="1"/>
  <c r="S55" i="51"/>
  <c r="S60" i="51"/>
  <c r="S62" i="51"/>
  <c r="S64" i="51"/>
  <c r="AY84" i="48" s="1"/>
  <c r="S66" i="51"/>
  <c r="AY86" i="48" s="1"/>
  <c r="S57" i="50"/>
  <c r="AX66" i="48" s="1"/>
  <c r="S67" i="50"/>
  <c r="AX83" i="48" s="1"/>
  <c r="S69" i="50"/>
  <c r="AX85" i="48" s="1"/>
  <c r="S71" i="50"/>
  <c r="AX87" i="48" s="1"/>
  <c r="S59" i="50"/>
  <c r="S68" i="50"/>
  <c r="AX84" i="48" s="1"/>
  <c r="S70" i="50"/>
  <c r="AX86" i="48" s="1"/>
  <c r="S79" i="49"/>
  <c r="AW92" i="48" s="1"/>
  <c r="S67" i="49"/>
  <c r="AW83" i="48" s="1"/>
  <c r="S77" i="49"/>
  <c r="S65" i="49"/>
  <c r="S73" i="49"/>
  <c r="AW117" i="48" s="1"/>
  <c r="S59" i="49"/>
  <c r="S75" i="49"/>
  <c r="S63" i="49"/>
  <c r="S57" i="49"/>
  <c r="AW66" i="48" s="1"/>
  <c r="S83" i="49"/>
  <c r="AW96" i="48" s="1"/>
  <c r="S71" i="49"/>
  <c r="AW87" i="48" s="1"/>
  <c r="S81" i="49"/>
  <c r="AW94" i="48" s="1"/>
  <c r="S69" i="49"/>
  <c r="AW85" i="48" s="1"/>
  <c r="S46" i="49"/>
  <c r="S64" i="49"/>
  <c r="S66" i="49"/>
  <c r="S68" i="49"/>
  <c r="AW84" i="48" s="1"/>
  <c r="S70" i="49"/>
  <c r="AW86" i="48" s="1"/>
  <c r="S9" i="44"/>
  <c r="AR21" i="48" s="1"/>
  <c r="S8" i="44"/>
  <c r="AR20" i="48" s="1"/>
  <c r="S7" i="44"/>
  <c r="AR19" i="48" s="1"/>
  <c r="S6" i="44"/>
  <c r="AR18" i="48" s="1"/>
  <c r="S73" i="43"/>
  <c r="AU117" i="48" s="1"/>
  <c r="S38" i="43"/>
  <c r="S37" i="43"/>
  <c r="S36" i="43"/>
  <c r="S35" i="43"/>
  <c r="S34" i="43"/>
  <c r="S33" i="43"/>
  <c r="AU267" i="48" s="1"/>
  <c r="S32" i="43"/>
  <c r="AU266" i="48" s="1"/>
  <c r="S31" i="43"/>
  <c r="S30" i="43"/>
  <c r="S29" i="43"/>
  <c r="S28" i="43"/>
  <c r="S27" i="43"/>
  <c r="S26" i="43"/>
  <c r="S25" i="43"/>
  <c r="S24" i="43"/>
  <c r="S23" i="43"/>
  <c r="S22" i="43"/>
  <c r="S21" i="43"/>
  <c r="S20" i="43"/>
  <c r="AU41" i="48" s="1"/>
  <c r="S19" i="43"/>
  <c r="AU40" i="48" s="1"/>
  <c r="S18" i="43"/>
  <c r="S17" i="43"/>
  <c r="S16" i="43"/>
  <c r="S15" i="43"/>
  <c r="S13" i="43"/>
  <c r="AU125" i="48" s="1"/>
  <c r="S11" i="43"/>
  <c r="S71" i="43" s="1"/>
  <c r="S10" i="43"/>
  <c r="S9" i="43"/>
  <c r="S69" i="43" s="1"/>
  <c r="AU85" i="48" s="1"/>
  <c r="S8" i="43"/>
  <c r="AU20" i="48" s="1"/>
  <c r="S7" i="43"/>
  <c r="S67" i="43" s="1"/>
  <c r="S6" i="43"/>
  <c r="S5" i="43"/>
  <c r="S65" i="43" s="1"/>
  <c r="S4" i="43"/>
  <c r="S3" i="43"/>
  <c r="S63" i="43" s="1"/>
  <c r="S44" i="42"/>
  <c r="AT267" i="48" s="1"/>
  <c r="S43" i="42"/>
  <c r="AT41" i="48"/>
  <c r="AT40" i="48"/>
  <c r="AT125" i="48"/>
  <c r="S83" i="42"/>
  <c r="AT85" i="48"/>
  <c r="AT20" i="48"/>
  <c r="S13" i="41"/>
  <c r="AS125" i="48" s="1"/>
  <c r="S42" i="41"/>
  <c r="S41" i="41"/>
  <c r="S40" i="41"/>
  <c r="S38" i="41"/>
  <c r="S37" i="41"/>
  <c r="S36" i="41"/>
  <c r="S35" i="41"/>
  <c r="S34" i="41"/>
  <c r="S33" i="41"/>
  <c r="S44" i="41" s="1"/>
  <c r="AS267" i="48" s="1"/>
  <c r="S32" i="41"/>
  <c r="S43" i="41" s="1"/>
  <c r="AS266" i="48" s="1"/>
  <c r="S31" i="41"/>
  <c r="S30" i="41"/>
  <c r="S29" i="41"/>
  <c r="S28" i="41"/>
  <c r="S27" i="41"/>
  <c r="S26" i="41"/>
  <c r="S25" i="41"/>
  <c r="S24" i="41"/>
  <c r="S23" i="41"/>
  <c r="S22" i="41"/>
  <c r="S21" i="41"/>
  <c r="S20" i="41"/>
  <c r="AS41" i="48" s="1"/>
  <c r="S19" i="41"/>
  <c r="AS40" i="48" s="1"/>
  <c r="S18" i="41"/>
  <c r="S17" i="41"/>
  <c r="S16" i="41"/>
  <c r="S15" i="41"/>
  <c r="S11" i="41"/>
  <c r="S10" i="41"/>
  <c r="S82" i="41" s="1"/>
  <c r="S9" i="41"/>
  <c r="S8" i="41"/>
  <c r="S80" i="41" s="1"/>
  <c r="AS93" i="48" s="1"/>
  <c r="S7" i="41"/>
  <c r="S6" i="41"/>
  <c r="S78" i="41" s="1"/>
  <c r="S5" i="41"/>
  <c r="S4" i="41"/>
  <c r="S76" i="41" s="1"/>
  <c r="S3" i="41"/>
  <c r="U58" i="44"/>
  <c r="S44" i="44"/>
  <c r="S43" i="44"/>
  <c r="S42" i="44"/>
  <c r="S41" i="44"/>
  <c r="S40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AR42" i="48" s="1"/>
  <c r="S20" i="44"/>
  <c r="S19" i="44"/>
  <c r="AR40" i="48" s="1"/>
  <c r="S18" i="44"/>
  <c r="S17" i="44"/>
  <c r="AR38" i="48" s="1"/>
  <c r="S16" i="44"/>
  <c r="AR37" i="48" s="1"/>
  <c r="S15" i="44"/>
  <c r="S14" i="44"/>
  <c r="S13" i="44"/>
  <c r="S11" i="44"/>
  <c r="S10" i="44"/>
  <c r="S5" i="44"/>
  <c r="S4" i="44"/>
  <c r="S3" i="44"/>
  <c r="S46" i="69" l="1"/>
  <c r="BD268" i="48" s="1"/>
  <c r="S46" i="70"/>
  <c r="BG268" i="48" s="1"/>
  <c r="S46" i="44"/>
  <c r="S79" i="42"/>
  <c r="AT54" i="48"/>
  <c r="S81" i="42"/>
  <c r="AS53" i="48"/>
  <c r="AS54" i="48"/>
  <c r="S80" i="42"/>
  <c r="AT107" i="48" s="1"/>
  <c r="BG93" i="48"/>
  <c r="BG94" i="48"/>
  <c r="BG92" i="48"/>
  <c r="BD92" i="48"/>
  <c r="BD94" i="48"/>
  <c r="AS20" i="48"/>
  <c r="S57" i="41"/>
  <c r="AS66" i="48" s="1"/>
  <c r="AT53" i="48"/>
  <c r="AU54" i="48"/>
  <c r="AU53" i="48"/>
  <c r="AU268" i="48"/>
  <c r="AT266" i="48"/>
  <c r="S47" i="42"/>
  <c r="AT269" i="48" s="1"/>
  <c r="S46" i="42"/>
  <c r="AT268" i="48" s="1"/>
  <c r="BB62" i="48"/>
  <c r="S59" i="43"/>
  <c r="AU68" i="48" s="1"/>
  <c r="S52" i="43"/>
  <c r="AU61" i="48" s="1"/>
  <c r="AU269" i="48"/>
  <c r="S57" i="43"/>
  <c r="AU66" i="48" s="1"/>
  <c r="S61" i="43"/>
  <c r="AU126" i="48" s="1"/>
  <c r="S64" i="43"/>
  <c r="S66" i="43"/>
  <c r="S68" i="43"/>
  <c r="AU84" i="48" s="1"/>
  <c r="S70" i="43"/>
  <c r="AU86" i="48" s="1"/>
  <c r="S52" i="42"/>
  <c r="AT61" i="48" s="1"/>
  <c r="S57" i="42"/>
  <c r="AT66" i="48" s="1"/>
  <c r="S73" i="42"/>
  <c r="AT117" i="48" s="1"/>
  <c r="S59" i="42"/>
  <c r="S61" i="42"/>
  <c r="AT126" i="48" s="1"/>
  <c r="S68" i="42"/>
  <c r="AT84" i="48" s="1"/>
  <c r="AT86" i="48"/>
  <c r="S52" i="41"/>
  <c r="AS61" i="48" s="1"/>
  <c r="S61" i="41"/>
  <c r="AS126" i="48" s="1"/>
  <c r="S47" i="41"/>
  <c r="AS269" i="48" s="1"/>
  <c r="S73" i="41"/>
  <c r="AS117" i="48" s="1"/>
  <c r="S59" i="41"/>
  <c r="S75" i="41"/>
  <c r="S63" i="41"/>
  <c r="S79" i="41"/>
  <c r="S67" i="41"/>
  <c r="S77" i="41"/>
  <c r="S65" i="41"/>
  <c r="S83" i="41"/>
  <c r="S71" i="41"/>
  <c r="S81" i="41"/>
  <c r="S69" i="41"/>
  <c r="AS85" i="48" s="1"/>
  <c r="S46" i="41"/>
  <c r="AS268" i="48" s="1"/>
  <c r="S64" i="41"/>
  <c r="S66" i="41"/>
  <c r="S68" i="41"/>
  <c r="AS84" i="48" s="1"/>
  <c r="S70" i="41"/>
  <c r="AS86" i="48" s="1"/>
  <c r="S53" i="44"/>
  <c r="S47" i="44"/>
  <c r="S59" i="44"/>
  <c r="S44" i="39"/>
  <c r="AP117" i="48" s="1"/>
  <c r="S25" i="39"/>
  <c r="AP46" i="48" s="1"/>
  <c r="S24" i="39"/>
  <c r="AP45" i="48" s="1"/>
  <c r="S11" i="39"/>
  <c r="S42" i="39" s="1"/>
  <c r="AP87" i="48" s="1"/>
  <c r="S10" i="39"/>
  <c r="AP22" i="48" s="1"/>
  <c r="AO46" i="48"/>
  <c r="AO45" i="48"/>
  <c r="S42" i="38"/>
  <c r="AO87" i="48" s="1"/>
  <c r="AO22" i="48"/>
  <c r="S25" i="37"/>
  <c r="AN46" i="48" s="1"/>
  <c r="S24" i="37"/>
  <c r="AN45" i="48" s="1"/>
  <c r="S11" i="37"/>
  <c r="S42" i="37" s="1"/>
  <c r="AN87" i="48" s="1"/>
  <c r="S10" i="37"/>
  <c r="S53" i="37" s="1"/>
  <c r="AN95" i="48" s="1"/>
  <c r="S25" i="40"/>
  <c r="AM46" i="48" s="1"/>
  <c r="S24" i="40"/>
  <c r="AM45" i="48" s="1"/>
  <c r="S11" i="40"/>
  <c r="AM23" i="48" s="1"/>
  <c r="S10" i="40"/>
  <c r="AM22" i="48" s="1"/>
  <c r="S44" i="34"/>
  <c r="AK117" i="48" s="1"/>
  <c r="S25" i="34"/>
  <c r="AK46" i="48" s="1"/>
  <c r="S24" i="34"/>
  <c r="AK45" i="48" s="1"/>
  <c r="S11" i="34"/>
  <c r="S42" i="34" s="1"/>
  <c r="AK87" i="48" s="1"/>
  <c r="S10" i="34"/>
  <c r="AJ46" i="48"/>
  <c r="AJ45" i="48"/>
  <c r="AJ23" i="48"/>
  <c r="S25" i="32"/>
  <c r="AI46" i="48" s="1"/>
  <c r="S24" i="32"/>
  <c r="AI45" i="48" s="1"/>
  <c r="S11" i="32"/>
  <c r="AI23" i="48" s="1"/>
  <c r="S10" i="32"/>
  <c r="S53" i="32" s="1"/>
  <c r="AI95" i="48" s="1"/>
  <c r="S11" i="35"/>
  <c r="AH23" i="48" s="1"/>
  <c r="S10" i="35"/>
  <c r="AH22" i="48" s="1"/>
  <c r="S25" i="35"/>
  <c r="AH46" i="48" s="1"/>
  <c r="S24" i="35"/>
  <c r="AH45" i="48" s="1"/>
  <c r="S54" i="33" l="1"/>
  <c r="AJ110" i="48" s="1"/>
  <c r="AN23" i="48"/>
  <c r="AP23" i="48"/>
  <c r="S28" i="34"/>
  <c r="AK124" i="48" s="1"/>
  <c r="S54" i="32"/>
  <c r="AI96" i="48" s="1"/>
  <c r="S31" i="32"/>
  <c r="AI122" i="48" s="1"/>
  <c r="S41" i="32"/>
  <c r="AI86" i="48" s="1"/>
  <c r="S42" i="32"/>
  <c r="AI87" i="48" s="1"/>
  <c r="S44" i="32"/>
  <c r="AI117" i="48" s="1"/>
  <c r="AI22" i="48"/>
  <c r="S28" i="32"/>
  <c r="AI124" i="48" s="1"/>
  <c r="AJ22" i="48"/>
  <c r="S44" i="33"/>
  <c r="AJ117" i="48" s="1"/>
  <c r="S28" i="33"/>
  <c r="AJ124" i="48" s="1"/>
  <c r="S31" i="33"/>
  <c r="S31" i="34"/>
  <c r="AK22" i="48"/>
  <c r="AK23" i="48"/>
  <c r="S31" i="37"/>
  <c r="AN120" i="48" s="1"/>
  <c r="AN22" i="48"/>
  <c r="AO23" i="48"/>
  <c r="S54" i="38"/>
  <c r="AO110" i="48" s="1"/>
  <c r="S31" i="38"/>
  <c r="AO120" i="48" s="1"/>
  <c r="AR62" i="48"/>
  <c r="S31" i="39"/>
  <c r="AP120" i="48" s="1"/>
  <c r="S41" i="39"/>
  <c r="AP86" i="48" s="1"/>
  <c r="S41" i="38"/>
  <c r="AO86" i="48" s="1"/>
  <c r="S44" i="38"/>
  <c r="AO117" i="48" s="1"/>
  <c r="S54" i="37"/>
  <c r="AN96" i="48" s="1"/>
  <c r="S41" i="37"/>
  <c r="AN86" i="48" s="1"/>
  <c r="S44" i="37"/>
  <c r="AN117" i="48" s="1"/>
  <c r="S30" i="40"/>
  <c r="AM119" i="48" s="1"/>
  <c r="S41" i="34"/>
  <c r="AK86" i="48" s="1"/>
  <c r="S42" i="33"/>
  <c r="AJ87" i="48" s="1"/>
  <c r="S41" i="33"/>
  <c r="AJ86" i="48" s="1"/>
  <c r="S27" i="35"/>
  <c r="AH123" i="48" s="1"/>
  <c r="S30" i="35"/>
  <c r="AH121" i="48" s="1"/>
  <c r="S73" i="31"/>
  <c r="AF116" i="48" s="1"/>
  <c r="U78" i="31"/>
  <c r="U77" i="31"/>
  <c r="U76" i="31"/>
  <c r="U75" i="31"/>
  <c r="S44" i="31"/>
  <c r="AF267" i="48" s="1"/>
  <c r="S43" i="31"/>
  <c r="AF266" i="48" s="1"/>
  <c r="S42" i="31"/>
  <c r="AF265" i="48" s="1"/>
  <c r="S41" i="31"/>
  <c r="AF264" i="48" s="1"/>
  <c r="S40" i="31"/>
  <c r="AF263" i="48" s="1"/>
  <c r="S38" i="31"/>
  <c r="AF59" i="48" s="1"/>
  <c r="S37" i="31"/>
  <c r="AF58" i="48" s="1"/>
  <c r="S36" i="31"/>
  <c r="AF57" i="48" s="1"/>
  <c r="S35" i="31"/>
  <c r="AF56" i="48" s="1"/>
  <c r="S34" i="31"/>
  <c r="AF55" i="48" s="1"/>
  <c r="S33" i="31"/>
  <c r="AF54" i="48" s="1"/>
  <c r="S32" i="31"/>
  <c r="AF53" i="48" s="1"/>
  <c r="S31" i="31"/>
  <c r="AF52" i="48" s="1"/>
  <c r="S30" i="31"/>
  <c r="AF51" i="48" s="1"/>
  <c r="S29" i="31"/>
  <c r="AF50" i="48" s="1"/>
  <c r="S28" i="31"/>
  <c r="AF49" i="48" s="1"/>
  <c r="S27" i="31"/>
  <c r="AF48" i="48" s="1"/>
  <c r="S26" i="31"/>
  <c r="AF47" i="48" s="1"/>
  <c r="S25" i="31"/>
  <c r="AF46" i="48" s="1"/>
  <c r="S24" i="31"/>
  <c r="AF45" i="48" s="1"/>
  <c r="S23" i="31"/>
  <c r="AF44" i="48" s="1"/>
  <c r="S22" i="31"/>
  <c r="AF43" i="48" s="1"/>
  <c r="S21" i="31"/>
  <c r="AF42" i="48" s="1"/>
  <c r="S20" i="31"/>
  <c r="AF41" i="48" s="1"/>
  <c r="S19" i="31"/>
  <c r="AF40" i="48" s="1"/>
  <c r="S18" i="31"/>
  <c r="AF39" i="48" s="1"/>
  <c r="S17" i="31"/>
  <c r="AF38" i="48" s="1"/>
  <c r="S16" i="31"/>
  <c r="AF37" i="48" s="1"/>
  <c r="S15" i="31"/>
  <c r="AF36" i="48" s="1"/>
  <c r="S14" i="31"/>
  <c r="AF35" i="48" s="1"/>
  <c r="S13" i="31"/>
  <c r="AF34" i="48" s="1"/>
  <c r="S11" i="31"/>
  <c r="S10" i="31"/>
  <c r="S9" i="31"/>
  <c r="S69" i="31" s="1"/>
  <c r="S8" i="31"/>
  <c r="S7" i="31"/>
  <c r="S67" i="31" s="1"/>
  <c r="S6" i="31"/>
  <c r="S66" i="31" s="1"/>
  <c r="S5" i="31"/>
  <c r="S65" i="31" s="1"/>
  <c r="S4" i="31"/>
  <c r="S64" i="31" s="1"/>
  <c r="S3" i="31"/>
  <c r="S63" i="31" s="1"/>
  <c r="U78" i="30"/>
  <c r="U76" i="30"/>
  <c r="AE267" i="48"/>
  <c r="AE266" i="48"/>
  <c r="AE265" i="48"/>
  <c r="AE263" i="48"/>
  <c r="AE59" i="48"/>
  <c r="AE58" i="48"/>
  <c r="AE57" i="48"/>
  <c r="AE56" i="48"/>
  <c r="AE55" i="48"/>
  <c r="AE54" i="48"/>
  <c r="AE53" i="48"/>
  <c r="AE52" i="48"/>
  <c r="AE51" i="48"/>
  <c r="AE50" i="48"/>
  <c r="AE49" i="48"/>
  <c r="AE48" i="48"/>
  <c r="AE47" i="48"/>
  <c r="AE46" i="48"/>
  <c r="AE45" i="48"/>
  <c r="AE44" i="48"/>
  <c r="AE43" i="48"/>
  <c r="AE42" i="48"/>
  <c r="AE41" i="48"/>
  <c r="AE40" i="48"/>
  <c r="AE39" i="48"/>
  <c r="AE38" i="48"/>
  <c r="AE37" i="48"/>
  <c r="AE36" i="48"/>
  <c r="AE35" i="48"/>
  <c r="AE34" i="48"/>
  <c r="S70" i="30"/>
  <c r="S81" i="30"/>
  <c r="AE113" i="48" s="1"/>
  <c r="S80" i="30"/>
  <c r="AE112" i="48" s="1"/>
  <c r="S66" i="30"/>
  <c r="U77" i="30"/>
  <c r="AE16" i="48"/>
  <c r="AE22" i="48"/>
  <c r="S44" i="77"/>
  <c r="AD267" i="48" s="1"/>
  <c r="S43" i="77"/>
  <c r="AD266" i="48" s="1"/>
  <c r="S42" i="77"/>
  <c r="AD265" i="48" s="1"/>
  <c r="S41" i="77"/>
  <c r="AD264" i="48" s="1"/>
  <c r="S40" i="77"/>
  <c r="AD263" i="48" s="1"/>
  <c r="S38" i="77"/>
  <c r="AD59" i="48" s="1"/>
  <c r="S37" i="77"/>
  <c r="AD58" i="48" s="1"/>
  <c r="S36" i="77"/>
  <c r="AD57" i="48" s="1"/>
  <c r="S35" i="77"/>
  <c r="AD56" i="48" s="1"/>
  <c r="S34" i="77"/>
  <c r="AD55" i="48" s="1"/>
  <c r="S33" i="77"/>
  <c r="AD54" i="48" s="1"/>
  <c r="S32" i="77"/>
  <c r="AD53" i="48" s="1"/>
  <c r="S31" i="77"/>
  <c r="AD52" i="48" s="1"/>
  <c r="S30" i="77"/>
  <c r="AD51" i="48" s="1"/>
  <c r="S29" i="77"/>
  <c r="AD50" i="48" s="1"/>
  <c r="S28" i="77"/>
  <c r="AD49" i="48" s="1"/>
  <c r="S27" i="77"/>
  <c r="AD48" i="48" s="1"/>
  <c r="S26" i="77"/>
  <c r="AD47" i="48" s="1"/>
  <c r="S25" i="77"/>
  <c r="AD46" i="48" s="1"/>
  <c r="S24" i="77"/>
  <c r="AD45" i="48" s="1"/>
  <c r="S23" i="77"/>
  <c r="AD44" i="48" s="1"/>
  <c r="S22" i="77"/>
  <c r="AD43" i="48" s="1"/>
  <c r="S21" i="77"/>
  <c r="AD42" i="48" s="1"/>
  <c r="S20" i="77"/>
  <c r="AD41" i="48" s="1"/>
  <c r="S19" i="77"/>
  <c r="AD40" i="48" s="1"/>
  <c r="S18" i="77"/>
  <c r="AD39" i="48" s="1"/>
  <c r="S17" i="77"/>
  <c r="AD38" i="48" s="1"/>
  <c r="S16" i="77"/>
  <c r="AD37" i="48" s="1"/>
  <c r="S15" i="77"/>
  <c r="AD36" i="48" s="1"/>
  <c r="S14" i="77"/>
  <c r="AD35" i="48" s="1"/>
  <c r="S13" i="77"/>
  <c r="AD34" i="48" s="1"/>
  <c r="S11" i="77"/>
  <c r="S10" i="77"/>
  <c r="S82" i="77" s="1"/>
  <c r="AD104" i="48" s="1"/>
  <c r="S9" i="77"/>
  <c r="S8" i="77"/>
  <c r="S80" i="77" s="1"/>
  <c r="AD102" i="48" s="1"/>
  <c r="S7" i="77"/>
  <c r="S6" i="77"/>
  <c r="S78" i="77" s="1"/>
  <c r="AD100" i="48" s="1"/>
  <c r="S5" i="77"/>
  <c r="S4" i="77"/>
  <c r="S76" i="77" s="1"/>
  <c r="AD98" i="48" s="1"/>
  <c r="S3" i="77"/>
  <c r="S73" i="29"/>
  <c r="AC116" i="48" s="1"/>
  <c r="S44" i="29"/>
  <c r="AC267" i="48" s="1"/>
  <c r="S43" i="29"/>
  <c r="AC266" i="48" s="1"/>
  <c r="S42" i="29"/>
  <c r="AC265" i="48" s="1"/>
  <c r="S41" i="29"/>
  <c r="AC264" i="48" s="1"/>
  <c r="S40" i="29"/>
  <c r="AC263" i="48" s="1"/>
  <c r="S38" i="29"/>
  <c r="AC59" i="48" s="1"/>
  <c r="S37" i="29"/>
  <c r="AC58" i="48" s="1"/>
  <c r="S36" i="29"/>
  <c r="AC57" i="48" s="1"/>
  <c r="S35" i="29"/>
  <c r="AC56" i="48" s="1"/>
  <c r="S34" i="29"/>
  <c r="AC55" i="48" s="1"/>
  <c r="S33" i="29"/>
  <c r="AC54" i="48" s="1"/>
  <c r="S32" i="29"/>
  <c r="AC53" i="48" s="1"/>
  <c r="S31" i="29"/>
  <c r="AC52" i="48" s="1"/>
  <c r="S30" i="29"/>
  <c r="AC51" i="48" s="1"/>
  <c r="S29" i="29"/>
  <c r="AC50" i="48" s="1"/>
  <c r="S28" i="29"/>
  <c r="AC49" i="48" s="1"/>
  <c r="S27" i="29"/>
  <c r="AC48" i="48" s="1"/>
  <c r="S26" i="29"/>
  <c r="AC47" i="48" s="1"/>
  <c r="S25" i="29"/>
  <c r="AC46" i="48" s="1"/>
  <c r="S24" i="29"/>
  <c r="AC45" i="48" s="1"/>
  <c r="S23" i="29"/>
  <c r="AC44" i="48" s="1"/>
  <c r="S22" i="29"/>
  <c r="AC43" i="48" s="1"/>
  <c r="S21" i="29"/>
  <c r="AC42" i="48" s="1"/>
  <c r="S20" i="29"/>
  <c r="AC41" i="48" s="1"/>
  <c r="S19" i="29"/>
  <c r="AC40" i="48" s="1"/>
  <c r="S18" i="29"/>
  <c r="AC39" i="48" s="1"/>
  <c r="S17" i="29"/>
  <c r="AC38" i="48" s="1"/>
  <c r="S16" i="29"/>
  <c r="AC37" i="48" s="1"/>
  <c r="S15" i="29"/>
  <c r="AC36" i="48" s="1"/>
  <c r="S14" i="29"/>
  <c r="AC35" i="48" s="1"/>
  <c r="S13" i="29"/>
  <c r="AC34" i="48" s="1"/>
  <c r="S11" i="29"/>
  <c r="S10" i="29"/>
  <c r="AC22" i="48" s="1"/>
  <c r="S9" i="29"/>
  <c r="AC21" i="48" s="1"/>
  <c r="S8" i="29"/>
  <c r="S7" i="29"/>
  <c r="AC19" i="48" s="1"/>
  <c r="S6" i="29"/>
  <c r="AC18" i="48" s="1"/>
  <c r="S5" i="29"/>
  <c r="S65" i="29" s="1"/>
  <c r="S4" i="29"/>
  <c r="AC16" i="48" s="1"/>
  <c r="S3" i="29"/>
  <c r="S63" i="29" s="1"/>
  <c r="AB267" i="48"/>
  <c r="AB266" i="48"/>
  <c r="AB265" i="48"/>
  <c r="AB264" i="48"/>
  <c r="AB263" i="48"/>
  <c r="AB59" i="48"/>
  <c r="AB58" i="48"/>
  <c r="AB57" i="48"/>
  <c r="AB56" i="48"/>
  <c r="AB55" i="48"/>
  <c r="AB54" i="48"/>
  <c r="AB53" i="48"/>
  <c r="AB52" i="48"/>
  <c r="AB51" i="48"/>
  <c r="AB50" i="48"/>
  <c r="AB49" i="48"/>
  <c r="AB48" i="48"/>
  <c r="AB47" i="48"/>
  <c r="AB46" i="48"/>
  <c r="AB45" i="48"/>
  <c r="AB44" i="48"/>
  <c r="AB43" i="48"/>
  <c r="AB42" i="48"/>
  <c r="AB41" i="48"/>
  <c r="AB40" i="48"/>
  <c r="AB39" i="48"/>
  <c r="AB38" i="48"/>
  <c r="AB37" i="48"/>
  <c r="AB36" i="48"/>
  <c r="AB35" i="48"/>
  <c r="AB34" i="48"/>
  <c r="AB23" i="48"/>
  <c r="AB21" i="48"/>
  <c r="AB112" i="48"/>
  <c r="AB18" i="48"/>
  <c r="AB17" i="48"/>
  <c r="AB16" i="48"/>
  <c r="AB15" i="48"/>
  <c r="S44" i="76"/>
  <c r="AA267" i="48" s="1"/>
  <c r="S43" i="76"/>
  <c r="AA266" i="48" s="1"/>
  <c r="S42" i="76"/>
  <c r="AA265" i="48" s="1"/>
  <c r="S41" i="76"/>
  <c r="AA264" i="48" s="1"/>
  <c r="S40" i="76"/>
  <c r="S38" i="76"/>
  <c r="AA59" i="48" s="1"/>
  <c r="S37" i="76"/>
  <c r="AA58" i="48" s="1"/>
  <c r="S36" i="76"/>
  <c r="AA57" i="48" s="1"/>
  <c r="S35" i="76"/>
  <c r="AA56" i="48" s="1"/>
  <c r="S34" i="76"/>
  <c r="AA55" i="48" s="1"/>
  <c r="S33" i="76"/>
  <c r="AA54" i="48" s="1"/>
  <c r="S32" i="76"/>
  <c r="AA53" i="48" s="1"/>
  <c r="S31" i="76"/>
  <c r="AA52" i="48" s="1"/>
  <c r="S30" i="76"/>
  <c r="AA51" i="48" s="1"/>
  <c r="S29" i="76"/>
  <c r="AA50" i="48" s="1"/>
  <c r="S28" i="76"/>
  <c r="AA49" i="48" s="1"/>
  <c r="S27" i="76"/>
  <c r="AA48" i="48" s="1"/>
  <c r="S26" i="76"/>
  <c r="AA47" i="48" s="1"/>
  <c r="S25" i="76"/>
  <c r="AA46" i="48" s="1"/>
  <c r="S24" i="76"/>
  <c r="AA45" i="48" s="1"/>
  <c r="S23" i="76"/>
  <c r="AA44" i="48" s="1"/>
  <c r="S22" i="76"/>
  <c r="AA43" i="48" s="1"/>
  <c r="S21" i="76"/>
  <c r="AA42" i="48" s="1"/>
  <c r="S20" i="76"/>
  <c r="AA41" i="48" s="1"/>
  <c r="S19" i="76"/>
  <c r="AA40" i="48" s="1"/>
  <c r="S18" i="76"/>
  <c r="AA39" i="48" s="1"/>
  <c r="S17" i="76"/>
  <c r="AA38" i="48" s="1"/>
  <c r="S16" i="76"/>
  <c r="AA37" i="48" s="1"/>
  <c r="S15" i="76"/>
  <c r="AA36" i="48" s="1"/>
  <c r="S14" i="76"/>
  <c r="AA35" i="48" s="1"/>
  <c r="S13" i="76"/>
  <c r="AA34" i="48" s="1"/>
  <c r="S11" i="76"/>
  <c r="S10" i="76"/>
  <c r="S82" i="76" s="1"/>
  <c r="AA104" i="48" s="1"/>
  <c r="S9" i="76"/>
  <c r="S8" i="76"/>
  <c r="S80" i="76" s="1"/>
  <c r="AA102" i="48" s="1"/>
  <c r="S7" i="76"/>
  <c r="S6" i="76"/>
  <c r="S78" i="76" s="1"/>
  <c r="AA100" i="48" s="1"/>
  <c r="S5" i="76"/>
  <c r="S4" i="76"/>
  <c r="S76" i="76" s="1"/>
  <c r="AA98" i="48" s="1"/>
  <c r="S3" i="76"/>
  <c r="C31" i="31"/>
  <c r="I30" i="31"/>
  <c r="C31" i="30"/>
  <c r="I30" i="30"/>
  <c r="C31" i="77"/>
  <c r="I30" i="77"/>
  <c r="I30" i="29"/>
  <c r="C31" i="27"/>
  <c r="I30" i="27"/>
  <c r="AW21" i="48"/>
  <c r="AX21" i="48"/>
  <c r="AY21" i="48"/>
  <c r="AZ21" i="48"/>
  <c r="BA21" i="48"/>
  <c r="BB21" i="48"/>
  <c r="AW22" i="48"/>
  <c r="AX22" i="48"/>
  <c r="AY22" i="48"/>
  <c r="AZ22" i="48"/>
  <c r="BA22" i="48"/>
  <c r="BB22" i="48"/>
  <c r="AW23" i="48"/>
  <c r="AX23" i="48"/>
  <c r="AY23" i="48"/>
  <c r="AZ23" i="48"/>
  <c r="BA23" i="48"/>
  <c r="AW19" i="48"/>
  <c r="AX19" i="48"/>
  <c r="AY19" i="48"/>
  <c r="AZ19" i="48"/>
  <c r="BA19" i="48"/>
  <c r="BB19" i="48"/>
  <c r="BB20" i="48"/>
  <c r="BA20" i="48"/>
  <c r="AZ20" i="48"/>
  <c r="AY20" i="48"/>
  <c r="AX20" i="48"/>
  <c r="AW20" i="48"/>
  <c r="AY66" i="48"/>
  <c r="BB68" i="48"/>
  <c r="BA68" i="48"/>
  <c r="AZ68" i="48"/>
  <c r="AY68" i="48"/>
  <c r="AX68" i="48"/>
  <c r="AW68" i="48"/>
  <c r="AT68" i="48"/>
  <c r="AS68" i="48"/>
  <c r="AR68" i="48"/>
  <c r="X109" i="48"/>
  <c r="S73" i="21"/>
  <c r="Y117" i="48" s="1"/>
  <c r="S44" i="21"/>
  <c r="Y267" i="48" s="1"/>
  <c r="S43" i="21"/>
  <c r="Y266" i="48" s="1"/>
  <c r="S42" i="21"/>
  <c r="Y265" i="48" s="1"/>
  <c r="S41" i="21"/>
  <c r="Y264" i="48" s="1"/>
  <c r="S40" i="21"/>
  <c r="Y263" i="48" s="1"/>
  <c r="S38" i="21"/>
  <c r="Y59" i="48" s="1"/>
  <c r="S37" i="21"/>
  <c r="Y58" i="48" s="1"/>
  <c r="S36" i="21"/>
  <c r="Y57" i="48" s="1"/>
  <c r="S35" i="21"/>
  <c r="Y56" i="48" s="1"/>
  <c r="S34" i="21"/>
  <c r="Y55" i="48" s="1"/>
  <c r="S33" i="21"/>
  <c r="Y54" i="48" s="1"/>
  <c r="S32" i="21"/>
  <c r="Y53" i="48" s="1"/>
  <c r="S31" i="21"/>
  <c r="Y52" i="48" s="1"/>
  <c r="S30" i="21"/>
  <c r="Y51" i="48" s="1"/>
  <c r="S29" i="21"/>
  <c r="Y50" i="48" s="1"/>
  <c r="S28" i="21"/>
  <c r="Y49" i="48" s="1"/>
  <c r="S27" i="21"/>
  <c r="Y48" i="48" s="1"/>
  <c r="S26" i="21"/>
  <c r="Y47" i="48" s="1"/>
  <c r="S25" i="21"/>
  <c r="Y46" i="48" s="1"/>
  <c r="S24" i="21"/>
  <c r="Y45" i="48" s="1"/>
  <c r="S23" i="21"/>
  <c r="Y44" i="48" s="1"/>
  <c r="S22" i="21"/>
  <c r="Y43" i="48" s="1"/>
  <c r="S21" i="21"/>
  <c r="Y42" i="48" s="1"/>
  <c r="S20" i="21"/>
  <c r="Y41" i="48" s="1"/>
  <c r="S19" i="21"/>
  <c r="Y40" i="48" s="1"/>
  <c r="S18" i="21"/>
  <c r="Y39" i="48" s="1"/>
  <c r="S17" i="21"/>
  <c r="Y38" i="48" s="1"/>
  <c r="S16" i="21"/>
  <c r="Y37" i="48" s="1"/>
  <c r="S15" i="21"/>
  <c r="Y36" i="48" s="1"/>
  <c r="S14" i="21"/>
  <c r="Y35" i="48" s="1"/>
  <c r="S13" i="21"/>
  <c r="Y34" i="48" s="1"/>
  <c r="S11" i="21"/>
  <c r="Y23" i="48" s="1"/>
  <c r="S10" i="21"/>
  <c r="Y22" i="48" s="1"/>
  <c r="S9" i="21"/>
  <c r="Y21" i="48" s="1"/>
  <c r="S8" i="21"/>
  <c r="S7" i="21"/>
  <c r="S67" i="21" s="1"/>
  <c r="Y83" i="48" s="1"/>
  <c r="S6" i="21"/>
  <c r="S66" i="21" s="1"/>
  <c r="Y82" i="48" s="1"/>
  <c r="S5" i="21"/>
  <c r="Y17" i="48" s="1"/>
  <c r="S4" i="21"/>
  <c r="S64" i="21" s="1"/>
  <c r="Y80" i="48" s="1"/>
  <c r="S3" i="21"/>
  <c r="X267" i="48"/>
  <c r="X266" i="48"/>
  <c r="X265" i="48"/>
  <c r="X264" i="48"/>
  <c r="X263" i="48"/>
  <c r="X59" i="48"/>
  <c r="X58" i="48"/>
  <c r="X57" i="48"/>
  <c r="X56" i="48"/>
  <c r="X55" i="48"/>
  <c r="X54" i="48"/>
  <c r="X53" i="48"/>
  <c r="X52" i="48"/>
  <c r="X51" i="48"/>
  <c r="X50" i="48"/>
  <c r="X49" i="48"/>
  <c r="X48" i="48"/>
  <c r="X47" i="48"/>
  <c r="X46" i="48"/>
  <c r="X45" i="48"/>
  <c r="X44" i="48"/>
  <c r="X43" i="48"/>
  <c r="X42" i="48"/>
  <c r="X41" i="48"/>
  <c r="X40" i="48"/>
  <c r="X39" i="48"/>
  <c r="X38" i="48"/>
  <c r="X37" i="48"/>
  <c r="X36" i="48"/>
  <c r="X35" i="48"/>
  <c r="X34" i="48"/>
  <c r="S80" i="20"/>
  <c r="X107" i="48" s="1"/>
  <c r="S66" i="20"/>
  <c r="X82" i="48" s="1"/>
  <c r="S64" i="20"/>
  <c r="X80" i="48" s="1"/>
  <c r="S44" i="19"/>
  <c r="W267" i="48" s="1"/>
  <c r="S43" i="19"/>
  <c r="W266" i="48" s="1"/>
  <c r="S42" i="19"/>
  <c r="W265" i="48" s="1"/>
  <c r="S41" i="19"/>
  <c r="W264" i="48" s="1"/>
  <c r="S40" i="19"/>
  <c r="W263" i="48" s="1"/>
  <c r="S38" i="19"/>
  <c r="W59" i="48" s="1"/>
  <c r="S37" i="19"/>
  <c r="W58" i="48" s="1"/>
  <c r="S36" i="19"/>
  <c r="W57" i="48" s="1"/>
  <c r="S35" i="19"/>
  <c r="W56" i="48" s="1"/>
  <c r="S34" i="19"/>
  <c r="W55" i="48" s="1"/>
  <c r="S33" i="19"/>
  <c r="W54" i="48" s="1"/>
  <c r="S32" i="19"/>
  <c r="W53" i="48" s="1"/>
  <c r="S31" i="19"/>
  <c r="W52" i="48" s="1"/>
  <c r="S30" i="19"/>
  <c r="W51" i="48" s="1"/>
  <c r="S29" i="19"/>
  <c r="W50" i="48" s="1"/>
  <c r="S28" i="19"/>
  <c r="W49" i="48" s="1"/>
  <c r="S27" i="19"/>
  <c r="W48" i="48" s="1"/>
  <c r="S26" i="19"/>
  <c r="W47" i="48" s="1"/>
  <c r="S25" i="19"/>
  <c r="W46" i="48" s="1"/>
  <c r="S24" i="19"/>
  <c r="W45" i="48" s="1"/>
  <c r="S23" i="19"/>
  <c r="W44" i="48" s="1"/>
  <c r="S22" i="19"/>
  <c r="W43" i="48" s="1"/>
  <c r="S21" i="19"/>
  <c r="W42" i="48" s="1"/>
  <c r="S20" i="19"/>
  <c r="W41" i="48" s="1"/>
  <c r="S19" i="19"/>
  <c r="W40" i="48" s="1"/>
  <c r="S18" i="19"/>
  <c r="W39" i="48" s="1"/>
  <c r="S17" i="19"/>
  <c r="W38" i="48" s="1"/>
  <c r="S16" i="19"/>
  <c r="W37" i="48" s="1"/>
  <c r="S15" i="19"/>
  <c r="W36" i="48" s="1"/>
  <c r="S14" i="19"/>
  <c r="W35" i="48" s="1"/>
  <c r="S13" i="19"/>
  <c r="W34" i="48" s="1"/>
  <c r="S11" i="19"/>
  <c r="S83" i="19" s="1"/>
  <c r="W96" i="48" s="1"/>
  <c r="S10" i="19"/>
  <c r="W22" i="48" s="1"/>
  <c r="S9" i="19"/>
  <c r="S81" i="19" s="1"/>
  <c r="W94" i="48" s="1"/>
  <c r="S8" i="19"/>
  <c r="W20" i="48" s="1"/>
  <c r="S7" i="19"/>
  <c r="S79" i="19" s="1"/>
  <c r="W92" i="48" s="1"/>
  <c r="S6" i="19"/>
  <c r="S5" i="19"/>
  <c r="W17" i="48" s="1"/>
  <c r="S4" i="19"/>
  <c r="S3" i="19"/>
  <c r="S75" i="19" s="1"/>
  <c r="W88" i="48" s="1"/>
  <c r="F33" i="48"/>
  <c r="L33" i="48" s="1"/>
  <c r="M33" i="48" s="1"/>
  <c r="F60" i="48"/>
  <c r="L60" i="48" s="1"/>
  <c r="M60" i="48" s="1"/>
  <c r="F69" i="48"/>
  <c r="F78" i="48"/>
  <c r="F118" i="48"/>
  <c r="F127" i="48"/>
  <c r="F229" i="48"/>
  <c r="F257" i="48"/>
  <c r="F262" i="48"/>
  <c r="F273" i="48"/>
  <c r="F281" i="48"/>
  <c r="S73" i="18"/>
  <c r="V117" i="48" s="1"/>
  <c r="S44" i="18"/>
  <c r="V267" i="48" s="1"/>
  <c r="S43" i="18"/>
  <c r="S42" i="18"/>
  <c r="V265" i="48" s="1"/>
  <c r="S41" i="18"/>
  <c r="V264" i="48" s="1"/>
  <c r="S40" i="18"/>
  <c r="V263" i="48" s="1"/>
  <c r="S38" i="18"/>
  <c r="V59" i="48" s="1"/>
  <c r="S37" i="18"/>
  <c r="V58" i="48" s="1"/>
  <c r="S36" i="18"/>
  <c r="S35" i="18"/>
  <c r="V56" i="48" s="1"/>
  <c r="S34" i="18"/>
  <c r="V55" i="48" s="1"/>
  <c r="S33" i="18"/>
  <c r="V54" i="48" s="1"/>
  <c r="S32" i="18"/>
  <c r="S31" i="18"/>
  <c r="V52" i="48" s="1"/>
  <c r="S30" i="18"/>
  <c r="V51" i="48" s="1"/>
  <c r="S29" i="18"/>
  <c r="V50" i="48" s="1"/>
  <c r="S28" i="18"/>
  <c r="V49" i="48" s="1"/>
  <c r="S27" i="18"/>
  <c r="V48" i="48" s="1"/>
  <c r="S26" i="18"/>
  <c r="V47" i="48" s="1"/>
  <c r="S25" i="18"/>
  <c r="V46" i="48" s="1"/>
  <c r="S24" i="18"/>
  <c r="V45" i="48" s="1"/>
  <c r="S23" i="18"/>
  <c r="V44" i="48" s="1"/>
  <c r="S22" i="18"/>
  <c r="V43" i="48" s="1"/>
  <c r="S21" i="18"/>
  <c r="V42" i="48" s="1"/>
  <c r="S20" i="18"/>
  <c r="V41" i="48" s="1"/>
  <c r="S19" i="18"/>
  <c r="V40" i="48" s="1"/>
  <c r="S18" i="18"/>
  <c r="V39" i="48" s="1"/>
  <c r="S17" i="18"/>
  <c r="V38" i="48" s="1"/>
  <c r="S16" i="18"/>
  <c r="V37" i="48" s="1"/>
  <c r="S15" i="18"/>
  <c r="V36" i="48" s="1"/>
  <c r="S14" i="18"/>
  <c r="V35" i="48" s="1"/>
  <c r="S13" i="18"/>
  <c r="S11" i="18"/>
  <c r="V23" i="48" s="1"/>
  <c r="S10" i="18"/>
  <c r="V22" i="48" s="1"/>
  <c r="S9" i="18"/>
  <c r="S8" i="18"/>
  <c r="S7" i="18"/>
  <c r="S6" i="18"/>
  <c r="V18" i="48" s="1"/>
  <c r="S5" i="18"/>
  <c r="V17" i="48" s="1"/>
  <c r="S4" i="18"/>
  <c r="V16" i="48" s="1"/>
  <c r="S3" i="18"/>
  <c r="U267" i="48"/>
  <c r="U266" i="48"/>
  <c r="U265" i="48"/>
  <c r="U264" i="48"/>
  <c r="U263" i="48"/>
  <c r="U59" i="48"/>
  <c r="U58" i="48"/>
  <c r="U57" i="48"/>
  <c r="U56" i="48"/>
  <c r="U55" i="48"/>
  <c r="U54" i="48"/>
  <c r="U53" i="48"/>
  <c r="U52" i="48"/>
  <c r="U50" i="48"/>
  <c r="U49" i="48"/>
  <c r="U48" i="48"/>
  <c r="U47" i="48"/>
  <c r="U46" i="48"/>
  <c r="U45" i="48"/>
  <c r="U44" i="48"/>
  <c r="U43" i="48"/>
  <c r="U42" i="48"/>
  <c r="U41" i="48"/>
  <c r="U40" i="48"/>
  <c r="U39" i="48"/>
  <c r="U38" i="48"/>
  <c r="U37" i="48"/>
  <c r="U36" i="48"/>
  <c r="U35" i="48"/>
  <c r="U34" i="48"/>
  <c r="U23" i="48"/>
  <c r="U21" i="48"/>
  <c r="U20" i="48"/>
  <c r="U19" i="48"/>
  <c r="U18" i="48"/>
  <c r="U17" i="48"/>
  <c r="U16" i="48"/>
  <c r="U15" i="48"/>
  <c r="S44" i="2"/>
  <c r="T267" i="48" s="1"/>
  <c r="S43" i="2"/>
  <c r="T266" i="48" s="1"/>
  <c r="S42" i="2"/>
  <c r="T265" i="48" s="1"/>
  <c r="S41" i="2"/>
  <c r="S40" i="2"/>
  <c r="T263" i="48" s="1"/>
  <c r="S38" i="2"/>
  <c r="T59" i="48" s="1"/>
  <c r="S37" i="2"/>
  <c r="T58" i="48" s="1"/>
  <c r="S36" i="2"/>
  <c r="T57" i="48" s="1"/>
  <c r="S35" i="2"/>
  <c r="T56" i="48" s="1"/>
  <c r="S34" i="2"/>
  <c r="T55" i="48" s="1"/>
  <c r="S33" i="2"/>
  <c r="T54" i="48" s="1"/>
  <c r="S32" i="2"/>
  <c r="T53" i="48" s="1"/>
  <c r="S31" i="2"/>
  <c r="T52" i="48" s="1"/>
  <c r="S30" i="2"/>
  <c r="T51" i="48" s="1"/>
  <c r="S29" i="2"/>
  <c r="T50" i="48" s="1"/>
  <c r="S28" i="2"/>
  <c r="T49" i="48" s="1"/>
  <c r="S27" i="2"/>
  <c r="T48" i="48" s="1"/>
  <c r="S26" i="2"/>
  <c r="T47" i="48" s="1"/>
  <c r="S25" i="2"/>
  <c r="T46" i="48" s="1"/>
  <c r="S24" i="2"/>
  <c r="T45" i="48" s="1"/>
  <c r="S23" i="2"/>
  <c r="T44" i="48" s="1"/>
  <c r="S22" i="2"/>
  <c r="T43" i="48" s="1"/>
  <c r="S21" i="2"/>
  <c r="T42" i="48" s="1"/>
  <c r="S20" i="2"/>
  <c r="T41" i="48" s="1"/>
  <c r="S19" i="2"/>
  <c r="T40" i="48" s="1"/>
  <c r="S18" i="2"/>
  <c r="T39" i="48" s="1"/>
  <c r="S17" i="2"/>
  <c r="T38" i="48" s="1"/>
  <c r="S16" i="2"/>
  <c r="T37" i="48" s="1"/>
  <c r="S15" i="2"/>
  <c r="T36" i="48" s="1"/>
  <c r="S14" i="2"/>
  <c r="T35" i="48" s="1"/>
  <c r="S13" i="2"/>
  <c r="T34" i="48" s="1"/>
  <c r="S11" i="2"/>
  <c r="T23" i="48" s="1"/>
  <c r="S10" i="2"/>
  <c r="S70" i="2" s="1"/>
  <c r="T86" i="48" s="1"/>
  <c r="S9" i="2"/>
  <c r="T21" i="48" s="1"/>
  <c r="S8" i="2"/>
  <c r="S80" i="2" s="1"/>
  <c r="T93" i="48" s="1"/>
  <c r="S7" i="2"/>
  <c r="T19" i="48" s="1"/>
  <c r="S6" i="2"/>
  <c r="S66" i="2" s="1"/>
  <c r="T82" i="48" s="1"/>
  <c r="S5" i="2"/>
  <c r="S77" i="2" s="1"/>
  <c r="T90" i="48" s="1"/>
  <c r="S4" i="2"/>
  <c r="S76" i="2" s="1"/>
  <c r="T89" i="48" s="1"/>
  <c r="S3" i="2"/>
  <c r="C31" i="21"/>
  <c r="C31" i="20"/>
  <c r="I30" i="19"/>
  <c r="C31" i="18"/>
  <c r="I30" i="18"/>
  <c r="AA22" i="48" l="1"/>
  <c r="X18" i="48"/>
  <c r="AA18" i="48"/>
  <c r="AF17" i="48"/>
  <c r="X20" i="48"/>
  <c r="T16" i="48"/>
  <c r="W21" i="48"/>
  <c r="X16" i="48"/>
  <c r="S83" i="20"/>
  <c r="X110" i="48" s="1"/>
  <c r="S61" i="20"/>
  <c r="S47" i="76"/>
  <c r="AA269" i="48" s="1"/>
  <c r="AA263" i="48"/>
  <c r="S83" i="27"/>
  <c r="AB115" i="48" s="1"/>
  <c r="AD18" i="48"/>
  <c r="AD22" i="48"/>
  <c r="S46" i="30"/>
  <c r="AE268" i="48" s="1"/>
  <c r="AE18" i="48"/>
  <c r="AF21" i="48"/>
  <c r="AF23" i="48"/>
  <c r="AF19" i="48"/>
  <c r="AJ122" i="48"/>
  <c r="AK122" i="48"/>
  <c r="T18" i="48"/>
  <c r="S65" i="2"/>
  <c r="T81" i="48" s="1"/>
  <c r="S57" i="2"/>
  <c r="T66" i="48" s="1"/>
  <c r="S82" i="2"/>
  <c r="T95" i="48" s="1"/>
  <c r="T22" i="48"/>
  <c r="T17" i="48"/>
  <c r="S59" i="2"/>
  <c r="T68" i="48" s="1"/>
  <c r="S69" i="2"/>
  <c r="T85" i="48" s="1"/>
  <c r="S79" i="2"/>
  <c r="T92" i="48" s="1"/>
  <c r="F92" i="48" s="1"/>
  <c r="L92" i="48" s="1"/>
  <c r="S68" i="2"/>
  <c r="T84" i="48" s="1"/>
  <c r="T20" i="48"/>
  <c r="T15" i="48"/>
  <c r="S81" i="17"/>
  <c r="U108" i="48" s="1"/>
  <c r="S83" i="17"/>
  <c r="S60" i="20"/>
  <c r="S59" i="20"/>
  <c r="X73" i="48" s="1"/>
  <c r="X22" i="48"/>
  <c r="Y19" i="48"/>
  <c r="S69" i="21"/>
  <c r="Y85" i="48" s="1"/>
  <c r="S65" i="21"/>
  <c r="Y81" i="48" s="1"/>
  <c r="F100" i="48"/>
  <c r="L100" i="48" s="1"/>
  <c r="S47" i="27"/>
  <c r="AB269" i="48" s="1"/>
  <c r="AB22" i="48"/>
  <c r="S79" i="27"/>
  <c r="AB111" i="48" s="1"/>
  <c r="S47" i="29"/>
  <c r="AC269" i="48" s="1"/>
  <c r="AD16" i="48"/>
  <c r="F104" i="48"/>
  <c r="L104" i="48" s="1"/>
  <c r="S47" i="30"/>
  <c r="AE269" i="48" s="1"/>
  <c r="AE264" i="48"/>
  <c r="S79" i="30"/>
  <c r="AE111" i="48" s="1"/>
  <c r="S83" i="30"/>
  <c r="AE115" i="48" s="1"/>
  <c r="S46" i="31"/>
  <c r="AF268" i="48" s="1"/>
  <c r="U22" i="48"/>
  <c r="S47" i="77"/>
  <c r="F102" i="48"/>
  <c r="L102" i="48" s="1"/>
  <c r="F98" i="48"/>
  <c r="L98" i="48" s="1"/>
  <c r="AF16" i="48"/>
  <c r="S71" i="31"/>
  <c r="AF22" i="48"/>
  <c r="S61" i="31"/>
  <c r="AF15" i="48"/>
  <c r="S47" i="31"/>
  <c r="AF269" i="48" s="1"/>
  <c r="S59" i="31"/>
  <c r="S56" i="31"/>
  <c r="AF20" i="48"/>
  <c r="AF18" i="48"/>
  <c r="S60" i="31"/>
  <c r="S68" i="31"/>
  <c r="S70" i="31"/>
  <c r="AF82" i="48"/>
  <c r="AF83" i="48"/>
  <c r="AF81" i="48"/>
  <c r="AF80" i="48"/>
  <c r="S64" i="30"/>
  <c r="AE20" i="48"/>
  <c r="S68" i="30"/>
  <c r="S56" i="30"/>
  <c r="S60" i="30"/>
  <c r="S61" i="30"/>
  <c r="S59" i="30"/>
  <c r="S63" i="30"/>
  <c r="S65" i="30"/>
  <c r="S67" i="30"/>
  <c r="S69" i="30"/>
  <c r="S71" i="30"/>
  <c r="U75" i="30"/>
  <c r="S73" i="30"/>
  <c r="AE116" i="48" s="1"/>
  <c r="AE23" i="48"/>
  <c r="AE21" i="48"/>
  <c r="AE19" i="48"/>
  <c r="AE17" i="48"/>
  <c r="AE86" i="48"/>
  <c r="AE82" i="48"/>
  <c r="AE80" i="48"/>
  <c r="AE15" i="48"/>
  <c r="AD20" i="48"/>
  <c r="S73" i="77"/>
  <c r="AD116" i="48" s="1"/>
  <c r="S59" i="77"/>
  <c r="S60" i="77"/>
  <c r="S56" i="77"/>
  <c r="S61" i="77"/>
  <c r="S63" i="77"/>
  <c r="S75" i="77"/>
  <c r="AD97" i="48" s="1"/>
  <c r="S77" i="77"/>
  <c r="AD99" i="48" s="1"/>
  <c r="S79" i="77"/>
  <c r="AD101" i="48" s="1"/>
  <c r="S81" i="77"/>
  <c r="AD103" i="48" s="1"/>
  <c r="S83" i="77"/>
  <c r="AD105" i="48" s="1"/>
  <c r="S46" i="77"/>
  <c r="S65" i="77"/>
  <c r="S67" i="77"/>
  <c r="S69" i="77"/>
  <c r="S71" i="77"/>
  <c r="AD17" i="48"/>
  <c r="S64" i="77"/>
  <c r="S66" i="77"/>
  <c r="S68" i="77"/>
  <c r="S70" i="77"/>
  <c r="AD19" i="48"/>
  <c r="AD15" i="48"/>
  <c r="AD23" i="48"/>
  <c r="AD21" i="48"/>
  <c r="S56" i="29"/>
  <c r="S64" i="29"/>
  <c r="AC20" i="48"/>
  <c r="S46" i="29"/>
  <c r="AC268" i="48" s="1"/>
  <c r="S67" i="29"/>
  <c r="S69" i="29"/>
  <c r="S71" i="29"/>
  <c r="S59" i="29"/>
  <c r="S66" i="29"/>
  <c r="S68" i="29"/>
  <c r="S70" i="29"/>
  <c r="AC17" i="48"/>
  <c r="AC15" i="48"/>
  <c r="AC23" i="48"/>
  <c r="AB19" i="48"/>
  <c r="S73" i="27"/>
  <c r="AB116" i="48" s="1"/>
  <c r="S56" i="27"/>
  <c r="S46" i="27"/>
  <c r="AB268" i="48" s="1"/>
  <c r="S63" i="27"/>
  <c r="S65" i="27"/>
  <c r="S67" i="27"/>
  <c r="S69" i="27"/>
  <c r="S71" i="27"/>
  <c r="AB113" i="48"/>
  <c r="S59" i="27"/>
  <c r="S64" i="27"/>
  <c r="S66" i="27"/>
  <c r="S68" i="27"/>
  <c r="S70" i="27"/>
  <c r="AB20" i="48"/>
  <c r="AA16" i="48"/>
  <c r="AA20" i="48"/>
  <c r="S73" i="76"/>
  <c r="AA116" i="48" s="1"/>
  <c r="S56" i="76"/>
  <c r="AA65" i="48" s="1"/>
  <c r="S46" i="76"/>
  <c r="AA268" i="48" s="1"/>
  <c r="S63" i="76"/>
  <c r="S65" i="76"/>
  <c r="S67" i="76"/>
  <c r="S69" i="76"/>
  <c r="S71" i="76"/>
  <c r="S75" i="76"/>
  <c r="AA97" i="48" s="1"/>
  <c r="S77" i="76"/>
  <c r="AA99" i="48" s="1"/>
  <c r="S79" i="76"/>
  <c r="AA101" i="48" s="1"/>
  <c r="S81" i="76"/>
  <c r="AA103" i="48" s="1"/>
  <c r="S83" i="76"/>
  <c r="AA105" i="48" s="1"/>
  <c r="S59" i="76"/>
  <c r="S64" i="76"/>
  <c r="S66" i="76"/>
  <c r="S68" i="76"/>
  <c r="S70" i="76"/>
  <c r="AA23" i="48"/>
  <c r="AA21" i="48"/>
  <c r="AA19" i="48"/>
  <c r="AA17" i="48"/>
  <c r="AA15" i="48"/>
  <c r="S46" i="21"/>
  <c r="Y268" i="48" s="1"/>
  <c r="S71" i="21"/>
  <c r="Y87" i="48" s="1"/>
  <c r="Y16" i="48"/>
  <c r="S63" i="21"/>
  <c r="Y79" i="48" s="1"/>
  <c r="Y15" i="48"/>
  <c r="S47" i="21"/>
  <c r="Y269" i="48" s="1"/>
  <c r="S61" i="21"/>
  <c r="S59" i="21"/>
  <c r="Y73" i="48" s="1"/>
  <c r="S57" i="21"/>
  <c r="Y66" i="48" s="1"/>
  <c r="S60" i="21"/>
  <c r="S68" i="21"/>
  <c r="Y84" i="48" s="1"/>
  <c r="S70" i="21"/>
  <c r="Y86" i="48" s="1"/>
  <c r="Y20" i="48"/>
  <c r="Y18" i="48"/>
  <c r="S47" i="20"/>
  <c r="X269" i="48" s="1"/>
  <c r="X23" i="48"/>
  <c r="S73" i="20"/>
  <c r="S63" i="20"/>
  <c r="X79" i="48" s="1"/>
  <c r="S65" i="20"/>
  <c r="X81" i="48" s="1"/>
  <c r="S71" i="20"/>
  <c r="X87" i="48" s="1"/>
  <c r="X19" i="48"/>
  <c r="X15" i="48"/>
  <c r="S57" i="20"/>
  <c r="X66" i="48" s="1"/>
  <c r="S67" i="20"/>
  <c r="X83" i="48" s="1"/>
  <c r="S69" i="20"/>
  <c r="X85" i="48" s="1"/>
  <c r="S79" i="20"/>
  <c r="S81" i="20"/>
  <c r="X17" i="48"/>
  <c r="S46" i="20"/>
  <c r="X268" i="48" s="1"/>
  <c r="X21" i="48"/>
  <c r="S68" i="20"/>
  <c r="X84" i="48" s="1"/>
  <c r="S70" i="20"/>
  <c r="X86" i="48" s="1"/>
  <c r="S46" i="19"/>
  <c r="W268" i="48" s="1"/>
  <c r="S59" i="19"/>
  <c r="W73" i="48" s="1"/>
  <c r="W16" i="48"/>
  <c r="S61" i="19"/>
  <c r="S60" i="19"/>
  <c r="S47" i="19"/>
  <c r="W269" i="48" s="1"/>
  <c r="S64" i="19"/>
  <c r="W80" i="48" s="1"/>
  <c r="S66" i="19"/>
  <c r="W82" i="48" s="1"/>
  <c r="S68" i="19"/>
  <c r="W84" i="48" s="1"/>
  <c r="S70" i="19"/>
  <c r="W86" i="48" s="1"/>
  <c r="S73" i="19"/>
  <c r="W117" i="48" s="1"/>
  <c r="S76" i="19"/>
  <c r="W89" i="48" s="1"/>
  <c r="F89" i="48" s="1"/>
  <c r="L89" i="48" s="1"/>
  <c r="S78" i="19"/>
  <c r="W91" i="48" s="1"/>
  <c r="S80" i="19"/>
  <c r="W93" i="48" s="1"/>
  <c r="S82" i="19"/>
  <c r="W95" i="48" s="1"/>
  <c r="W18" i="48"/>
  <c r="S57" i="19"/>
  <c r="W66" i="48" s="1"/>
  <c r="S63" i="19"/>
  <c r="W79" i="48" s="1"/>
  <c r="S65" i="19"/>
  <c r="W81" i="48" s="1"/>
  <c r="S67" i="19"/>
  <c r="W83" i="48" s="1"/>
  <c r="S69" i="19"/>
  <c r="W85" i="48" s="1"/>
  <c r="S71" i="19"/>
  <c r="W87" i="48" s="1"/>
  <c r="S77" i="19"/>
  <c r="W90" i="48" s="1"/>
  <c r="F90" i="48" s="1"/>
  <c r="L90" i="48" s="1"/>
  <c r="W19" i="48"/>
  <c r="W15" i="48"/>
  <c r="W23" i="48"/>
  <c r="V266" i="48"/>
  <c r="S47" i="18"/>
  <c r="V269" i="48" s="1"/>
  <c r="V57" i="48"/>
  <c r="V53" i="48"/>
  <c r="V21" i="48"/>
  <c r="V20" i="48"/>
  <c r="V19" i="48"/>
  <c r="V34" i="48"/>
  <c r="V15" i="48"/>
  <c r="S47" i="17"/>
  <c r="S80" i="17"/>
  <c r="U51" i="48"/>
  <c r="S79" i="17"/>
  <c r="T264" i="48"/>
  <c r="S47" i="2"/>
  <c r="S57" i="18"/>
  <c r="V66" i="48" s="1"/>
  <c r="S71" i="18"/>
  <c r="V87" i="48" s="1"/>
  <c r="S46" i="18"/>
  <c r="S63" i="18"/>
  <c r="S65" i="18"/>
  <c r="V81" i="48" s="1"/>
  <c r="S67" i="18"/>
  <c r="S69" i="18"/>
  <c r="S59" i="18"/>
  <c r="S64" i="18"/>
  <c r="S66" i="18"/>
  <c r="S68" i="18"/>
  <c r="S70" i="18"/>
  <c r="S67" i="17"/>
  <c r="S65" i="17"/>
  <c r="U81" i="48" s="1"/>
  <c r="S73" i="17"/>
  <c r="U117" i="48" s="1"/>
  <c r="S59" i="17"/>
  <c r="S63" i="17"/>
  <c r="S57" i="17"/>
  <c r="S71" i="17"/>
  <c r="S69" i="17"/>
  <c r="S46" i="17"/>
  <c r="S64" i="17"/>
  <c r="S66" i="17"/>
  <c r="S68" i="17"/>
  <c r="S70" i="17"/>
  <c r="U86" i="48" s="1"/>
  <c r="S83" i="2"/>
  <c r="T96" i="48" s="1"/>
  <c r="F96" i="48" s="1"/>
  <c r="L96" i="48" s="1"/>
  <c r="S63" i="2"/>
  <c r="T79" i="48" s="1"/>
  <c r="S64" i="2"/>
  <c r="T80" i="48" s="1"/>
  <c r="S78" i="2"/>
  <c r="T91" i="48" s="1"/>
  <c r="S71" i="2"/>
  <c r="T87" i="48" s="1"/>
  <c r="S67" i="2"/>
  <c r="T83" i="48" s="1"/>
  <c r="S73" i="2"/>
  <c r="T117" i="48" s="1"/>
  <c r="S81" i="2"/>
  <c r="T94" i="48" s="1"/>
  <c r="S75" i="2"/>
  <c r="T88" i="48" s="1"/>
  <c r="F88" i="48" s="1"/>
  <c r="L88" i="48" s="1"/>
  <c r="S46" i="2"/>
  <c r="U58" i="26"/>
  <c r="R267" i="48"/>
  <c r="R266" i="48"/>
  <c r="R265" i="48"/>
  <c r="R264" i="48"/>
  <c r="R59" i="48"/>
  <c r="R58" i="48"/>
  <c r="R57" i="48"/>
  <c r="R56" i="48"/>
  <c r="R55" i="48"/>
  <c r="R54" i="48"/>
  <c r="R53" i="48"/>
  <c r="R52" i="48"/>
  <c r="R51" i="48"/>
  <c r="R50" i="48"/>
  <c r="R47" i="48"/>
  <c r="R43" i="48"/>
  <c r="R41" i="48"/>
  <c r="R39" i="48"/>
  <c r="R38" i="48"/>
  <c r="R37" i="48"/>
  <c r="S63" i="23"/>
  <c r="S62" i="23"/>
  <c r="U58" i="23"/>
  <c r="S44" i="23"/>
  <c r="S43" i="23"/>
  <c r="Q266" i="48" s="1"/>
  <c r="S42" i="23"/>
  <c r="Q265" i="48" s="1"/>
  <c r="S41" i="23"/>
  <c r="S40" i="23"/>
  <c r="Q263" i="48" s="1"/>
  <c r="S38" i="23"/>
  <c r="Q59" i="48" s="1"/>
  <c r="S37" i="23"/>
  <c r="Q58" i="48" s="1"/>
  <c r="S36" i="23"/>
  <c r="Q57" i="48" s="1"/>
  <c r="S35" i="23"/>
  <c r="Q56" i="48" s="1"/>
  <c r="S34" i="23"/>
  <c r="Q55" i="48" s="1"/>
  <c r="S33" i="23"/>
  <c r="Q54" i="48" s="1"/>
  <c r="S32" i="23"/>
  <c r="Q53" i="48" s="1"/>
  <c r="S31" i="23"/>
  <c r="Q52" i="48" s="1"/>
  <c r="S30" i="23"/>
  <c r="Q51" i="48" s="1"/>
  <c r="S29" i="23"/>
  <c r="Q50" i="48" s="1"/>
  <c r="S28" i="23"/>
  <c r="Q49" i="48" s="1"/>
  <c r="S27" i="23"/>
  <c r="Q48" i="48" s="1"/>
  <c r="S26" i="23"/>
  <c r="Q47" i="48" s="1"/>
  <c r="S25" i="23"/>
  <c r="Q46" i="48" s="1"/>
  <c r="S24" i="23"/>
  <c r="Q45" i="48" s="1"/>
  <c r="S23" i="23"/>
  <c r="Q44" i="48" s="1"/>
  <c r="S22" i="23"/>
  <c r="Q43" i="48" s="1"/>
  <c r="S21" i="23"/>
  <c r="Q42" i="48" s="1"/>
  <c r="S20" i="23"/>
  <c r="Q41" i="48" s="1"/>
  <c r="S19" i="23"/>
  <c r="S18" i="23"/>
  <c r="Q39" i="48" s="1"/>
  <c r="S17" i="23"/>
  <c r="Q38" i="48" s="1"/>
  <c r="S16" i="23"/>
  <c r="Q37" i="48" s="1"/>
  <c r="S15" i="23"/>
  <c r="Q36" i="48" s="1"/>
  <c r="S14" i="23"/>
  <c r="Q35" i="48" s="1"/>
  <c r="S13" i="23"/>
  <c r="Q34" i="48" s="1"/>
  <c r="S11" i="23"/>
  <c r="Q23" i="48" s="1"/>
  <c r="S10" i="23"/>
  <c r="Q22" i="48" s="1"/>
  <c r="S9" i="23"/>
  <c r="Q21" i="48" s="1"/>
  <c r="S8" i="23"/>
  <c r="Q20" i="48" s="1"/>
  <c r="S7" i="23"/>
  <c r="Q19" i="48" s="1"/>
  <c r="S6" i="23"/>
  <c r="Q18" i="48" s="1"/>
  <c r="S5" i="23"/>
  <c r="Q17" i="48" s="1"/>
  <c r="S4" i="23"/>
  <c r="Q16" i="48" s="1"/>
  <c r="S3" i="23"/>
  <c r="Q15" i="48" s="1"/>
  <c r="U61" i="25"/>
  <c r="U60" i="25"/>
  <c r="U58" i="25"/>
  <c r="P267" i="48"/>
  <c r="P266" i="48"/>
  <c r="P265" i="48"/>
  <c r="P264" i="48"/>
  <c r="P263" i="48"/>
  <c r="P59" i="48"/>
  <c r="P58" i="48"/>
  <c r="P57" i="48"/>
  <c r="P56" i="48"/>
  <c r="P55" i="48"/>
  <c r="P54" i="48"/>
  <c r="P53" i="48"/>
  <c r="P52" i="48"/>
  <c r="P51" i="48"/>
  <c r="P50" i="48"/>
  <c r="P49" i="48"/>
  <c r="P48" i="48"/>
  <c r="P47" i="48"/>
  <c r="P46" i="48"/>
  <c r="P45" i="48"/>
  <c r="P44" i="48"/>
  <c r="P43" i="48"/>
  <c r="P42" i="48"/>
  <c r="P41" i="48"/>
  <c r="P40" i="48"/>
  <c r="P39" i="48"/>
  <c r="P38" i="48"/>
  <c r="P37" i="48"/>
  <c r="P36" i="48"/>
  <c r="P35" i="48"/>
  <c r="P34" i="48"/>
  <c r="P32" i="48"/>
  <c r="P31" i="48"/>
  <c r="P30" i="48"/>
  <c r="P29" i="48"/>
  <c r="P28" i="48"/>
  <c r="P27" i="48"/>
  <c r="P26" i="48"/>
  <c r="P25" i="48"/>
  <c r="P24" i="48"/>
  <c r="U61" i="24"/>
  <c r="U60" i="24"/>
  <c r="U58" i="24"/>
  <c r="S44" i="24"/>
  <c r="S43" i="24"/>
  <c r="N266" i="48" s="1"/>
  <c r="S42" i="24"/>
  <c r="N265" i="48" s="1"/>
  <c r="S41" i="24"/>
  <c r="S40" i="24"/>
  <c r="S38" i="24"/>
  <c r="S37" i="24"/>
  <c r="S36" i="24"/>
  <c r="S35" i="24"/>
  <c r="S34" i="24"/>
  <c r="N55" i="48" s="1"/>
  <c r="S33" i="24"/>
  <c r="S32" i="24"/>
  <c r="N53" i="48" s="1"/>
  <c r="S31" i="24"/>
  <c r="S30" i="24"/>
  <c r="N51" i="48" s="1"/>
  <c r="S29" i="24"/>
  <c r="N50" i="48" s="1"/>
  <c r="S28" i="24"/>
  <c r="S27" i="24"/>
  <c r="S26" i="24"/>
  <c r="S25" i="24"/>
  <c r="S24" i="24"/>
  <c r="S23" i="24"/>
  <c r="S22" i="24"/>
  <c r="S21" i="24"/>
  <c r="N42" i="48" s="1"/>
  <c r="S20" i="24"/>
  <c r="S19" i="24"/>
  <c r="N40" i="48" s="1"/>
  <c r="S18" i="24"/>
  <c r="S17" i="24"/>
  <c r="N38" i="48" s="1"/>
  <c r="S16" i="24"/>
  <c r="S15" i="24"/>
  <c r="S14" i="24"/>
  <c r="S13" i="24"/>
  <c r="S9" i="24"/>
  <c r="N14" i="48" s="1"/>
  <c r="F14" i="48" s="1"/>
  <c r="L14" i="48" s="1"/>
  <c r="S8" i="24"/>
  <c r="N13" i="48" s="1"/>
  <c r="F13" i="48" s="1"/>
  <c r="S7" i="24"/>
  <c r="N12" i="48" s="1"/>
  <c r="F12" i="48" s="1"/>
  <c r="L12" i="48" s="1"/>
  <c r="S6" i="24"/>
  <c r="N11" i="48" s="1"/>
  <c r="F11" i="48" s="1"/>
  <c r="L11" i="48" s="1"/>
  <c r="S44" i="22"/>
  <c r="O267" i="48" s="1"/>
  <c r="S43" i="22"/>
  <c r="O266" i="48" s="1"/>
  <c r="S42" i="22"/>
  <c r="O265" i="48" s="1"/>
  <c r="S41" i="22"/>
  <c r="O264" i="48" s="1"/>
  <c r="S40" i="22"/>
  <c r="S38" i="22"/>
  <c r="O59" i="48" s="1"/>
  <c r="S37" i="22"/>
  <c r="O58" i="48" s="1"/>
  <c r="S36" i="22"/>
  <c r="O57" i="48" s="1"/>
  <c r="S35" i="22"/>
  <c r="O56" i="48" s="1"/>
  <c r="S34" i="22"/>
  <c r="O55" i="48" s="1"/>
  <c r="S33" i="22"/>
  <c r="O54" i="48" s="1"/>
  <c r="S32" i="22"/>
  <c r="O53" i="48" s="1"/>
  <c r="S31" i="22"/>
  <c r="O52" i="48" s="1"/>
  <c r="S30" i="22"/>
  <c r="O51" i="48" s="1"/>
  <c r="S29" i="22"/>
  <c r="O50" i="48" s="1"/>
  <c r="S28" i="22"/>
  <c r="O49" i="48" s="1"/>
  <c r="S27" i="22"/>
  <c r="O48" i="48" s="1"/>
  <c r="S26" i="22"/>
  <c r="O47" i="48" s="1"/>
  <c r="S25" i="22"/>
  <c r="O46" i="48" s="1"/>
  <c r="S24" i="22"/>
  <c r="O45" i="48" s="1"/>
  <c r="S23" i="22"/>
  <c r="O44" i="48" s="1"/>
  <c r="S22" i="22"/>
  <c r="O43" i="48" s="1"/>
  <c r="S21" i="22"/>
  <c r="O42" i="48" s="1"/>
  <c r="S20" i="22"/>
  <c r="O41" i="48" s="1"/>
  <c r="S19" i="22"/>
  <c r="O40" i="48" s="1"/>
  <c r="S18" i="22"/>
  <c r="O39" i="48" s="1"/>
  <c r="S17" i="22"/>
  <c r="O38" i="48" s="1"/>
  <c r="S16" i="22"/>
  <c r="O37" i="48" s="1"/>
  <c r="S15" i="22"/>
  <c r="O36" i="48" s="1"/>
  <c r="S14" i="22"/>
  <c r="O35" i="48" s="1"/>
  <c r="S13" i="22"/>
  <c r="O34" i="48" s="1"/>
  <c r="S11" i="22"/>
  <c r="O23" i="48" s="1"/>
  <c r="S10" i="22"/>
  <c r="O22" i="48" s="1"/>
  <c r="S9" i="22"/>
  <c r="O21" i="48" s="1"/>
  <c r="S8" i="22"/>
  <c r="S7" i="22"/>
  <c r="O19" i="48" s="1"/>
  <c r="S6" i="22"/>
  <c r="O18" i="48" s="1"/>
  <c r="S5" i="22"/>
  <c r="O17" i="48" s="1"/>
  <c r="S4" i="22"/>
  <c r="O16" i="48" s="1"/>
  <c r="S3" i="22"/>
  <c r="O15" i="48" s="1"/>
  <c r="F91" i="48" l="1"/>
  <c r="L91" i="48" s="1"/>
  <c r="F19" i="48"/>
  <c r="L19" i="48" s="1"/>
  <c r="S47" i="24"/>
  <c r="N269" i="48" s="1"/>
  <c r="F43" i="48"/>
  <c r="L43" i="48" s="1"/>
  <c r="Q76" i="48"/>
  <c r="Q77" i="48"/>
  <c r="R76" i="48"/>
  <c r="R77" i="48"/>
  <c r="F59" i="48"/>
  <c r="L59" i="48" s="1"/>
  <c r="R49" i="48"/>
  <c r="F49" i="48" s="1"/>
  <c r="L49" i="48" s="1"/>
  <c r="F51" i="48"/>
  <c r="L51" i="48" s="1"/>
  <c r="F58" i="48"/>
  <c r="L58" i="48" s="1"/>
  <c r="R48" i="48"/>
  <c r="F57" i="48"/>
  <c r="L57" i="48" s="1"/>
  <c r="R34" i="48"/>
  <c r="F34" i="48" s="1"/>
  <c r="L34" i="48" s="1"/>
  <c r="F52" i="48"/>
  <c r="L52" i="48" s="1"/>
  <c r="R42" i="48"/>
  <c r="F42" i="48" s="1"/>
  <c r="L42" i="48" s="1"/>
  <c r="F56" i="48"/>
  <c r="L56" i="48" s="1"/>
  <c r="R46" i="48"/>
  <c r="F46" i="48" s="1"/>
  <c r="L46" i="48" s="1"/>
  <c r="R35" i="48"/>
  <c r="F35" i="48" s="1"/>
  <c r="R36" i="48"/>
  <c r="F36" i="48" s="1"/>
  <c r="F50" i="48"/>
  <c r="L50" i="48" s="1"/>
  <c r="R40" i="48"/>
  <c r="F54" i="48"/>
  <c r="L54" i="48" s="1"/>
  <c r="R44" i="48"/>
  <c r="F44" i="48" s="1"/>
  <c r="L44" i="48" s="1"/>
  <c r="F55" i="48"/>
  <c r="L55" i="48" s="1"/>
  <c r="R45" i="48"/>
  <c r="F45" i="48" s="1"/>
  <c r="L45" i="48" s="1"/>
  <c r="S46" i="26"/>
  <c r="R268" i="48" s="1"/>
  <c r="R263" i="48"/>
  <c r="R32" i="48"/>
  <c r="F32" i="48" s="1"/>
  <c r="R31" i="48"/>
  <c r="R30" i="48"/>
  <c r="F48" i="48"/>
  <c r="L48" i="48" s="1"/>
  <c r="R28" i="48"/>
  <c r="F28" i="48" s="1"/>
  <c r="R27" i="48"/>
  <c r="R26" i="48"/>
  <c r="F26" i="48" s="1"/>
  <c r="L26" i="48" s="1"/>
  <c r="R24" i="48"/>
  <c r="F24" i="48" s="1"/>
  <c r="S60" i="26"/>
  <c r="R74" i="48" s="1"/>
  <c r="W74" i="48"/>
  <c r="W75" i="48"/>
  <c r="X75" i="48"/>
  <c r="X74" i="48"/>
  <c r="Y74" i="48"/>
  <c r="Y75" i="48"/>
  <c r="F97" i="48"/>
  <c r="L97" i="48" s="1"/>
  <c r="F115" i="48"/>
  <c r="L115" i="48" s="1"/>
  <c r="F38" i="48"/>
  <c r="L38" i="48" s="1"/>
  <c r="F47" i="48"/>
  <c r="L47" i="48" s="1"/>
  <c r="S53" i="22"/>
  <c r="O62" i="48" s="1"/>
  <c r="O20" i="48"/>
  <c r="F20" i="48" s="1"/>
  <c r="L20" i="48" s="1"/>
  <c r="R25" i="48"/>
  <c r="F25" i="48" s="1"/>
  <c r="L25" i="48" s="1"/>
  <c r="S54" i="26"/>
  <c r="R63" i="48" s="1"/>
  <c r="R29" i="48"/>
  <c r="F29" i="48" s="1"/>
  <c r="F95" i="48"/>
  <c r="L95" i="48" s="1"/>
  <c r="U110" i="48"/>
  <c r="F110" i="48" s="1"/>
  <c r="L110" i="48" s="1"/>
  <c r="U107" i="48"/>
  <c r="F107" i="48" s="1"/>
  <c r="L107" i="48" s="1"/>
  <c r="U106" i="48"/>
  <c r="X108" i="48"/>
  <c r="F108" i="48" s="1"/>
  <c r="L108" i="48" s="1"/>
  <c r="X106" i="48"/>
  <c r="X117" i="48"/>
  <c r="F101" i="48"/>
  <c r="L101" i="48" s="1"/>
  <c r="F99" i="48"/>
  <c r="L99" i="48" s="1"/>
  <c r="F105" i="48"/>
  <c r="L105" i="48" s="1"/>
  <c r="F103" i="48"/>
  <c r="L103" i="48" s="1"/>
  <c r="F22" i="48"/>
  <c r="L22" i="48" s="1"/>
  <c r="F53" i="48"/>
  <c r="L53" i="48" s="1"/>
  <c r="U109" i="48"/>
  <c r="F109" i="48" s="1"/>
  <c r="L109" i="48" s="1"/>
  <c r="S52" i="24"/>
  <c r="N37" i="48"/>
  <c r="S59" i="24"/>
  <c r="F18" i="48"/>
  <c r="L18" i="48" s="1"/>
  <c r="F16" i="48"/>
  <c r="L16" i="48" s="1"/>
  <c r="AD269" i="48"/>
  <c r="AD268" i="48"/>
  <c r="AF74" i="48"/>
  <c r="AF75" i="48"/>
  <c r="AF72" i="48"/>
  <c r="AF65" i="48"/>
  <c r="AF79" i="48"/>
  <c r="AF86" i="48"/>
  <c r="AF87" i="48"/>
  <c r="AF84" i="48"/>
  <c r="AF85" i="48"/>
  <c r="AE65" i="48"/>
  <c r="AE84" i="48"/>
  <c r="AE87" i="48"/>
  <c r="AE79" i="48"/>
  <c r="AE85" i="48"/>
  <c r="AE72" i="48"/>
  <c r="AE75" i="48"/>
  <c r="AE74" i="48"/>
  <c r="AE83" i="48"/>
  <c r="AE81" i="48"/>
  <c r="F21" i="48"/>
  <c r="L21" i="48" s="1"/>
  <c r="AD75" i="48"/>
  <c r="AD74" i="48"/>
  <c r="AD82" i="48"/>
  <c r="AD85" i="48"/>
  <c r="AD80" i="48"/>
  <c r="AD83" i="48"/>
  <c r="AD65" i="48"/>
  <c r="AD86" i="48"/>
  <c r="AD72" i="48"/>
  <c r="AD81" i="48"/>
  <c r="F23" i="48"/>
  <c r="L23" i="48" s="1"/>
  <c r="AD84" i="48"/>
  <c r="AD87" i="48"/>
  <c r="AD79" i="48"/>
  <c r="AC82" i="48"/>
  <c r="AC80" i="48"/>
  <c r="AC65" i="48"/>
  <c r="AC79" i="48"/>
  <c r="AC83" i="48"/>
  <c r="AC85" i="48"/>
  <c r="AC81" i="48"/>
  <c r="AC86" i="48"/>
  <c r="AC87" i="48"/>
  <c r="AC84" i="48"/>
  <c r="AC68" i="48"/>
  <c r="AB87" i="48"/>
  <c r="AB79" i="48"/>
  <c r="AB65" i="48"/>
  <c r="AB82" i="48"/>
  <c r="AB85" i="48"/>
  <c r="AB80" i="48"/>
  <c r="AB83" i="48"/>
  <c r="AB86" i="48"/>
  <c r="AB68" i="48"/>
  <c r="AB81" i="48"/>
  <c r="AB84" i="48"/>
  <c r="AA86" i="48"/>
  <c r="AA68" i="48"/>
  <c r="AA79" i="48"/>
  <c r="AA84" i="48"/>
  <c r="AA87" i="48"/>
  <c r="AA83" i="48"/>
  <c r="AA80" i="48"/>
  <c r="AA81" i="48"/>
  <c r="F17" i="48"/>
  <c r="L17" i="48" s="1"/>
  <c r="AA82" i="48"/>
  <c r="AA85" i="48"/>
  <c r="Q267" i="48"/>
  <c r="Q264" i="48"/>
  <c r="F264" i="48" s="1"/>
  <c r="Q40" i="48"/>
  <c r="F15" i="48"/>
  <c r="L15" i="48" s="1"/>
  <c r="V268" i="48"/>
  <c r="V86" i="48"/>
  <c r="V82" i="48"/>
  <c r="V80" i="48"/>
  <c r="V85" i="48"/>
  <c r="V84" i="48"/>
  <c r="V83" i="48"/>
  <c r="V68" i="48"/>
  <c r="V79" i="48"/>
  <c r="U269" i="48"/>
  <c r="U268" i="48"/>
  <c r="U87" i="48"/>
  <c r="U84" i="48"/>
  <c r="U83" i="48"/>
  <c r="U79" i="48"/>
  <c r="U85" i="48"/>
  <c r="U82" i="48"/>
  <c r="U80" i="48"/>
  <c r="U66" i="48"/>
  <c r="U68" i="48"/>
  <c r="T268" i="48"/>
  <c r="T269" i="48"/>
  <c r="S46" i="22"/>
  <c r="O268" i="48" s="1"/>
  <c r="O263" i="48"/>
  <c r="F263" i="48" s="1"/>
  <c r="S47" i="26"/>
  <c r="R269" i="48" s="1"/>
  <c r="S59" i="26"/>
  <c r="R71" i="48" s="1"/>
  <c r="F71" i="48" s="1"/>
  <c r="S59" i="23"/>
  <c r="Q70" i="48" s="1"/>
  <c r="S60" i="23"/>
  <c r="S47" i="23"/>
  <c r="S46" i="23"/>
  <c r="S53" i="23"/>
  <c r="S47" i="25"/>
  <c r="P269" i="48" s="1"/>
  <c r="S54" i="25"/>
  <c r="P63" i="48" s="1"/>
  <c r="S59" i="25"/>
  <c r="P268" i="48"/>
  <c r="S46" i="24"/>
  <c r="N268" i="48" s="1"/>
  <c r="S59" i="22"/>
  <c r="O68" i="48" s="1"/>
  <c r="S47" i="22"/>
  <c r="O269" i="48" s="1"/>
  <c r="U58" i="22"/>
  <c r="U61" i="22"/>
  <c r="U60" i="22"/>
  <c r="F77" i="48" l="1"/>
  <c r="F76" i="48"/>
  <c r="L32" i="48"/>
  <c r="L28" i="48"/>
  <c r="L24" i="48"/>
  <c r="F31" i="48"/>
  <c r="L31" i="48" s="1"/>
  <c r="F27" i="48"/>
  <c r="L27" i="48" s="1"/>
  <c r="P68" i="48"/>
  <c r="F63" i="48"/>
  <c r="F37" i="48"/>
  <c r="L37" i="48" s="1"/>
  <c r="F40" i="48"/>
  <c r="L40" i="48" s="1"/>
  <c r="F106" i="48"/>
  <c r="L106" i="48" s="1"/>
  <c r="N61" i="48"/>
  <c r="N68" i="48"/>
  <c r="F72" i="48"/>
  <c r="F83" i="48"/>
  <c r="L83" i="48" s="1"/>
  <c r="F80" i="48"/>
  <c r="L80" i="48" s="1"/>
  <c r="F81" i="48"/>
  <c r="L81" i="48" s="1"/>
  <c r="F85" i="48"/>
  <c r="L85" i="48" s="1"/>
  <c r="F86" i="48"/>
  <c r="L86" i="48" s="1"/>
  <c r="F65" i="48"/>
  <c r="F87" i="48"/>
  <c r="F82" i="48"/>
  <c r="L82" i="48" s="1"/>
  <c r="F79" i="48"/>
  <c r="L79" i="48" s="1"/>
  <c r="Q268" i="48"/>
  <c r="Q269" i="48"/>
  <c r="Q62" i="48"/>
  <c r="Q74" i="48"/>
  <c r="L86" i="9"/>
  <c r="M86" i="9"/>
  <c r="N86" i="9"/>
  <c r="Q86" i="9"/>
  <c r="T86" i="9"/>
  <c r="U86" i="9"/>
  <c r="L87" i="9"/>
  <c r="M87" i="9"/>
  <c r="N87" i="9"/>
  <c r="Q87" i="9"/>
  <c r="T87" i="9"/>
  <c r="U87" i="9"/>
  <c r="L88" i="9"/>
  <c r="M88" i="9"/>
  <c r="N88" i="9"/>
  <c r="Q88" i="9"/>
  <c r="T88" i="9"/>
  <c r="U88" i="9"/>
  <c r="L89" i="9"/>
  <c r="M89" i="9"/>
  <c r="N89" i="9"/>
  <c r="Q89" i="9"/>
  <c r="T89" i="9"/>
  <c r="U89" i="9"/>
  <c r="L90" i="9"/>
  <c r="M90" i="9"/>
  <c r="N90" i="9"/>
  <c r="Q90" i="9"/>
  <c r="T90" i="9"/>
  <c r="U90" i="9"/>
  <c r="L91" i="9"/>
  <c r="M91" i="9"/>
  <c r="N91" i="9"/>
  <c r="Q91" i="9"/>
  <c r="T91" i="9"/>
  <c r="U91" i="9"/>
  <c r="L92" i="9"/>
  <c r="M92" i="9"/>
  <c r="N92" i="9"/>
  <c r="Q92" i="9"/>
  <c r="T92" i="9"/>
  <c r="U92" i="9"/>
  <c r="T109" i="9"/>
  <c r="U109" i="9"/>
  <c r="T110" i="9"/>
  <c r="U110" i="9"/>
  <c r="T111" i="9"/>
  <c r="U111" i="9"/>
  <c r="T112" i="9"/>
  <c r="U112" i="9"/>
  <c r="T113" i="9"/>
  <c r="U113" i="9"/>
  <c r="T114" i="9"/>
  <c r="U114" i="9"/>
  <c r="T115" i="9"/>
  <c r="U115" i="9"/>
  <c r="T116" i="9"/>
  <c r="U116" i="9"/>
  <c r="T117" i="9"/>
  <c r="U117" i="9"/>
  <c r="T118" i="9"/>
  <c r="U118" i="9"/>
  <c r="T119" i="9"/>
  <c r="U119" i="9"/>
  <c r="T120" i="9"/>
  <c r="U120" i="9"/>
  <c r="T121" i="9"/>
  <c r="U121" i="9"/>
  <c r="T122" i="9"/>
  <c r="U122" i="9"/>
  <c r="T123" i="9"/>
  <c r="U123" i="9"/>
  <c r="Q122" i="9"/>
  <c r="Q123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M118" i="9"/>
  <c r="N118" i="9"/>
  <c r="M119" i="9"/>
  <c r="N119" i="9"/>
  <c r="M120" i="9"/>
  <c r="N120" i="9"/>
  <c r="M121" i="9"/>
  <c r="N121" i="9"/>
  <c r="U108" i="9"/>
  <c r="T108" i="9"/>
  <c r="Q108" i="9"/>
  <c r="N108" i="9"/>
  <c r="M108" i="9"/>
  <c r="L263" i="48" l="1"/>
  <c r="L264" i="48"/>
  <c r="L307" i="9"/>
  <c r="M307" i="9"/>
  <c r="N307" i="9"/>
  <c r="Q307" i="9"/>
  <c r="T307" i="9"/>
  <c r="U307" i="9"/>
  <c r="L308" i="9"/>
  <c r="M308" i="9"/>
  <c r="N308" i="9"/>
  <c r="Q308" i="9"/>
  <c r="T308" i="9"/>
  <c r="U308" i="9"/>
  <c r="L309" i="9"/>
  <c r="M309" i="9"/>
  <c r="N309" i="9"/>
  <c r="Q309" i="9"/>
  <c r="T309" i="9"/>
  <c r="U309" i="9"/>
  <c r="L310" i="9"/>
  <c r="M310" i="9"/>
  <c r="N310" i="9"/>
  <c r="Q310" i="9"/>
  <c r="T310" i="9"/>
  <c r="U310" i="9"/>
  <c r="L311" i="9"/>
  <c r="M311" i="9"/>
  <c r="N311" i="9"/>
  <c r="Q311" i="9"/>
  <c r="T311" i="9"/>
  <c r="U311" i="9"/>
  <c r="L312" i="9"/>
  <c r="M312" i="9"/>
  <c r="N312" i="9"/>
  <c r="Q312" i="9"/>
  <c r="T312" i="9"/>
  <c r="U312" i="9"/>
  <c r="L313" i="9"/>
  <c r="M313" i="9"/>
  <c r="N313" i="9"/>
  <c r="Q313" i="9"/>
  <c r="T313" i="9"/>
  <c r="U313" i="9"/>
  <c r="L314" i="9"/>
  <c r="M314" i="9"/>
  <c r="N314" i="9"/>
  <c r="Q314" i="9"/>
  <c r="T314" i="9"/>
  <c r="U314" i="9"/>
  <c r="L315" i="9"/>
  <c r="M315" i="9"/>
  <c r="N315" i="9"/>
  <c r="Q315" i="9"/>
  <c r="T315" i="9"/>
  <c r="U315" i="9"/>
  <c r="L316" i="9"/>
  <c r="M316" i="9"/>
  <c r="N316" i="9"/>
  <c r="Q316" i="9"/>
  <c r="T316" i="9"/>
  <c r="U316" i="9"/>
  <c r="L317" i="9"/>
  <c r="M317" i="9"/>
  <c r="N317" i="9"/>
  <c r="Q317" i="9"/>
  <c r="T317" i="9"/>
  <c r="U317" i="9"/>
  <c r="L318" i="9"/>
  <c r="M318" i="9"/>
  <c r="N318" i="9"/>
  <c r="Q318" i="9"/>
  <c r="T318" i="9"/>
  <c r="U318" i="9"/>
  <c r="L319" i="9"/>
  <c r="M319" i="9"/>
  <c r="N319" i="9"/>
  <c r="Q319" i="9"/>
  <c r="T319" i="9"/>
  <c r="U319" i="9"/>
  <c r="L320" i="9"/>
  <c r="M320" i="9"/>
  <c r="N320" i="9"/>
  <c r="Q320" i="9"/>
  <c r="T320" i="9"/>
  <c r="U320" i="9"/>
  <c r="L321" i="9"/>
  <c r="M321" i="9"/>
  <c r="N321" i="9"/>
  <c r="Q321" i="9"/>
  <c r="T321" i="9"/>
  <c r="U321" i="9"/>
  <c r="L322" i="9"/>
  <c r="M322" i="9"/>
  <c r="N322" i="9"/>
  <c r="Q322" i="9"/>
  <c r="T322" i="9"/>
  <c r="U322" i="9"/>
  <c r="L304" i="9"/>
  <c r="M304" i="9"/>
  <c r="N304" i="9"/>
  <c r="Q304" i="9"/>
  <c r="T304" i="9"/>
  <c r="U304" i="9"/>
  <c r="L305" i="9"/>
  <c r="M305" i="9"/>
  <c r="N305" i="9"/>
  <c r="Q305" i="9"/>
  <c r="T305" i="9"/>
  <c r="U305" i="9"/>
  <c r="L306" i="9"/>
  <c r="M306" i="9"/>
  <c r="N306" i="9"/>
  <c r="Q306" i="9"/>
  <c r="T306" i="9"/>
  <c r="U306" i="9"/>
  <c r="L296" i="9"/>
  <c r="M296" i="9"/>
  <c r="N296" i="9"/>
  <c r="Q296" i="9"/>
  <c r="T296" i="9"/>
  <c r="U296" i="9"/>
  <c r="L297" i="9"/>
  <c r="M297" i="9"/>
  <c r="N297" i="9"/>
  <c r="Q297" i="9"/>
  <c r="T297" i="9"/>
  <c r="U297" i="9"/>
  <c r="L298" i="9"/>
  <c r="M298" i="9"/>
  <c r="N298" i="9"/>
  <c r="Q298" i="9"/>
  <c r="T298" i="9"/>
  <c r="U298" i="9"/>
  <c r="L299" i="9"/>
  <c r="M299" i="9"/>
  <c r="N299" i="9"/>
  <c r="Q299" i="9"/>
  <c r="T299" i="9"/>
  <c r="U299" i="9"/>
  <c r="L300" i="9"/>
  <c r="M300" i="9"/>
  <c r="N300" i="9"/>
  <c r="Q300" i="9"/>
  <c r="T300" i="9"/>
  <c r="U300" i="9"/>
  <c r="L301" i="9"/>
  <c r="M301" i="9"/>
  <c r="N301" i="9"/>
  <c r="Q301" i="9"/>
  <c r="T301" i="9"/>
  <c r="U301" i="9"/>
  <c r="L302" i="9"/>
  <c r="M302" i="9"/>
  <c r="N302" i="9"/>
  <c r="Q302" i="9"/>
  <c r="T302" i="9"/>
  <c r="U302" i="9"/>
  <c r="L303" i="9"/>
  <c r="M303" i="9"/>
  <c r="N303" i="9"/>
  <c r="Q303" i="9"/>
  <c r="T303" i="9"/>
  <c r="U303" i="9"/>
  <c r="L291" i="9"/>
  <c r="M291" i="9"/>
  <c r="N291" i="9"/>
  <c r="Q291" i="9"/>
  <c r="T291" i="9"/>
  <c r="U291" i="9"/>
  <c r="L292" i="9"/>
  <c r="M292" i="9"/>
  <c r="N292" i="9"/>
  <c r="Q292" i="9"/>
  <c r="T292" i="9"/>
  <c r="U292" i="9"/>
  <c r="L293" i="9"/>
  <c r="M293" i="9"/>
  <c r="N293" i="9"/>
  <c r="Q293" i="9"/>
  <c r="T293" i="9"/>
  <c r="U293" i="9"/>
  <c r="L294" i="9"/>
  <c r="M294" i="9"/>
  <c r="N294" i="9"/>
  <c r="Q294" i="9"/>
  <c r="T294" i="9"/>
  <c r="U294" i="9"/>
  <c r="L295" i="9"/>
  <c r="M295" i="9"/>
  <c r="N295" i="9"/>
  <c r="Q295" i="9"/>
  <c r="T295" i="9"/>
  <c r="U295" i="9"/>
  <c r="L274" i="9"/>
  <c r="M274" i="9"/>
  <c r="N274" i="9"/>
  <c r="Q274" i="9"/>
  <c r="T274" i="9"/>
  <c r="U274" i="9"/>
  <c r="L275" i="9"/>
  <c r="M275" i="9"/>
  <c r="N275" i="9"/>
  <c r="Q275" i="9"/>
  <c r="T275" i="9"/>
  <c r="U275" i="9"/>
  <c r="L276" i="9"/>
  <c r="M276" i="9"/>
  <c r="N276" i="9"/>
  <c r="Q276" i="9"/>
  <c r="T276" i="9"/>
  <c r="U276" i="9"/>
  <c r="L277" i="9"/>
  <c r="M277" i="9"/>
  <c r="N277" i="9"/>
  <c r="Q277" i="9"/>
  <c r="T277" i="9"/>
  <c r="U277" i="9"/>
  <c r="L278" i="9"/>
  <c r="M278" i="9"/>
  <c r="N278" i="9"/>
  <c r="Q278" i="9"/>
  <c r="T278" i="9"/>
  <c r="U278" i="9"/>
  <c r="L279" i="9"/>
  <c r="M279" i="9"/>
  <c r="N279" i="9"/>
  <c r="Q279" i="9"/>
  <c r="T279" i="9"/>
  <c r="U279" i="9"/>
  <c r="L280" i="9"/>
  <c r="M280" i="9"/>
  <c r="N280" i="9"/>
  <c r="Q280" i="9"/>
  <c r="T280" i="9"/>
  <c r="U280" i="9"/>
  <c r="L281" i="9"/>
  <c r="M281" i="9"/>
  <c r="N281" i="9"/>
  <c r="Q281" i="9"/>
  <c r="T281" i="9"/>
  <c r="U281" i="9"/>
  <c r="L282" i="9"/>
  <c r="M282" i="9"/>
  <c r="N282" i="9"/>
  <c r="Q282" i="9"/>
  <c r="T282" i="9"/>
  <c r="U282" i="9"/>
  <c r="L283" i="9"/>
  <c r="M283" i="9"/>
  <c r="N283" i="9"/>
  <c r="Q283" i="9"/>
  <c r="T283" i="9"/>
  <c r="U283" i="9"/>
  <c r="L284" i="9"/>
  <c r="M284" i="9"/>
  <c r="N284" i="9"/>
  <c r="Q284" i="9"/>
  <c r="T284" i="9"/>
  <c r="U284" i="9"/>
  <c r="L285" i="9"/>
  <c r="M285" i="9"/>
  <c r="N285" i="9"/>
  <c r="Q285" i="9"/>
  <c r="T285" i="9"/>
  <c r="U285" i="9"/>
  <c r="L286" i="9"/>
  <c r="M286" i="9"/>
  <c r="N286" i="9"/>
  <c r="Q286" i="9"/>
  <c r="T286" i="9"/>
  <c r="U286" i="9"/>
  <c r="L287" i="9"/>
  <c r="M287" i="9"/>
  <c r="N287" i="9"/>
  <c r="Q287" i="9"/>
  <c r="T287" i="9"/>
  <c r="U287" i="9"/>
  <c r="L288" i="9"/>
  <c r="M288" i="9"/>
  <c r="N288" i="9"/>
  <c r="Q288" i="9"/>
  <c r="T288" i="9"/>
  <c r="U288" i="9"/>
  <c r="L289" i="9"/>
  <c r="M289" i="9"/>
  <c r="N289" i="9"/>
  <c r="Q289" i="9"/>
  <c r="T289" i="9"/>
  <c r="U289" i="9"/>
  <c r="L290" i="9"/>
  <c r="M290" i="9"/>
  <c r="N290" i="9"/>
  <c r="Q290" i="9"/>
  <c r="T290" i="9"/>
  <c r="U290" i="9"/>
  <c r="L272" i="9"/>
  <c r="M272" i="9"/>
  <c r="N272" i="9"/>
  <c r="Q272" i="9"/>
  <c r="T272" i="9"/>
  <c r="U272" i="9"/>
  <c r="L273" i="9"/>
  <c r="M273" i="9"/>
  <c r="N273" i="9"/>
  <c r="Q273" i="9"/>
  <c r="T273" i="9"/>
  <c r="U273" i="9"/>
  <c r="L271" i="9"/>
  <c r="M271" i="9"/>
  <c r="N271" i="9"/>
  <c r="Q271" i="9"/>
  <c r="T271" i="9"/>
  <c r="U271" i="9"/>
  <c r="L264" i="9"/>
  <c r="M264" i="9"/>
  <c r="N264" i="9"/>
  <c r="Q264" i="9"/>
  <c r="T264" i="9"/>
  <c r="U264" i="9"/>
  <c r="L265" i="9"/>
  <c r="M265" i="9"/>
  <c r="N265" i="9"/>
  <c r="Q265" i="9"/>
  <c r="T265" i="9"/>
  <c r="U265" i="9"/>
  <c r="L266" i="9"/>
  <c r="M266" i="9"/>
  <c r="N266" i="9"/>
  <c r="Q266" i="9"/>
  <c r="T266" i="9"/>
  <c r="U266" i="9"/>
  <c r="L267" i="9"/>
  <c r="M267" i="9"/>
  <c r="N267" i="9"/>
  <c r="Q267" i="9"/>
  <c r="T267" i="9"/>
  <c r="U267" i="9"/>
  <c r="L268" i="9"/>
  <c r="M268" i="9"/>
  <c r="N268" i="9"/>
  <c r="Q268" i="9"/>
  <c r="T268" i="9"/>
  <c r="U268" i="9"/>
  <c r="L269" i="9"/>
  <c r="M269" i="9"/>
  <c r="N269" i="9"/>
  <c r="Q269" i="9"/>
  <c r="T269" i="9"/>
  <c r="U269" i="9"/>
  <c r="L270" i="9"/>
  <c r="M270" i="9"/>
  <c r="N270" i="9"/>
  <c r="Q270" i="9"/>
  <c r="T270" i="9"/>
  <c r="U270" i="9"/>
  <c r="L254" i="9"/>
  <c r="M254" i="9"/>
  <c r="N254" i="9"/>
  <c r="Q254" i="9"/>
  <c r="T254" i="9"/>
  <c r="U254" i="9"/>
  <c r="L255" i="9"/>
  <c r="M255" i="9"/>
  <c r="N255" i="9"/>
  <c r="Q255" i="9"/>
  <c r="T255" i="9"/>
  <c r="U255" i="9"/>
  <c r="L256" i="9"/>
  <c r="M256" i="9"/>
  <c r="N256" i="9"/>
  <c r="Q256" i="9"/>
  <c r="T256" i="9"/>
  <c r="U256" i="9"/>
  <c r="L257" i="9"/>
  <c r="M257" i="9"/>
  <c r="N257" i="9"/>
  <c r="Q257" i="9"/>
  <c r="T257" i="9"/>
  <c r="U257" i="9"/>
  <c r="L258" i="9"/>
  <c r="M258" i="9"/>
  <c r="N258" i="9"/>
  <c r="Q258" i="9"/>
  <c r="T258" i="9"/>
  <c r="U258" i="9"/>
  <c r="L259" i="9"/>
  <c r="M259" i="9"/>
  <c r="N259" i="9"/>
  <c r="Q259" i="9"/>
  <c r="T259" i="9"/>
  <c r="U259" i="9"/>
  <c r="L260" i="9"/>
  <c r="M260" i="9"/>
  <c r="N260" i="9"/>
  <c r="Q260" i="9"/>
  <c r="T260" i="9"/>
  <c r="U260" i="9"/>
  <c r="L261" i="9"/>
  <c r="M261" i="9"/>
  <c r="N261" i="9"/>
  <c r="Q261" i="9"/>
  <c r="T261" i="9"/>
  <c r="U261" i="9"/>
  <c r="L262" i="9"/>
  <c r="M262" i="9"/>
  <c r="N262" i="9"/>
  <c r="Q262" i="9"/>
  <c r="T262" i="9"/>
  <c r="U262" i="9"/>
  <c r="L263" i="9"/>
  <c r="M263" i="9"/>
  <c r="N263" i="9"/>
  <c r="Q263" i="9"/>
  <c r="T263" i="9"/>
  <c r="U263" i="9"/>
  <c r="L239" i="9"/>
  <c r="M239" i="9"/>
  <c r="N239" i="9"/>
  <c r="Q239" i="9"/>
  <c r="T239" i="9"/>
  <c r="U239" i="9"/>
  <c r="L240" i="9"/>
  <c r="M240" i="9"/>
  <c r="N240" i="9"/>
  <c r="Q240" i="9"/>
  <c r="T240" i="9"/>
  <c r="U240" i="9"/>
  <c r="L241" i="9"/>
  <c r="M241" i="9"/>
  <c r="N241" i="9"/>
  <c r="Q241" i="9"/>
  <c r="T241" i="9"/>
  <c r="U241" i="9"/>
  <c r="L243" i="9"/>
  <c r="M243" i="9"/>
  <c r="N243" i="9"/>
  <c r="Q243" i="9"/>
  <c r="T243" i="9"/>
  <c r="U243" i="9"/>
  <c r="L244" i="9"/>
  <c r="M244" i="9"/>
  <c r="N244" i="9"/>
  <c r="Q244" i="9"/>
  <c r="T244" i="9"/>
  <c r="U244" i="9"/>
  <c r="L245" i="9"/>
  <c r="M245" i="9"/>
  <c r="N245" i="9"/>
  <c r="Q245" i="9"/>
  <c r="T245" i="9"/>
  <c r="U245" i="9"/>
  <c r="L215" i="9"/>
  <c r="M215" i="9"/>
  <c r="N215" i="9"/>
  <c r="Q215" i="9"/>
  <c r="T215" i="9"/>
  <c r="U215" i="9"/>
  <c r="L216" i="9"/>
  <c r="M216" i="9"/>
  <c r="N216" i="9"/>
  <c r="Q216" i="9"/>
  <c r="T216" i="9"/>
  <c r="U216" i="9"/>
  <c r="L217" i="9"/>
  <c r="M217" i="9"/>
  <c r="N217" i="9"/>
  <c r="Q217" i="9"/>
  <c r="T217" i="9"/>
  <c r="U217" i="9"/>
  <c r="L219" i="9"/>
  <c r="M219" i="9"/>
  <c r="N219" i="9"/>
  <c r="Q219" i="9"/>
  <c r="T219" i="9"/>
  <c r="U219" i="9"/>
  <c r="L220" i="9"/>
  <c r="M220" i="9"/>
  <c r="N220" i="9"/>
  <c r="Q220" i="9"/>
  <c r="T220" i="9"/>
  <c r="U220" i="9"/>
  <c r="L221" i="9"/>
  <c r="M221" i="9"/>
  <c r="N221" i="9"/>
  <c r="Q221" i="9"/>
  <c r="T221" i="9"/>
  <c r="U221" i="9"/>
  <c r="L223" i="9"/>
  <c r="M223" i="9"/>
  <c r="N223" i="9"/>
  <c r="Q223" i="9"/>
  <c r="T223" i="9"/>
  <c r="U223" i="9"/>
  <c r="L224" i="9"/>
  <c r="M224" i="9"/>
  <c r="N224" i="9"/>
  <c r="Q224" i="9"/>
  <c r="T224" i="9"/>
  <c r="U224" i="9"/>
  <c r="L225" i="9"/>
  <c r="M225" i="9"/>
  <c r="N225" i="9"/>
  <c r="Q225" i="9"/>
  <c r="T225" i="9"/>
  <c r="U225" i="9"/>
  <c r="L227" i="9"/>
  <c r="M227" i="9"/>
  <c r="N227" i="9"/>
  <c r="Q227" i="9"/>
  <c r="T227" i="9"/>
  <c r="U227" i="9"/>
  <c r="L228" i="9"/>
  <c r="M228" i="9"/>
  <c r="N228" i="9"/>
  <c r="Q228" i="9"/>
  <c r="T228" i="9"/>
  <c r="U228" i="9"/>
  <c r="L229" i="9"/>
  <c r="M229" i="9"/>
  <c r="N229" i="9"/>
  <c r="Q229" i="9"/>
  <c r="T229" i="9"/>
  <c r="U229" i="9"/>
  <c r="L231" i="9"/>
  <c r="M231" i="9"/>
  <c r="N231" i="9"/>
  <c r="Q231" i="9"/>
  <c r="T231" i="9"/>
  <c r="U231" i="9"/>
  <c r="L232" i="9"/>
  <c r="M232" i="9"/>
  <c r="N232" i="9"/>
  <c r="Q232" i="9"/>
  <c r="T232" i="9"/>
  <c r="U232" i="9"/>
  <c r="L233" i="9"/>
  <c r="M233" i="9"/>
  <c r="N233" i="9"/>
  <c r="Q233" i="9"/>
  <c r="T233" i="9"/>
  <c r="U233" i="9"/>
  <c r="L235" i="9"/>
  <c r="M235" i="9"/>
  <c r="N235" i="9"/>
  <c r="Q235" i="9"/>
  <c r="T235" i="9"/>
  <c r="U235" i="9"/>
  <c r="L100" i="9"/>
  <c r="M100" i="9"/>
  <c r="N100" i="9"/>
  <c r="Q100" i="9"/>
  <c r="T100" i="9"/>
  <c r="U100" i="9"/>
  <c r="L101" i="9"/>
  <c r="M101" i="9"/>
  <c r="N101" i="9"/>
  <c r="Q101" i="9"/>
  <c r="T101" i="9"/>
  <c r="U101" i="9"/>
  <c r="L102" i="9"/>
  <c r="M102" i="9"/>
  <c r="N102" i="9"/>
  <c r="Q102" i="9"/>
  <c r="T102" i="9"/>
  <c r="U102" i="9"/>
  <c r="L103" i="9"/>
  <c r="M103" i="9"/>
  <c r="N103" i="9"/>
  <c r="Q103" i="9"/>
  <c r="T103" i="9"/>
  <c r="U103" i="9"/>
  <c r="L104" i="9"/>
  <c r="M104" i="9"/>
  <c r="N104" i="9"/>
  <c r="Q104" i="9"/>
  <c r="T104" i="9"/>
  <c r="U104" i="9"/>
  <c r="L105" i="9"/>
  <c r="M105" i="9"/>
  <c r="N105" i="9"/>
  <c r="Q105" i="9"/>
  <c r="T105" i="9"/>
  <c r="U105" i="9"/>
  <c r="L106" i="9"/>
  <c r="M106" i="9"/>
  <c r="N106" i="9"/>
  <c r="Q106" i="9"/>
  <c r="T106" i="9"/>
  <c r="U106" i="9"/>
  <c r="L107" i="9"/>
  <c r="M107" i="9"/>
  <c r="N107" i="9"/>
  <c r="Q107" i="9"/>
  <c r="T107" i="9"/>
  <c r="U107" i="9"/>
  <c r="L122" i="9"/>
  <c r="M122" i="9"/>
  <c r="N122" i="9"/>
  <c r="L121" i="9"/>
  <c r="A121" i="9" s="1"/>
  <c r="B121" i="9"/>
  <c r="C121" i="9"/>
  <c r="I121" i="9"/>
  <c r="J59" i="48" s="1"/>
  <c r="J121" i="9"/>
  <c r="K59" i="48" s="1"/>
  <c r="L124" i="9"/>
  <c r="A124" i="9" s="1"/>
  <c r="B16" i="16" s="1"/>
  <c r="M124" i="9"/>
  <c r="B124" i="9" s="1"/>
  <c r="C16" i="16" s="1"/>
  <c r="N124" i="9"/>
  <c r="C124" i="9" s="1"/>
  <c r="D16" i="16" s="1"/>
  <c r="Q124" i="9"/>
  <c r="T124" i="9"/>
  <c r="I124" i="9" s="1"/>
  <c r="J263" i="48" s="1"/>
  <c r="U124" i="9"/>
  <c r="J124" i="9" s="1"/>
  <c r="K263" i="48" s="1"/>
  <c r="L125" i="9"/>
  <c r="A125" i="9" s="1"/>
  <c r="B17" i="16" s="1"/>
  <c r="M125" i="9"/>
  <c r="B125" i="9" s="1"/>
  <c r="C17" i="16" s="1"/>
  <c r="N125" i="9"/>
  <c r="C125" i="9" s="1"/>
  <c r="D17" i="16" s="1"/>
  <c r="Q125" i="9"/>
  <c r="T125" i="9"/>
  <c r="I125" i="9" s="1"/>
  <c r="J264" i="48" s="1"/>
  <c r="U125" i="9"/>
  <c r="J125" i="9" s="1"/>
  <c r="K264" i="48" s="1"/>
  <c r="L116" i="9"/>
  <c r="A116" i="9" s="1"/>
  <c r="P35" i="54" s="1"/>
  <c r="B116" i="9"/>
  <c r="Q35" i="54" s="1"/>
  <c r="C116" i="9"/>
  <c r="R35" i="54" s="1"/>
  <c r="I116" i="9"/>
  <c r="J54" i="48" s="1"/>
  <c r="J116" i="9"/>
  <c r="K54" i="48" s="1"/>
  <c r="L117" i="9"/>
  <c r="A117" i="9" s="1"/>
  <c r="P36" i="54" s="1"/>
  <c r="B117" i="9"/>
  <c r="Q36" i="54" s="1"/>
  <c r="C117" i="9"/>
  <c r="R36" i="54" s="1"/>
  <c r="I117" i="9"/>
  <c r="J55" i="48" s="1"/>
  <c r="J117" i="9"/>
  <c r="K55" i="48" s="1"/>
  <c r="L118" i="9"/>
  <c r="A118" i="9" s="1"/>
  <c r="P37" i="54" s="1"/>
  <c r="B118" i="9"/>
  <c r="Q37" i="54" s="1"/>
  <c r="C118" i="9"/>
  <c r="R37" i="54" s="1"/>
  <c r="I118" i="9"/>
  <c r="J56" i="48" s="1"/>
  <c r="J118" i="9"/>
  <c r="K56" i="48" s="1"/>
  <c r="L119" i="9"/>
  <c r="A119" i="9" s="1"/>
  <c r="P38" i="54" s="1"/>
  <c r="B119" i="9"/>
  <c r="Q38" i="54" s="1"/>
  <c r="C119" i="9"/>
  <c r="R38" i="54" s="1"/>
  <c r="I119" i="9"/>
  <c r="J57" i="48" s="1"/>
  <c r="J119" i="9"/>
  <c r="K57" i="48" s="1"/>
  <c r="L120" i="9"/>
  <c r="A120" i="9" s="1"/>
  <c r="B120" i="9"/>
  <c r="C120" i="9"/>
  <c r="I120" i="9"/>
  <c r="J58" i="48" s="1"/>
  <c r="J120" i="9"/>
  <c r="K58" i="48" s="1"/>
  <c r="L108" i="9"/>
  <c r="L109" i="9"/>
  <c r="L110" i="9"/>
  <c r="I110" i="9"/>
  <c r="J48" i="48" s="1"/>
  <c r="J110" i="9"/>
  <c r="K48" i="48" s="1"/>
  <c r="L111" i="9"/>
  <c r="A111" i="9" s="1"/>
  <c r="P30" i="54" s="1"/>
  <c r="B111" i="9"/>
  <c r="Q30" i="54" s="1"/>
  <c r="C111" i="9"/>
  <c r="R30" i="54" s="1"/>
  <c r="I111" i="9"/>
  <c r="J49" i="48" s="1"/>
  <c r="J111" i="9"/>
  <c r="K49" i="48" s="1"/>
  <c r="L112" i="9"/>
  <c r="A112" i="9" s="1"/>
  <c r="P31" i="54" s="1"/>
  <c r="B112" i="9"/>
  <c r="Q31" i="54" s="1"/>
  <c r="C112" i="9"/>
  <c r="R31" i="54" s="1"/>
  <c r="I112" i="9"/>
  <c r="J50" i="48" s="1"/>
  <c r="J112" i="9"/>
  <c r="K50" i="48" s="1"/>
  <c r="L113" i="9"/>
  <c r="A113" i="9" s="1"/>
  <c r="P32" i="54" s="1"/>
  <c r="B113" i="9"/>
  <c r="Q32" i="54" s="1"/>
  <c r="C113" i="9"/>
  <c r="R32" i="54" s="1"/>
  <c r="I113" i="9"/>
  <c r="J51" i="48" s="1"/>
  <c r="J113" i="9"/>
  <c r="K51" i="48" s="1"/>
  <c r="L114" i="9"/>
  <c r="A114" i="9" s="1"/>
  <c r="P33" i="54" s="1"/>
  <c r="B114" i="9"/>
  <c r="Q33" i="54" s="1"/>
  <c r="C114" i="9"/>
  <c r="R33" i="54" s="1"/>
  <c r="I114" i="9"/>
  <c r="J52" i="48" s="1"/>
  <c r="J114" i="9"/>
  <c r="K52" i="48" s="1"/>
  <c r="L115" i="9"/>
  <c r="A115" i="9" s="1"/>
  <c r="P34" i="54" s="1"/>
  <c r="B115" i="9"/>
  <c r="Q34" i="54" s="1"/>
  <c r="C115" i="9"/>
  <c r="R34" i="54" s="1"/>
  <c r="I115" i="9"/>
  <c r="J53" i="48" s="1"/>
  <c r="J115" i="9"/>
  <c r="K53" i="48" s="1"/>
  <c r="A110" i="9"/>
  <c r="P29" i="54" s="1"/>
  <c r="B110" i="9"/>
  <c r="Q29" i="54" s="1"/>
  <c r="C110" i="9"/>
  <c r="R29" i="54" s="1"/>
  <c r="L65" i="9"/>
  <c r="M65" i="9"/>
  <c r="N65" i="9"/>
  <c r="Q65" i="9"/>
  <c r="T65" i="9"/>
  <c r="U65" i="9"/>
  <c r="L66" i="9"/>
  <c r="M66" i="9"/>
  <c r="N66" i="9"/>
  <c r="Q66" i="9"/>
  <c r="T66" i="9"/>
  <c r="U66" i="9"/>
  <c r="L67" i="9"/>
  <c r="M67" i="9"/>
  <c r="N67" i="9"/>
  <c r="Q67" i="9"/>
  <c r="T67" i="9"/>
  <c r="U67" i="9"/>
  <c r="L68" i="9"/>
  <c r="M68" i="9"/>
  <c r="N68" i="9"/>
  <c r="Q68" i="9"/>
  <c r="T68" i="9"/>
  <c r="U68" i="9"/>
  <c r="L69" i="9"/>
  <c r="M69" i="9"/>
  <c r="N69" i="9"/>
  <c r="Q69" i="9"/>
  <c r="T69" i="9"/>
  <c r="U69" i="9"/>
  <c r="L70" i="9"/>
  <c r="M70" i="9"/>
  <c r="N70" i="9"/>
  <c r="Q70" i="9"/>
  <c r="T70" i="9"/>
  <c r="U70" i="9"/>
  <c r="L71" i="9"/>
  <c r="M71" i="9"/>
  <c r="N71" i="9"/>
  <c r="Q71" i="9"/>
  <c r="T71" i="9"/>
  <c r="U71" i="9"/>
  <c r="L72" i="9"/>
  <c r="M72" i="9"/>
  <c r="N72" i="9"/>
  <c r="Q72" i="9"/>
  <c r="L73" i="9"/>
  <c r="M73" i="9"/>
  <c r="N73" i="9"/>
  <c r="Q73" i="9"/>
  <c r="T73" i="9"/>
  <c r="U73" i="9"/>
  <c r="L74" i="9"/>
  <c r="M74" i="9"/>
  <c r="N74" i="9"/>
  <c r="Q74" i="9"/>
  <c r="T74" i="9"/>
  <c r="U74" i="9"/>
  <c r="L75" i="9"/>
  <c r="M75" i="9"/>
  <c r="N75" i="9"/>
  <c r="Q75" i="9"/>
  <c r="T75" i="9"/>
  <c r="U75" i="9"/>
  <c r="L76" i="9"/>
  <c r="M76" i="9"/>
  <c r="N76" i="9"/>
  <c r="Q76" i="9"/>
  <c r="T76" i="9"/>
  <c r="U76" i="9"/>
  <c r="L77" i="9"/>
  <c r="M77" i="9"/>
  <c r="N77" i="9"/>
  <c r="Q77" i="9"/>
  <c r="T77" i="9"/>
  <c r="U77" i="9"/>
  <c r="L78" i="9"/>
  <c r="M78" i="9"/>
  <c r="N78" i="9"/>
  <c r="Q78" i="9"/>
  <c r="T78" i="9"/>
  <c r="U78" i="9"/>
  <c r="L79" i="9"/>
  <c r="M79" i="9"/>
  <c r="N79" i="9"/>
  <c r="Q79" i="9"/>
  <c r="T79" i="9"/>
  <c r="U79" i="9"/>
  <c r="L93" i="9"/>
  <c r="L52" i="9"/>
  <c r="M52" i="9"/>
  <c r="N52" i="9"/>
  <c r="Q52" i="9"/>
  <c r="T52" i="9"/>
  <c r="U52" i="9"/>
  <c r="L53" i="9"/>
  <c r="M53" i="9"/>
  <c r="N53" i="9"/>
  <c r="Q53" i="9"/>
  <c r="T53" i="9"/>
  <c r="U53" i="9"/>
  <c r="L54" i="9"/>
  <c r="M54" i="9"/>
  <c r="N54" i="9"/>
  <c r="Q54" i="9"/>
  <c r="T54" i="9"/>
  <c r="U54" i="9"/>
  <c r="L56" i="9"/>
  <c r="M56" i="9"/>
  <c r="N56" i="9"/>
  <c r="Q56" i="9"/>
  <c r="T56" i="9"/>
  <c r="U56" i="9"/>
  <c r="L57" i="9"/>
  <c r="M57" i="9"/>
  <c r="N57" i="9"/>
  <c r="Q57" i="9"/>
  <c r="T57" i="9"/>
  <c r="U57" i="9"/>
  <c r="L58" i="9"/>
  <c r="M58" i="9"/>
  <c r="N58" i="9"/>
  <c r="Q58" i="9"/>
  <c r="T58" i="9"/>
  <c r="U58" i="9"/>
  <c r="L60" i="9"/>
  <c r="M60" i="9"/>
  <c r="N60" i="9"/>
  <c r="Q60" i="9"/>
  <c r="T60" i="9"/>
  <c r="U60" i="9"/>
  <c r="L61" i="9"/>
  <c r="M61" i="9"/>
  <c r="N61" i="9"/>
  <c r="Q61" i="9"/>
  <c r="T61" i="9"/>
  <c r="U61" i="9"/>
  <c r="L62" i="9"/>
  <c r="M62" i="9"/>
  <c r="N62" i="9"/>
  <c r="Q62" i="9"/>
  <c r="T62" i="9"/>
  <c r="U62" i="9"/>
  <c r="M23" i="9"/>
  <c r="N23" i="9"/>
  <c r="Q23" i="9"/>
  <c r="T23" i="9"/>
  <c r="U23" i="9"/>
  <c r="L24" i="9"/>
  <c r="M24" i="9"/>
  <c r="N24" i="9"/>
  <c r="Q24" i="9"/>
  <c r="T24" i="9"/>
  <c r="U24" i="9"/>
  <c r="L25" i="9"/>
  <c r="M25" i="9"/>
  <c r="N25" i="9"/>
  <c r="Q25" i="9"/>
  <c r="T25" i="9"/>
  <c r="U25" i="9"/>
  <c r="L28" i="9"/>
  <c r="M28" i="9"/>
  <c r="N28" i="9"/>
  <c r="Q28" i="9"/>
  <c r="T28" i="9"/>
  <c r="U28" i="9"/>
  <c r="L29" i="9"/>
  <c r="M29" i="9"/>
  <c r="N29" i="9"/>
  <c r="Q29" i="9"/>
  <c r="T29" i="9"/>
  <c r="U29" i="9"/>
  <c r="L30" i="9"/>
  <c r="N30" i="9"/>
  <c r="Q30" i="9"/>
  <c r="T30" i="9"/>
  <c r="U30" i="9"/>
  <c r="L32" i="9"/>
  <c r="M32" i="9"/>
  <c r="N32" i="9"/>
  <c r="Q32" i="9"/>
  <c r="T32" i="9"/>
  <c r="U32" i="9"/>
  <c r="L33" i="9"/>
  <c r="M33" i="9"/>
  <c r="N33" i="9"/>
  <c r="Q33" i="9"/>
  <c r="T33" i="9"/>
  <c r="U33" i="9"/>
  <c r="L34" i="9"/>
  <c r="M34" i="9"/>
  <c r="N34" i="9"/>
  <c r="Q34" i="9"/>
  <c r="T34" i="9"/>
  <c r="U34" i="9"/>
  <c r="L36" i="9"/>
  <c r="M36" i="9"/>
  <c r="N36" i="9"/>
  <c r="Q36" i="9"/>
  <c r="T36" i="9"/>
  <c r="U36" i="9"/>
  <c r="L37" i="9"/>
  <c r="M37" i="9"/>
  <c r="N37" i="9"/>
  <c r="Q37" i="9"/>
  <c r="T37" i="9"/>
  <c r="U37" i="9"/>
  <c r="L38" i="9"/>
  <c r="M38" i="9"/>
  <c r="N38" i="9"/>
  <c r="Q38" i="9"/>
  <c r="T38" i="9"/>
  <c r="U38" i="9"/>
  <c r="L40" i="9"/>
  <c r="M40" i="9"/>
  <c r="N40" i="9"/>
  <c r="Q40" i="9"/>
  <c r="T40" i="9"/>
  <c r="U40" i="9"/>
  <c r="L41" i="9"/>
  <c r="M41" i="9"/>
  <c r="N41" i="9"/>
  <c r="Q41" i="9"/>
  <c r="T41" i="9"/>
  <c r="U41" i="9"/>
  <c r="L42" i="9"/>
  <c r="M42" i="9"/>
  <c r="N42" i="9"/>
  <c r="Q42" i="9"/>
  <c r="T42" i="9"/>
  <c r="U42" i="9"/>
  <c r="L44" i="9"/>
  <c r="M44" i="9"/>
  <c r="N44" i="9"/>
  <c r="Q44" i="9"/>
  <c r="T44" i="9"/>
  <c r="U44" i="9"/>
  <c r="L45" i="9"/>
  <c r="M45" i="9"/>
  <c r="N45" i="9"/>
  <c r="Q45" i="9"/>
  <c r="T45" i="9"/>
  <c r="U45" i="9"/>
  <c r="L46" i="9"/>
  <c r="M46" i="9"/>
  <c r="N46" i="9"/>
  <c r="Q46" i="9"/>
  <c r="T46" i="9"/>
  <c r="U46" i="9"/>
  <c r="L11" i="9"/>
  <c r="M11" i="9"/>
  <c r="N11" i="9"/>
  <c r="Q11" i="9"/>
  <c r="T11" i="9"/>
  <c r="U11" i="9"/>
  <c r="L12" i="9"/>
  <c r="M12" i="9"/>
  <c r="N12" i="9"/>
  <c r="Q12" i="9"/>
  <c r="T12" i="9"/>
  <c r="U12" i="9"/>
  <c r="L13" i="9"/>
  <c r="M13" i="9"/>
  <c r="N13" i="9"/>
  <c r="Q13" i="9"/>
  <c r="T13" i="9"/>
  <c r="U13" i="9"/>
  <c r="L15" i="9"/>
  <c r="M15" i="9"/>
  <c r="N15" i="9"/>
  <c r="Q15" i="9"/>
  <c r="T15" i="9"/>
  <c r="U15" i="9"/>
  <c r="L16" i="9"/>
  <c r="M16" i="9"/>
  <c r="N16" i="9"/>
  <c r="Q16" i="9"/>
  <c r="T16" i="9"/>
  <c r="U16" i="9"/>
  <c r="L17" i="9"/>
  <c r="M17" i="9"/>
  <c r="N17" i="9"/>
  <c r="Q17" i="9"/>
  <c r="T17" i="9"/>
  <c r="U17" i="9"/>
  <c r="D51" i="48" l="1"/>
  <c r="R30" i="74"/>
  <c r="R30" i="72"/>
  <c r="R30" i="73"/>
  <c r="R30" i="71"/>
  <c r="R30" i="70"/>
  <c r="R30" i="52"/>
  <c r="R30" i="69"/>
  <c r="R30" i="53"/>
  <c r="R30" i="49"/>
  <c r="R30" i="50"/>
  <c r="R30" i="43"/>
  <c r="R30" i="42"/>
  <c r="R30" i="44"/>
  <c r="R30" i="41"/>
  <c r="R30" i="29"/>
  <c r="R30" i="27"/>
  <c r="R30" i="30"/>
  <c r="R30" i="76"/>
  <c r="R30" i="21"/>
  <c r="R30" i="77"/>
  <c r="R30" i="20"/>
  <c r="R30" i="17"/>
  <c r="R30" i="2"/>
  <c r="R30" i="31"/>
  <c r="R30" i="19"/>
  <c r="R30" i="18"/>
  <c r="R30" i="26"/>
  <c r="R30" i="24"/>
  <c r="R30" i="22"/>
  <c r="R30" i="23"/>
  <c r="R30" i="25"/>
  <c r="D54" i="48"/>
  <c r="R33" i="74"/>
  <c r="R33" i="73"/>
  <c r="R33" i="72"/>
  <c r="R33" i="71"/>
  <c r="R33" i="70"/>
  <c r="R33" i="53"/>
  <c r="R33" i="69"/>
  <c r="R29" i="51"/>
  <c r="R33" i="52"/>
  <c r="R33" i="50"/>
  <c r="R33" i="49"/>
  <c r="R33" i="43"/>
  <c r="R33" i="41"/>
  <c r="R33" i="42"/>
  <c r="R33" i="44"/>
  <c r="R33" i="21"/>
  <c r="R33" i="30"/>
  <c r="R33" i="27"/>
  <c r="R33" i="19"/>
  <c r="R33" i="2"/>
  <c r="R33" i="31"/>
  <c r="R33" i="29"/>
  <c r="R33" i="76"/>
  <c r="R33" i="17"/>
  <c r="R33" i="77"/>
  <c r="R33" i="20"/>
  <c r="R33" i="18"/>
  <c r="R33" i="26"/>
  <c r="R33" i="23"/>
  <c r="R33" i="25"/>
  <c r="R33" i="24"/>
  <c r="R33" i="22"/>
  <c r="D263" i="48"/>
  <c r="R40" i="74"/>
  <c r="R40" i="73"/>
  <c r="R40" i="72"/>
  <c r="R40" i="71"/>
  <c r="R40" i="69"/>
  <c r="R40" i="70"/>
  <c r="R42" i="54"/>
  <c r="R40" i="52"/>
  <c r="R40" i="53"/>
  <c r="R40" i="49"/>
  <c r="R36" i="51"/>
  <c r="R40" i="50"/>
  <c r="R40" i="42"/>
  <c r="R40" i="44"/>
  <c r="R40" i="41"/>
  <c r="R40" i="43"/>
  <c r="R40" i="30"/>
  <c r="R40" i="76"/>
  <c r="R40" i="21"/>
  <c r="R40" i="31"/>
  <c r="R40" i="77"/>
  <c r="R40" i="20"/>
  <c r="R40" i="19"/>
  <c r="R40" i="17"/>
  <c r="R40" i="27"/>
  <c r="R40" i="18"/>
  <c r="R40" i="29"/>
  <c r="R40" i="2"/>
  <c r="R40" i="23"/>
  <c r="R40" i="26"/>
  <c r="R40" i="24"/>
  <c r="R40" i="25"/>
  <c r="R40" i="22"/>
  <c r="B48" i="48"/>
  <c r="P27" i="74"/>
  <c r="P27" i="73"/>
  <c r="P27" i="71"/>
  <c r="P27" i="72"/>
  <c r="P27" i="69"/>
  <c r="P27" i="53"/>
  <c r="P27" i="51"/>
  <c r="P27" i="52"/>
  <c r="P27" i="50"/>
  <c r="P27" i="70"/>
  <c r="P27" i="49"/>
  <c r="P27" i="41"/>
  <c r="P27" i="42"/>
  <c r="P27" i="44"/>
  <c r="P27" i="43"/>
  <c r="P27" i="29"/>
  <c r="P27" i="27"/>
  <c r="P27" i="20"/>
  <c r="P27" i="19"/>
  <c r="P27" i="76"/>
  <c r="P27" i="21"/>
  <c r="P27" i="31"/>
  <c r="P27" i="18"/>
  <c r="P27" i="30"/>
  <c r="P27" i="77"/>
  <c r="P27" i="17"/>
  <c r="P27" i="2"/>
  <c r="P27" i="26"/>
  <c r="P27" i="23"/>
  <c r="P27" i="25"/>
  <c r="P27" i="24"/>
  <c r="P27" i="22"/>
  <c r="C53" i="48"/>
  <c r="Q32" i="74"/>
  <c r="Q32" i="73"/>
  <c r="Q32" i="71"/>
  <c r="Q32" i="72"/>
  <c r="Q32" i="69"/>
  <c r="Q32" i="52"/>
  <c r="Q32" i="70"/>
  <c r="Q32" i="53"/>
  <c r="Q32" i="49"/>
  <c r="Q32" i="50"/>
  <c r="Q32" i="42"/>
  <c r="Q32" i="44"/>
  <c r="Q32" i="43"/>
  <c r="Q32" i="41"/>
  <c r="Q32" i="76"/>
  <c r="Q32" i="20"/>
  <c r="Q32" i="31"/>
  <c r="Q32" i="77"/>
  <c r="Q32" i="17"/>
  <c r="Q32" i="2"/>
  <c r="Q32" i="27"/>
  <c r="Q32" i="30"/>
  <c r="Q32" i="18"/>
  <c r="Q32" i="29"/>
  <c r="Q32" i="21"/>
  <c r="Q32" i="19"/>
  <c r="Q32" i="23"/>
  <c r="Q32" i="26"/>
  <c r="Q32" i="22"/>
  <c r="Q32" i="25"/>
  <c r="Q32" i="24"/>
  <c r="D52" i="48"/>
  <c r="R31" i="74"/>
  <c r="R31" i="73"/>
  <c r="R31" i="72"/>
  <c r="R31" i="71"/>
  <c r="R31" i="69"/>
  <c r="R31" i="70"/>
  <c r="R31" i="52"/>
  <c r="R31" i="53"/>
  <c r="R31" i="49"/>
  <c r="R31" i="50"/>
  <c r="R31" i="42"/>
  <c r="R31" i="44"/>
  <c r="R31" i="43"/>
  <c r="R31" i="41"/>
  <c r="R31" i="30"/>
  <c r="R31" i="76"/>
  <c r="R31" i="31"/>
  <c r="R31" i="77"/>
  <c r="R31" i="20"/>
  <c r="R31" i="21"/>
  <c r="R31" i="17"/>
  <c r="R31" i="2"/>
  <c r="R31" i="19"/>
  <c r="R31" i="29"/>
  <c r="R31" i="27"/>
  <c r="R31" i="18"/>
  <c r="R31" i="23"/>
  <c r="R31" i="26"/>
  <c r="R31" i="24"/>
  <c r="R31" i="22"/>
  <c r="R31" i="25"/>
  <c r="B50" i="48"/>
  <c r="P29" i="74"/>
  <c r="P29" i="73"/>
  <c r="P29" i="72"/>
  <c r="P29" i="71"/>
  <c r="P29" i="69"/>
  <c r="P29" i="70"/>
  <c r="P29" i="52"/>
  <c r="P29" i="53"/>
  <c r="P29" i="49"/>
  <c r="P29" i="50"/>
  <c r="P29" i="42"/>
  <c r="P29" i="44"/>
  <c r="P29" i="43"/>
  <c r="P29" i="41"/>
  <c r="P29" i="30"/>
  <c r="P29" i="76"/>
  <c r="P29" i="21"/>
  <c r="P29" i="31"/>
  <c r="P29" i="77"/>
  <c r="P29" i="27"/>
  <c r="P29" i="19"/>
  <c r="P29" i="17"/>
  <c r="P29" i="2"/>
  <c r="P29" i="29"/>
  <c r="P29" i="20"/>
  <c r="P29" i="18"/>
  <c r="P29" i="23"/>
  <c r="P29" i="26"/>
  <c r="P29" i="25"/>
  <c r="P29" i="24"/>
  <c r="P29" i="22"/>
  <c r="C49" i="48"/>
  <c r="Q28" i="74"/>
  <c r="Q28" i="73"/>
  <c r="Q28" i="72"/>
  <c r="Q28" i="71"/>
  <c r="Q28" i="70"/>
  <c r="Q28" i="52"/>
  <c r="Q28" i="69"/>
  <c r="Q28" i="53"/>
  <c r="Q28" i="51"/>
  <c r="Q28" i="49"/>
  <c r="Q28" i="50"/>
  <c r="Q28" i="43"/>
  <c r="Q28" i="42"/>
  <c r="Q28" i="44"/>
  <c r="Q28" i="41"/>
  <c r="Q28" i="30"/>
  <c r="Q28" i="76"/>
  <c r="Q28" i="31"/>
  <c r="Q28" i="77"/>
  <c r="Q28" i="21"/>
  <c r="Q28" i="29"/>
  <c r="Q28" i="20"/>
  <c r="Q28" i="17"/>
  <c r="Q28" i="2"/>
  <c r="Q28" i="19"/>
  <c r="Q28" i="27"/>
  <c r="Q28" i="18"/>
  <c r="Q28" i="23"/>
  <c r="Q28" i="26"/>
  <c r="Q28" i="22"/>
  <c r="Q28" i="24"/>
  <c r="Q28" i="25"/>
  <c r="B57" i="48"/>
  <c r="P36" i="74"/>
  <c r="P36" i="72"/>
  <c r="P36" i="73"/>
  <c r="P36" i="71"/>
  <c r="P36" i="69"/>
  <c r="P36" i="70"/>
  <c r="P32" i="51"/>
  <c r="P36" i="52"/>
  <c r="P36" i="53"/>
  <c r="P36" i="50"/>
  <c r="P36" i="49"/>
  <c r="P36" i="44"/>
  <c r="P36" i="43"/>
  <c r="P36" i="41"/>
  <c r="P36" i="42"/>
  <c r="P36" i="27"/>
  <c r="P36" i="20"/>
  <c r="P36" i="29"/>
  <c r="P36" i="76"/>
  <c r="P36" i="19"/>
  <c r="P36" i="18"/>
  <c r="P36" i="2"/>
  <c r="P36" i="30"/>
  <c r="P36" i="31"/>
  <c r="P36" i="21"/>
  <c r="P36" i="17"/>
  <c r="P36" i="77"/>
  <c r="P36" i="26"/>
  <c r="P36" i="22"/>
  <c r="P36" i="23"/>
  <c r="P36" i="25"/>
  <c r="P36" i="24"/>
  <c r="C56" i="48"/>
  <c r="Q35" i="74"/>
  <c r="Q35" i="72"/>
  <c r="Q35" i="73"/>
  <c r="Q35" i="71"/>
  <c r="Q31" i="51"/>
  <c r="Q35" i="69"/>
  <c r="Q35" i="52"/>
  <c r="Q35" i="70"/>
  <c r="Q35" i="49"/>
  <c r="Q35" i="53"/>
  <c r="Q35" i="50"/>
  <c r="Q35" i="43"/>
  <c r="Q35" i="41"/>
  <c r="Q35" i="44"/>
  <c r="Q35" i="42"/>
  <c r="Q35" i="27"/>
  <c r="Q35" i="29"/>
  <c r="Q35" i="76"/>
  <c r="Q35" i="20"/>
  <c r="Q35" i="19"/>
  <c r="Q35" i="31"/>
  <c r="Q35" i="21"/>
  <c r="Q35" i="77"/>
  <c r="Q35" i="18"/>
  <c r="Q35" i="17"/>
  <c r="Q35" i="2"/>
  <c r="Q35" i="30"/>
  <c r="Q35" i="26"/>
  <c r="Q35" i="23"/>
  <c r="Q35" i="22"/>
  <c r="Q35" i="25"/>
  <c r="Q35" i="24"/>
  <c r="D55" i="48"/>
  <c r="R34" i="74"/>
  <c r="R34" i="72"/>
  <c r="R34" i="73"/>
  <c r="R34" i="71"/>
  <c r="R34" i="70"/>
  <c r="R30" i="51"/>
  <c r="R34" i="52"/>
  <c r="R34" i="53"/>
  <c r="R34" i="49"/>
  <c r="R34" i="50"/>
  <c r="R34" i="69"/>
  <c r="R34" i="44"/>
  <c r="R34" i="42"/>
  <c r="R34" i="43"/>
  <c r="R34" i="41"/>
  <c r="R34" i="27"/>
  <c r="R34" i="76"/>
  <c r="R34" i="20"/>
  <c r="R34" i="77"/>
  <c r="R34" i="29"/>
  <c r="R34" i="30"/>
  <c r="R34" i="18"/>
  <c r="R34" i="17"/>
  <c r="R34" i="2"/>
  <c r="R34" i="19"/>
  <c r="R34" i="31"/>
  <c r="R34" i="21"/>
  <c r="R34" i="26"/>
  <c r="R34" i="22"/>
  <c r="R34" i="23"/>
  <c r="R34" i="25"/>
  <c r="R34" i="24"/>
  <c r="C264" i="48"/>
  <c r="Q41" i="74"/>
  <c r="Q41" i="73"/>
  <c r="Q41" i="71"/>
  <c r="Q41" i="72"/>
  <c r="Q43" i="54"/>
  <c r="Q41" i="70"/>
  <c r="Q41" i="69"/>
  <c r="Q41" i="52"/>
  <c r="Q41" i="53"/>
  <c r="Q37" i="51"/>
  <c r="Q41" i="49"/>
  <c r="Q41" i="50"/>
  <c r="Q41" i="42"/>
  <c r="Q41" i="44"/>
  <c r="Q41" i="43"/>
  <c r="Q41" i="41"/>
  <c r="Q41" i="76"/>
  <c r="Q41" i="21"/>
  <c r="Q41" i="31"/>
  <c r="Q41" i="77"/>
  <c r="Q41" i="29"/>
  <c r="Q41" i="19"/>
  <c r="Q41" i="17"/>
  <c r="Q41" i="30"/>
  <c r="Q41" i="20"/>
  <c r="Q41" i="18"/>
  <c r="Q41" i="27"/>
  <c r="Q41" i="2"/>
  <c r="Q41" i="23"/>
  <c r="Q41" i="26"/>
  <c r="Q41" i="22"/>
  <c r="Q41" i="25"/>
  <c r="Q41" i="24"/>
  <c r="B59" i="48"/>
  <c r="P38" i="74"/>
  <c r="P38" i="73"/>
  <c r="P38" i="72"/>
  <c r="P38" i="71"/>
  <c r="P38" i="69"/>
  <c r="P38" i="70"/>
  <c r="P40" i="54"/>
  <c r="P38" i="53"/>
  <c r="P34" i="51"/>
  <c r="P38" i="52"/>
  <c r="P38" i="50"/>
  <c r="P38" i="49"/>
  <c r="P38" i="42"/>
  <c r="P38" i="44"/>
  <c r="P38" i="41"/>
  <c r="P38" i="43"/>
  <c r="P38" i="31"/>
  <c r="P38" i="77"/>
  <c r="P38" i="27"/>
  <c r="P38" i="76"/>
  <c r="P38" i="19"/>
  <c r="P38" i="18"/>
  <c r="P38" i="30"/>
  <c r="P38" i="2"/>
  <c r="P38" i="29"/>
  <c r="P38" i="21"/>
  <c r="P38" i="20"/>
  <c r="P38" i="17"/>
  <c r="P38" i="23"/>
  <c r="P38" i="25"/>
  <c r="P38" i="26"/>
  <c r="P38" i="24"/>
  <c r="P38" i="22"/>
  <c r="B53" i="48"/>
  <c r="P32" i="74"/>
  <c r="P32" i="72"/>
  <c r="P32" i="73"/>
  <c r="P32" i="71"/>
  <c r="P32" i="69"/>
  <c r="P32" i="70"/>
  <c r="P32" i="52"/>
  <c r="P32" i="53"/>
  <c r="P32" i="50"/>
  <c r="P32" i="49"/>
  <c r="P32" i="41"/>
  <c r="P32" i="42"/>
  <c r="P32" i="44"/>
  <c r="P32" i="43"/>
  <c r="P32" i="30"/>
  <c r="P32" i="27"/>
  <c r="P32" i="21"/>
  <c r="P32" i="76"/>
  <c r="P32" i="20"/>
  <c r="P32" i="19"/>
  <c r="P32" i="18"/>
  <c r="P32" i="29"/>
  <c r="P32" i="31"/>
  <c r="P32" i="17"/>
  <c r="P32" i="2"/>
  <c r="P32" i="77"/>
  <c r="P32" i="26"/>
  <c r="P32" i="24"/>
  <c r="P32" i="25"/>
  <c r="P32" i="22"/>
  <c r="P32" i="23"/>
  <c r="C52" i="48"/>
  <c r="Q31" i="74"/>
  <c r="Q31" i="72"/>
  <c r="Q31" i="73"/>
  <c r="Q31" i="71"/>
  <c r="Q31" i="69"/>
  <c r="Q31" i="52"/>
  <c r="Q31" i="70"/>
  <c r="Q31" i="49"/>
  <c r="Q31" i="53"/>
  <c r="Q31" i="50"/>
  <c r="Q31" i="43"/>
  <c r="Q31" i="41"/>
  <c r="Q31" i="42"/>
  <c r="Q31" i="44"/>
  <c r="Q31" i="27"/>
  <c r="Q31" i="21"/>
  <c r="Q31" i="30"/>
  <c r="Q31" i="76"/>
  <c r="Q31" i="31"/>
  <c r="Q31" i="19"/>
  <c r="Q31" i="77"/>
  <c r="Q31" i="17"/>
  <c r="Q31" i="2"/>
  <c r="Q31" i="29"/>
  <c r="Q31" i="20"/>
  <c r="Q31" i="18"/>
  <c r="Q31" i="26"/>
  <c r="Q31" i="23"/>
  <c r="Q31" i="22"/>
  <c r="Q31" i="24"/>
  <c r="Q31" i="25"/>
  <c r="D58" i="48"/>
  <c r="R37" i="73"/>
  <c r="R37" i="74"/>
  <c r="R37" i="72"/>
  <c r="R37" i="71"/>
  <c r="R37" i="69"/>
  <c r="R37" i="70"/>
  <c r="R37" i="53"/>
  <c r="R33" i="51"/>
  <c r="R37" i="52"/>
  <c r="R39" i="54"/>
  <c r="R37" i="50"/>
  <c r="R37" i="49"/>
  <c r="R37" i="41"/>
  <c r="R37" i="42"/>
  <c r="R37" i="43"/>
  <c r="R37" i="44"/>
  <c r="R37" i="29"/>
  <c r="R37" i="27"/>
  <c r="R37" i="20"/>
  <c r="R37" i="19"/>
  <c r="R37" i="30"/>
  <c r="R37" i="21"/>
  <c r="R37" i="18"/>
  <c r="R37" i="2"/>
  <c r="R37" i="31"/>
  <c r="R37" i="76"/>
  <c r="R37" i="17"/>
  <c r="R37" i="77"/>
  <c r="R37" i="26"/>
  <c r="R37" i="23"/>
  <c r="R37" i="22"/>
  <c r="R37" i="25"/>
  <c r="R37" i="24"/>
  <c r="C55" i="48"/>
  <c r="Q34" i="73"/>
  <c r="Q34" i="74"/>
  <c r="Q34" i="72"/>
  <c r="Q34" i="71"/>
  <c r="Q34" i="69"/>
  <c r="Q34" i="53"/>
  <c r="Q30" i="51"/>
  <c r="Q34" i="52"/>
  <c r="Q34" i="50"/>
  <c r="Q34" i="49"/>
  <c r="Q34" i="70"/>
  <c r="Q34" i="43"/>
  <c r="Q34" i="41"/>
  <c r="Q34" i="44"/>
  <c r="Q34" i="42"/>
  <c r="Q34" i="30"/>
  <c r="Q34" i="21"/>
  <c r="Q34" i="27"/>
  <c r="Q34" i="31"/>
  <c r="Q34" i="29"/>
  <c r="Q34" i="20"/>
  <c r="Q34" i="17"/>
  <c r="Q34" i="19"/>
  <c r="Q34" i="77"/>
  <c r="Q34" i="18"/>
  <c r="Q34" i="2"/>
  <c r="Q34" i="76"/>
  <c r="Q34" i="26"/>
  <c r="Q34" i="23"/>
  <c r="Q34" i="25"/>
  <c r="Q34" i="24"/>
  <c r="Q34" i="22"/>
  <c r="D48" i="48"/>
  <c r="R27" i="73"/>
  <c r="R27" i="74"/>
  <c r="R27" i="72"/>
  <c r="R27" i="71"/>
  <c r="R27" i="69"/>
  <c r="R27" i="70"/>
  <c r="R27" i="52"/>
  <c r="R27" i="53"/>
  <c r="R27" i="49"/>
  <c r="R27" i="51"/>
  <c r="R27" i="50"/>
  <c r="R27" i="43"/>
  <c r="R27" i="42"/>
  <c r="R27" i="44"/>
  <c r="R27" i="41"/>
  <c r="R27" i="76"/>
  <c r="R27" i="31"/>
  <c r="R27" i="30"/>
  <c r="R27" i="77"/>
  <c r="R27" i="21"/>
  <c r="R27" i="19"/>
  <c r="R27" i="17"/>
  <c r="R27" i="27"/>
  <c r="R27" i="2"/>
  <c r="R27" i="29"/>
  <c r="R27" i="20"/>
  <c r="R27" i="18"/>
  <c r="R27" i="23"/>
  <c r="R27" i="26"/>
  <c r="R27" i="24"/>
  <c r="R27" i="22"/>
  <c r="R27" i="25"/>
  <c r="B52" i="48"/>
  <c r="P31" i="74"/>
  <c r="P31" i="73"/>
  <c r="P31" i="72"/>
  <c r="P31" i="71"/>
  <c r="P31" i="69"/>
  <c r="P31" i="70"/>
  <c r="P31" i="53"/>
  <c r="P31" i="52"/>
  <c r="P31" i="50"/>
  <c r="P31" i="49"/>
  <c r="P31" i="43"/>
  <c r="P31" i="41"/>
  <c r="P31" i="42"/>
  <c r="P31" i="44"/>
  <c r="P31" i="29"/>
  <c r="P31" i="27"/>
  <c r="P31" i="21"/>
  <c r="P31" i="30"/>
  <c r="P31" i="76"/>
  <c r="P31" i="18"/>
  <c r="P31" i="31"/>
  <c r="P31" i="19"/>
  <c r="P31" i="77"/>
  <c r="P31" i="17"/>
  <c r="P31" i="2"/>
  <c r="P31" i="20"/>
  <c r="P31" i="26"/>
  <c r="P31" i="23"/>
  <c r="P31" i="25"/>
  <c r="P31" i="24"/>
  <c r="P31" i="22"/>
  <c r="C51" i="48"/>
  <c r="Q30" i="73"/>
  <c r="Q30" i="74"/>
  <c r="Q30" i="72"/>
  <c r="Q30" i="71"/>
  <c r="Q30" i="69"/>
  <c r="Q30" i="53"/>
  <c r="Q30" i="52"/>
  <c r="Q30" i="70"/>
  <c r="Q30" i="50"/>
  <c r="Q30" i="49"/>
  <c r="Q30" i="41"/>
  <c r="Q30" i="43"/>
  <c r="Q30" i="44"/>
  <c r="Q30" i="42"/>
  <c r="Q30" i="29"/>
  <c r="Q30" i="27"/>
  <c r="Q30" i="31"/>
  <c r="Q30" i="21"/>
  <c r="Q30" i="19"/>
  <c r="Q30" i="18"/>
  <c r="Q30" i="2"/>
  <c r="Q30" i="77"/>
  <c r="Q30" i="20"/>
  <c r="Q30" i="17"/>
  <c r="Q30" i="30"/>
  <c r="Q30" i="76"/>
  <c r="Q30" i="26"/>
  <c r="Q30" i="23"/>
  <c r="Q30" i="25"/>
  <c r="Q30" i="22"/>
  <c r="Q30" i="24"/>
  <c r="D50" i="48"/>
  <c r="R29" i="74"/>
  <c r="R29" i="72"/>
  <c r="R29" i="73"/>
  <c r="R29" i="71"/>
  <c r="R29" i="69"/>
  <c r="R29" i="70"/>
  <c r="R29" i="53"/>
  <c r="R29" i="52"/>
  <c r="R29" i="50"/>
  <c r="R29" i="49"/>
  <c r="R29" i="41"/>
  <c r="R29" i="43"/>
  <c r="R29" i="42"/>
  <c r="R29" i="44"/>
  <c r="R29" i="20"/>
  <c r="R29" i="29"/>
  <c r="R29" i="27"/>
  <c r="R29" i="17"/>
  <c r="R29" i="19"/>
  <c r="R29" i="18"/>
  <c r="R29" i="31"/>
  <c r="R29" i="30"/>
  <c r="R29" i="76"/>
  <c r="R29" i="2"/>
  <c r="R29" i="77"/>
  <c r="R29" i="21"/>
  <c r="R29" i="26"/>
  <c r="R29" i="23"/>
  <c r="R29" i="25"/>
  <c r="R29" i="22"/>
  <c r="R29" i="24"/>
  <c r="C58" i="48"/>
  <c r="Q37" i="74"/>
  <c r="Q37" i="73"/>
  <c r="Q37" i="71"/>
  <c r="Q37" i="72"/>
  <c r="Q37" i="69"/>
  <c r="Q37" i="70"/>
  <c r="Q39" i="54"/>
  <c r="Q37" i="53"/>
  <c r="Q33" i="51"/>
  <c r="Q37" i="52"/>
  <c r="Q37" i="50"/>
  <c r="Q37" i="49"/>
  <c r="Q37" i="42"/>
  <c r="Q37" i="44"/>
  <c r="Q37" i="41"/>
  <c r="Q37" i="43"/>
  <c r="Q37" i="31"/>
  <c r="Q37" i="30"/>
  <c r="Q37" i="77"/>
  <c r="Q37" i="2"/>
  <c r="Q37" i="19"/>
  <c r="Q37" i="29"/>
  <c r="Q37" i="21"/>
  <c r="Q37" i="20"/>
  <c r="Q37" i="18"/>
  <c r="Q37" i="27"/>
  <c r="Q37" i="76"/>
  <c r="Q37" i="17"/>
  <c r="Q37" i="25"/>
  <c r="Q37" i="24"/>
  <c r="Q37" i="22"/>
  <c r="Q37" i="23"/>
  <c r="Q37" i="26"/>
  <c r="D57" i="48"/>
  <c r="R36" i="73"/>
  <c r="R36" i="74"/>
  <c r="R36" i="72"/>
  <c r="R36" i="71"/>
  <c r="R36" i="70"/>
  <c r="R36" i="53"/>
  <c r="R32" i="51"/>
  <c r="R36" i="52"/>
  <c r="R36" i="50"/>
  <c r="R36" i="49"/>
  <c r="R36" i="69"/>
  <c r="R36" i="43"/>
  <c r="R36" i="42"/>
  <c r="R36" i="44"/>
  <c r="R36" i="41"/>
  <c r="R36" i="31"/>
  <c r="R36" i="30"/>
  <c r="R36" i="77"/>
  <c r="R36" i="21"/>
  <c r="R36" i="18"/>
  <c r="R36" i="29"/>
  <c r="R36" i="76"/>
  <c r="R36" i="20"/>
  <c r="R36" i="19"/>
  <c r="R36" i="27"/>
  <c r="R36" i="2"/>
  <c r="R36" i="17"/>
  <c r="R36" i="25"/>
  <c r="R36" i="24"/>
  <c r="R36" i="26"/>
  <c r="R36" i="23"/>
  <c r="R36" i="22"/>
  <c r="B55" i="48"/>
  <c r="P34" i="74"/>
  <c r="P34" i="73"/>
  <c r="P34" i="72"/>
  <c r="P34" i="71"/>
  <c r="P34" i="70"/>
  <c r="P34" i="69"/>
  <c r="P34" i="53"/>
  <c r="P30" i="51"/>
  <c r="P34" i="49"/>
  <c r="P34" i="52"/>
  <c r="P34" i="50"/>
  <c r="P34" i="42"/>
  <c r="P34" i="44"/>
  <c r="P34" i="43"/>
  <c r="P34" i="41"/>
  <c r="P34" i="31"/>
  <c r="P34" i="77"/>
  <c r="P34" i="29"/>
  <c r="P34" i="30"/>
  <c r="P34" i="21"/>
  <c r="P34" i="27"/>
  <c r="P34" i="76"/>
  <c r="P34" i="19"/>
  <c r="P34" i="20"/>
  <c r="P34" i="17"/>
  <c r="P34" i="18"/>
  <c r="P34" i="2"/>
  <c r="P34" i="23"/>
  <c r="P34" i="26"/>
  <c r="P34" i="25"/>
  <c r="P34" i="24"/>
  <c r="P34" i="22"/>
  <c r="C54" i="48"/>
  <c r="Q33" i="74"/>
  <c r="Q33" i="73"/>
  <c r="Q33" i="72"/>
  <c r="Q33" i="71"/>
  <c r="Q33" i="69"/>
  <c r="Q33" i="70"/>
  <c r="Q33" i="53"/>
  <c r="Q29" i="51"/>
  <c r="Q33" i="50"/>
  <c r="Q33" i="52"/>
  <c r="Q33" i="49"/>
  <c r="Q33" i="42"/>
  <c r="Q33" i="44"/>
  <c r="Q33" i="43"/>
  <c r="Q33" i="41"/>
  <c r="Q33" i="31"/>
  <c r="Q33" i="77"/>
  <c r="Q33" i="29"/>
  <c r="Q33" i="21"/>
  <c r="Q33" i="20"/>
  <c r="Q33" i="18"/>
  <c r="Q33" i="27"/>
  <c r="Q33" i="30"/>
  <c r="Q33" i="76"/>
  <c r="Q33" i="19"/>
  <c r="Q33" i="2"/>
  <c r="Q33" i="17"/>
  <c r="Q33" i="22"/>
  <c r="Q33" i="25"/>
  <c r="Q33" i="23"/>
  <c r="Q33" i="24"/>
  <c r="Q33" i="26"/>
  <c r="C263" i="48"/>
  <c r="Q40" i="74"/>
  <c r="Q40" i="73"/>
  <c r="Q40" i="72"/>
  <c r="Q40" i="71"/>
  <c r="Q40" i="70"/>
  <c r="Q42" i="54"/>
  <c r="Q40" i="69"/>
  <c r="Q36" i="51"/>
  <c r="Q40" i="52"/>
  <c r="Q40" i="50"/>
  <c r="Q40" i="49"/>
  <c r="Q40" i="53"/>
  <c r="Q40" i="43"/>
  <c r="Q40" i="41"/>
  <c r="Q40" i="44"/>
  <c r="Q40" i="42"/>
  <c r="Q40" i="27"/>
  <c r="Q40" i="20"/>
  <c r="Q40" i="30"/>
  <c r="Q40" i="76"/>
  <c r="Q40" i="21"/>
  <c r="Q40" i="31"/>
  <c r="Q40" i="29"/>
  <c r="Q40" i="2"/>
  <c r="Q40" i="77"/>
  <c r="Q40" i="19"/>
  <c r="Q40" i="17"/>
  <c r="Q40" i="18"/>
  <c r="Q40" i="26"/>
  <c r="Q40" i="23"/>
  <c r="Q40" i="22"/>
  <c r="Q40" i="24"/>
  <c r="Q40" i="25"/>
  <c r="D59" i="48"/>
  <c r="R38" i="74"/>
  <c r="R38" i="73"/>
  <c r="R38" i="72"/>
  <c r="R38" i="71"/>
  <c r="R38" i="70"/>
  <c r="R38" i="69"/>
  <c r="R34" i="51"/>
  <c r="R38" i="52"/>
  <c r="R40" i="54"/>
  <c r="R38" i="53"/>
  <c r="R38" i="49"/>
  <c r="R38" i="50"/>
  <c r="R38" i="43"/>
  <c r="R38" i="44"/>
  <c r="R38" i="42"/>
  <c r="R38" i="41"/>
  <c r="R38" i="29"/>
  <c r="R38" i="27"/>
  <c r="R38" i="20"/>
  <c r="R38" i="30"/>
  <c r="R38" i="76"/>
  <c r="R38" i="21"/>
  <c r="R38" i="77"/>
  <c r="R38" i="2"/>
  <c r="R38" i="19"/>
  <c r="R38" i="17"/>
  <c r="R38" i="31"/>
  <c r="R38" i="18"/>
  <c r="R38" i="26"/>
  <c r="R38" i="25"/>
  <c r="R38" i="24"/>
  <c r="R38" i="22"/>
  <c r="R38" i="23"/>
  <c r="B49" i="48"/>
  <c r="P28" i="74"/>
  <c r="P28" i="73"/>
  <c r="P28" i="72"/>
  <c r="P28" i="71"/>
  <c r="P28" i="69"/>
  <c r="P28" i="70"/>
  <c r="P28" i="51"/>
  <c r="P28" i="52"/>
  <c r="P28" i="53"/>
  <c r="P28" i="50"/>
  <c r="P28" i="49"/>
  <c r="P28" i="43"/>
  <c r="P28" i="41"/>
  <c r="P28" i="42"/>
  <c r="P28" i="44"/>
  <c r="P28" i="29"/>
  <c r="P28" i="27"/>
  <c r="P28" i="30"/>
  <c r="P28" i="76"/>
  <c r="P28" i="18"/>
  <c r="P28" i="31"/>
  <c r="P28" i="20"/>
  <c r="P28" i="17"/>
  <c r="P28" i="2"/>
  <c r="P28" i="77"/>
  <c r="P28" i="19"/>
  <c r="P28" i="21"/>
  <c r="P28" i="26"/>
  <c r="P28" i="23"/>
  <c r="P28" i="25"/>
  <c r="P28" i="22"/>
  <c r="P28" i="24"/>
  <c r="B56" i="48"/>
  <c r="P35" i="74"/>
  <c r="P35" i="73"/>
  <c r="P35" i="72"/>
  <c r="P35" i="71"/>
  <c r="P35" i="69"/>
  <c r="P35" i="70"/>
  <c r="P35" i="53"/>
  <c r="P31" i="51"/>
  <c r="P35" i="52"/>
  <c r="P35" i="50"/>
  <c r="P35" i="49"/>
  <c r="P35" i="41"/>
  <c r="P35" i="43"/>
  <c r="P35" i="44"/>
  <c r="P35" i="42"/>
  <c r="P35" i="30"/>
  <c r="P35" i="27"/>
  <c r="P35" i="29"/>
  <c r="P35" i="76"/>
  <c r="P35" i="19"/>
  <c r="P35" i="18"/>
  <c r="P35" i="2"/>
  <c r="P35" i="31"/>
  <c r="P35" i="21"/>
  <c r="P35" i="20"/>
  <c r="P35" i="77"/>
  <c r="P35" i="17"/>
  <c r="P35" i="26"/>
  <c r="P35" i="23"/>
  <c r="P35" i="25"/>
  <c r="P35" i="24"/>
  <c r="P35" i="22"/>
  <c r="B264" i="48"/>
  <c r="P41" i="74"/>
  <c r="P41" i="73"/>
  <c r="P41" i="72"/>
  <c r="P41" i="71"/>
  <c r="P41" i="69"/>
  <c r="P41" i="70"/>
  <c r="P43" i="54"/>
  <c r="P37" i="51"/>
  <c r="P41" i="52"/>
  <c r="P41" i="53"/>
  <c r="P41" i="50"/>
  <c r="P41" i="49"/>
  <c r="P41" i="43"/>
  <c r="P41" i="41"/>
  <c r="P41" i="44"/>
  <c r="P41" i="42"/>
  <c r="P41" i="30"/>
  <c r="P41" i="27"/>
  <c r="P41" i="76"/>
  <c r="P41" i="21"/>
  <c r="P41" i="2"/>
  <c r="P41" i="31"/>
  <c r="P41" i="29"/>
  <c r="P41" i="19"/>
  <c r="P41" i="17"/>
  <c r="P41" i="77"/>
  <c r="P41" i="20"/>
  <c r="P41" i="18"/>
  <c r="P41" i="26"/>
  <c r="P41" i="24"/>
  <c r="P41" i="23"/>
  <c r="P41" i="25"/>
  <c r="P41" i="22"/>
  <c r="C48" i="48"/>
  <c r="Q27" i="74"/>
  <c r="Q27" i="73"/>
  <c r="Q27" i="72"/>
  <c r="Q27" i="71"/>
  <c r="Q27" i="69"/>
  <c r="Q27" i="70"/>
  <c r="Q27" i="51"/>
  <c r="Q27" i="52"/>
  <c r="Q27" i="49"/>
  <c r="Q27" i="53"/>
  <c r="Q27" i="50"/>
  <c r="Q27" i="43"/>
  <c r="Q27" i="42"/>
  <c r="Q27" i="41"/>
  <c r="Q27" i="44"/>
  <c r="Q27" i="29"/>
  <c r="Q27" i="27"/>
  <c r="Q27" i="20"/>
  <c r="Q27" i="76"/>
  <c r="Q27" i="31"/>
  <c r="Q27" i="18"/>
  <c r="Q27" i="30"/>
  <c r="Q27" i="77"/>
  <c r="Q27" i="19"/>
  <c r="Q27" i="17"/>
  <c r="Q27" i="21"/>
  <c r="Q27" i="2"/>
  <c r="Q27" i="26"/>
  <c r="Q27" i="23"/>
  <c r="Q27" i="22"/>
  <c r="Q27" i="25"/>
  <c r="Q27" i="24"/>
  <c r="D53" i="48"/>
  <c r="R32" i="74"/>
  <c r="R32" i="73"/>
  <c r="R32" i="72"/>
  <c r="R32" i="71"/>
  <c r="R32" i="70"/>
  <c r="R32" i="53"/>
  <c r="R32" i="69"/>
  <c r="R32" i="52"/>
  <c r="R32" i="50"/>
  <c r="R32" i="49"/>
  <c r="R32" i="42"/>
  <c r="R32" i="43"/>
  <c r="R32" i="41"/>
  <c r="R32" i="44"/>
  <c r="R32" i="31"/>
  <c r="R32" i="77"/>
  <c r="R32" i="29"/>
  <c r="R32" i="19"/>
  <c r="R32" i="30"/>
  <c r="R32" i="18"/>
  <c r="R32" i="20"/>
  <c r="R32" i="76"/>
  <c r="R32" i="21"/>
  <c r="R32" i="27"/>
  <c r="R32" i="17"/>
  <c r="R32" i="2"/>
  <c r="R32" i="26"/>
  <c r="R32" i="23"/>
  <c r="R32" i="25"/>
  <c r="R32" i="22"/>
  <c r="R32" i="24"/>
  <c r="B51" i="48"/>
  <c r="P30" i="74"/>
  <c r="P30" i="73"/>
  <c r="P30" i="72"/>
  <c r="P30" i="71"/>
  <c r="P30" i="70"/>
  <c r="P30" i="69"/>
  <c r="P30" i="53"/>
  <c r="P30" i="49"/>
  <c r="P30" i="52"/>
  <c r="P30" i="50"/>
  <c r="P30" i="42"/>
  <c r="P30" i="41"/>
  <c r="P30" i="43"/>
  <c r="P30" i="44"/>
  <c r="P30" i="31"/>
  <c r="P30" i="77"/>
  <c r="P30" i="20"/>
  <c r="P30" i="19"/>
  <c r="P30" i="30"/>
  <c r="P30" i="27"/>
  <c r="P30" i="76"/>
  <c r="P30" i="29"/>
  <c r="P30" i="21"/>
  <c r="P30" i="18"/>
  <c r="P30" i="17"/>
  <c r="P30" i="2"/>
  <c r="P30" i="23"/>
  <c r="P30" i="26"/>
  <c r="P30" i="25"/>
  <c r="P30" i="24"/>
  <c r="P30" i="22"/>
  <c r="C50" i="48"/>
  <c r="Q29" i="73"/>
  <c r="Q29" i="72"/>
  <c r="Q29" i="74"/>
  <c r="Q29" i="71"/>
  <c r="Q29" i="70"/>
  <c r="Q29" i="69"/>
  <c r="Q29" i="53"/>
  <c r="Q29" i="50"/>
  <c r="Q29" i="52"/>
  <c r="Q29" i="49"/>
  <c r="Q29" i="42"/>
  <c r="Q29" i="41"/>
  <c r="Q29" i="43"/>
  <c r="Q29" i="44"/>
  <c r="Q29" i="31"/>
  <c r="Q29" i="77"/>
  <c r="Q29" i="20"/>
  <c r="Q29" i="19"/>
  <c r="Q29" i="29"/>
  <c r="Q29" i="21"/>
  <c r="Q29" i="30"/>
  <c r="Q29" i="27"/>
  <c r="Q29" i="18"/>
  <c r="Q29" i="76"/>
  <c r="Q29" i="17"/>
  <c r="Q29" i="2"/>
  <c r="Q29" i="24"/>
  <c r="Q29" i="22"/>
  <c r="Q29" i="25"/>
  <c r="Q29" i="23"/>
  <c r="Q29" i="26"/>
  <c r="D49" i="48"/>
  <c r="R28" i="74"/>
  <c r="R28" i="73"/>
  <c r="R28" i="72"/>
  <c r="R28" i="71"/>
  <c r="R28" i="70"/>
  <c r="R28" i="69"/>
  <c r="R28" i="53"/>
  <c r="R28" i="51"/>
  <c r="R28" i="52"/>
  <c r="R28" i="50"/>
  <c r="R28" i="49"/>
  <c r="R28" i="42"/>
  <c r="R28" i="41"/>
  <c r="R28" i="44"/>
  <c r="R28" i="43"/>
  <c r="R28" i="31"/>
  <c r="R28" i="77"/>
  <c r="R28" i="21"/>
  <c r="R28" i="20"/>
  <c r="R28" i="19"/>
  <c r="R28" i="18"/>
  <c r="R28" i="29"/>
  <c r="R28" i="30"/>
  <c r="R28" i="76"/>
  <c r="R28" i="27"/>
  <c r="R28" i="17"/>
  <c r="R28" i="2"/>
  <c r="R28" i="24"/>
  <c r="R28" i="26"/>
  <c r="R28" i="23"/>
  <c r="R28" i="25"/>
  <c r="R28" i="22"/>
  <c r="B58" i="48"/>
  <c r="P37" i="74"/>
  <c r="P37" i="73"/>
  <c r="P37" i="72"/>
  <c r="P37" i="71"/>
  <c r="P37" i="69"/>
  <c r="P37" i="70"/>
  <c r="P37" i="52"/>
  <c r="P39" i="54"/>
  <c r="P37" i="53"/>
  <c r="P37" i="49"/>
  <c r="P33" i="51"/>
  <c r="P37" i="50"/>
  <c r="P37" i="43"/>
  <c r="P37" i="42"/>
  <c r="P37" i="44"/>
  <c r="P37" i="41"/>
  <c r="P37" i="76"/>
  <c r="P37" i="21"/>
  <c r="P37" i="31"/>
  <c r="P37" i="30"/>
  <c r="P37" i="77"/>
  <c r="P37" i="27"/>
  <c r="P37" i="17"/>
  <c r="P37" i="29"/>
  <c r="P37" i="20"/>
  <c r="P37" i="19"/>
  <c r="P37" i="2"/>
  <c r="P37" i="18"/>
  <c r="P37" i="23"/>
  <c r="P37" i="26"/>
  <c r="P37" i="25"/>
  <c r="P37" i="24"/>
  <c r="P37" i="22"/>
  <c r="C57" i="48"/>
  <c r="Q36" i="74"/>
  <c r="Q36" i="73"/>
  <c r="Q36" i="71"/>
  <c r="Q36" i="72"/>
  <c r="Q36" i="69"/>
  <c r="Q36" i="52"/>
  <c r="Q36" i="70"/>
  <c r="Q36" i="53"/>
  <c r="Q32" i="51"/>
  <c r="Q36" i="49"/>
  <c r="Q36" i="50"/>
  <c r="Q36" i="43"/>
  <c r="Q36" i="42"/>
  <c r="Q36" i="44"/>
  <c r="Q36" i="41"/>
  <c r="Q36" i="29"/>
  <c r="Q36" i="76"/>
  <c r="Q36" i="31"/>
  <c r="Q36" i="30"/>
  <c r="Q36" i="77"/>
  <c r="Q36" i="21"/>
  <c r="Q36" i="17"/>
  <c r="Q36" i="27"/>
  <c r="Q36" i="20"/>
  <c r="Q36" i="19"/>
  <c r="Q36" i="18"/>
  <c r="Q36" i="2"/>
  <c r="Q36" i="23"/>
  <c r="Q36" i="26"/>
  <c r="Q36" i="22"/>
  <c r="Q36" i="25"/>
  <c r="Q36" i="24"/>
  <c r="D56" i="48"/>
  <c r="R35" i="74"/>
  <c r="R35" i="73"/>
  <c r="R35" i="72"/>
  <c r="R35" i="71"/>
  <c r="R35" i="69"/>
  <c r="R35" i="70"/>
  <c r="R35" i="52"/>
  <c r="R35" i="53"/>
  <c r="R35" i="49"/>
  <c r="R31" i="51"/>
  <c r="R35" i="50"/>
  <c r="R35" i="43"/>
  <c r="R35" i="42"/>
  <c r="R35" i="44"/>
  <c r="R35" i="41"/>
  <c r="R35" i="29"/>
  <c r="R35" i="76"/>
  <c r="R35" i="20"/>
  <c r="R35" i="31"/>
  <c r="R35" i="77"/>
  <c r="R35" i="21"/>
  <c r="R35" i="18"/>
  <c r="R35" i="17"/>
  <c r="R35" i="2"/>
  <c r="R35" i="27"/>
  <c r="R35" i="19"/>
  <c r="R35" i="30"/>
  <c r="R35" i="23"/>
  <c r="R35" i="26"/>
  <c r="R35" i="22"/>
  <c r="R35" i="25"/>
  <c r="R35" i="24"/>
  <c r="B54" i="48"/>
  <c r="P33" i="74"/>
  <c r="P33" i="73"/>
  <c r="P33" i="72"/>
  <c r="P33" i="71"/>
  <c r="P33" i="69"/>
  <c r="P33" i="70"/>
  <c r="P33" i="52"/>
  <c r="P33" i="53"/>
  <c r="P33" i="49"/>
  <c r="P29" i="51"/>
  <c r="P33" i="50"/>
  <c r="P33" i="42"/>
  <c r="P33" i="44"/>
  <c r="P33" i="43"/>
  <c r="P33" i="41"/>
  <c r="P33" i="76"/>
  <c r="P33" i="20"/>
  <c r="P33" i="31"/>
  <c r="P33" i="77"/>
  <c r="P33" i="29"/>
  <c r="P33" i="19"/>
  <c r="P33" i="27"/>
  <c r="P33" i="17"/>
  <c r="P33" i="2"/>
  <c r="P33" i="18"/>
  <c r="P33" i="30"/>
  <c r="P33" i="21"/>
  <c r="P33" i="23"/>
  <c r="P33" i="26"/>
  <c r="P33" i="25"/>
  <c r="P33" i="24"/>
  <c r="P33" i="22"/>
  <c r="D264" i="48"/>
  <c r="R41" i="74"/>
  <c r="R41" i="73"/>
  <c r="R41" i="72"/>
  <c r="R41" i="71"/>
  <c r="R41" i="70"/>
  <c r="R41" i="69"/>
  <c r="R43" i="54"/>
  <c r="R41" i="53"/>
  <c r="R41" i="50"/>
  <c r="R37" i="51"/>
  <c r="R41" i="52"/>
  <c r="R41" i="49"/>
  <c r="R41" i="42"/>
  <c r="R41" i="44"/>
  <c r="R41" i="41"/>
  <c r="R41" i="43"/>
  <c r="R41" i="31"/>
  <c r="R41" i="77"/>
  <c r="R41" i="29"/>
  <c r="R41" i="20"/>
  <c r="R41" i="19"/>
  <c r="R41" i="21"/>
  <c r="R41" i="18"/>
  <c r="R41" i="2"/>
  <c r="R41" i="76"/>
  <c r="R41" i="30"/>
  <c r="R41" i="27"/>
  <c r="R41" i="17"/>
  <c r="R41" i="23"/>
  <c r="R41" i="25"/>
  <c r="R41" i="26"/>
  <c r="R41" i="22"/>
  <c r="R41" i="24"/>
  <c r="B263" i="48"/>
  <c r="P40" i="74"/>
  <c r="P40" i="73"/>
  <c r="P40" i="72"/>
  <c r="P40" i="71"/>
  <c r="P40" i="69"/>
  <c r="P42" i="54"/>
  <c r="P40" i="70"/>
  <c r="P40" i="53"/>
  <c r="P36" i="51"/>
  <c r="P40" i="52"/>
  <c r="P40" i="50"/>
  <c r="P40" i="49"/>
  <c r="P40" i="41"/>
  <c r="P40" i="43"/>
  <c r="P40" i="42"/>
  <c r="P40" i="44"/>
  <c r="P40" i="29"/>
  <c r="P40" i="27"/>
  <c r="P40" i="20"/>
  <c r="P40" i="76"/>
  <c r="P40" i="18"/>
  <c r="P40" i="31"/>
  <c r="P40" i="2"/>
  <c r="P40" i="30"/>
  <c r="P40" i="77"/>
  <c r="P40" i="19"/>
  <c r="P40" i="17"/>
  <c r="P40" i="21"/>
  <c r="P40" i="26"/>
  <c r="P40" i="23"/>
  <c r="P40" i="25"/>
  <c r="P40" i="22"/>
  <c r="P40" i="24"/>
  <c r="C59" i="48"/>
  <c r="Q38" i="74"/>
  <c r="Q38" i="73"/>
  <c r="Q38" i="72"/>
  <c r="Q38" i="71"/>
  <c r="Q38" i="69"/>
  <c r="Q38" i="70"/>
  <c r="Q38" i="53"/>
  <c r="Q34" i="51"/>
  <c r="Q38" i="52"/>
  <c r="Q38" i="50"/>
  <c r="Q40" i="54"/>
  <c r="Q38" i="49"/>
  <c r="Q38" i="41"/>
  <c r="Q38" i="44"/>
  <c r="Q38" i="43"/>
  <c r="Q38" i="42"/>
  <c r="Q38" i="29"/>
  <c r="Q38" i="27"/>
  <c r="Q38" i="20"/>
  <c r="Q38" i="19"/>
  <c r="Q38" i="31"/>
  <c r="Q38" i="18"/>
  <c r="Q38" i="17"/>
  <c r="Q38" i="76"/>
  <c r="Q38" i="30"/>
  <c r="Q38" i="77"/>
  <c r="Q38" i="2"/>
  <c r="Q38" i="21"/>
  <c r="Q38" i="26"/>
  <c r="Q38" i="23"/>
  <c r="Q38" i="22"/>
  <c r="Q38" i="24"/>
  <c r="Q38" i="25"/>
  <c r="B175" i="41"/>
  <c r="B179" i="41"/>
  <c r="I30" i="24" l="1"/>
  <c r="L98" i="15" l="1"/>
  <c r="L36" i="72" l="1"/>
  <c r="K36" i="72"/>
  <c r="J36" i="72"/>
  <c r="F36" i="72"/>
  <c r="E36" i="72"/>
  <c r="D36" i="72"/>
  <c r="L35" i="72"/>
  <c r="K35" i="72"/>
  <c r="J35" i="72"/>
  <c r="I35" i="72"/>
  <c r="F35" i="72"/>
  <c r="E35" i="72"/>
  <c r="D35" i="72"/>
  <c r="I34" i="72"/>
  <c r="L28" i="72"/>
  <c r="K28" i="72"/>
  <c r="J28" i="72"/>
  <c r="F28" i="72"/>
  <c r="E28" i="72"/>
  <c r="D28" i="72"/>
  <c r="L27" i="72"/>
  <c r="K27" i="72"/>
  <c r="J27" i="72"/>
  <c r="I27" i="72"/>
  <c r="F27" i="72"/>
  <c r="E27" i="72"/>
  <c r="D27" i="72"/>
  <c r="I26" i="72"/>
  <c r="L36" i="71"/>
  <c r="K36" i="71"/>
  <c r="J36" i="71"/>
  <c r="F36" i="71"/>
  <c r="E36" i="71"/>
  <c r="D36" i="71"/>
  <c r="L35" i="71"/>
  <c r="K35" i="71"/>
  <c r="J35" i="71"/>
  <c r="I35" i="71"/>
  <c r="F35" i="71"/>
  <c r="E35" i="71"/>
  <c r="D35" i="71"/>
  <c r="I34" i="71"/>
  <c r="L28" i="71"/>
  <c r="K28" i="71"/>
  <c r="J28" i="71"/>
  <c r="F28" i="71"/>
  <c r="E28" i="71"/>
  <c r="D28" i="71"/>
  <c r="L27" i="71"/>
  <c r="K27" i="71"/>
  <c r="J27" i="71"/>
  <c r="I27" i="71"/>
  <c r="F27" i="71"/>
  <c r="E27" i="71"/>
  <c r="D27" i="71"/>
  <c r="I26" i="71"/>
  <c r="L36" i="69"/>
  <c r="K36" i="69"/>
  <c r="J36" i="69"/>
  <c r="F36" i="69"/>
  <c r="E36" i="69"/>
  <c r="D36" i="69"/>
  <c r="L35" i="69"/>
  <c r="K35" i="69"/>
  <c r="J35" i="69"/>
  <c r="I35" i="69"/>
  <c r="F35" i="69"/>
  <c r="E35" i="69"/>
  <c r="D35" i="69"/>
  <c r="I34" i="69"/>
  <c r="L28" i="69"/>
  <c r="K28" i="69"/>
  <c r="J28" i="69"/>
  <c r="F28" i="69"/>
  <c r="E28" i="69"/>
  <c r="D28" i="69"/>
  <c r="L27" i="69"/>
  <c r="K27" i="69"/>
  <c r="J27" i="69"/>
  <c r="I27" i="69"/>
  <c r="F27" i="69"/>
  <c r="E27" i="69"/>
  <c r="D27" i="69"/>
  <c r="I26" i="69"/>
  <c r="L36" i="74"/>
  <c r="K36" i="74"/>
  <c r="J36" i="74"/>
  <c r="F36" i="74"/>
  <c r="E36" i="74"/>
  <c r="D36" i="74"/>
  <c r="L35" i="74"/>
  <c r="K35" i="74"/>
  <c r="J35" i="74"/>
  <c r="I35" i="74"/>
  <c r="F35" i="74"/>
  <c r="E35" i="74"/>
  <c r="D35" i="74"/>
  <c r="I34" i="74"/>
  <c r="L28" i="74"/>
  <c r="K28" i="74"/>
  <c r="J28" i="74"/>
  <c r="F28" i="74"/>
  <c r="E28" i="74"/>
  <c r="D28" i="74"/>
  <c r="L27" i="74"/>
  <c r="K27" i="74"/>
  <c r="J27" i="74"/>
  <c r="I27" i="74"/>
  <c r="F27" i="74"/>
  <c r="E27" i="74"/>
  <c r="D27" i="74"/>
  <c r="S18" i="74" s="1"/>
  <c r="BI39" i="48" s="1"/>
  <c r="I26" i="74"/>
  <c r="L36" i="73"/>
  <c r="K36" i="73"/>
  <c r="J36" i="73"/>
  <c r="F36" i="73"/>
  <c r="E36" i="73"/>
  <c r="D36" i="73"/>
  <c r="L35" i="73"/>
  <c r="K35" i="73"/>
  <c r="J35" i="73"/>
  <c r="I35" i="73"/>
  <c r="F35" i="73"/>
  <c r="E35" i="73"/>
  <c r="D35" i="73"/>
  <c r="I34" i="73"/>
  <c r="L28" i="73"/>
  <c r="K28" i="73"/>
  <c r="J28" i="73"/>
  <c r="F28" i="73"/>
  <c r="E28" i="73"/>
  <c r="D28" i="73"/>
  <c r="L27" i="73"/>
  <c r="K27" i="73"/>
  <c r="J27" i="73"/>
  <c r="I27" i="73"/>
  <c r="F27" i="73"/>
  <c r="E27" i="73"/>
  <c r="D27" i="73"/>
  <c r="I26" i="73"/>
  <c r="L36" i="70" l="1"/>
  <c r="K36" i="70"/>
  <c r="J36" i="70"/>
  <c r="F36" i="70"/>
  <c r="E36" i="70"/>
  <c r="D36" i="70"/>
  <c r="L35" i="70"/>
  <c r="K35" i="70"/>
  <c r="J35" i="70"/>
  <c r="I35" i="70"/>
  <c r="F35" i="70"/>
  <c r="E35" i="70"/>
  <c r="D35" i="70"/>
  <c r="I34" i="70"/>
  <c r="L28" i="70"/>
  <c r="K28" i="70"/>
  <c r="J28" i="70"/>
  <c r="F28" i="70"/>
  <c r="E28" i="70"/>
  <c r="D28" i="70"/>
  <c r="L27" i="70"/>
  <c r="K27" i="70"/>
  <c r="S20" i="70" s="1"/>
  <c r="BG41" i="48" s="1"/>
  <c r="F41" i="48" s="1"/>
  <c r="L41" i="48" s="1"/>
  <c r="J27" i="70"/>
  <c r="S18" i="70" s="1"/>
  <c r="BG39" i="48" s="1"/>
  <c r="F39" i="48" s="1"/>
  <c r="L39" i="48" s="1"/>
  <c r="I27" i="70"/>
  <c r="F27" i="70"/>
  <c r="E27" i="70"/>
  <c r="D27" i="70"/>
  <c r="I26" i="70"/>
  <c r="B48" i="26" l="1"/>
  <c r="B47" i="26"/>
  <c r="B48" i="23"/>
  <c r="B47" i="23"/>
  <c r="F122" i="48"/>
  <c r="AI30" i="48"/>
  <c r="B52" i="25"/>
  <c r="B51" i="25"/>
  <c r="B53" i="22"/>
  <c r="B52" i="22"/>
  <c r="B49" i="21"/>
  <c r="B48" i="21"/>
  <c r="B59" i="20"/>
  <c r="B58" i="20"/>
  <c r="B59" i="19"/>
  <c r="B58" i="19"/>
  <c r="U159" i="19"/>
  <c r="B47" i="18"/>
  <c r="B46" i="18"/>
  <c r="B54" i="2"/>
  <c r="B53" i="2"/>
  <c r="L262" i="48"/>
  <c r="M262" i="48" s="1"/>
  <c r="L122" i="15"/>
  <c r="W6" i="9"/>
  <c r="BY285" i="48"/>
  <c r="BY84" i="48"/>
  <c r="L387" i="9"/>
  <c r="A387" i="9" s="1"/>
  <c r="M387" i="9"/>
  <c r="B387" i="9" s="1"/>
  <c r="N387" i="9"/>
  <c r="C387" i="9" s="1"/>
  <c r="Q387" i="9"/>
  <c r="T387" i="9"/>
  <c r="I387" i="9" s="1"/>
  <c r="J134" i="48" s="1"/>
  <c r="U387" i="9"/>
  <c r="J387" i="9" s="1"/>
  <c r="K134" i="48" s="1"/>
  <c r="L410" i="9"/>
  <c r="A410" i="9" s="1"/>
  <c r="M410" i="9"/>
  <c r="B410" i="9" s="1"/>
  <c r="N410" i="9"/>
  <c r="C410" i="9" s="1"/>
  <c r="Q410" i="9"/>
  <c r="T410" i="9"/>
  <c r="I410" i="9" s="1"/>
  <c r="J155" i="48" s="1"/>
  <c r="U410" i="9"/>
  <c r="J410" i="9" s="1"/>
  <c r="K155" i="48" s="1"/>
  <c r="L436" i="9"/>
  <c r="A436" i="9" s="1"/>
  <c r="M436" i="9"/>
  <c r="B436" i="9" s="1"/>
  <c r="N436" i="9"/>
  <c r="C436" i="9" s="1"/>
  <c r="Q436" i="9"/>
  <c r="T436" i="9"/>
  <c r="I436" i="9" s="1"/>
  <c r="J179" i="48" s="1"/>
  <c r="U436" i="9"/>
  <c r="J436" i="9" s="1"/>
  <c r="K179" i="48" s="1"/>
  <c r="J184" i="48"/>
  <c r="K184" i="48"/>
  <c r="J194" i="48"/>
  <c r="K194" i="48"/>
  <c r="BZ259" i="48"/>
  <c r="BZ260" i="48"/>
  <c r="BZ261" i="48"/>
  <c r="BZ258" i="48"/>
  <c r="L257" i="48"/>
  <c r="U601" i="9"/>
  <c r="J601" i="9" s="1"/>
  <c r="K258" i="48" s="1"/>
  <c r="U602" i="9"/>
  <c r="J602" i="9" s="1"/>
  <c r="K259" i="48" s="1"/>
  <c r="U603" i="9"/>
  <c r="J603" i="9" s="1"/>
  <c r="K260" i="48" s="1"/>
  <c r="U604" i="9"/>
  <c r="J604" i="9" s="1"/>
  <c r="K261" i="48" s="1"/>
  <c r="T601" i="9"/>
  <c r="I601" i="9" s="1"/>
  <c r="J258" i="48" s="1"/>
  <c r="T602" i="9"/>
  <c r="I602" i="9" s="1"/>
  <c r="J259" i="48" s="1"/>
  <c r="T603" i="9"/>
  <c r="I603" i="9" s="1"/>
  <c r="J260" i="48" s="1"/>
  <c r="T604" i="9"/>
  <c r="I604" i="9" s="1"/>
  <c r="J261" i="48" s="1"/>
  <c r="L634" i="9"/>
  <c r="A634" i="9" s="1"/>
  <c r="M634" i="9"/>
  <c r="B634" i="9" s="1"/>
  <c r="N634" i="9"/>
  <c r="C634" i="9" s="1"/>
  <c r="Q634" i="9"/>
  <c r="T634" i="9"/>
  <c r="I634" i="9" s="1"/>
  <c r="J285" i="48" s="1"/>
  <c r="U634" i="9"/>
  <c r="J634" i="9" s="1"/>
  <c r="K285" i="48" s="1"/>
  <c r="L649" i="9"/>
  <c r="M649" i="9"/>
  <c r="N649" i="9"/>
  <c r="Q649" i="9"/>
  <c r="T649" i="9"/>
  <c r="U649" i="9"/>
  <c r="L650" i="9"/>
  <c r="M650" i="9"/>
  <c r="N650" i="9"/>
  <c r="Q650" i="9"/>
  <c r="T650" i="9"/>
  <c r="U650" i="9"/>
  <c r="L651" i="9"/>
  <c r="M651" i="9"/>
  <c r="N651" i="9"/>
  <c r="Q651" i="9"/>
  <c r="T651" i="9"/>
  <c r="U651" i="9"/>
  <c r="L653" i="9"/>
  <c r="A653" i="9" s="1"/>
  <c r="B52" i="16" s="1"/>
  <c r="M653" i="9"/>
  <c r="B653" i="9" s="1"/>
  <c r="C298" i="48" s="1"/>
  <c r="N653" i="9"/>
  <c r="C653" i="9" s="1"/>
  <c r="D298" i="48" s="1"/>
  <c r="Q653" i="9"/>
  <c r="T653" i="9"/>
  <c r="I653" i="9" s="1"/>
  <c r="J298" i="48" s="1"/>
  <c r="U653" i="9"/>
  <c r="J653" i="9" s="1"/>
  <c r="K298" i="48" s="1"/>
  <c r="C3" i="9"/>
  <c r="AA93" i="48"/>
  <c r="B1" i="12"/>
  <c r="B289" i="12" s="1"/>
  <c r="N8" i="77"/>
  <c r="C2" i="9"/>
  <c r="I19" i="11"/>
  <c r="F6" i="9" s="1"/>
  <c r="F611" i="9" s="1"/>
  <c r="Q48" i="9"/>
  <c r="Q158" i="9"/>
  <c r="Q324" i="9"/>
  <c r="Q185" i="9"/>
  <c r="Q194" i="9"/>
  <c r="Q199" i="9"/>
  <c r="I12" i="77"/>
  <c r="I13" i="77"/>
  <c r="L48" i="9"/>
  <c r="M48" i="9"/>
  <c r="N48" i="9"/>
  <c r="L158" i="9"/>
  <c r="M158" i="9"/>
  <c r="N158" i="9"/>
  <c r="L324" i="9"/>
  <c r="M324" i="9"/>
  <c r="N324" i="9"/>
  <c r="L185" i="9"/>
  <c r="M185" i="9"/>
  <c r="N185" i="9"/>
  <c r="L194" i="9"/>
  <c r="M194" i="9"/>
  <c r="N194" i="9"/>
  <c r="L199" i="9"/>
  <c r="M199" i="9"/>
  <c r="N199" i="9"/>
  <c r="A104" i="9"/>
  <c r="B104" i="9"/>
  <c r="C104" i="9"/>
  <c r="A105" i="9"/>
  <c r="P24" i="54" s="1"/>
  <c r="B105" i="9"/>
  <c r="Q24" i="54" s="1"/>
  <c r="C105" i="9"/>
  <c r="R24" i="54" s="1"/>
  <c r="O13" i="11"/>
  <c r="K7" i="76" s="1"/>
  <c r="N8" i="76"/>
  <c r="C4" i="9"/>
  <c r="Q174" i="9"/>
  <c r="L174" i="9"/>
  <c r="M174" i="9"/>
  <c r="N174" i="9"/>
  <c r="C173" i="9" s="1"/>
  <c r="AN111" i="48"/>
  <c r="F111" i="48" s="1"/>
  <c r="H1" i="8"/>
  <c r="H122" i="15"/>
  <c r="D122" i="15"/>
  <c r="BZ274" i="48"/>
  <c r="BZ256" i="48"/>
  <c r="BZ255" i="48"/>
  <c r="BZ254" i="48"/>
  <c r="BZ253" i="48"/>
  <c r="BZ252" i="48"/>
  <c r="BZ250" i="48"/>
  <c r="BZ251" i="48"/>
  <c r="BZ249" i="48"/>
  <c r="BZ248" i="48"/>
  <c r="BZ247" i="48"/>
  <c r="BZ246" i="48"/>
  <c r="BZ245" i="48"/>
  <c r="BZ244" i="48"/>
  <c r="BZ243" i="48"/>
  <c r="BZ240" i="48"/>
  <c r="BZ241" i="48"/>
  <c r="BZ242" i="48"/>
  <c r="BZ239" i="48"/>
  <c r="BZ238" i="48"/>
  <c r="BZ237" i="48"/>
  <c r="BZ236" i="48"/>
  <c r="BZ235" i="48"/>
  <c r="BZ234" i="48"/>
  <c r="BZ233" i="48"/>
  <c r="BZ232" i="48"/>
  <c r="BZ231" i="48"/>
  <c r="BZ230" i="48"/>
  <c r="F274" i="48"/>
  <c r="T7" i="10"/>
  <c r="K10" i="11"/>
  <c r="CC5" i="48"/>
  <c r="N5" i="15"/>
  <c r="N9" i="33"/>
  <c r="N9" i="34"/>
  <c r="N9" i="35"/>
  <c r="N9" i="37"/>
  <c r="N9" i="38"/>
  <c r="N9" i="39"/>
  <c r="N9" i="40"/>
  <c r="N9" i="41"/>
  <c r="N9" i="42"/>
  <c r="N9" i="43"/>
  <c r="N9" i="44"/>
  <c r="N9" i="49"/>
  <c r="N9" i="50"/>
  <c r="N9" i="51"/>
  <c r="N9" i="52"/>
  <c r="N9" i="53"/>
  <c r="N9" i="54"/>
  <c r="N9" i="70"/>
  <c r="N9" i="73"/>
  <c r="N9" i="74"/>
  <c r="N9" i="69"/>
  <c r="N9" i="71"/>
  <c r="N9" i="72"/>
  <c r="N9" i="32"/>
  <c r="N8" i="21"/>
  <c r="N8" i="24"/>
  <c r="N8" i="22"/>
  <c r="N8" i="25"/>
  <c r="N8" i="23"/>
  <c r="N8" i="26"/>
  <c r="N8" i="27"/>
  <c r="N8" i="29"/>
  <c r="N8" i="30"/>
  <c r="N8" i="31"/>
  <c r="N8" i="20"/>
  <c r="N8" i="19"/>
  <c r="N8" i="18"/>
  <c r="N8" i="2"/>
  <c r="J5" i="56"/>
  <c r="I5" i="58"/>
  <c r="I5" i="59"/>
  <c r="I5" i="60"/>
  <c r="I5" i="14"/>
  <c r="I5" i="57"/>
  <c r="I5" i="64"/>
  <c r="I5" i="61"/>
  <c r="I5" i="62"/>
  <c r="I5" i="65"/>
  <c r="I5" i="66"/>
  <c r="J5" i="67"/>
  <c r="J5" i="55"/>
  <c r="P6" i="3"/>
  <c r="I7" i="16"/>
  <c r="N8" i="17"/>
  <c r="L570" i="9"/>
  <c r="A570" i="9" s="1"/>
  <c r="M570" i="9"/>
  <c r="B570" i="9" s="1"/>
  <c r="C3" i="75" s="1"/>
  <c r="N570" i="9"/>
  <c r="C570" i="9" s="1"/>
  <c r="Q570" i="9"/>
  <c r="L571" i="9"/>
  <c r="A571" i="9" s="1"/>
  <c r="B4" i="75" s="1"/>
  <c r="M571" i="9"/>
  <c r="B571" i="9" s="1"/>
  <c r="C231" i="48" s="1"/>
  <c r="N571" i="9"/>
  <c r="C571" i="9" s="1"/>
  <c r="D4" i="75" s="1"/>
  <c r="Q571" i="9"/>
  <c r="L590" i="9"/>
  <c r="A590" i="9" s="1"/>
  <c r="B5" i="75" s="1"/>
  <c r="M590" i="9"/>
  <c r="B590" i="9" s="1"/>
  <c r="N590" i="9"/>
  <c r="C590" i="9" s="1"/>
  <c r="D5" i="75" s="1"/>
  <c r="Q590" i="9"/>
  <c r="L592" i="9"/>
  <c r="A592" i="9" s="1"/>
  <c r="B250" i="48" s="1"/>
  <c r="M592" i="9"/>
  <c r="B592" i="9" s="1"/>
  <c r="N592" i="9"/>
  <c r="C592" i="9" s="1"/>
  <c r="D6" i="75" s="1"/>
  <c r="Q592" i="9"/>
  <c r="L594" i="9"/>
  <c r="A594" i="9" s="1"/>
  <c r="B7" i="75" s="1"/>
  <c r="M594" i="9"/>
  <c r="B594" i="9" s="1"/>
  <c r="C7" i="75" s="1"/>
  <c r="N594" i="9"/>
  <c r="C594" i="9" s="1"/>
  <c r="D251" i="48" s="1"/>
  <c r="Q594" i="9"/>
  <c r="L573" i="9"/>
  <c r="A573" i="9" s="1"/>
  <c r="M573" i="9"/>
  <c r="B573" i="9" s="1"/>
  <c r="C233" i="48" s="1"/>
  <c r="N573" i="9"/>
  <c r="C573" i="9" s="1"/>
  <c r="D8" i="75" s="1"/>
  <c r="Q573" i="9"/>
  <c r="L574" i="9"/>
  <c r="A574" i="9" s="1"/>
  <c r="M574" i="9"/>
  <c r="B574" i="9" s="1"/>
  <c r="N574" i="9"/>
  <c r="C574" i="9" s="1"/>
  <c r="Q574" i="9"/>
  <c r="L572" i="9"/>
  <c r="A572" i="9" s="1"/>
  <c r="B232" i="48" s="1"/>
  <c r="M572" i="9"/>
  <c r="B572" i="9" s="1"/>
  <c r="N572" i="9"/>
  <c r="C572" i="9" s="1"/>
  <c r="Q572" i="9"/>
  <c r="L595" i="9"/>
  <c r="A595" i="9" s="1"/>
  <c r="B252" i="48" s="1"/>
  <c r="M595" i="9"/>
  <c r="B595" i="9" s="1"/>
  <c r="N595" i="9"/>
  <c r="C595" i="9" s="1"/>
  <c r="Q595" i="9"/>
  <c r="L588" i="9"/>
  <c r="A588" i="9" s="1"/>
  <c r="B12" i="75" s="1"/>
  <c r="M588" i="9"/>
  <c r="B588" i="9" s="1"/>
  <c r="N588" i="9"/>
  <c r="C588" i="9" s="1"/>
  <c r="D248" i="48" s="1"/>
  <c r="Q588" i="9"/>
  <c r="L583" i="9"/>
  <c r="A583" i="9" s="1"/>
  <c r="B13" i="75" s="1"/>
  <c r="M583" i="9"/>
  <c r="B583" i="9" s="1"/>
  <c r="N583" i="9"/>
  <c r="C583" i="9" s="1"/>
  <c r="Q583" i="9"/>
  <c r="L585" i="9"/>
  <c r="A585" i="9" s="1"/>
  <c r="B14" i="75" s="1"/>
  <c r="M585" i="9"/>
  <c r="B585" i="9" s="1"/>
  <c r="C14" i="75" s="1"/>
  <c r="N585" i="9"/>
  <c r="C585" i="9" s="1"/>
  <c r="D245" i="48" s="1"/>
  <c r="Q585" i="9"/>
  <c r="L584" i="9"/>
  <c r="A584" i="9" s="1"/>
  <c r="M584" i="9"/>
  <c r="B584" i="9" s="1"/>
  <c r="N584" i="9"/>
  <c r="C584" i="9" s="1"/>
  <c r="D244" i="48" s="1"/>
  <c r="Q584" i="9"/>
  <c r="L586" i="9"/>
  <c r="A586" i="9" s="1"/>
  <c r="B246" i="48" s="1"/>
  <c r="M586" i="9"/>
  <c r="B586" i="9" s="1"/>
  <c r="N586" i="9"/>
  <c r="C586" i="9" s="1"/>
  <c r="D16" i="75" s="1"/>
  <c r="Q586" i="9"/>
  <c r="L587" i="9"/>
  <c r="A587" i="9" s="1"/>
  <c r="B247" i="48" s="1"/>
  <c r="M587" i="9"/>
  <c r="B587" i="9" s="1"/>
  <c r="N587" i="9"/>
  <c r="C587" i="9" s="1"/>
  <c r="Q587" i="9"/>
  <c r="L579" i="9"/>
  <c r="A579" i="9" s="1"/>
  <c r="M579" i="9"/>
  <c r="B579" i="9" s="1"/>
  <c r="N579" i="9"/>
  <c r="C579" i="9" s="1"/>
  <c r="Q579" i="9"/>
  <c r="L580" i="9"/>
  <c r="A580" i="9" s="1"/>
  <c r="M580" i="9"/>
  <c r="B580" i="9" s="1"/>
  <c r="N580" i="9"/>
  <c r="C580" i="9" s="1"/>
  <c r="D240" i="48" s="1"/>
  <c r="Q580" i="9"/>
  <c r="L581" i="9"/>
  <c r="A581" i="9" s="1"/>
  <c r="M581" i="9"/>
  <c r="B581" i="9" s="1"/>
  <c r="C241" i="48" s="1"/>
  <c r="N581" i="9"/>
  <c r="C581" i="9" s="1"/>
  <c r="Q581" i="9"/>
  <c r="L582" i="9"/>
  <c r="A582" i="9" s="1"/>
  <c r="M582" i="9"/>
  <c r="B582" i="9" s="1"/>
  <c r="C21" i="75" s="1"/>
  <c r="N582" i="9"/>
  <c r="C582" i="9" s="1"/>
  <c r="D242" i="48" s="1"/>
  <c r="Q582" i="9"/>
  <c r="L576" i="9"/>
  <c r="A576" i="9" s="1"/>
  <c r="B236" i="48" s="1"/>
  <c r="M576" i="9"/>
  <c r="B576" i="9" s="1"/>
  <c r="N576" i="9"/>
  <c r="C576" i="9" s="1"/>
  <c r="Q576" i="9"/>
  <c r="L575" i="9"/>
  <c r="A575" i="9" s="1"/>
  <c r="M575" i="9"/>
  <c r="B575" i="9" s="1"/>
  <c r="N575" i="9"/>
  <c r="C575" i="9" s="1"/>
  <c r="Q575" i="9"/>
  <c r="L578" i="9"/>
  <c r="A578" i="9" s="1"/>
  <c r="M578" i="9"/>
  <c r="B578" i="9" s="1"/>
  <c r="C24" i="75" s="1"/>
  <c r="N578" i="9"/>
  <c r="C578" i="9" s="1"/>
  <c r="Q578" i="9"/>
  <c r="L610" i="9"/>
  <c r="A610" i="9" s="1"/>
  <c r="M610" i="9"/>
  <c r="B610" i="9" s="1"/>
  <c r="C25" i="75" s="1"/>
  <c r="N610" i="9"/>
  <c r="C610" i="9" s="1"/>
  <c r="D274" i="48" s="1"/>
  <c r="Q610" i="9"/>
  <c r="L597" i="9"/>
  <c r="A597" i="9" s="1"/>
  <c r="M597" i="9"/>
  <c r="B597" i="9" s="1"/>
  <c r="C26" i="75" s="1"/>
  <c r="N597" i="9"/>
  <c r="C597" i="9" s="1"/>
  <c r="Q597" i="9"/>
  <c r="L596" i="9"/>
  <c r="A596" i="9" s="1"/>
  <c r="B27" i="75" s="1"/>
  <c r="M596" i="9"/>
  <c r="B596" i="9" s="1"/>
  <c r="C253" i="48" s="1"/>
  <c r="N596" i="9"/>
  <c r="C596" i="9" s="1"/>
  <c r="Q596" i="9"/>
  <c r="L577" i="9"/>
  <c r="A577" i="9" s="1"/>
  <c r="B28" i="75" s="1"/>
  <c r="M577" i="9"/>
  <c r="B577" i="9" s="1"/>
  <c r="N577" i="9"/>
  <c r="C577" i="9" s="1"/>
  <c r="Q577" i="9"/>
  <c r="L598" i="9"/>
  <c r="A598" i="9" s="1"/>
  <c r="B30" i="75" s="1"/>
  <c r="M598" i="9"/>
  <c r="B598" i="9" s="1"/>
  <c r="N598" i="9"/>
  <c r="C598" i="9" s="1"/>
  <c r="D255" i="48" s="1"/>
  <c r="Q598" i="9"/>
  <c r="L599" i="9"/>
  <c r="A599" i="9" s="1"/>
  <c r="M599" i="9"/>
  <c r="B599" i="9" s="1"/>
  <c r="C256" i="48" s="1"/>
  <c r="N599" i="9"/>
  <c r="C599" i="9" s="1"/>
  <c r="Q599" i="9"/>
  <c r="F301" i="48"/>
  <c r="F302" i="48"/>
  <c r="F303" i="48"/>
  <c r="F304" i="48"/>
  <c r="F305" i="48"/>
  <c r="F306" i="48"/>
  <c r="F307" i="48"/>
  <c r="F308" i="48"/>
  <c r="F309" i="48"/>
  <c r="F300" i="48"/>
  <c r="L657" i="9"/>
  <c r="A657" i="9" s="1"/>
  <c r="B301" i="48" s="1"/>
  <c r="M657" i="9"/>
  <c r="B657" i="9" s="1"/>
  <c r="C301" i="48" s="1"/>
  <c r="N657" i="9"/>
  <c r="C657" i="9" s="1"/>
  <c r="D301" i="48" s="1"/>
  <c r="Q657" i="9"/>
  <c r="L301" i="48"/>
  <c r="T657" i="9"/>
  <c r="I657" i="9" s="1"/>
  <c r="J301" i="48" s="1"/>
  <c r="U657" i="9"/>
  <c r="J657" i="9" s="1"/>
  <c r="K301" i="48" s="1"/>
  <c r="L658" i="9"/>
  <c r="A658" i="9" s="1"/>
  <c r="B302" i="48" s="1"/>
  <c r="M658" i="9"/>
  <c r="B658" i="9" s="1"/>
  <c r="C302" i="48" s="1"/>
  <c r="N658" i="9"/>
  <c r="C658" i="9" s="1"/>
  <c r="D302" i="48" s="1"/>
  <c r="Q658" i="9"/>
  <c r="L302" i="48"/>
  <c r="T658" i="9"/>
  <c r="I658" i="9" s="1"/>
  <c r="J302" i="48" s="1"/>
  <c r="U658" i="9"/>
  <c r="J658" i="9" s="1"/>
  <c r="K302" i="48" s="1"/>
  <c r="L659" i="9"/>
  <c r="A659" i="9" s="1"/>
  <c r="B303" i="48" s="1"/>
  <c r="M659" i="9"/>
  <c r="B659" i="9" s="1"/>
  <c r="C303" i="48" s="1"/>
  <c r="N659" i="9"/>
  <c r="C659" i="9" s="1"/>
  <c r="D303" i="48" s="1"/>
  <c r="Q659" i="9"/>
  <c r="L303" i="48"/>
  <c r="T659" i="9"/>
  <c r="I659" i="9" s="1"/>
  <c r="J303" i="48" s="1"/>
  <c r="U659" i="9"/>
  <c r="J659" i="9" s="1"/>
  <c r="K303" i="48" s="1"/>
  <c r="L660" i="9"/>
  <c r="A660" i="9" s="1"/>
  <c r="B304" i="48" s="1"/>
  <c r="M660" i="9"/>
  <c r="B660" i="9" s="1"/>
  <c r="C304" i="48" s="1"/>
  <c r="N660" i="9"/>
  <c r="C660" i="9" s="1"/>
  <c r="D304" i="48" s="1"/>
  <c r="Q660" i="9"/>
  <c r="L304" i="48"/>
  <c r="T660" i="9"/>
  <c r="I660" i="9" s="1"/>
  <c r="J304" i="48" s="1"/>
  <c r="U660" i="9"/>
  <c r="J660" i="9" s="1"/>
  <c r="K304" i="48" s="1"/>
  <c r="L661" i="9"/>
  <c r="A661" i="9" s="1"/>
  <c r="B305" i="48" s="1"/>
  <c r="M661" i="9"/>
  <c r="B661" i="9" s="1"/>
  <c r="C305" i="48" s="1"/>
  <c r="N661" i="9"/>
  <c r="C661" i="9" s="1"/>
  <c r="D305" i="48" s="1"/>
  <c r="Q661" i="9"/>
  <c r="L305" i="48"/>
  <c r="T661" i="9"/>
  <c r="I661" i="9" s="1"/>
  <c r="J305" i="48" s="1"/>
  <c r="U661" i="9"/>
  <c r="J661" i="9" s="1"/>
  <c r="K305" i="48" s="1"/>
  <c r="L662" i="9"/>
  <c r="A662" i="9" s="1"/>
  <c r="B306" i="48" s="1"/>
  <c r="M662" i="9"/>
  <c r="B662" i="9" s="1"/>
  <c r="C306" i="48" s="1"/>
  <c r="N662" i="9"/>
  <c r="C662" i="9" s="1"/>
  <c r="D306" i="48" s="1"/>
  <c r="Q662" i="9"/>
  <c r="L306" i="48"/>
  <c r="T662" i="9"/>
  <c r="I662" i="9" s="1"/>
  <c r="J306" i="48" s="1"/>
  <c r="U662" i="9"/>
  <c r="J662" i="9" s="1"/>
  <c r="K306" i="48" s="1"/>
  <c r="L663" i="9"/>
  <c r="A663" i="9" s="1"/>
  <c r="B307" i="48" s="1"/>
  <c r="M663" i="9"/>
  <c r="B663" i="9" s="1"/>
  <c r="C307" i="48" s="1"/>
  <c r="N663" i="9"/>
  <c r="C663" i="9" s="1"/>
  <c r="D307" i="48" s="1"/>
  <c r="Q663" i="9"/>
  <c r="L307" i="48"/>
  <c r="T663" i="9"/>
  <c r="I663" i="9" s="1"/>
  <c r="J307" i="48" s="1"/>
  <c r="U663" i="9"/>
  <c r="J663" i="9" s="1"/>
  <c r="K307" i="48" s="1"/>
  <c r="L664" i="9"/>
  <c r="A664" i="9" s="1"/>
  <c r="B308" i="48" s="1"/>
  <c r="M664" i="9"/>
  <c r="B664" i="9" s="1"/>
  <c r="C308" i="48" s="1"/>
  <c r="N664" i="9"/>
  <c r="C664" i="9" s="1"/>
  <c r="D308" i="48" s="1"/>
  <c r="Q664" i="9"/>
  <c r="L308" i="48"/>
  <c r="T664" i="9"/>
  <c r="I664" i="9" s="1"/>
  <c r="J308" i="48" s="1"/>
  <c r="U664" i="9"/>
  <c r="J664" i="9" s="1"/>
  <c r="K308" i="48" s="1"/>
  <c r="L665" i="9"/>
  <c r="A665" i="9" s="1"/>
  <c r="B309" i="48" s="1"/>
  <c r="M665" i="9"/>
  <c r="B665" i="9" s="1"/>
  <c r="C309" i="48" s="1"/>
  <c r="N665" i="9"/>
  <c r="C665" i="9" s="1"/>
  <c r="D309" i="48" s="1"/>
  <c r="Q665" i="9"/>
  <c r="L309" i="48"/>
  <c r="T665" i="9"/>
  <c r="I665" i="9" s="1"/>
  <c r="J309" i="48" s="1"/>
  <c r="U665" i="9"/>
  <c r="J665" i="9" s="1"/>
  <c r="K309" i="48" s="1"/>
  <c r="L300" i="48"/>
  <c r="Q656" i="9"/>
  <c r="M656" i="9"/>
  <c r="B656" i="9" s="1"/>
  <c r="C300" i="48" s="1"/>
  <c r="N656" i="9"/>
  <c r="C656" i="9" s="1"/>
  <c r="D300" i="48" s="1"/>
  <c r="T656" i="9"/>
  <c r="I656" i="9" s="1"/>
  <c r="J300" i="48" s="1"/>
  <c r="U656" i="9"/>
  <c r="J656" i="9" s="1"/>
  <c r="K300" i="48" s="1"/>
  <c r="L656" i="9"/>
  <c r="A656" i="9" s="1"/>
  <c r="B300" i="48" s="1"/>
  <c r="U668" i="9"/>
  <c r="J668" i="9" s="1"/>
  <c r="T668" i="9"/>
  <c r="I668" i="9" s="1"/>
  <c r="Q668" i="9"/>
  <c r="N668" i="9"/>
  <c r="C668" i="9" s="1"/>
  <c r="M668" i="9"/>
  <c r="B668" i="9" s="1"/>
  <c r="L668" i="9"/>
  <c r="A668" i="9" s="1"/>
  <c r="U667" i="9"/>
  <c r="J667" i="9" s="1"/>
  <c r="T667" i="9"/>
  <c r="I667" i="9" s="1"/>
  <c r="Q667" i="9"/>
  <c r="N667" i="9"/>
  <c r="C667" i="9" s="1"/>
  <c r="M667" i="9"/>
  <c r="B667" i="9" s="1"/>
  <c r="L667" i="9"/>
  <c r="A667" i="9" s="1"/>
  <c r="U666" i="9"/>
  <c r="J666" i="9" s="1"/>
  <c r="T666" i="9"/>
  <c r="I666" i="9" s="1"/>
  <c r="Q666" i="9"/>
  <c r="N666" i="9"/>
  <c r="C666" i="9" s="1"/>
  <c r="M666" i="9"/>
  <c r="B666" i="9" s="1"/>
  <c r="L666" i="9"/>
  <c r="A666" i="9" s="1"/>
  <c r="H299" i="48"/>
  <c r="Q488" i="9"/>
  <c r="Q487" i="9"/>
  <c r="M488" i="9"/>
  <c r="M487" i="9"/>
  <c r="N488" i="9"/>
  <c r="N487" i="9"/>
  <c r="L488" i="9"/>
  <c r="L487" i="9"/>
  <c r="U488" i="9"/>
  <c r="U487" i="9"/>
  <c r="T488" i="9"/>
  <c r="T487" i="9"/>
  <c r="L489" i="9"/>
  <c r="M489" i="9"/>
  <c r="N489" i="9"/>
  <c r="Q489" i="9"/>
  <c r="T489" i="9"/>
  <c r="U489" i="9"/>
  <c r="Q382" i="9"/>
  <c r="Q392" i="9"/>
  <c r="Q415" i="9"/>
  <c r="Q420" i="9"/>
  <c r="Q397" i="9"/>
  <c r="Q457" i="9"/>
  <c r="Q458" i="9"/>
  <c r="Q459" i="9"/>
  <c r="Q460" i="9"/>
  <c r="Q461" i="9"/>
  <c r="Q462" i="9"/>
  <c r="L130" i="15"/>
  <c r="L128" i="15"/>
  <c r="L127" i="15"/>
  <c r="L126" i="15"/>
  <c r="H129" i="15"/>
  <c r="H128" i="15"/>
  <c r="H127" i="15"/>
  <c r="H126" i="15"/>
  <c r="D129" i="15"/>
  <c r="D128" i="15"/>
  <c r="Q545" i="9"/>
  <c r="Q549" i="9"/>
  <c r="Q550" i="9"/>
  <c r="Q546" i="9"/>
  <c r="Q547" i="9"/>
  <c r="Q548" i="9"/>
  <c r="Q544" i="9"/>
  <c r="Q551" i="9"/>
  <c r="M544" i="9"/>
  <c r="B544" i="9" s="1"/>
  <c r="N544" i="9"/>
  <c r="C544" i="9" s="1"/>
  <c r="L544" i="9"/>
  <c r="A544" i="9" s="1"/>
  <c r="M546" i="9"/>
  <c r="B546" i="9" s="1"/>
  <c r="N546" i="9"/>
  <c r="C546" i="9" s="1"/>
  <c r="M547" i="9"/>
  <c r="B547" i="9" s="1"/>
  <c r="N547" i="9"/>
  <c r="C547" i="9" s="1"/>
  <c r="M548" i="9"/>
  <c r="B548" i="9" s="1"/>
  <c r="N548" i="9"/>
  <c r="C548" i="9" s="1"/>
  <c r="L548" i="9"/>
  <c r="A548" i="9" s="1"/>
  <c r="L547" i="9"/>
  <c r="A547" i="9" s="1"/>
  <c r="L546" i="9"/>
  <c r="A546" i="9" s="1"/>
  <c r="N397" i="9"/>
  <c r="C397" i="9" s="1"/>
  <c r="M397" i="9"/>
  <c r="B397" i="9" s="1"/>
  <c r="L397" i="9"/>
  <c r="A397" i="9" s="1"/>
  <c r="M382" i="9"/>
  <c r="B382" i="9" s="1"/>
  <c r="N382" i="9"/>
  <c r="C382" i="9" s="1"/>
  <c r="M392" i="9"/>
  <c r="B392" i="9" s="1"/>
  <c r="N392" i="9"/>
  <c r="C392" i="9" s="1"/>
  <c r="M420" i="9"/>
  <c r="B420" i="9" s="1"/>
  <c r="N420" i="9"/>
  <c r="C420" i="9" s="1"/>
  <c r="M415" i="9"/>
  <c r="B415" i="9" s="1"/>
  <c r="N415" i="9"/>
  <c r="C415" i="9" s="1"/>
  <c r="L420" i="9"/>
  <c r="A420" i="9" s="1"/>
  <c r="L415" i="9"/>
  <c r="A415" i="9" s="1"/>
  <c r="L392" i="9"/>
  <c r="A392" i="9" s="1"/>
  <c r="L382" i="9"/>
  <c r="A382" i="9" s="1"/>
  <c r="L105" i="15"/>
  <c r="L115" i="15"/>
  <c r="Q205" i="9"/>
  <c r="Q204" i="9"/>
  <c r="Q209" i="9"/>
  <c r="Q208" i="9"/>
  <c r="M209" i="9"/>
  <c r="M208" i="9"/>
  <c r="N209" i="9"/>
  <c r="N208" i="9"/>
  <c r="M205" i="9"/>
  <c r="M204" i="9"/>
  <c r="N205" i="9"/>
  <c r="N204" i="9"/>
  <c r="L209" i="9"/>
  <c r="L208" i="9"/>
  <c r="L205" i="9"/>
  <c r="L204" i="9"/>
  <c r="Q49" i="9"/>
  <c r="Q163" i="9"/>
  <c r="Q162" i="9"/>
  <c r="Q236" i="9"/>
  <c r="Q190" i="9"/>
  <c r="Q189" i="9"/>
  <c r="Q195" i="9"/>
  <c r="Q200" i="9"/>
  <c r="Q632" i="9"/>
  <c r="Q639" i="9"/>
  <c r="Q644" i="9"/>
  <c r="Q329" i="9"/>
  <c r="Q328" i="9"/>
  <c r="L49" i="9"/>
  <c r="M49" i="9"/>
  <c r="N49" i="9"/>
  <c r="L163" i="9"/>
  <c r="L162" i="9"/>
  <c r="M163" i="9"/>
  <c r="M162" i="9"/>
  <c r="N163" i="9"/>
  <c r="N162" i="9"/>
  <c r="L236" i="9"/>
  <c r="M236" i="9"/>
  <c r="N236" i="9"/>
  <c r="L329" i="9"/>
  <c r="L328" i="9"/>
  <c r="M329" i="9"/>
  <c r="M328" i="9"/>
  <c r="N329" i="9"/>
  <c r="N328" i="9"/>
  <c r="L190" i="9"/>
  <c r="L189" i="9"/>
  <c r="M190" i="9"/>
  <c r="M189" i="9"/>
  <c r="N190" i="9"/>
  <c r="N189" i="9"/>
  <c r="L195" i="9"/>
  <c r="M195" i="9"/>
  <c r="N195" i="9"/>
  <c r="L200" i="9"/>
  <c r="M200" i="9"/>
  <c r="N200" i="9"/>
  <c r="L632" i="9"/>
  <c r="A632" i="9" s="1"/>
  <c r="M632" i="9"/>
  <c r="B632" i="9" s="1"/>
  <c r="N632" i="9"/>
  <c r="C632" i="9" s="1"/>
  <c r="L639" i="9"/>
  <c r="A639" i="9" s="1"/>
  <c r="M639" i="9"/>
  <c r="B639" i="9" s="1"/>
  <c r="N639" i="9"/>
  <c r="C639" i="9" s="1"/>
  <c r="L644" i="9"/>
  <c r="A644" i="9" s="1"/>
  <c r="M644" i="9"/>
  <c r="B644" i="9" s="1"/>
  <c r="N644" i="9"/>
  <c r="C644" i="9" s="1"/>
  <c r="Q148" i="9"/>
  <c r="Q147" i="9"/>
  <c r="Q179" i="9"/>
  <c r="Q178" i="9"/>
  <c r="L148" i="9"/>
  <c r="L147" i="9"/>
  <c r="M148" i="9"/>
  <c r="M147" i="9"/>
  <c r="N148" i="9"/>
  <c r="N147" i="9"/>
  <c r="L179" i="9"/>
  <c r="L178" i="9"/>
  <c r="M179" i="9"/>
  <c r="M178" i="9"/>
  <c r="N179" i="9"/>
  <c r="N178" i="9"/>
  <c r="T467" i="9"/>
  <c r="T466" i="9"/>
  <c r="M467" i="9"/>
  <c r="M466" i="9"/>
  <c r="L467" i="9"/>
  <c r="L466" i="9"/>
  <c r="T350" i="9"/>
  <c r="T349" i="9"/>
  <c r="M350" i="9"/>
  <c r="M349" i="9"/>
  <c r="L350" i="9"/>
  <c r="L349" i="9"/>
  <c r="T344" i="9"/>
  <c r="T343" i="9"/>
  <c r="I343" i="9" s="1"/>
  <c r="M344" i="9"/>
  <c r="M343" i="9"/>
  <c r="L344" i="9"/>
  <c r="L343" i="9"/>
  <c r="A343" i="9" s="1"/>
  <c r="T339" i="9"/>
  <c r="T338" i="9"/>
  <c r="M339" i="9"/>
  <c r="M338" i="9"/>
  <c r="L339" i="9"/>
  <c r="L338" i="9"/>
  <c r="T335" i="9"/>
  <c r="T334" i="9"/>
  <c r="M335" i="9"/>
  <c r="M334" i="9"/>
  <c r="L335" i="9"/>
  <c r="L334" i="9"/>
  <c r="T329" i="9"/>
  <c r="T328" i="9"/>
  <c r="T325" i="9"/>
  <c r="T324" i="9"/>
  <c r="M325" i="9"/>
  <c r="L325" i="9"/>
  <c r="T248" i="9"/>
  <c r="T247" i="9"/>
  <c r="M248" i="9"/>
  <c r="M247" i="9"/>
  <c r="L248" i="9"/>
  <c r="L247" i="9"/>
  <c r="T236" i="9"/>
  <c r="T179" i="9"/>
  <c r="T178" i="9"/>
  <c r="T97" i="9"/>
  <c r="I97" i="9" s="1"/>
  <c r="J37" i="48" s="1"/>
  <c r="T96" i="9"/>
  <c r="I96" i="9" s="1"/>
  <c r="J36" i="48" s="1"/>
  <c r="M97" i="9"/>
  <c r="B97" i="9" s="1"/>
  <c r="M96" i="9"/>
  <c r="B96" i="9" s="1"/>
  <c r="L97" i="9"/>
  <c r="A97" i="9" s="1"/>
  <c r="L96" i="9"/>
  <c r="A96" i="9" s="1"/>
  <c r="T152" i="9"/>
  <c r="T151" i="9"/>
  <c r="M152" i="9"/>
  <c r="M151" i="9"/>
  <c r="L152" i="9"/>
  <c r="L151" i="9"/>
  <c r="T148" i="9"/>
  <c r="T147" i="9"/>
  <c r="T144" i="9"/>
  <c r="T143" i="9"/>
  <c r="M144" i="9"/>
  <c r="M143" i="9"/>
  <c r="L144" i="9"/>
  <c r="L143" i="9"/>
  <c r="K2" i="48"/>
  <c r="L13" i="48"/>
  <c r="Q20" i="9"/>
  <c r="Q19" i="9"/>
  <c r="Q81" i="9"/>
  <c r="Q80" i="9"/>
  <c r="AJ30" i="48"/>
  <c r="AN30" i="48"/>
  <c r="AO30" i="48"/>
  <c r="AM30" i="48"/>
  <c r="Q85" i="9"/>
  <c r="Q84" i="9"/>
  <c r="L35" i="48"/>
  <c r="Q93" i="9"/>
  <c r="L36" i="48"/>
  <c r="Q97" i="9"/>
  <c r="Q96" i="9"/>
  <c r="Q144" i="9"/>
  <c r="Q143" i="9"/>
  <c r="F62" i="48"/>
  <c r="Q152" i="9"/>
  <c r="Q151" i="9"/>
  <c r="BY64" i="48"/>
  <c r="Q155" i="9"/>
  <c r="Q154" i="9"/>
  <c r="Q159" i="9"/>
  <c r="BY67" i="48"/>
  <c r="Q168" i="9"/>
  <c r="Q167" i="9"/>
  <c r="V159" i="19"/>
  <c r="F68" i="48"/>
  <c r="Q173" i="9"/>
  <c r="L69" i="48"/>
  <c r="L71" i="48"/>
  <c r="Q183" i="9"/>
  <c r="Q182" i="9"/>
  <c r="Q186" i="9"/>
  <c r="Q248" i="9"/>
  <c r="Q247" i="9"/>
  <c r="U113" i="48"/>
  <c r="X113" i="48"/>
  <c r="AO114" i="48"/>
  <c r="Q325" i="9"/>
  <c r="Q335" i="9"/>
  <c r="Q334" i="9"/>
  <c r="Q339" i="9"/>
  <c r="Q338" i="9"/>
  <c r="Q344" i="9"/>
  <c r="Q343" i="9"/>
  <c r="Q347" i="9"/>
  <c r="Q346" i="9"/>
  <c r="Q350" i="9"/>
  <c r="Q349" i="9"/>
  <c r="Q354" i="9"/>
  <c r="Q353" i="9"/>
  <c r="Q360" i="9"/>
  <c r="Q359" i="9"/>
  <c r="Q365" i="9"/>
  <c r="L127" i="48"/>
  <c r="M127" i="48" s="1"/>
  <c r="Q399" i="9"/>
  <c r="Q405" i="9"/>
  <c r="Q425" i="9"/>
  <c r="Q467" i="9"/>
  <c r="Q466" i="9"/>
  <c r="Q471" i="9"/>
  <c r="Q470" i="9"/>
  <c r="Q475" i="9"/>
  <c r="Q474" i="9"/>
  <c r="Q479" i="9"/>
  <c r="Q478" i="9"/>
  <c r="Q484" i="9"/>
  <c r="Q483" i="9"/>
  <c r="Q492" i="9"/>
  <c r="Q491" i="9"/>
  <c r="Q497" i="9"/>
  <c r="Q496" i="9"/>
  <c r="Q502" i="9"/>
  <c r="Q501" i="9"/>
  <c r="Q507" i="9"/>
  <c r="Q506" i="9"/>
  <c r="Q512" i="9"/>
  <c r="Q511" i="9"/>
  <c r="Q523" i="9"/>
  <c r="Q522" i="9"/>
  <c r="Q540" i="9"/>
  <c r="F221" i="48"/>
  <c r="F222" i="48"/>
  <c r="F226" i="48"/>
  <c r="BY265" i="48"/>
  <c r="Q126" i="9"/>
  <c r="BY266" i="48"/>
  <c r="Q127" i="9"/>
  <c r="BY267" i="48"/>
  <c r="Q128" i="9"/>
  <c r="BY268" i="48"/>
  <c r="Q130" i="9"/>
  <c r="BY269" i="48"/>
  <c r="Q131" i="9"/>
  <c r="BY270" i="48"/>
  <c r="Q132" i="9"/>
  <c r="BY271" i="48"/>
  <c r="Q134" i="9"/>
  <c r="BY272" i="48"/>
  <c r="Q135" i="9"/>
  <c r="Q138" i="9"/>
  <c r="BY277" i="48"/>
  <c r="BY282" i="48"/>
  <c r="Q631" i="9"/>
  <c r="BY283" i="48"/>
  <c r="BY284" i="48"/>
  <c r="Q633" i="9"/>
  <c r="BY286" i="48"/>
  <c r="Q636" i="9"/>
  <c r="BY287" i="48"/>
  <c r="Q637" i="9"/>
  <c r="BY288" i="48"/>
  <c r="Q638" i="9"/>
  <c r="BY289" i="48"/>
  <c r="BY290" i="48"/>
  <c r="Q640" i="9"/>
  <c r="BY291" i="48"/>
  <c r="Q641" i="9"/>
  <c r="BY292" i="48"/>
  <c r="Q642" i="9"/>
  <c r="BY293" i="48"/>
  <c r="Q643" i="9"/>
  <c r="BY294" i="48"/>
  <c r="BY295" i="48"/>
  <c r="Q645" i="9"/>
  <c r="BY296" i="48"/>
  <c r="Q646" i="9"/>
  <c r="BY297" i="48"/>
  <c r="Q647" i="9"/>
  <c r="BY298" i="48"/>
  <c r="Q648" i="9"/>
  <c r="K5" i="48"/>
  <c r="C8" i="48"/>
  <c r="C9" i="48"/>
  <c r="C7" i="48"/>
  <c r="C5" i="48"/>
  <c r="C4" i="48"/>
  <c r="B8" i="48"/>
  <c r="B9" i="48"/>
  <c r="B7" i="48"/>
  <c r="B4" i="48"/>
  <c r="B5" i="48"/>
  <c r="B3" i="48"/>
  <c r="B2" i="48"/>
  <c r="L91" i="15"/>
  <c r="L77" i="15"/>
  <c r="L70" i="15"/>
  <c r="L56" i="15"/>
  <c r="L41" i="15"/>
  <c r="L34" i="15"/>
  <c r="L13" i="15"/>
  <c r="H13" i="15"/>
  <c r="L20" i="15"/>
  <c r="L27" i="15"/>
  <c r="M126" i="9"/>
  <c r="N126" i="9"/>
  <c r="M127" i="9"/>
  <c r="N127" i="9"/>
  <c r="C127" i="9" s="1"/>
  <c r="M128" i="9"/>
  <c r="B128" i="9" s="1"/>
  <c r="N128" i="9"/>
  <c r="M130" i="9"/>
  <c r="B130" i="9" s="1"/>
  <c r="N130" i="9"/>
  <c r="C130" i="9" s="1"/>
  <c r="M131" i="9"/>
  <c r="B131" i="9" s="1"/>
  <c r="N131" i="9"/>
  <c r="C131" i="9" s="1"/>
  <c r="M132" i="9"/>
  <c r="B132" i="9" s="1"/>
  <c r="N132" i="9"/>
  <c r="C132" i="9" s="1"/>
  <c r="M134" i="9"/>
  <c r="B134" i="9" s="1"/>
  <c r="N134" i="9"/>
  <c r="C134" i="9" s="1"/>
  <c r="M135" i="9"/>
  <c r="B135" i="9" s="1"/>
  <c r="N135" i="9"/>
  <c r="C135" i="9" s="1"/>
  <c r="M138" i="9"/>
  <c r="N138" i="9"/>
  <c r="L138" i="9"/>
  <c r="L135" i="9"/>
  <c r="A135" i="9" s="1"/>
  <c r="L134" i="9"/>
  <c r="A134" i="9" s="1"/>
  <c r="L131" i="9"/>
  <c r="A131" i="9" s="1"/>
  <c r="L132" i="9"/>
  <c r="A132" i="9" s="1"/>
  <c r="L130" i="9"/>
  <c r="A130" i="9" s="1"/>
  <c r="L127" i="9"/>
  <c r="A127" i="9" s="1"/>
  <c r="L128" i="9"/>
  <c r="A128" i="9" s="1"/>
  <c r="L126" i="9"/>
  <c r="M631" i="9"/>
  <c r="B631" i="9" s="1"/>
  <c r="N631" i="9"/>
  <c r="C631" i="9" s="1"/>
  <c r="D282" i="48" s="1"/>
  <c r="M633" i="9"/>
  <c r="B633" i="9" s="1"/>
  <c r="C38" i="16" s="1"/>
  <c r="N633" i="9"/>
  <c r="C633" i="9" s="1"/>
  <c r="M636" i="9"/>
  <c r="B636" i="9" s="1"/>
  <c r="C286" i="48" s="1"/>
  <c r="N636" i="9"/>
  <c r="C636" i="9" s="1"/>
  <c r="M637" i="9"/>
  <c r="B637" i="9" s="1"/>
  <c r="C41" i="16" s="1"/>
  <c r="N637" i="9"/>
  <c r="C637" i="9" s="1"/>
  <c r="M638" i="9"/>
  <c r="B638" i="9" s="1"/>
  <c r="C288" i="48" s="1"/>
  <c r="N638" i="9"/>
  <c r="C638" i="9" s="1"/>
  <c r="M640" i="9"/>
  <c r="B640" i="9" s="1"/>
  <c r="C44" i="16" s="1"/>
  <c r="N640" i="9"/>
  <c r="C640" i="9" s="1"/>
  <c r="M641" i="9"/>
  <c r="B641" i="9" s="1"/>
  <c r="N641" i="9"/>
  <c r="C641" i="9" s="1"/>
  <c r="D291" i="48" s="1"/>
  <c r="M642" i="9"/>
  <c r="B642" i="9" s="1"/>
  <c r="C292" i="48" s="1"/>
  <c r="N642" i="9"/>
  <c r="C642" i="9" s="1"/>
  <c r="M643" i="9"/>
  <c r="B643" i="9" s="1"/>
  <c r="N643" i="9"/>
  <c r="C643" i="9" s="1"/>
  <c r="D47" i="16" s="1"/>
  <c r="M645" i="9"/>
  <c r="B645" i="9" s="1"/>
  <c r="C295" i="48" s="1"/>
  <c r="N645" i="9"/>
  <c r="C645" i="9" s="1"/>
  <c r="D295" i="48" s="1"/>
  <c r="M646" i="9"/>
  <c r="N646" i="9"/>
  <c r="M647" i="9"/>
  <c r="N647" i="9"/>
  <c r="M648" i="9"/>
  <c r="N648" i="9"/>
  <c r="L633" i="9"/>
  <c r="A633" i="9" s="1"/>
  <c r="L636" i="9"/>
  <c r="A636" i="9" s="1"/>
  <c r="B286" i="48" s="1"/>
  <c r="L637" i="9"/>
  <c r="A637" i="9" s="1"/>
  <c r="B287" i="48" s="1"/>
  <c r="L638" i="9"/>
  <c r="A638" i="9" s="1"/>
  <c r="L640" i="9"/>
  <c r="A640" i="9" s="1"/>
  <c r="L641" i="9"/>
  <c r="A641" i="9" s="1"/>
  <c r="B291" i="48" s="1"/>
  <c r="L642" i="9"/>
  <c r="A642" i="9" s="1"/>
  <c r="B292" i="48" s="1"/>
  <c r="L643" i="9"/>
  <c r="A643" i="9" s="1"/>
  <c r="B293" i="48" s="1"/>
  <c r="L645" i="9"/>
  <c r="A645" i="9" s="1"/>
  <c r="B49" i="16" s="1"/>
  <c r="L646" i="9"/>
  <c r="L647" i="9"/>
  <c r="L648" i="9"/>
  <c r="L631" i="9"/>
  <c r="A631" i="9" s="1"/>
  <c r="C29" i="16"/>
  <c r="M167" i="9"/>
  <c r="M168" i="9"/>
  <c r="N167" i="9"/>
  <c r="N168" i="9"/>
  <c r="L167" i="9"/>
  <c r="L168" i="9"/>
  <c r="L154" i="9"/>
  <c r="L155" i="9"/>
  <c r="N154" i="9"/>
  <c r="N155" i="9"/>
  <c r="M154" i="9"/>
  <c r="M155" i="9"/>
  <c r="L458" i="9"/>
  <c r="A458" i="9" s="1"/>
  <c r="L57" i="67" s="1"/>
  <c r="M458" i="9"/>
  <c r="B458" i="9" s="1"/>
  <c r="N458" i="9"/>
  <c r="C458" i="9" s="1"/>
  <c r="N57" i="67" s="1"/>
  <c r="L459" i="9"/>
  <c r="A459" i="9" s="1"/>
  <c r="M459" i="9"/>
  <c r="B459" i="9" s="1"/>
  <c r="N459" i="9"/>
  <c r="C459" i="9" s="1"/>
  <c r="N58" i="67" s="1"/>
  <c r="L460" i="9"/>
  <c r="A460" i="9" s="1"/>
  <c r="M460" i="9"/>
  <c r="B460" i="9" s="1"/>
  <c r="M59" i="67" s="1"/>
  <c r="N460" i="9"/>
  <c r="C460" i="9" s="1"/>
  <c r="N59" i="67" s="1"/>
  <c r="L461" i="9"/>
  <c r="A461" i="9" s="1"/>
  <c r="M461" i="9"/>
  <c r="B461" i="9" s="1"/>
  <c r="M60" i="67" s="1"/>
  <c r="N461" i="9"/>
  <c r="C461" i="9" s="1"/>
  <c r="N60" i="67" s="1"/>
  <c r="L462" i="9"/>
  <c r="A462" i="9" s="1"/>
  <c r="L61" i="67" s="1"/>
  <c r="M462" i="9"/>
  <c r="B462" i="9" s="1"/>
  <c r="M61" i="67" s="1"/>
  <c r="N462" i="9"/>
  <c r="C462" i="9" s="1"/>
  <c r="M457" i="9"/>
  <c r="B457" i="9" s="1"/>
  <c r="N457" i="9"/>
  <c r="C457" i="9" s="1"/>
  <c r="N56" i="67" s="1"/>
  <c r="L457" i="9"/>
  <c r="A457" i="9" s="1"/>
  <c r="M549" i="9"/>
  <c r="B549" i="9" s="1"/>
  <c r="N549" i="9"/>
  <c r="C549" i="9" s="1"/>
  <c r="M550" i="9"/>
  <c r="B550" i="9" s="1"/>
  <c r="N550" i="9"/>
  <c r="C550" i="9" s="1"/>
  <c r="L550" i="9"/>
  <c r="A550" i="9" s="1"/>
  <c r="L549" i="9"/>
  <c r="A549" i="9" s="1"/>
  <c r="M545" i="9"/>
  <c r="B545" i="9" s="1"/>
  <c r="N545" i="9"/>
  <c r="C545" i="9" s="1"/>
  <c r="L545" i="9"/>
  <c r="A545" i="9" s="1"/>
  <c r="M551" i="9"/>
  <c r="B551" i="9" s="1"/>
  <c r="M70" i="67" s="1"/>
  <c r="L551" i="9"/>
  <c r="A551" i="9" s="1"/>
  <c r="L70" i="67" s="1"/>
  <c r="M491" i="9"/>
  <c r="M492" i="9"/>
  <c r="M493" i="9"/>
  <c r="M511" i="9"/>
  <c r="M512" i="9"/>
  <c r="N511" i="9"/>
  <c r="N512" i="9"/>
  <c r="L511" i="9"/>
  <c r="L512" i="9"/>
  <c r="M506" i="9"/>
  <c r="M507" i="9"/>
  <c r="N506" i="9"/>
  <c r="N507" i="9"/>
  <c r="L506" i="9"/>
  <c r="L507" i="9"/>
  <c r="N501" i="9"/>
  <c r="N502" i="9"/>
  <c r="M501" i="9"/>
  <c r="M502" i="9"/>
  <c r="L501" i="9"/>
  <c r="L502" i="9"/>
  <c r="E15" i="66"/>
  <c r="E12" i="66"/>
  <c r="M522" i="9"/>
  <c r="M523" i="9"/>
  <c r="N522" i="9"/>
  <c r="N523" i="9"/>
  <c r="L522" i="9"/>
  <c r="L523" i="9"/>
  <c r="E11" i="64"/>
  <c r="E14" i="64"/>
  <c r="N466" i="9"/>
  <c r="N467" i="9"/>
  <c r="L470" i="9"/>
  <c r="L471" i="9"/>
  <c r="M470" i="9"/>
  <c r="M471" i="9"/>
  <c r="N470" i="9"/>
  <c r="N471" i="9"/>
  <c r="L474" i="9"/>
  <c r="L475" i="9"/>
  <c r="M474" i="9"/>
  <c r="M475" i="9"/>
  <c r="N474" i="9"/>
  <c r="N475" i="9"/>
  <c r="L478" i="9"/>
  <c r="L479" i="9"/>
  <c r="M478" i="9"/>
  <c r="M479" i="9"/>
  <c r="N478" i="9"/>
  <c r="N479" i="9"/>
  <c r="L483" i="9"/>
  <c r="L484" i="9"/>
  <c r="M483" i="9"/>
  <c r="M484" i="9"/>
  <c r="N483" i="9"/>
  <c r="N484" i="9"/>
  <c r="L496" i="9"/>
  <c r="L497" i="9"/>
  <c r="M496" i="9"/>
  <c r="M497" i="9"/>
  <c r="N496" i="9"/>
  <c r="N497" i="9"/>
  <c r="E12" i="62"/>
  <c r="E15" i="62"/>
  <c r="L540" i="9"/>
  <c r="A540" i="9" s="1"/>
  <c r="M540" i="9"/>
  <c r="B540" i="9" s="1"/>
  <c r="N540" i="9"/>
  <c r="C540" i="9" s="1"/>
  <c r="E12" i="61"/>
  <c r="E17" i="61"/>
  <c r="L492" i="9"/>
  <c r="L491" i="9"/>
  <c r="N492" i="9"/>
  <c r="N491" i="9"/>
  <c r="E12" i="59"/>
  <c r="E17" i="59"/>
  <c r="E12" i="58"/>
  <c r="E17" i="58"/>
  <c r="E12" i="57"/>
  <c r="E17" i="57"/>
  <c r="D173" i="48"/>
  <c r="M425" i="9"/>
  <c r="B425" i="9" s="1"/>
  <c r="M23" i="56" s="1"/>
  <c r="N425" i="9"/>
  <c r="C425" i="9" s="1"/>
  <c r="L425" i="9"/>
  <c r="A425" i="9" s="1"/>
  <c r="L23" i="56" s="1"/>
  <c r="B172" i="43"/>
  <c r="B168" i="43"/>
  <c r="B189" i="42"/>
  <c r="B185" i="42"/>
  <c r="L399" i="9"/>
  <c r="A399" i="9" s="1"/>
  <c r="L23" i="55" s="1"/>
  <c r="M399" i="9"/>
  <c r="B399" i="9" s="1"/>
  <c r="M23" i="55" s="1"/>
  <c r="N399" i="9"/>
  <c r="C399" i="9" s="1"/>
  <c r="D149" i="48"/>
  <c r="L405" i="9"/>
  <c r="A405" i="9" s="1"/>
  <c r="L29" i="55" s="1"/>
  <c r="M405" i="9"/>
  <c r="B405" i="9" s="1"/>
  <c r="M29" i="55" s="1"/>
  <c r="N405" i="9"/>
  <c r="C405" i="9" s="1"/>
  <c r="N173" i="9"/>
  <c r="M173" i="9"/>
  <c r="L173" i="9"/>
  <c r="T676" i="9"/>
  <c r="U20" i="9"/>
  <c r="U19" i="9"/>
  <c r="U21" i="9"/>
  <c r="U26" i="9"/>
  <c r="U48" i="9"/>
  <c r="U49" i="9"/>
  <c r="U50" i="9"/>
  <c r="U80" i="9"/>
  <c r="U81" i="9"/>
  <c r="U82" i="9"/>
  <c r="U83" i="9"/>
  <c r="U84" i="9"/>
  <c r="U85" i="9"/>
  <c r="U93" i="9"/>
  <c r="U94" i="9"/>
  <c r="J94" i="9" s="1"/>
  <c r="K34" i="48" s="1"/>
  <c r="U95" i="9"/>
  <c r="J95" i="9" s="1"/>
  <c r="K35" i="48" s="1"/>
  <c r="U96" i="9"/>
  <c r="U97" i="9"/>
  <c r="J97" i="9" s="1"/>
  <c r="K37" i="48" s="1"/>
  <c r="U98" i="9"/>
  <c r="J98" i="9" s="1"/>
  <c r="K38" i="48" s="1"/>
  <c r="U99" i="9"/>
  <c r="J99" i="9" s="1"/>
  <c r="K39" i="48" s="1"/>
  <c r="J100" i="9"/>
  <c r="K40" i="48" s="1"/>
  <c r="J101" i="9"/>
  <c r="K41" i="48" s="1"/>
  <c r="J102" i="9"/>
  <c r="K42" i="48" s="1"/>
  <c r="J103" i="9"/>
  <c r="K43" i="48" s="1"/>
  <c r="J104" i="9"/>
  <c r="K44" i="48" s="1"/>
  <c r="J105" i="9"/>
  <c r="K45" i="48" s="1"/>
  <c r="J106" i="9"/>
  <c r="K46" i="48" s="1"/>
  <c r="J108" i="9"/>
  <c r="J109" i="9"/>
  <c r="J123" i="9"/>
  <c r="U126" i="9"/>
  <c r="J126" i="9" s="1"/>
  <c r="K265" i="48" s="1"/>
  <c r="U127" i="9"/>
  <c r="J127" i="9" s="1"/>
  <c r="K266" i="48" s="1"/>
  <c r="U128" i="9"/>
  <c r="J128" i="9" s="1"/>
  <c r="K267" i="48" s="1"/>
  <c r="U129" i="9"/>
  <c r="J129" i="9" s="1"/>
  <c r="U130" i="9"/>
  <c r="J130" i="9" s="1"/>
  <c r="K268" i="48" s="1"/>
  <c r="U131" i="9"/>
  <c r="J131" i="9" s="1"/>
  <c r="K269" i="48" s="1"/>
  <c r="U132" i="9"/>
  <c r="J132" i="9" s="1"/>
  <c r="K270" i="48" s="1"/>
  <c r="U133" i="9"/>
  <c r="J133" i="9" s="1"/>
  <c r="U134" i="9"/>
  <c r="J134" i="9" s="1"/>
  <c r="K271" i="48" s="1"/>
  <c r="U135" i="9"/>
  <c r="J135" i="9" s="1"/>
  <c r="K272" i="48" s="1"/>
  <c r="U136" i="9"/>
  <c r="U137" i="9"/>
  <c r="U138" i="9"/>
  <c r="U139" i="9"/>
  <c r="U140" i="9"/>
  <c r="U141" i="9"/>
  <c r="U142" i="9"/>
  <c r="U143" i="9"/>
  <c r="U144" i="9"/>
  <c r="U145" i="9"/>
  <c r="U147" i="9"/>
  <c r="U148" i="9"/>
  <c r="U149" i="9"/>
  <c r="U151" i="9"/>
  <c r="U152" i="9"/>
  <c r="U153" i="9"/>
  <c r="U154" i="9"/>
  <c r="U155" i="9"/>
  <c r="U156" i="9"/>
  <c r="U158" i="9"/>
  <c r="U159" i="9"/>
  <c r="U160" i="9"/>
  <c r="U162" i="9"/>
  <c r="U163" i="9"/>
  <c r="U164" i="9"/>
  <c r="U167" i="9"/>
  <c r="U168" i="9"/>
  <c r="U169" i="9"/>
  <c r="U170" i="9"/>
  <c r="U171" i="9"/>
  <c r="U172" i="9"/>
  <c r="U173" i="9"/>
  <c r="U174" i="9"/>
  <c r="U175" i="9"/>
  <c r="U176" i="9"/>
  <c r="U177" i="9"/>
  <c r="U178" i="9"/>
  <c r="U179" i="9"/>
  <c r="U180" i="9"/>
  <c r="U182" i="9"/>
  <c r="U183" i="9"/>
  <c r="U184" i="9"/>
  <c r="U185" i="9"/>
  <c r="U186" i="9"/>
  <c r="U187" i="9"/>
  <c r="U189" i="9"/>
  <c r="U190" i="9"/>
  <c r="U191" i="9"/>
  <c r="U194" i="9"/>
  <c r="U195" i="9"/>
  <c r="U196" i="9"/>
  <c r="U199" i="9"/>
  <c r="U200" i="9"/>
  <c r="U201" i="9"/>
  <c r="U204" i="9"/>
  <c r="U205" i="9"/>
  <c r="U206" i="9"/>
  <c r="U208" i="9"/>
  <c r="U209" i="9"/>
  <c r="U210" i="9"/>
  <c r="U212" i="9"/>
  <c r="U213" i="9"/>
  <c r="U214" i="9"/>
  <c r="U236" i="9"/>
  <c r="U237" i="9"/>
  <c r="U247" i="9"/>
  <c r="U248" i="9"/>
  <c r="U249" i="9"/>
  <c r="U250" i="9"/>
  <c r="U251" i="9"/>
  <c r="U252" i="9"/>
  <c r="U253" i="9"/>
  <c r="U324" i="9"/>
  <c r="U325" i="9"/>
  <c r="U326" i="9"/>
  <c r="U328" i="9"/>
  <c r="U329" i="9"/>
  <c r="U330" i="9"/>
  <c r="U331" i="9"/>
  <c r="U332" i="9"/>
  <c r="U333" i="9"/>
  <c r="U334" i="9"/>
  <c r="U335" i="9"/>
  <c r="U336" i="9"/>
  <c r="U338" i="9"/>
  <c r="U339" i="9"/>
  <c r="U340" i="9"/>
  <c r="U343" i="9"/>
  <c r="U344" i="9"/>
  <c r="U345" i="9"/>
  <c r="U346" i="9"/>
  <c r="U347" i="9"/>
  <c r="U348" i="9"/>
  <c r="U349" i="9"/>
  <c r="U350" i="9"/>
  <c r="U351" i="9"/>
  <c r="U353" i="9"/>
  <c r="U354" i="9"/>
  <c r="U355" i="9"/>
  <c r="U356" i="9"/>
  <c r="U357" i="9"/>
  <c r="U358" i="9"/>
  <c r="U359" i="9"/>
  <c r="U360" i="9"/>
  <c r="U361" i="9"/>
  <c r="U362" i="9"/>
  <c r="U363" i="9"/>
  <c r="U364" i="9"/>
  <c r="U365" i="9"/>
  <c r="J365" i="9" s="1"/>
  <c r="K126" i="48" s="1"/>
  <c r="U366" i="9"/>
  <c r="U367" i="9"/>
  <c r="U368" i="9"/>
  <c r="U369" i="9"/>
  <c r="U370" i="9"/>
  <c r="U371" i="9"/>
  <c r="U372" i="9"/>
  <c r="U373" i="9"/>
  <c r="U374" i="9"/>
  <c r="U375" i="9"/>
  <c r="U376" i="9"/>
  <c r="U377" i="9"/>
  <c r="U378" i="9"/>
  <c r="U379" i="9"/>
  <c r="U380" i="9"/>
  <c r="U382" i="9"/>
  <c r="J382" i="9" s="1"/>
  <c r="K129" i="48" s="1"/>
  <c r="U392" i="9"/>
  <c r="J392" i="9" s="1"/>
  <c r="K139" i="48" s="1"/>
  <c r="U397" i="9"/>
  <c r="J397" i="9" s="1"/>
  <c r="K144" i="48" s="1"/>
  <c r="U399" i="9"/>
  <c r="J399" i="9" s="1"/>
  <c r="K146" i="48" s="1"/>
  <c r="K149" i="48"/>
  <c r="U405" i="9"/>
  <c r="J405" i="9" s="1"/>
  <c r="K152" i="48" s="1"/>
  <c r="U406" i="9"/>
  <c r="J406" i="9" s="1"/>
  <c r="K153" i="48" s="1"/>
  <c r="U407" i="9"/>
  <c r="U408" i="9"/>
  <c r="U415" i="9"/>
  <c r="J415" i="9" s="1"/>
  <c r="K160" i="48" s="1"/>
  <c r="U420" i="9"/>
  <c r="J420" i="9" s="1"/>
  <c r="K165" i="48" s="1"/>
  <c r="U425" i="9"/>
  <c r="J425" i="9" s="1"/>
  <c r="K170" i="48" s="1"/>
  <c r="K173" i="48"/>
  <c r="K176" i="48"/>
  <c r="U433" i="9"/>
  <c r="U434" i="9"/>
  <c r="U456" i="9"/>
  <c r="U457" i="9"/>
  <c r="J457" i="9" s="1"/>
  <c r="K198" i="48" s="1"/>
  <c r="U458" i="9"/>
  <c r="J458" i="9" s="1"/>
  <c r="K199" i="48" s="1"/>
  <c r="U459" i="9"/>
  <c r="J459" i="9" s="1"/>
  <c r="K200" i="48" s="1"/>
  <c r="U460" i="9"/>
  <c r="J460" i="9" s="1"/>
  <c r="K201" i="48" s="1"/>
  <c r="U461" i="9"/>
  <c r="J461" i="9" s="1"/>
  <c r="K202" i="48" s="1"/>
  <c r="U462" i="9"/>
  <c r="J462" i="9" s="1"/>
  <c r="K203" i="48" s="1"/>
  <c r="U463" i="9"/>
  <c r="U464" i="9"/>
  <c r="U465" i="9"/>
  <c r="U466" i="9"/>
  <c r="U467" i="9"/>
  <c r="U468" i="9"/>
  <c r="U470" i="9"/>
  <c r="U471" i="9"/>
  <c r="U472" i="9"/>
  <c r="U474" i="9"/>
  <c r="U475" i="9"/>
  <c r="U476" i="9"/>
  <c r="U478" i="9"/>
  <c r="U479" i="9"/>
  <c r="U480" i="9"/>
  <c r="U482" i="9"/>
  <c r="U483" i="9"/>
  <c r="U484" i="9"/>
  <c r="U485" i="9"/>
  <c r="U491" i="9"/>
  <c r="U492" i="9"/>
  <c r="U493" i="9"/>
  <c r="U495" i="9"/>
  <c r="U496" i="9"/>
  <c r="U497" i="9"/>
  <c r="U498" i="9"/>
  <c r="U500" i="9"/>
  <c r="U501" i="9"/>
  <c r="U502" i="9"/>
  <c r="U503" i="9"/>
  <c r="U505" i="9"/>
  <c r="U506" i="9"/>
  <c r="U507" i="9"/>
  <c r="U508" i="9"/>
  <c r="U510" i="9"/>
  <c r="U511" i="9"/>
  <c r="U512" i="9"/>
  <c r="U513" i="9"/>
  <c r="U514" i="9"/>
  <c r="U515" i="9"/>
  <c r="U516" i="9"/>
  <c r="U517" i="9"/>
  <c r="U522" i="9"/>
  <c r="U523" i="9"/>
  <c r="U524" i="9"/>
  <c r="U537" i="9"/>
  <c r="U538" i="9"/>
  <c r="U539" i="9"/>
  <c r="U540" i="9"/>
  <c r="J540" i="9" s="1"/>
  <c r="K220" i="48" s="1"/>
  <c r="U541" i="9"/>
  <c r="U542" i="9"/>
  <c r="U543" i="9"/>
  <c r="U544" i="9"/>
  <c r="J544" i="9" s="1"/>
  <c r="K221" i="48" s="1"/>
  <c r="U545" i="9"/>
  <c r="J545" i="9" s="1"/>
  <c r="K222" i="48" s="1"/>
  <c r="U546" i="9"/>
  <c r="J546" i="9" s="1"/>
  <c r="K223" i="48" s="1"/>
  <c r="U547" i="9"/>
  <c r="J547" i="9" s="1"/>
  <c r="K224" i="48" s="1"/>
  <c r="U548" i="9"/>
  <c r="J548" i="9" s="1"/>
  <c r="K225" i="48" s="1"/>
  <c r="U549" i="9"/>
  <c r="J549" i="9" s="1"/>
  <c r="K226" i="48" s="1"/>
  <c r="U550" i="9"/>
  <c r="J550" i="9" s="1"/>
  <c r="K227" i="48" s="1"/>
  <c r="U551" i="9"/>
  <c r="J551" i="9" s="1"/>
  <c r="K228" i="48" s="1"/>
  <c r="U552" i="9"/>
  <c r="U553" i="9"/>
  <c r="U554" i="9"/>
  <c r="U555" i="9"/>
  <c r="U556" i="9"/>
  <c r="U557" i="9"/>
  <c r="U558" i="9"/>
  <c r="U559" i="9"/>
  <c r="U560" i="9"/>
  <c r="U561" i="9"/>
  <c r="U562" i="9"/>
  <c r="U563" i="9"/>
  <c r="U564" i="9"/>
  <c r="U565" i="9"/>
  <c r="U566" i="9"/>
  <c r="U567" i="9"/>
  <c r="U568" i="9"/>
  <c r="U569" i="9"/>
  <c r="U570" i="9"/>
  <c r="J570" i="9" s="1"/>
  <c r="K230" i="48" s="1"/>
  <c r="U571" i="9"/>
  <c r="J571" i="9" s="1"/>
  <c r="K231" i="48" s="1"/>
  <c r="U572" i="9"/>
  <c r="J572" i="9" s="1"/>
  <c r="K232" i="48" s="1"/>
  <c r="U573" i="9"/>
  <c r="J573" i="9" s="1"/>
  <c r="K233" i="48" s="1"/>
  <c r="U574" i="9"/>
  <c r="J574" i="9" s="1"/>
  <c r="K234" i="48" s="1"/>
  <c r="U575" i="9"/>
  <c r="J575" i="9" s="1"/>
  <c r="K235" i="48" s="1"/>
  <c r="U576" i="9"/>
  <c r="J576" i="9" s="1"/>
  <c r="K236" i="48" s="1"/>
  <c r="U577" i="9"/>
  <c r="J577" i="9" s="1"/>
  <c r="K237" i="48" s="1"/>
  <c r="U578" i="9"/>
  <c r="J578" i="9" s="1"/>
  <c r="K238" i="48" s="1"/>
  <c r="U579" i="9"/>
  <c r="J579" i="9" s="1"/>
  <c r="K239" i="48" s="1"/>
  <c r="U580" i="9"/>
  <c r="J580" i="9" s="1"/>
  <c r="K240" i="48" s="1"/>
  <c r="U581" i="9"/>
  <c r="J581" i="9" s="1"/>
  <c r="K241" i="48" s="1"/>
  <c r="U582" i="9"/>
  <c r="J582" i="9" s="1"/>
  <c r="K242" i="48" s="1"/>
  <c r="U583" i="9"/>
  <c r="J583" i="9" s="1"/>
  <c r="K243" i="48" s="1"/>
  <c r="U584" i="9"/>
  <c r="J584" i="9" s="1"/>
  <c r="K244" i="48" s="1"/>
  <c r="U585" i="9"/>
  <c r="J585" i="9" s="1"/>
  <c r="K245" i="48" s="1"/>
  <c r="U586" i="9"/>
  <c r="J586" i="9" s="1"/>
  <c r="K246" i="48" s="1"/>
  <c r="U587" i="9"/>
  <c r="J587" i="9" s="1"/>
  <c r="K247" i="48" s="1"/>
  <c r="U588" i="9"/>
  <c r="J588" i="9" s="1"/>
  <c r="K248" i="48" s="1"/>
  <c r="U589" i="9"/>
  <c r="J589" i="9" s="1"/>
  <c r="U590" i="9"/>
  <c r="J590" i="9" s="1"/>
  <c r="K249" i="48" s="1"/>
  <c r="U591" i="9"/>
  <c r="J591" i="9" s="1"/>
  <c r="U592" i="9"/>
  <c r="J592" i="9" s="1"/>
  <c r="K250" i="48" s="1"/>
  <c r="U593" i="9"/>
  <c r="J593" i="9" s="1"/>
  <c r="U594" i="9"/>
  <c r="J594" i="9" s="1"/>
  <c r="K251" i="48" s="1"/>
  <c r="U595" i="9"/>
  <c r="J595" i="9" s="1"/>
  <c r="K252" i="48" s="1"/>
  <c r="U596" i="9"/>
  <c r="J596" i="9" s="1"/>
  <c r="K253" i="48" s="1"/>
  <c r="U597" i="9"/>
  <c r="J597" i="9" s="1"/>
  <c r="K254" i="48" s="1"/>
  <c r="U598" i="9"/>
  <c r="J598" i="9" s="1"/>
  <c r="K255" i="48" s="1"/>
  <c r="U599" i="9"/>
  <c r="J599" i="9" s="1"/>
  <c r="K256" i="48" s="1"/>
  <c r="U600" i="9"/>
  <c r="J600" i="9" s="1"/>
  <c r="K257" i="48" s="1"/>
  <c r="U605" i="9"/>
  <c r="U606" i="9"/>
  <c r="U607" i="9"/>
  <c r="U608" i="9"/>
  <c r="U609" i="9"/>
  <c r="U610" i="9"/>
  <c r="J610" i="9" s="1"/>
  <c r="K274" i="48" s="1"/>
  <c r="K277" i="48"/>
  <c r="U617" i="9"/>
  <c r="U618" i="9"/>
  <c r="U619" i="9"/>
  <c r="U620" i="9"/>
  <c r="U621" i="9"/>
  <c r="U622" i="9"/>
  <c r="U624" i="9"/>
  <c r="U625" i="9"/>
  <c r="U626" i="9"/>
  <c r="U627" i="9"/>
  <c r="U628" i="9"/>
  <c r="U629" i="9"/>
  <c r="U630" i="9"/>
  <c r="U631" i="9"/>
  <c r="J631" i="9" s="1"/>
  <c r="K282" i="48" s="1"/>
  <c r="U632" i="9"/>
  <c r="J632" i="9" s="1"/>
  <c r="K283" i="48" s="1"/>
  <c r="U633" i="9"/>
  <c r="J633" i="9" s="1"/>
  <c r="K284" i="48" s="1"/>
  <c r="U636" i="9"/>
  <c r="J636" i="9" s="1"/>
  <c r="K286" i="48" s="1"/>
  <c r="U637" i="9"/>
  <c r="J637" i="9" s="1"/>
  <c r="K287" i="48" s="1"/>
  <c r="U638" i="9"/>
  <c r="J638" i="9" s="1"/>
  <c r="K288" i="48" s="1"/>
  <c r="U639" i="9"/>
  <c r="J639" i="9" s="1"/>
  <c r="K289" i="48" s="1"/>
  <c r="U640" i="9"/>
  <c r="J640" i="9" s="1"/>
  <c r="K290" i="48" s="1"/>
  <c r="U641" i="9"/>
  <c r="J641" i="9" s="1"/>
  <c r="K291" i="48" s="1"/>
  <c r="U642" i="9"/>
  <c r="J642" i="9" s="1"/>
  <c r="K292" i="48" s="1"/>
  <c r="U643" i="9"/>
  <c r="J643" i="9" s="1"/>
  <c r="K293" i="48" s="1"/>
  <c r="U644" i="9"/>
  <c r="J644" i="9" s="1"/>
  <c r="K294" i="48" s="1"/>
  <c r="U645" i="9"/>
  <c r="J645" i="9" s="1"/>
  <c r="K295" i="48" s="1"/>
  <c r="U646" i="9"/>
  <c r="U647" i="9"/>
  <c r="U648" i="9"/>
  <c r="U654" i="9"/>
  <c r="U655" i="9"/>
  <c r="U669" i="9"/>
  <c r="U670" i="9"/>
  <c r="U671" i="9"/>
  <c r="U672" i="9"/>
  <c r="U673" i="9"/>
  <c r="U674" i="9"/>
  <c r="U675" i="9"/>
  <c r="U676" i="9"/>
  <c r="L19" i="9"/>
  <c r="M19" i="9"/>
  <c r="N19" i="9"/>
  <c r="J10" i="48"/>
  <c r="J10" i="9"/>
  <c r="K10" i="48" s="1"/>
  <c r="T10" i="9"/>
  <c r="U10" i="9"/>
  <c r="B109" i="9"/>
  <c r="Q28" i="54" s="1"/>
  <c r="C109" i="9"/>
  <c r="R28" i="54" s="1"/>
  <c r="A109" i="9"/>
  <c r="P28" i="54" s="1"/>
  <c r="N96" i="9"/>
  <c r="C96" i="9" s="1"/>
  <c r="A108" i="9"/>
  <c r="P27" i="54" s="1"/>
  <c r="L359" i="9"/>
  <c r="M359" i="9"/>
  <c r="N359" i="9"/>
  <c r="L365" i="9"/>
  <c r="A365" i="9" s="1"/>
  <c r="M365" i="9"/>
  <c r="B365" i="9" s="1"/>
  <c r="N365" i="9"/>
  <c r="C365" i="9" s="1"/>
  <c r="N143" i="9"/>
  <c r="N334" i="9"/>
  <c r="L84" i="9"/>
  <c r="M84" i="9"/>
  <c r="N84" i="9"/>
  <c r="A106" i="9"/>
  <c r="P25" i="54" s="1"/>
  <c r="B106" i="9"/>
  <c r="Q25" i="54" s="1"/>
  <c r="C106" i="9"/>
  <c r="R25" i="54" s="1"/>
  <c r="N247" i="9"/>
  <c r="N338" i="9"/>
  <c r="L353" i="9"/>
  <c r="I13" i="31"/>
  <c r="I12" i="31"/>
  <c r="I13" i="30"/>
  <c r="I12" i="30"/>
  <c r="I12" i="26"/>
  <c r="I12" i="23"/>
  <c r="I13" i="21"/>
  <c r="I12" i="21"/>
  <c r="I13" i="20"/>
  <c r="I12" i="20"/>
  <c r="I13" i="19"/>
  <c r="I12" i="19"/>
  <c r="E17" i="14"/>
  <c r="E12" i="14"/>
  <c r="C6" i="9"/>
  <c r="B24" i="11"/>
  <c r="B25" i="11"/>
  <c r="B26" i="11"/>
  <c r="B27" i="11"/>
  <c r="B28" i="11"/>
  <c r="B23" i="11"/>
  <c r="N325" i="9"/>
  <c r="L326" i="9"/>
  <c r="M326" i="9"/>
  <c r="N326" i="9"/>
  <c r="Q326" i="9"/>
  <c r="T326" i="9"/>
  <c r="L20" i="9"/>
  <c r="M20" i="9"/>
  <c r="N20" i="9"/>
  <c r="T20" i="9"/>
  <c r="T19" i="9"/>
  <c r="M21" i="9"/>
  <c r="N21" i="9"/>
  <c r="Q21" i="9"/>
  <c r="T21" i="9"/>
  <c r="L26" i="9"/>
  <c r="M26" i="9"/>
  <c r="N26" i="9"/>
  <c r="Q26" i="9"/>
  <c r="T26" i="9"/>
  <c r="T48" i="9"/>
  <c r="T49" i="9"/>
  <c r="L50" i="9"/>
  <c r="M50" i="9"/>
  <c r="N50" i="9"/>
  <c r="Q50" i="9"/>
  <c r="T50" i="9"/>
  <c r="L80" i="9"/>
  <c r="M80" i="9"/>
  <c r="N80" i="9"/>
  <c r="T80" i="9"/>
  <c r="L81" i="9"/>
  <c r="M81" i="9"/>
  <c r="N81" i="9"/>
  <c r="T81" i="9"/>
  <c r="L82" i="9"/>
  <c r="M82" i="9"/>
  <c r="N82" i="9"/>
  <c r="Q82" i="9"/>
  <c r="T82" i="9"/>
  <c r="L83" i="9"/>
  <c r="M83" i="9"/>
  <c r="N83" i="9"/>
  <c r="Q83" i="9"/>
  <c r="T83" i="9"/>
  <c r="T84" i="9"/>
  <c r="L85" i="9"/>
  <c r="M85" i="9"/>
  <c r="N85" i="9"/>
  <c r="T85" i="9"/>
  <c r="M93" i="9"/>
  <c r="N93" i="9"/>
  <c r="T93" i="9"/>
  <c r="L94" i="9"/>
  <c r="A94" i="9" s="1"/>
  <c r="M94" i="9"/>
  <c r="B94" i="9" s="1"/>
  <c r="N94" i="9"/>
  <c r="C94" i="9" s="1"/>
  <c r="Q94" i="9"/>
  <c r="T94" i="9"/>
  <c r="I94" i="9" s="1"/>
  <c r="J34" i="48" s="1"/>
  <c r="L95" i="9"/>
  <c r="A95" i="9" s="1"/>
  <c r="M95" i="9"/>
  <c r="B95" i="9" s="1"/>
  <c r="N95" i="9"/>
  <c r="C95" i="9" s="1"/>
  <c r="Q95" i="9"/>
  <c r="T95" i="9"/>
  <c r="I95" i="9" s="1"/>
  <c r="J35" i="48" s="1"/>
  <c r="N97" i="9"/>
  <c r="C97" i="9" s="1"/>
  <c r="L98" i="9"/>
  <c r="A98" i="9" s="1"/>
  <c r="M98" i="9"/>
  <c r="B98" i="9" s="1"/>
  <c r="N98" i="9"/>
  <c r="C98" i="9" s="1"/>
  <c r="Q98" i="9"/>
  <c r="T98" i="9"/>
  <c r="I98" i="9" s="1"/>
  <c r="J38" i="48" s="1"/>
  <c r="L99" i="9"/>
  <c r="A99" i="9" s="1"/>
  <c r="M99" i="9"/>
  <c r="B99" i="9" s="1"/>
  <c r="N99" i="9"/>
  <c r="C99" i="9" s="1"/>
  <c r="Q99" i="9"/>
  <c r="T99" i="9"/>
  <c r="I99" i="9" s="1"/>
  <c r="J39" i="48" s="1"/>
  <c r="A100" i="9"/>
  <c r="B100" i="9"/>
  <c r="C100" i="9"/>
  <c r="I100" i="9"/>
  <c r="J40" i="48" s="1"/>
  <c r="A101" i="9"/>
  <c r="B101" i="9"/>
  <c r="C101" i="9"/>
  <c r="I101" i="9"/>
  <c r="J41" i="48" s="1"/>
  <c r="A102" i="9"/>
  <c r="B102" i="9"/>
  <c r="C102" i="9"/>
  <c r="I102" i="9"/>
  <c r="J42" i="48" s="1"/>
  <c r="A103" i="9"/>
  <c r="B103" i="9"/>
  <c r="C103" i="9"/>
  <c r="I103" i="9"/>
  <c r="J43" i="48" s="1"/>
  <c r="I104" i="9"/>
  <c r="J44" i="48" s="1"/>
  <c r="I105" i="9"/>
  <c r="J45" i="48" s="1"/>
  <c r="I106" i="9"/>
  <c r="J46" i="48" s="1"/>
  <c r="I108" i="9"/>
  <c r="I109" i="9"/>
  <c r="L123" i="9"/>
  <c r="A123" i="9" s="1"/>
  <c r="M123" i="9"/>
  <c r="N123" i="9"/>
  <c r="I123" i="9"/>
  <c r="T126" i="9"/>
  <c r="I126" i="9" s="1"/>
  <c r="J265" i="48" s="1"/>
  <c r="T127" i="9"/>
  <c r="I127" i="9" s="1"/>
  <c r="J266" i="48" s="1"/>
  <c r="T128" i="9"/>
  <c r="I128" i="9" s="1"/>
  <c r="J267" i="48" s="1"/>
  <c r="L129" i="9"/>
  <c r="M129" i="9"/>
  <c r="N129" i="9"/>
  <c r="Q129" i="9"/>
  <c r="T129" i="9"/>
  <c r="I129" i="9" s="1"/>
  <c r="T130" i="9"/>
  <c r="I130" i="9" s="1"/>
  <c r="J268" i="48" s="1"/>
  <c r="T131" i="9"/>
  <c r="I131" i="9" s="1"/>
  <c r="J269" i="48" s="1"/>
  <c r="T132" i="9"/>
  <c r="I132" i="9" s="1"/>
  <c r="J270" i="48" s="1"/>
  <c r="L133" i="9"/>
  <c r="M133" i="9"/>
  <c r="N133" i="9"/>
  <c r="Q133" i="9"/>
  <c r="T133" i="9"/>
  <c r="I133" i="9" s="1"/>
  <c r="T134" i="9"/>
  <c r="I134" i="9" s="1"/>
  <c r="J271" i="48" s="1"/>
  <c r="T135" i="9"/>
  <c r="I135" i="9" s="1"/>
  <c r="J272" i="48" s="1"/>
  <c r="L136" i="9"/>
  <c r="M136" i="9"/>
  <c r="N136" i="9"/>
  <c r="Q136" i="9"/>
  <c r="T136" i="9"/>
  <c r="L137" i="9"/>
  <c r="M137" i="9"/>
  <c r="N137" i="9"/>
  <c r="Q137" i="9"/>
  <c r="T137" i="9"/>
  <c r="T138" i="9"/>
  <c r="L139" i="9"/>
  <c r="M139" i="9"/>
  <c r="N139" i="9"/>
  <c r="Q139" i="9"/>
  <c r="T139" i="9"/>
  <c r="L140" i="9"/>
  <c r="M140" i="9"/>
  <c r="N140" i="9"/>
  <c r="Q140" i="9"/>
  <c r="T140" i="9"/>
  <c r="L141" i="9"/>
  <c r="M141" i="9"/>
  <c r="N141" i="9"/>
  <c r="Q141" i="9"/>
  <c r="T141" i="9"/>
  <c r="L142" i="9"/>
  <c r="M142" i="9"/>
  <c r="N142" i="9"/>
  <c r="Q142" i="9"/>
  <c r="T142" i="9"/>
  <c r="N144" i="9"/>
  <c r="L145" i="9"/>
  <c r="M145" i="9"/>
  <c r="N145" i="9"/>
  <c r="Q145" i="9"/>
  <c r="T145" i="9"/>
  <c r="L149" i="9"/>
  <c r="M149" i="9"/>
  <c r="N149" i="9"/>
  <c r="Q149" i="9"/>
  <c r="T149" i="9"/>
  <c r="N151" i="9"/>
  <c r="N152" i="9"/>
  <c r="L153" i="9"/>
  <c r="M153" i="9"/>
  <c r="N153" i="9"/>
  <c r="Q153" i="9"/>
  <c r="T153" i="9"/>
  <c r="T154" i="9"/>
  <c r="T155" i="9"/>
  <c r="L156" i="9"/>
  <c r="M156" i="9"/>
  <c r="N156" i="9"/>
  <c r="Q156" i="9"/>
  <c r="T156" i="9"/>
  <c r="T158" i="9"/>
  <c r="L159" i="9"/>
  <c r="M159" i="9"/>
  <c r="N159" i="9"/>
  <c r="T159" i="9"/>
  <c r="L160" i="9"/>
  <c r="M160" i="9"/>
  <c r="N160" i="9"/>
  <c r="Q160" i="9"/>
  <c r="T160" i="9"/>
  <c r="T162" i="9"/>
  <c r="T163" i="9"/>
  <c r="L164" i="9"/>
  <c r="M164" i="9"/>
  <c r="N164" i="9"/>
  <c r="Q164" i="9"/>
  <c r="T164" i="9"/>
  <c r="T167" i="9"/>
  <c r="T168" i="9"/>
  <c r="L169" i="9"/>
  <c r="M169" i="9"/>
  <c r="N169" i="9"/>
  <c r="Q169" i="9"/>
  <c r="T169" i="9"/>
  <c r="L170" i="9"/>
  <c r="M170" i="9"/>
  <c r="N170" i="9"/>
  <c r="Q170" i="9"/>
  <c r="T170" i="9"/>
  <c r="L171" i="9"/>
  <c r="M171" i="9"/>
  <c r="N171" i="9"/>
  <c r="Q171" i="9"/>
  <c r="T171" i="9"/>
  <c r="L172" i="9"/>
  <c r="M172" i="9"/>
  <c r="N172" i="9"/>
  <c r="Q172" i="9"/>
  <c r="T172" i="9"/>
  <c r="T173" i="9"/>
  <c r="T174" i="9"/>
  <c r="L175" i="9"/>
  <c r="M175" i="9"/>
  <c r="N175" i="9"/>
  <c r="Q175" i="9"/>
  <c r="T175" i="9"/>
  <c r="L176" i="9"/>
  <c r="M176" i="9"/>
  <c r="N176" i="9"/>
  <c r="Q176" i="9"/>
  <c r="T176" i="9"/>
  <c r="L177" i="9"/>
  <c r="M177" i="9"/>
  <c r="N177" i="9"/>
  <c r="Q177" i="9"/>
  <c r="T177" i="9"/>
  <c r="L180" i="9"/>
  <c r="M180" i="9"/>
  <c r="N180" i="9"/>
  <c r="Q180" i="9"/>
  <c r="T180" i="9"/>
  <c r="L182" i="9"/>
  <c r="M182" i="9"/>
  <c r="N182" i="9"/>
  <c r="T182" i="9"/>
  <c r="L183" i="9"/>
  <c r="M183" i="9"/>
  <c r="N183" i="9"/>
  <c r="T183" i="9"/>
  <c r="L184" i="9"/>
  <c r="M184" i="9"/>
  <c r="N184" i="9"/>
  <c r="Q184" i="9"/>
  <c r="T184" i="9"/>
  <c r="T185" i="9"/>
  <c r="L186" i="9"/>
  <c r="M186" i="9"/>
  <c r="N186" i="9"/>
  <c r="T186" i="9"/>
  <c r="L187" i="9"/>
  <c r="M187" i="9"/>
  <c r="N187" i="9"/>
  <c r="Q187" i="9"/>
  <c r="T187" i="9"/>
  <c r="T189" i="9"/>
  <c r="T190" i="9"/>
  <c r="L191" i="9"/>
  <c r="M191" i="9"/>
  <c r="N191" i="9"/>
  <c r="Q191" i="9"/>
  <c r="T191" i="9"/>
  <c r="T194" i="9"/>
  <c r="T195" i="9"/>
  <c r="L196" i="9"/>
  <c r="M196" i="9"/>
  <c r="N196" i="9"/>
  <c r="Q196" i="9"/>
  <c r="T196" i="9"/>
  <c r="T199" i="9"/>
  <c r="T200" i="9"/>
  <c r="L201" i="9"/>
  <c r="M201" i="9"/>
  <c r="N201" i="9"/>
  <c r="Q201" i="9"/>
  <c r="T201" i="9"/>
  <c r="T204" i="9"/>
  <c r="T205" i="9"/>
  <c r="L206" i="9"/>
  <c r="M206" i="9"/>
  <c r="N206" i="9"/>
  <c r="Q206" i="9"/>
  <c r="T206" i="9"/>
  <c r="T208" i="9"/>
  <c r="T209" i="9"/>
  <c r="L210" i="9"/>
  <c r="M210" i="9"/>
  <c r="N210" i="9"/>
  <c r="Q210" i="9"/>
  <c r="T210" i="9"/>
  <c r="L212" i="9"/>
  <c r="M212" i="9"/>
  <c r="N212" i="9"/>
  <c r="Q212" i="9"/>
  <c r="T212" i="9"/>
  <c r="L213" i="9"/>
  <c r="M213" i="9"/>
  <c r="N213" i="9"/>
  <c r="Q213" i="9"/>
  <c r="T213" i="9"/>
  <c r="L214" i="9"/>
  <c r="M214" i="9"/>
  <c r="N214" i="9"/>
  <c r="Q214" i="9"/>
  <c r="T214" i="9"/>
  <c r="L237" i="9"/>
  <c r="M237" i="9"/>
  <c r="N237" i="9"/>
  <c r="Q237" i="9"/>
  <c r="T237" i="9"/>
  <c r="N248" i="9"/>
  <c r="L249" i="9"/>
  <c r="M249" i="9"/>
  <c r="N249" i="9"/>
  <c r="Q249" i="9"/>
  <c r="T249" i="9"/>
  <c r="L250" i="9"/>
  <c r="M250" i="9"/>
  <c r="N250" i="9"/>
  <c r="Q250" i="9"/>
  <c r="T250" i="9"/>
  <c r="L251" i="9"/>
  <c r="M251" i="9"/>
  <c r="N251" i="9"/>
  <c r="Q251" i="9"/>
  <c r="T251" i="9"/>
  <c r="L252" i="9"/>
  <c r="M252" i="9"/>
  <c r="N252" i="9"/>
  <c r="Q252" i="9"/>
  <c r="T252" i="9"/>
  <c r="L253" i="9"/>
  <c r="M253" i="9"/>
  <c r="N253" i="9"/>
  <c r="Q253" i="9"/>
  <c r="T253" i="9"/>
  <c r="L330" i="9"/>
  <c r="M330" i="9"/>
  <c r="N330" i="9"/>
  <c r="Q330" i="9"/>
  <c r="T330" i="9"/>
  <c r="L331" i="9"/>
  <c r="M331" i="9"/>
  <c r="N331" i="9"/>
  <c r="Q331" i="9"/>
  <c r="T331" i="9"/>
  <c r="L332" i="9"/>
  <c r="M332" i="9"/>
  <c r="N332" i="9"/>
  <c r="Q332" i="9"/>
  <c r="T332" i="9"/>
  <c r="L333" i="9"/>
  <c r="M333" i="9"/>
  <c r="N333" i="9"/>
  <c r="Q333" i="9"/>
  <c r="T333" i="9"/>
  <c r="N335" i="9"/>
  <c r="L336" i="9"/>
  <c r="M336" i="9"/>
  <c r="N336" i="9"/>
  <c r="Q336" i="9"/>
  <c r="T336" i="9"/>
  <c r="N339" i="9"/>
  <c r="L340" i="9"/>
  <c r="M340" i="9"/>
  <c r="N340" i="9"/>
  <c r="Q340" i="9"/>
  <c r="T340" i="9"/>
  <c r="N343" i="9"/>
  <c r="N344" i="9"/>
  <c r="L345" i="9"/>
  <c r="M345" i="9"/>
  <c r="N345" i="9"/>
  <c r="Q345" i="9"/>
  <c r="T345" i="9"/>
  <c r="L346" i="9"/>
  <c r="M346" i="9"/>
  <c r="N346" i="9"/>
  <c r="T346" i="9"/>
  <c r="L347" i="9"/>
  <c r="M347" i="9"/>
  <c r="N347" i="9"/>
  <c r="T347" i="9"/>
  <c r="N349" i="9"/>
  <c r="N350" i="9"/>
  <c r="L351" i="9"/>
  <c r="M351" i="9"/>
  <c r="N351" i="9"/>
  <c r="Q351" i="9"/>
  <c r="T351" i="9"/>
  <c r="M353" i="9"/>
  <c r="N353" i="9"/>
  <c r="T353" i="9"/>
  <c r="L354" i="9"/>
  <c r="M354" i="9"/>
  <c r="N354" i="9"/>
  <c r="T354" i="9"/>
  <c r="L355" i="9"/>
  <c r="M355" i="9"/>
  <c r="N355" i="9"/>
  <c r="Q355" i="9"/>
  <c r="T355" i="9"/>
  <c r="L356" i="9"/>
  <c r="M356" i="9"/>
  <c r="N356" i="9"/>
  <c r="Q356" i="9"/>
  <c r="T356" i="9"/>
  <c r="L357" i="9"/>
  <c r="M357" i="9"/>
  <c r="N357" i="9"/>
  <c r="Q357" i="9"/>
  <c r="T357" i="9"/>
  <c r="L358" i="9"/>
  <c r="M358" i="9"/>
  <c r="N358" i="9"/>
  <c r="Q358" i="9"/>
  <c r="T358" i="9"/>
  <c r="T359" i="9"/>
  <c r="L360" i="9"/>
  <c r="M360" i="9"/>
  <c r="N360" i="9"/>
  <c r="T360" i="9"/>
  <c r="L361" i="9"/>
  <c r="M361" i="9"/>
  <c r="N361" i="9"/>
  <c r="Q361" i="9"/>
  <c r="T361" i="9"/>
  <c r="L362" i="9"/>
  <c r="M362" i="9"/>
  <c r="N362" i="9"/>
  <c r="Q362" i="9"/>
  <c r="T362" i="9"/>
  <c r="L363" i="9"/>
  <c r="M363" i="9"/>
  <c r="N363" i="9"/>
  <c r="Q363" i="9"/>
  <c r="T363" i="9"/>
  <c r="L364" i="9"/>
  <c r="M364" i="9"/>
  <c r="N364" i="9"/>
  <c r="Q364" i="9"/>
  <c r="T364" i="9"/>
  <c r="T365" i="9"/>
  <c r="I365" i="9" s="1"/>
  <c r="J126" i="48" s="1"/>
  <c r="L366" i="9"/>
  <c r="M366" i="9"/>
  <c r="N366" i="9"/>
  <c r="Q366" i="9"/>
  <c r="T366" i="9"/>
  <c r="L367" i="9"/>
  <c r="M367" i="9"/>
  <c r="N367" i="9"/>
  <c r="Q367" i="9"/>
  <c r="T367" i="9"/>
  <c r="L368" i="9"/>
  <c r="M368" i="9"/>
  <c r="N368" i="9"/>
  <c r="Q368" i="9"/>
  <c r="T368" i="9"/>
  <c r="L369" i="9"/>
  <c r="M369" i="9"/>
  <c r="N369" i="9"/>
  <c r="Q369" i="9"/>
  <c r="T369" i="9"/>
  <c r="L370" i="9"/>
  <c r="M370" i="9"/>
  <c r="N370" i="9"/>
  <c r="Q370" i="9"/>
  <c r="T370" i="9"/>
  <c r="L371" i="9"/>
  <c r="M371" i="9"/>
  <c r="N371" i="9"/>
  <c r="Q371" i="9"/>
  <c r="T371" i="9"/>
  <c r="L372" i="9"/>
  <c r="M372" i="9"/>
  <c r="N372" i="9"/>
  <c r="Q372" i="9"/>
  <c r="T372" i="9"/>
  <c r="L373" i="9"/>
  <c r="M373" i="9"/>
  <c r="N373" i="9"/>
  <c r="Q373" i="9"/>
  <c r="T373" i="9"/>
  <c r="L374" i="9"/>
  <c r="M374" i="9"/>
  <c r="N374" i="9"/>
  <c r="Q374" i="9"/>
  <c r="T374" i="9"/>
  <c r="L375" i="9"/>
  <c r="M375" i="9"/>
  <c r="N375" i="9"/>
  <c r="Q375" i="9"/>
  <c r="T375" i="9"/>
  <c r="L376" i="9"/>
  <c r="M376" i="9"/>
  <c r="N376" i="9"/>
  <c r="Q376" i="9"/>
  <c r="T376" i="9"/>
  <c r="L377" i="9"/>
  <c r="M377" i="9"/>
  <c r="N377" i="9"/>
  <c r="Q377" i="9"/>
  <c r="T377" i="9"/>
  <c r="L378" i="9"/>
  <c r="M378" i="9"/>
  <c r="N378" i="9"/>
  <c r="Q378" i="9"/>
  <c r="T378" i="9"/>
  <c r="L379" i="9"/>
  <c r="M379" i="9"/>
  <c r="N379" i="9"/>
  <c r="Q379" i="9"/>
  <c r="T379" i="9"/>
  <c r="L380" i="9"/>
  <c r="M380" i="9"/>
  <c r="N380" i="9"/>
  <c r="Q380" i="9"/>
  <c r="T380" i="9"/>
  <c r="T382" i="9"/>
  <c r="I382" i="9" s="1"/>
  <c r="J129" i="48" s="1"/>
  <c r="T392" i="9"/>
  <c r="I392" i="9" s="1"/>
  <c r="J139" i="48" s="1"/>
  <c r="T397" i="9"/>
  <c r="I397" i="9" s="1"/>
  <c r="J144" i="48" s="1"/>
  <c r="T399" i="9"/>
  <c r="I399" i="9" s="1"/>
  <c r="J146" i="48" s="1"/>
  <c r="J149" i="48"/>
  <c r="T405" i="9"/>
  <c r="I405" i="9" s="1"/>
  <c r="J152" i="48" s="1"/>
  <c r="L406" i="9"/>
  <c r="A406" i="9" s="1"/>
  <c r="M406" i="9"/>
  <c r="B406" i="9" s="1"/>
  <c r="N406" i="9"/>
  <c r="C406" i="9" s="1"/>
  <c r="Q406" i="9"/>
  <c r="T406" i="9"/>
  <c r="I406" i="9" s="1"/>
  <c r="J153" i="48" s="1"/>
  <c r="L407" i="9"/>
  <c r="M407" i="9"/>
  <c r="N407" i="9"/>
  <c r="Q407" i="9"/>
  <c r="T407" i="9"/>
  <c r="L408" i="9"/>
  <c r="M408" i="9"/>
  <c r="N408" i="9"/>
  <c r="Q408" i="9"/>
  <c r="T408" i="9"/>
  <c r="T415" i="9"/>
  <c r="I415" i="9" s="1"/>
  <c r="J160" i="48" s="1"/>
  <c r="T420" i="9"/>
  <c r="I420" i="9" s="1"/>
  <c r="J165" i="48" s="1"/>
  <c r="T425" i="9"/>
  <c r="I425" i="9" s="1"/>
  <c r="J170" i="48" s="1"/>
  <c r="J173" i="48"/>
  <c r="J176" i="48"/>
  <c r="L433" i="9"/>
  <c r="M433" i="9"/>
  <c r="N433" i="9"/>
  <c r="Q433" i="9"/>
  <c r="T433" i="9"/>
  <c r="L434" i="9"/>
  <c r="M434" i="9"/>
  <c r="N434" i="9"/>
  <c r="Q434" i="9"/>
  <c r="T434" i="9"/>
  <c r="L456" i="9"/>
  <c r="M456" i="9"/>
  <c r="N456" i="9"/>
  <c r="Q456" i="9"/>
  <c r="T456" i="9"/>
  <c r="T457" i="9"/>
  <c r="I457" i="9" s="1"/>
  <c r="J198" i="48" s="1"/>
  <c r="T458" i="9"/>
  <c r="I458" i="9" s="1"/>
  <c r="J199" i="48" s="1"/>
  <c r="T459" i="9"/>
  <c r="I459" i="9" s="1"/>
  <c r="J200" i="48" s="1"/>
  <c r="T460" i="9"/>
  <c r="I460" i="9" s="1"/>
  <c r="J201" i="48" s="1"/>
  <c r="T461" i="9"/>
  <c r="I461" i="9" s="1"/>
  <c r="J202" i="48" s="1"/>
  <c r="T462" i="9"/>
  <c r="I462" i="9" s="1"/>
  <c r="J203" i="48" s="1"/>
  <c r="L463" i="9"/>
  <c r="M463" i="9"/>
  <c r="N463" i="9"/>
  <c r="Q463" i="9"/>
  <c r="T463" i="9"/>
  <c r="L464" i="9"/>
  <c r="M464" i="9"/>
  <c r="N464" i="9"/>
  <c r="Q464" i="9"/>
  <c r="T464" i="9"/>
  <c r="L465" i="9"/>
  <c r="M465" i="9"/>
  <c r="N465" i="9"/>
  <c r="Q465" i="9"/>
  <c r="T465" i="9"/>
  <c r="L468" i="9"/>
  <c r="M468" i="9"/>
  <c r="N468" i="9"/>
  <c r="Q468" i="9"/>
  <c r="T468" i="9"/>
  <c r="T470" i="9"/>
  <c r="T471" i="9"/>
  <c r="L472" i="9"/>
  <c r="M472" i="9"/>
  <c r="N472" i="9"/>
  <c r="Q472" i="9"/>
  <c r="T472" i="9"/>
  <c r="T474" i="9"/>
  <c r="T475" i="9"/>
  <c r="L476" i="9"/>
  <c r="M476" i="9"/>
  <c r="N476" i="9"/>
  <c r="Q476" i="9"/>
  <c r="T476" i="9"/>
  <c r="T478" i="9"/>
  <c r="T479" i="9"/>
  <c r="L480" i="9"/>
  <c r="M480" i="9"/>
  <c r="N480" i="9"/>
  <c r="Q480" i="9"/>
  <c r="T480" i="9"/>
  <c r="L482" i="9"/>
  <c r="M482" i="9"/>
  <c r="N482" i="9"/>
  <c r="Q482" i="9"/>
  <c r="T482" i="9"/>
  <c r="T483" i="9"/>
  <c r="T484" i="9"/>
  <c r="L485" i="9"/>
  <c r="M485" i="9"/>
  <c r="N485" i="9"/>
  <c r="Q485" i="9"/>
  <c r="T485" i="9"/>
  <c r="T491" i="9"/>
  <c r="T492" i="9"/>
  <c r="L493" i="9"/>
  <c r="N493" i="9"/>
  <c r="Q493" i="9"/>
  <c r="T493" i="9"/>
  <c r="L495" i="9"/>
  <c r="M495" i="9"/>
  <c r="N495" i="9"/>
  <c r="Q495" i="9"/>
  <c r="T495" i="9"/>
  <c r="T496" i="9"/>
  <c r="T497" i="9"/>
  <c r="L498" i="9"/>
  <c r="M498" i="9"/>
  <c r="N498" i="9"/>
  <c r="Q498" i="9"/>
  <c r="T498" i="9"/>
  <c r="L500" i="9"/>
  <c r="M500" i="9"/>
  <c r="N500" i="9"/>
  <c r="Q500" i="9"/>
  <c r="T500" i="9"/>
  <c r="T501" i="9"/>
  <c r="T502" i="9"/>
  <c r="L503" i="9"/>
  <c r="M503" i="9"/>
  <c r="N503" i="9"/>
  <c r="Q503" i="9"/>
  <c r="T503" i="9"/>
  <c r="L505" i="9"/>
  <c r="M505" i="9"/>
  <c r="N505" i="9"/>
  <c r="Q505" i="9"/>
  <c r="T505" i="9"/>
  <c r="T506" i="9"/>
  <c r="T507" i="9"/>
  <c r="L508" i="9"/>
  <c r="M508" i="9"/>
  <c r="N508" i="9"/>
  <c r="Q508" i="9"/>
  <c r="T508" i="9"/>
  <c r="L510" i="9"/>
  <c r="M510" i="9"/>
  <c r="N510" i="9"/>
  <c r="Q510" i="9"/>
  <c r="T510" i="9"/>
  <c r="T511" i="9"/>
  <c r="T512" i="9"/>
  <c r="L513" i="9"/>
  <c r="M513" i="9"/>
  <c r="N513" i="9"/>
  <c r="Q513" i="9"/>
  <c r="T513" i="9"/>
  <c r="L514" i="9"/>
  <c r="M514" i="9"/>
  <c r="N514" i="9"/>
  <c r="Q514" i="9"/>
  <c r="T514" i="9"/>
  <c r="L515" i="9"/>
  <c r="M515" i="9"/>
  <c r="N515" i="9"/>
  <c r="Q515" i="9"/>
  <c r="T515" i="9"/>
  <c r="L516" i="9"/>
  <c r="M516" i="9"/>
  <c r="N516" i="9"/>
  <c r="Q516" i="9"/>
  <c r="T516" i="9"/>
  <c r="L517" i="9"/>
  <c r="M517" i="9"/>
  <c r="N517" i="9"/>
  <c r="Q517" i="9"/>
  <c r="T517" i="9"/>
  <c r="T522" i="9"/>
  <c r="T523" i="9"/>
  <c r="L524" i="9"/>
  <c r="M524" i="9"/>
  <c r="N524" i="9"/>
  <c r="Q524" i="9"/>
  <c r="T524" i="9"/>
  <c r="L537" i="9"/>
  <c r="M537" i="9"/>
  <c r="N537" i="9"/>
  <c r="Q537" i="9"/>
  <c r="T537" i="9"/>
  <c r="L538" i="9"/>
  <c r="M538" i="9"/>
  <c r="N538" i="9"/>
  <c r="Q538" i="9"/>
  <c r="T538" i="9"/>
  <c r="L539" i="9"/>
  <c r="M539" i="9"/>
  <c r="N539" i="9"/>
  <c r="Q539" i="9"/>
  <c r="T539" i="9"/>
  <c r="T540" i="9"/>
  <c r="I540" i="9" s="1"/>
  <c r="J220" i="48" s="1"/>
  <c r="L541" i="9"/>
  <c r="M541" i="9"/>
  <c r="N541" i="9"/>
  <c r="Q541" i="9"/>
  <c r="T541" i="9"/>
  <c r="L542" i="9"/>
  <c r="M542" i="9"/>
  <c r="N542" i="9"/>
  <c r="Q542" i="9"/>
  <c r="T542" i="9"/>
  <c r="L543" i="9"/>
  <c r="M543" i="9"/>
  <c r="N543" i="9"/>
  <c r="Q543" i="9"/>
  <c r="T543" i="9"/>
  <c r="T544" i="9"/>
  <c r="I544" i="9" s="1"/>
  <c r="J221" i="48" s="1"/>
  <c r="T545" i="9"/>
  <c r="I545" i="9" s="1"/>
  <c r="J222" i="48" s="1"/>
  <c r="T546" i="9"/>
  <c r="I546" i="9" s="1"/>
  <c r="J223" i="48" s="1"/>
  <c r="T547" i="9"/>
  <c r="I547" i="9" s="1"/>
  <c r="J224" i="48" s="1"/>
  <c r="T548" i="9"/>
  <c r="I548" i="9" s="1"/>
  <c r="J225" i="48" s="1"/>
  <c r="T549" i="9"/>
  <c r="I549" i="9" s="1"/>
  <c r="J226" i="48" s="1"/>
  <c r="T550" i="9"/>
  <c r="I550" i="9" s="1"/>
  <c r="J227" i="48" s="1"/>
  <c r="N551" i="9"/>
  <c r="C551" i="9" s="1"/>
  <c r="N70" i="67" s="1"/>
  <c r="T551" i="9"/>
  <c r="I551" i="9" s="1"/>
  <c r="J228" i="48" s="1"/>
  <c r="L552" i="9"/>
  <c r="M552" i="9"/>
  <c r="N552" i="9"/>
  <c r="Q552" i="9"/>
  <c r="T552" i="9"/>
  <c r="L553" i="9"/>
  <c r="M553" i="9"/>
  <c r="N553" i="9"/>
  <c r="Q553" i="9"/>
  <c r="T553" i="9"/>
  <c r="L554" i="9"/>
  <c r="M554" i="9"/>
  <c r="N554" i="9"/>
  <c r="Q554" i="9"/>
  <c r="T554" i="9"/>
  <c r="L555" i="9"/>
  <c r="M555" i="9"/>
  <c r="N555" i="9"/>
  <c r="Q555" i="9"/>
  <c r="T555" i="9"/>
  <c r="L556" i="9"/>
  <c r="M556" i="9"/>
  <c r="N556" i="9"/>
  <c r="Q556" i="9"/>
  <c r="T556" i="9"/>
  <c r="L557" i="9"/>
  <c r="M557" i="9"/>
  <c r="N557" i="9"/>
  <c r="Q557" i="9"/>
  <c r="T557" i="9"/>
  <c r="L558" i="9"/>
  <c r="M558" i="9"/>
  <c r="N558" i="9"/>
  <c r="Q558" i="9"/>
  <c r="T558" i="9"/>
  <c r="L559" i="9"/>
  <c r="M559" i="9"/>
  <c r="N559" i="9"/>
  <c r="Q559" i="9"/>
  <c r="T559" i="9"/>
  <c r="L560" i="9"/>
  <c r="M560" i="9"/>
  <c r="N560" i="9"/>
  <c r="Q560" i="9"/>
  <c r="T560" i="9"/>
  <c r="L561" i="9"/>
  <c r="M561" i="9"/>
  <c r="N561" i="9"/>
  <c r="Q561" i="9"/>
  <c r="T561" i="9"/>
  <c r="L562" i="9"/>
  <c r="M562" i="9"/>
  <c r="N562" i="9"/>
  <c r="Q562" i="9"/>
  <c r="T562" i="9"/>
  <c r="L563" i="9"/>
  <c r="M563" i="9"/>
  <c r="N563" i="9"/>
  <c r="Q563" i="9"/>
  <c r="T563" i="9"/>
  <c r="L564" i="9"/>
  <c r="M564" i="9"/>
  <c r="N564" i="9"/>
  <c r="Q564" i="9"/>
  <c r="T564" i="9"/>
  <c r="L565" i="9"/>
  <c r="M565" i="9"/>
  <c r="N565" i="9"/>
  <c r="Q565" i="9"/>
  <c r="T565" i="9"/>
  <c r="L566" i="9"/>
  <c r="M566" i="9"/>
  <c r="N566" i="9"/>
  <c r="Q566" i="9"/>
  <c r="T566" i="9"/>
  <c r="L567" i="9"/>
  <c r="M567" i="9"/>
  <c r="N567" i="9"/>
  <c r="Q567" i="9"/>
  <c r="T567" i="9"/>
  <c r="L568" i="9"/>
  <c r="M568" i="9"/>
  <c r="N568" i="9"/>
  <c r="Q568" i="9"/>
  <c r="T568" i="9"/>
  <c r="L569" i="9"/>
  <c r="M569" i="9"/>
  <c r="N569" i="9"/>
  <c r="Q569" i="9"/>
  <c r="T569" i="9"/>
  <c r="T570" i="9"/>
  <c r="I570" i="9" s="1"/>
  <c r="J230" i="48" s="1"/>
  <c r="T571" i="9"/>
  <c r="I571" i="9" s="1"/>
  <c r="J231" i="48" s="1"/>
  <c r="T572" i="9"/>
  <c r="I572" i="9" s="1"/>
  <c r="J232" i="48" s="1"/>
  <c r="T573" i="9"/>
  <c r="I573" i="9" s="1"/>
  <c r="J233" i="48" s="1"/>
  <c r="T574" i="9"/>
  <c r="I574" i="9" s="1"/>
  <c r="J234" i="48" s="1"/>
  <c r="T575" i="9"/>
  <c r="I575" i="9" s="1"/>
  <c r="J235" i="48" s="1"/>
  <c r="T576" i="9"/>
  <c r="I576" i="9" s="1"/>
  <c r="J236" i="48" s="1"/>
  <c r="T577" i="9"/>
  <c r="I577" i="9" s="1"/>
  <c r="J237" i="48" s="1"/>
  <c r="T578" i="9"/>
  <c r="I578" i="9" s="1"/>
  <c r="J238" i="48" s="1"/>
  <c r="T579" i="9"/>
  <c r="I579" i="9" s="1"/>
  <c r="J239" i="48" s="1"/>
  <c r="T580" i="9"/>
  <c r="I580" i="9" s="1"/>
  <c r="J240" i="48" s="1"/>
  <c r="T581" i="9"/>
  <c r="I581" i="9" s="1"/>
  <c r="J241" i="48" s="1"/>
  <c r="T582" i="9"/>
  <c r="I582" i="9" s="1"/>
  <c r="J242" i="48" s="1"/>
  <c r="T583" i="9"/>
  <c r="I583" i="9" s="1"/>
  <c r="J243" i="48" s="1"/>
  <c r="T584" i="9"/>
  <c r="I584" i="9" s="1"/>
  <c r="J244" i="48" s="1"/>
  <c r="T585" i="9"/>
  <c r="I585" i="9" s="1"/>
  <c r="J245" i="48" s="1"/>
  <c r="T586" i="9"/>
  <c r="I586" i="9" s="1"/>
  <c r="J246" i="48" s="1"/>
  <c r="T587" i="9"/>
  <c r="I587" i="9" s="1"/>
  <c r="J247" i="48" s="1"/>
  <c r="T588" i="9"/>
  <c r="I588" i="9" s="1"/>
  <c r="J248" i="48" s="1"/>
  <c r="L589" i="9"/>
  <c r="A589" i="9" s="1"/>
  <c r="M589" i="9"/>
  <c r="B589" i="9" s="1"/>
  <c r="N589" i="9"/>
  <c r="C589" i="9" s="1"/>
  <c r="Q589" i="9"/>
  <c r="T589" i="9"/>
  <c r="I589" i="9" s="1"/>
  <c r="T590" i="9"/>
  <c r="I590" i="9" s="1"/>
  <c r="J249" i="48" s="1"/>
  <c r="L591" i="9"/>
  <c r="A591" i="9" s="1"/>
  <c r="M591" i="9"/>
  <c r="B591" i="9" s="1"/>
  <c r="N591" i="9"/>
  <c r="C591" i="9" s="1"/>
  <c r="Q591" i="9"/>
  <c r="T591" i="9"/>
  <c r="I591" i="9" s="1"/>
  <c r="T592" i="9"/>
  <c r="I592" i="9" s="1"/>
  <c r="J250" i="48" s="1"/>
  <c r="L593" i="9"/>
  <c r="A593" i="9" s="1"/>
  <c r="M593" i="9"/>
  <c r="B593" i="9" s="1"/>
  <c r="N593" i="9"/>
  <c r="C593" i="9" s="1"/>
  <c r="Q593" i="9"/>
  <c r="T593" i="9"/>
  <c r="I593" i="9" s="1"/>
  <c r="T594" i="9"/>
  <c r="I594" i="9" s="1"/>
  <c r="J251" i="48" s="1"/>
  <c r="T595" i="9"/>
  <c r="I595" i="9" s="1"/>
  <c r="J252" i="48" s="1"/>
  <c r="T596" i="9"/>
  <c r="I596" i="9" s="1"/>
  <c r="J253" i="48" s="1"/>
  <c r="T597" i="9"/>
  <c r="I597" i="9" s="1"/>
  <c r="J254" i="48" s="1"/>
  <c r="T598" i="9"/>
  <c r="I598" i="9" s="1"/>
  <c r="J255" i="48" s="1"/>
  <c r="T599" i="9"/>
  <c r="I599" i="9" s="1"/>
  <c r="J256" i="48" s="1"/>
  <c r="L600" i="9"/>
  <c r="A600" i="9" s="1"/>
  <c r="B257" i="48" s="1"/>
  <c r="M600" i="9"/>
  <c r="B600" i="9" s="1"/>
  <c r="C257" i="48" s="1"/>
  <c r="N600" i="9"/>
  <c r="C600" i="9" s="1"/>
  <c r="D257" i="48" s="1"/>
  <c r="Q600" i="9"/>
  <c r="T600" i="9"/>
  <c r="I600" i="9" s="1"/>
  <c r="J257" i="48" s="1"/>
  <c r="L601" i="9"/>
  <c r="A601" i="9" s="1"/>
  <c r="B258" i="48" s="1"/>
  <c r="M601" i="9"/>
  <c r="B601" i="9" s="1"/>
  <c r="C258" i="48" s="1"/>
  <c r="N601" i="9"/>
  <c r="C601" i="9" s="1"/>
  <c r="D258" i="48" s="1"/>
  <c r="Q601" i="9"/>
  <c r="L602" i="9"/>
  <c r="A602" i="9" s="1"/>
  <c r="M602" i="9"/>
  <c r="B602" i="9" s="1"/>
  <c r="N602" i="9"/>
  <c r="C602" i="9" s="1"/>
  <c r="Q602" i="9"/>
  <c r="L603" i="9"/>
  <c r="A603" i="9" s="1"/>
  <c r="B34" i="75" s="1"/>
  <c r="M603" i="9"/>
  <c r="B603" i="9" s="1"/>
  <c r="C34" i="75" s="1"/>
  <c r="N603" i="9"/>
  <c r="C603" i="9" s="1"/>
  <c r="D260" i="48" s="1"/>
  <c r="Q603" i="9"/>
  <c r="L604" i="9"/>
  <c r="A604" i="9" s="1"/>
  <c r="B35" i="75" s="1"/>
  <c r="M604" i="9"/>
  <c r="B604" i="9" s="1"/>
  <c r="N604" i="9"/>
  <c r="C604" i="9" s="1"/>
  <c r="D35" i="75" s="1"/>
  <c r="Q604" i="9"/>
  <c r="L605" i="9"/>
  <c r="M605" i="9"/>
  <c r="N605" i="9"/>
  <c r="Q605" i="9"/>
  <c r="T605" i="9"/>
  <c r="L606" i="9"/>
  <c r="M606" i="9"/>
  <c r="N606" i="9"/>
  <c r="Q606" i="9"/>
  <c r="T606" i="9"/>
  <c r="L607" i="9"/>
  <c r="M607" i="9"/>
  <c r="N607" i="9"/>
  <c r="Q607" i="9"/>
  <c r="T607" i="9"/>
  <c r="L608" i="9"/>
  <c r="M608" i="9"/>
  <c r="N608" i="9"/>
  <c r="Q608" i="9"/>
  <c r="T608" i="9"/>
  <c r="L609" i="9"/>
  <c r="M609" i="9"/>
  <c r="N609" i="9"/>
  <c r="Q609" i="9"/>
  <c r="T609" i="9"/>
  <c r="T610" i="9"/>
  <c r="I610" i="9" s="1"/>
  <c r="J274" i="48" s="1"/>
  <c r="J277" i="48"/>
  <c r="L617" i="9"/>
  <c r="M617" i="9"/>
  <c r="N617" i="9"/>
  <c r="Q617" i="9"/>
  <c r="T617" i="9"/>
  <c r="L618" i="9"/>
  <c r="M618" i="9"/>
  <c r="N618" i="9"/>
  <c r="Q618" i="9"/>
  <c r="T618" i="9"/>
  <c r="L619" i="9"/>
  <c r="M619" i="9"/>
  <c r="N619" i="9"/>
  <c r="Q619" i="9"/>
  <c r="T619" i="9"/>
  <c r="L620" i="9"/>
  <c r="M620" i="9"/>
  <c r="N620" i="9"/>
  <c r="Q620" i="9"/>
  <c r="T620" i="9"/>
  <c r="L621" i="9"/>
  <c r="M621" i="9"/>
  <c r="N621" i="9"/>
  <c r="Q621" i="9"/>
  <c r="T621" i="9"/>
  <c r="L622" i="9"/>
  <c r="M622" i="9"/>
  <c r="N622" i="9"/>
  <c r="Q622" i="9"/>
  <c r="T622" i="9"/>
  <c r="L624" i="9"/>
  <c r="M624" i="9"/>
  <c r="N624" i="9"/>
  <c r="Q624" i="9"/>
  <c r="T624" i="9"/>
  <c r="L625" i="9"/>
  <c r="M625" i="9"/>
  <c r="N625" i="9"/>
  <c r="Q625" i="9"/>
  <c r="T625" i="9"/>
  <c r="L626" i="9"/>
  <c r="M626" i="9"/>
  <c r="N626" i="9"/>
  <c r="Q626" i="9"/>
  <c r="T626" i="9"/>
  <c r="L627" i="9"/>
  <c r="M627" i="9"/>
  <c r="N627" i="9"/>
  <c r="Q627" i="9"/>
  <c r="T627" i="9"/>
  <c r="L628" i="9"/>
  <c r="M628" i="9"/>
  <c r="N628" i="9"/>
  <c r="Q628" i="9"/>
  <c r="T628" i="9"/>
  <c r="L629" i="9"/>
  <c r="M629" i="9"/>
  <c r="N629" i="9"/>
  <c r="Q629" i="9"/>
  <c r="T629" i="9"/>
  <c r="L630" i="9"/>
  <c r="M630" i="9"/>
  <c r="N630" i="9"/>
  <c r="Q630" i="9"/>
  <c r="T630" i="9"/>
  <c r="T631" i="9"/>
  <c r="I631" i="9" s="1"/>
  <c r="J282" i="48" s="1"/>
  <c r="T632" i="9"/>
  <c r="I632" i="9" s="1"/>
  <c r="J283" i="48" s="1"/>
  <c r="T633" i="9"/>
  <c r="I633" i="9" s="1"/>
  <c r="J284" i="48" s="1"/>
  <c r="T636" i="9"/>
  <c r="I636" i="9" s="1"/>
  <c r="J286" i="48" s="1"/>
  <c r="T637" i="9"/>
  <c r="I637" i="9" s="1"/>
  <c r="J287" i="48" s="1"/>
  <c r="T638" i="9"/>
  <c r="I638" i="9" s="1"/>
  <c r="J288" i="48" s="1"/>
  <c r="T639" i="9"/>
  <c r="I639" i="9" s="1"/>
  <c r="J289" i="48" s="1"/>
  <c r="T640" i="9"/>
  <c r="I640" i="9" s="1"/>
  <c r="J290" i="48" s="1"/>
  <c r="T641" i="9"/>
  <c r="I641" i="9" s="1"/>
  <c r="J291" i="48" s="1"/>
  <c r="T642" i="9"/>
  <c r="I642" i="9" s="1"/>
  <c r="J292" i="48" s="1"/>
  <c r="T643" i="9"/>
  <c r="I643" i="9" s="1"/>
  <c r="J293" i="48" s="1"/>
  <c r="T644" i="9"/>
  <c r="I644" i="9" s="1"/>
  <c r="J294" i="48" s="1"/>
  <c r="T645" i="9"/>
  <c r="I645" i="9" s="1"/>
  <c r="J295" i="48" s="1"/>
  <c r="T646" i="9"/>
  <c r="T647" i="9"/>
  <c r="T648" i="9"/>
  <c r="L654" i="9"/>
  <c r="M654" i="9"/>
  <c r="N654" i="9"/>
  <c r="Q654" i="9"/>
  <c r="T654" i="9"/>
  <c r="M655" i="9"/>
  <c r="N655" i="9"/>
  <c r="Q655" i="9"/>
  <c r="T655" i="9"/>
  <c r="L669" i="9"/>
  <c r="M669" i="9"/>
  <c r="N669" i="9"/>
  <c r="Q669" i="9"/>
  <c r="T669" i="9"/>
  <c r="L670" i="9"/>
  <c r="M670" i="9"/>
  <c r="N670" i="9"/>
  <c r="Q670" i="9"/>
  <c r="T670" i="9"/>
  <c r="L671" i="9"/>
  <c r="M671" i="9"/>
  <c r="N671" i="9"/>
  <c r="Q671" i="9"/>
  <c r="T671" i="9"/>
  <c r="L672" i="9"/>
  <c r="M672" i="9"/>
  <c r="N672" i="9"/>
  <c r="Q672" i="9"/>
  <c r="T672" i="9"/>
  <c r="L673" i="9"/>
  <c r="M673" i="9"/>
  <c r="N673" i="9"/>
  <c r="Q673" i="9"/>
  <c r="T673" i="9"/>
  <c r="L674" i="9"/>
  <c r="M674" i="9"/>
  <c r="N674" i="9"/>
  <c r="Q674" i="9"/>
  <c r="T674" i="9"/>
  <c r="L675" i="9"/>
  <c r="M675" i="9"/>
  <c r="N675" i="9"/>
  <c r="Q675" i="9"/>
  <c r="T675" i="9"/>
  <c r="L676" i="9"/>
  <c r="M676" i="9"/>
  <c r="N676" i="9"/>
  <c r="Q676" i="9"/>
  <c r="F27" i="16" l="1"/>
  <c r="G275" i="48"/>
  <c r="M275" i="48" s="1"/>
  <c r="H275" i="48" s="1"/>
  <c r="J343" i="9"/>
  <c r="I534" i="9"/>
  <c r="A534" i="9"/>
  <c r="F616" i="9"/>
  <c r="F614" i="9"/>
  <c r="F615" i="9"/>
  <c r="F613" i="9"/>
  <c r="F612" i="9"/>
  <c r="A346" i="9"/>
  <c r="F649" i="9"/>
  <c r="F526" i="9"/>
  <c r="F506" i="9"/>
  <c r="Q3" i="66" s="1"/>
  <c r="R3" i="66" s="1"/>
  <c r="F487" i="9"/>
  <c r="F470" i="9"/>
  <c r="F349" i="9"/>
  <c r="F334" i="9"/>
  <c r="F317" i="9"/>
  <c r="F304" i="9"/>
  <c r="F292" i="9"/>
  <c r="F235" i="9"/>
  <c r="F219" i="9"/>
  <c r="F6" i="16" s="1"/>
  <c r="G6" i="16" s="1"/>
  <c r="F199" i="9"/>
  <c r="F182" i="9"/>
  <c r="T59" i="26" s="1"/>
  <c r="U59" i="26" s="1"/>
  <c r="F158" i="9"/>
  <c r="F143" i="9"/>
  <c r="F97" i="9"/>
  <c r="F101" i="9"/>
  <c r="F105" i="9"/>
  <c r="T24" i="54" s="1"/>
  <c r="U24" i="54" s="1"/>
  <c r="F86" i="9"/>
  <c r="F74" i="9"/>
  <c r="F60" i="9"/>
  <c r="F44" i="9"/>
  <c r="G19" i="48" s="1"/>
  <c r="M19" i="48" s="1"/>
  <c r="H19" i="48" s="1"/>
  <c r="F28" i="9"/>
  <c r="F11" i="9"/>
  <c r="F518" i="9"/>
  <c r="F496" i="9"/>
  <c r="F359" i="9"/>
  <c r="F343" i="9"/>
  <c r="F324" i="9"/>
  <c r="F311" i="9"/>
  <c r="F298" i="9"/>
  <c r="F243" i="9"/>
  <c r="F12" i="16" s="1"/>
  <c r="G12" i="16" s="1"/>
  <c r="F227" i="9"/>
  <c r="F8" i="16" s="1"/>
  <c r="G8" i="16" s="1"/>
  <c r="F208" i="9"/>
  <c r="F189" i="9"/>
  <c r="F167" i="9"/>
  <c r="G67" i="48" s="1"/>
  <c r="F151" i="9"/>
  <c r="F95" i="9"/>
  <c r="F99" i="9"/>
  <c r="F103" i="9"/>
  <c r="F109" i="9"/>
  <c r="T28" i="54" s="1"/>
  <c r="U28" i="54" s="1"/>
  <c r="F80" i="9"/>
  <c r="F68" i="9"/>
  <c r="F52" i="9"/>
  <c r="F36" i="9"/>
  <c r="F19" i="9"/>
  <c r="F530" i="9"/>
  <c r="F491" i="9"/>
  <c r="F474" i="9"/>
  <c r="F353" i="9"/>
  <c r="F338" i="9"/>
  <c r="F320" i="9"/>
  <c r="F308" i="9"/>
  <c r="F295" i="9"/>
  <c r="F239" i="9"/>
  <c r="F11" i="16" s="1"/>
  <c r="G11" i="16" s="1"/>
  <c r="F223" i="9"/>
  <c r="F7" i="16" s="1"/>
  <c r="G7" i="16" s="1"/>
  <c r="F204" i="9"/>
  <c r="F185" i="9"/>
  <c r="F162" i="9"/>
  <c r="F147" i="9"/>
  <c r="F96" i="9"/>
  <c r="F100" i="9"/>
  <c r="F104" i="9"/>
  <c r="F89" i="9"/>
  <c r="F77" i="9"/>
  <c r="F65" i="9"/>
  <c r="F48" i="9"/>
  <c r="G20" i="48" s="1"/>
  <c r="M20" i="48" s="1"/>
  <c r="H20" i="48" s="1"/>
  <c r="F32" i="9"/>
  <c r="F646" i="9"/>
  <c r="F522" i="9"/>
  <c r="F501" i="9"/>
  <c r="F483" i="9"/>
  <c r="F466" i="9"/>
  <c r="F346" i="9"/>
  <c r="F328" i="9"/>
  <c r="F314" i="9"/>
  <c r="F301" i="9"/>
  <c r="F247" i="9"/>
  <c r="F13" i="16" s="1"/>
  <c r="G13" i="16" s="1"/>
  <c r="F231" i="9"/>
  <c r="F9" i="16" s="1"/>
  <c r="G9" i="16" s="1"/>
  <c r="F215" i="9"/>
  <c r="F5" i="16" s="1"/>
  <c r="G5" i="16" s="1"/>
  <c r="F194" i="9"/>
  <c r="F178" i="9"/>
  <c r="F154" i="9"/>
  <c r="F94" i="9"/>
  <c r="F98" i="9"/>
  <c r="F102" i="9"/>
  <c r="F106" i="9"/>
  <c r="T25" i="54" s="1"/>
  <c r="U25" i="54" s="1"/>
  <c r="F83" i="9"/>
  <c r="G30" i="48" s="1"/>
  <c r="F71" i="9"/>
  <c r="G26" i="48" s="1"/>
  <c r="M26" i="48" s="1"/>
  <c r="H26" i="48" s="1"/>
  <c r="F56" i="9"/>
  <c r="F40" i="9"/>
  <c r="G18" i="48" s="1"/>
  <c r="M18" i="48" s="1"/>
  <c r="H18" i="48" s="1"/>
  <c r="F23" i="9"/>
  <c r="F534" i="9"/>
  <c r="F478" i="9"/>
  <c r="F511" i="9"/>
  <c r="F15" i="9"/>
  <c r="P103" i="73"/>
  <c r="G14" i="73" s="1"/>
  <c r="P103" i="53"/>
  <c r="G14" i="53" s="1"/>
  <c r="P103" i="42"/>
  <c r="G14" i="42" s="1"/>
  <c r="P103" i="33"/>
  <c r="G14" i="33" s="1"/>
  <c r="P103" i="27"/>
  <c r="G14" i="27" s="1"/>
  <c r="P103" i="50"/>
  <c r="G14" i="50" s="1"/>
  <c r="P103" i="20"/>
  <c r="G14" i="20" s="1"/>
  <c r="P103" i="17"/>
  <c r="G14" i="17" s="1"/>
  <c r="P103" i="71"/>
  <c r="G14" i="71" s="1"/>
  <c r="P103" i="38"/>
  <c r="G14" i="38" s="1"/>
  <c r="P103" i="30"/>
  <c r="G14" i="30" s="1"/>
  <c r="B137" i="12"/>
  <c r="B290" i="12"/>
  <c r="B288" i="12"/>
  <c r="B287" i="12"/>
  <c r="B286" i="12"/>
  <c r="B187" i="12"/>
  <c r="B186" i="12"/>
  <c r="G25" i="48"/>
  <c r="M25" i="48" s="1"/>
  <c r="H25" i="48" s="1"/>
  <c r="D646" i="9"/>
  <c r="E296" i="48" s="1"/>
  <c r="I649" i="9"/>
  <c r="J297" i="48" s="1"/>
  <c r="C646" i="9"/>
  <c r="D296" i="48" s="1"/>
  <c r="A646" i="9"/>
  <c r="E649" i="9"/>
  <c r="A649" i="9"/>
  <c r="B51" i="16" s="1"/>
  <c r="J646" i="9"/>
  <c r="K296" i="48" s="1"/>
  <c r="J649" i="9"/>
  <c r="K297" i="48" s="1"/>
  <c r="D649" i="9"/>
  <c r="I646" i="9"/>
  <c r="J296" i="48" s="1"/>
  <c r="E646" i="9"/>
  <c r="C649" i="9"/>
  <c r="D297" i="48" s="1"/>
  <c r="B646" i="9"/>
  <c r="C296" i="48" s="1"/>
  <c r="B649" i="9"/>
  <c r="C297" i="48" s="1"/>
  <c r="C511" i="9"/>
  <c r="I346" i="9"/>
  <c r="C534" i="9"/>
  <c r="B511" i="9"/>
  <c r="C359" i="9"/>
  <c r="C346" i="9"/>
  <c r="B247" i="9"/>
  <c r="C13" i="16" s="1"/>
  <c r="B534" i="9"/>
  <c r="I511" i="9"/>
  <c r="J214" i="48" s="1"/>
  <c r="A511" i="9"/>
  <c r="B346" i="9"/>
  <c r="C343" i="9"/>
  <c r="A526" i="9"/>
  <c r="A518" i="9"/>
  <c r="B522" i="9"/>
  <c r="A522" i="9"/>
  <c r="D522" i="9"/>
  <c r="D530" i="9"/>
  <c r="I522" i="9"/>
  <c r="J216" i="48" s="1"/>
  <c r="I530" i="9"/>
  <c r="C518" i="9"/>
  <c r="B530" i="9"/>
  <c r="E526" i="9"/>
  <c r="B526" i="9"/>
  <c r="J526" i="9"/>
  <c r="K217" i="48" s="1"/>
  <c r="B518" i="9"/>
  <c r="J518" i="9"/>
  <c r="K215" i="48" s="1"/>
  <c r="C522" i="9"/>
  <c r="C530" i="9"/>
  <c r="A530" i="9"/>
  <c r="E518" i="9"/>
  <c r="E530" i="9"/>
  <c r="D518" i="9"/>
  <c r="D526" i="9"/>
  <c r="I518" i="9"/>
  <c r="J215" i="48" s="1"/>
  <c r="I526" i="9"/>
  <c r="J217" i="48" s="1"/>
  <c r="E522" i="9"/>
  <c r="J522" i="9"/>
  <c r="K216" i="48" s="1"/>
  <c r="J530" i="9"/>
  <c r="K218" i="48" s="1"/>
  <c r="C526" i="9"/>
  <c r="D343" i="9"/>
  <c r="E121" i="48" s="1"/>
  <c r="D534" i="9"/>
  <c r="D346" i="9"/>
  <c r="E122" i="48" s="1"/>
  <c r="E343" i="9"/>
  <c r="E346" i="9"/>
  <c r="E534" i="9"/>
  <c r="J346" i="9"/>
  <c r="K122" i="48" s="1"/>
  <c r="C167" i="9"/>
  <c r="D4" i="16" s="1"/>
  <c r="J511" i="9"/>
  <c r="K214" i="48" s="1"/>
  <c r="B343" i="9"/>
  <c r="J534" i="9"/>
  <c r="K219" i="48" s="1"/>
  <c r="D483" i="9"/>
  <c r="D501" i="9"/>
  <c r="I487" i="9"/>
  <c r="J209" i="48" s="1"/>
  <c r="I496" i="9"/>
  <c r="J211" i="48" s="1"/>
  <c r="I506" i="9"/>
  <c r="J213" i="48" s="1"/>
  <c r="J491" i="9"/>
  <c r="K210" i="48" s="1"/>
  <c r="E483" i="9"/>
  <c r="E491" i="9"/>
  <c r="E501" i="9"/>
  <c r="D487" i="9"/>
  <c r="D506" i="9"/>
  <c r="C487" i="9"/>
  <c r="C496" i="9"/>
  <c r="C506" i="9"/>
  <c r="J496" i="9"/>
  <c r="B483" i="9"/>
  <c r="B491" i="9"/>
  <c r="B501" i="9"/>
  <c r="M2" i="66" s="1"/>
  <c r="A483" i="9"/>
  <c r="A491" i="9"/>
  <c r="A501" i="9"/>
  <c r="D491" i="9"/>
  <c r="I483" i="9"/>
  <c r="J208" i="48" s="1"/>
  <c r="I491" i="9"/>
  <c r="J210" i="48" s="1"/>
  <c r="I501" i="9"/>
  <c r="J212" i="48" s="1"/>
  <c r="J483" i="9"/>
  <c r="K208" i="48" s="1"/>
  <c r="J501" i="9"/>
  <c r="K212" i="48" s="1"/>
  <c r="E487" i="9"/>
  <c r="E496" i="9"/>
  <c r="E506" i="9"/>
  <c r="D496" i="9"/>
  <c r="C483" i="9"/>
  <c r="C491" i="9"/>
  <c r="C501" i="9"/>
  <c r="N2" i="66" s="1"/>
  <c r="J487" i="9"/>
  <c r="K209" i="48" s="1"/>
  <c r="J506" i="9"/>
  <c r="K213" i="48" s="1"/>
  <c r="B487" i="9"/>
  <c r="B496" i="9"/>
  <c r="B506" i="9"/>
  <c r="A487" i="9"/>
  <c r="A496" i="9"/>
  <c r="A506" i="9"/>
  <c r="L3" i="66" s="1"/>
  <c r="D511" i="9"/>
  <c r="E511" i="9"/>
  <c r="J478" i="9"/>
  <c r="K207" i="48" s="1"/>
  <c r="D478" i="9"/>
  <c r="J474" i="9"/>
  <c r="K206" i="48" s="1"/>
  <c r="D474" i="9"/>
  <c r="J470" i="9"/>
  <c r="D470" i="9"/>
  <c r="J466" i="9"/>
  <c r="K204" i="48" s="1"/>
  <c r="D466" i="9"/>
  <c r="E474" i="9"/>
  <c r="I478" i="9"/>
  <c r="J207" i="48" s="1"/>
  <c r="C478" i="9"/>
  <c r="I474" i="9"/>
  <c r="C474" i="9"/>
  <c r="I470" i="9"/>
  <c r="J205" i="48" s="1"/>
  <c r="C470" i="9"/>
  <c r="I466" i="9"/>
  <c r="J204" i="48" s="1"/>
  <c r="C466" i="9"/>
  <c r="A478" i="9"/>
  <c r="E470" i="9"/>
  <c r="E466" i="9"/>
  <c r="B478" i="9"/>
  <c r="B474" i="9"/>
  <c r="B470" i="9"/>
  <c r="B466" i="9"/>
  <c r="E478" i="9"/>
  <c r="A474" i="9"/>
  <c r="A470" i="9"/>
  <c r="A466" i="9"/>
  <c r="B4" i="9"/>
  <c r="D174" i="9"/>
  <c r="D173" i="9"/>
  <c r="D270" i="9"/>
  <c r="E96" i="48" s="1"/>
  <c r="D254" i="9"/>
  <c r="E88" i="48" s="1"/>
  <c r="D281" i="9"/>
  <c r="E101" i="48" s="1"/>
  <c r="D264" i="9"/>
  <c r="D283" i="9"/>
  <c r="E102" i="48" s="1"/>
  <c r="D266" i="9"/>
  <c r="E94" i="48" s="1"/>
  <c r="D277" i="9"/>
  <c r="D260" i="9"/>
  <c r="D279" i="9"/>
  <c r="E100" i="48" s="1"/>
  <c r="D262" i="9"/>
  <c r="D289" i="9"/>
  <c r="E105" i="48" s="1"/>
  <c r="D273" i="9"/>
  <c r="D256" i="9"/>
  <c r="E89" i="48" s="1"/>
  <c r="D275" i="9"/>
  <c r="D258" i="9"/>
  <c r="E90" i="48" s="1"/>
  <c r="D285" i="9"/>
  <c r="D268" i="9"/>
  <c r="E95" i="48" s="1"/>
  <c r="D287" i="9"/>
  <c r="E104" i="48" s="1"/>
  <c r="J353" i="9"/>
  <c r="K124" i="48" s="1"/>
  <c r="D353" i="9"/>
  <c r="E124" i="48" s="1"/>
  <c r="J349" i="9"/>
  <c r="K123" i="48" s="1"/>
  <c r="D349" i="9"/>
  <c r="E123" i="48" s="1"/>
  <c r="J338" i="9"/>
  <c r="K120" i="48" s="1"/>
  <c r="D338" i="9"/>
  <c r="E120" i="48" s="1"/>
  <c r="J334" i="9"/>
  <c r="K119" i="48" s="1"/>
  <c r="D334" i="9"/>
  <c r="E119" i="48" s="1"/>
  <c r="I353" i="9"/>
  <c r="J124" i="48" s="1"/>
  <c r="C353" i="9"/>
  <c r="I349" i="9"/>
  <c r="J123" i="48" s="1"/>
  <c r="C349" i="9"/>
  <c r="I338" i="9"/>
  <c r="J120" i="48" s="1"/>
  <c r="C338" i="9"/>
  <c r="I334" i="9"/>
  <c r="J119" i="48" s="1"/>
  <c r="C334" i="9"/>
  <c r="B353" i="9"/>
  <c r="B349" i="9"/>
  <c r="B338" i="9"/>
  <c r="B334" i="9"/>
  <c r="E353" i="9"/>
  <c r="A353" i="9"/>
  <c r="E349" i="9"/>
  <c r="A349" i="9"/>
  <c r="E338" i="9"/>
  <c r="A338" i="9"/>
  <c r="E334" i="9"/>
  <c r="A334" i="9"/>
  <c r="B359" i="9"/>
  <c r="I247" i="9"/>
  <c r="J87" i="48" s="1"/>
  <c r="I359" i="9"/>
  <c r="J125" i="48" s="1"/>
  <c r="A359" i="9"/>
  <c r="J359" i="9"/>
  <c r="K125" i="48" s="1"/>
  <c r="J328" i="9"/>
  <c r="K117" i="48" s="1"/>
  <c r="D328" i="9"/>
  <c r="E117" i="48" s="1"/>
  <c r="J324" i="9"/>
  <c r="K116" i="48" s="1"/>
  <c r="D324" i="9"/>
  <c r="E116" i="48" s="1"/>
  <c r="I328" i="9"/>
  <c r="J117" i="48" s="1"/>
  <c r="C328" i="9"/>
  <c r="I324" i="9"/>
  <c r="C324" i="9"/>
  <c r="B328" i="9"/>
  <c r="B324" i="9"/>
  <c r="E328" i="9"/>
  <c r="A328" i="9"/>
  <c r="E324" i="9"/>
  <c r="A324" i="9"/>
  <c r="A247" i="9"/>
  <c r="B13" i="16" s="1"/>
  <c r="C247" i="9"/>
  <c r="D13" i="16" s="1"/>
  <c r="J247" i="9"/>
  <c r="K87" i="48" s="1"/>
  <c r="J320" i="9"/>
  <c r="K115" i="48" s="1"/>
  <c r="D320" i="9"/>
  <c r="E115" i="48" s="1"/>
  <c r="J317" i="9"/>
  <c r="K114" i="48" s="1"/>
  <c r="D317" i="9"/>
  <c r="E114" i="48" s="1"/>
  <c r="J314" i="9"/>
  <c r="K113" i="48" s="1"/>
  <c r="D314" i="9"/>
  <c r="E113" i="48" s="1"/>
  <c r="J311" i="9"/>
  <c r="K112" i="48" s="1"/>
  <c r="D311" i="9"/>
  <c r="E112" i="48" s="1"/>
  <c r="J308" i="9"/>
  <c r="K111" i="48" s="1"/>
  <c r="D308" i="9"/>
  <c r="J304" i="9"/>
  <c r="K110" i="48" s="1"/>
  <c r="D304" i="9"/>
  <c r="E110" i="48" s="1"/>
  <c r="J301" i="9"/>
  <c r="K109" i="48" s="1"/>
  <c r="D301" i="9"/>
  <c r="E109" i="48" s="1"/>
  <c r="J298" i="9"/>
  <c r="K108" i="48" s="1"/>
  <c r="D298" i="9"/>
  <c r="E108" i="48" s="1"/>
  <c r="J295" i="9"/>
  <c r="K107" i="48" s="1"/>
  <c r="D295" i="9"/>
  <c r="E107" i="48" s="1"/>
  <c r="J292" i="9"/>
  <c r="K106" i="48" s="1"/>
  <c r="D292" i="9"/>
  <c r="E106" i="48" s="1"/>
  <c r="B243" i="9"/>
  <c r="C12" i="16" s="1"/>
  <c r="B223" i="9"/>
  <c r="C7" i="16" s="1"/>
  <c r="I320" i="9"/>
  <c r="J115" i="48" s="1"/>
  <c r="C320" i="9"/>
  <c r="I317" i="9"/>
  <c r="C317" i="9"/>
  <c r="I314" i="9"/>
  <c r="J113" i="48" s="1"/>
  <c r="C314" i="9"/>
  <c r="I311" i="9"/>
  <c r="J112" i="48" s="1"/>
  <c r="C311" i="9"/>
  <c r="I308" i="9"/>
  <c r="J111" i="48" s="1"/>
  <c r="C308" i="9"/>
  <c r="I304" i="9"/>
  <c r="J110" i="48" s="1"/>
  <c r="C304" i="9"/>
  <c r="I301" i="9"/>
  <c r="J109" i="48" s="1"/>
  <c r="C301" i="9"/>
  <c r="I298" i="9"/>
  <c r="J108" i="48" s="1"/>
  <c r="C298" i="9"/>
  <c r="I295" i="9"/>
  <c r="J107" i="48" s="1"/>
  <c r="C295" i="9"/>
  <c r="I292" i="9"/>
  <c r="J106" i="48" s="1"/>
  <c r="C292" i="9"/>
  <c r="B231" i="9"/>
  <c r="C9" i="16" s="1"/>
  <c r="B219" i="9"/>
  <c r="C6" i="16" s="1"/>
  <c r="B320" i="9"/>
  <c r="B317" i="9"/>
  <c r="B314" i="9"/>
  <c r="E320" i="9"/>
  <c r="E314" i="9"/>
  <c r="A311" i="9"/>
  <c r="A308" i="9"/>
  <c r="A304" i="9"/>
  <c r="A301" i="9"/>
  <c r="P82" i="17" s="1"/>
  <c r="A298" i="9"/>
  <c r="A295" i="9"/>
  <c r="A292" i="9"/>
  <c r="B239" i="9"/>
  <c r="C11" i="16" s="1"/>
  <c r="E308" i="9"/>
  <c r="E301" i="9"/>
  <c r="E295" i="9"/>
  <c r="B215" i="9"/>
  <c r="C5" i="16" s="1"/>
  <c r="A317" i="9"/>
  <c r="B311" i="9"/>
  <c r="B308" i="9"/>
  <c r="B304" i="9"/>
  <c r="B301" i="9"/>
  <c r="B298" i="9"/>
  <c r="B295" i="9"/>
  <c r="B292" i="9"/>
  <c r="B227" i="9"/>
  <c r="C8" i="16" s="1"/>
  <c r="A320" i="9"/>
  <c r="A314" i="9"/>
  <c r="E317" i="9"/>
  <c r="E311" i="9"/>
  <c r="E304" i="9"/>
  <c r="E298" i="9"/>
  <c r="E292" i="9"/>
  <c r="B235" i="9"/>
  <c r="I215" i="9"/>
  <c r="J79" i="48" s="1"/>
  <c r="I223" i="9"/>
  <c r="J81" i="48" s="1"/>
  <c r="I231" i="9"/>
  <c r="J83" i="48" s="1"/>
  <c r="I239" i="9"/>
  <c r="J85" i="48" s="1"/>
  <c r="J215" i="9"/>
  <c r="K79" i="48" s="1"/>
  <c r="J223" i="9"/>
  <c r="K81" i="48" s="1"/>
  <c r="J231" i="9"/>
  <c r="K83" i="48" s="1"/>
  <c r="J239" i="9"/>
  <c r="K85" i="48" s="1"/>
  <c r="E215" i="9"/>
  <c r="E223" i="9"/>
  <c r="E231" i="9"/>
  <c r="E239" i="9"/>
  <c r="C215" i="9"/>
  <c r="D5" i="16" s="1"/>
  <c r="C239" i="9"/>
  <c r="D11" i="16" s="1"/>
  <c r="D215" i="9"/>
  <c r="E79" i="48" s="1"/>
  <c r="D231" i="9"/>
  <c r="E83" i="48" s="1"/>
  <c r="A223" i="9"/>
  <c r="B7" i="16" s="1"/>
  <c r="I219" i="9"/>
  <c r="J80" i="48" s="1"/>
  <c r="I235" i="9"/>
  <c r="J84" i="48" s="1"/>
  <c r="J219" i="9"/>
  <c r="K80" i="48" s="1"/>
  <c r="J235" i="9"/>
  <c r="K84" i="48" s="1"/>
  <c r="E227" i="9"/>
  <c r="C219" i="9"/>
  <c r="D6" i="16" s="1"/>
  <c r="C227" i="9"/>
  <c r="D8" i="16" s="1"/>
  <c r="C235" i="9"/>
  <c r="C243" i="9"/>
  <c r="D12" i="16" s="1"/>
  <c r="D219" i="9"/>
  <c r="E80" i="48" s="1"/>
  <c r="D227" i="9"/>
  <c r="E82" i="48" s="1"/>
  <c r="D235" i="9"/>
  <c r="E84" i="48" s="1"/>
  <c r="D243" i="9"/>
  <c r="E86" i="48" s="1"/>
  <c r="A219" i="9"/>
  <c r="B6" i="16" s="1"/>
  <c r="A227" i="9"/>
  <c r="B8" i="16" s="1"/>
  <c r="A235" i="9"/>
  <c r="A243" i="9"/>
  <c r="B12" i="16" s="1"/>
  <c r="C223" i="9"/>
  <c r="D7" i="16" s="1"/>
  <c r="C231" i="9"/>
  <c r="D9" i="16" s="1"/>
  <c r="D223" i="9"/>
  <c r="E81" i="48" s="1"/>
  <c r="D239" i="9"/>
  <c r="E85" i="48" s="1"/>
  <c r="A215" i="9"/>
  <c r="B5" i="16" s="1"/>
  <c r="A231" i="9"/>
  <c r="B9" i="16" s="1"/>
  <c r="A239" i="9"/>
  <c r="B11" i="16" s="1"/>
  <c r="I227" i="9"/>
  <c r="J82" i="48" s="1"/>
  <c r="I243" i="9"/>
  <c r="J86" i="48" s="1"/>
  <c r="J227" i="9"/>
  <c r="K82" i="48" s="1"/>
  <c r="J243" i="9"/>
  <c r="K86" i="48" s="1"/>
  <c r="E219" i="9"/>
  <c r="E235" i="9"/>
  <c r="E243" i="9"/>
  <c r="D359" i="9"/>
  <c r="E125" i="48" s="1"/>
  <c r="D247" i="9"/>
  <c r="E87" i="48" s="1"/>
  <c r="E247" i="9"/>
  <c r="E359" i="9"/>
  <c r="B167" i="9"/>
  <c r="I167" i="9"/>
  <c r="J67" i="48" s="1"/>
  <c r="A167" i="9"/>
  <c r="B67" i="48" s="1"/>
  <c r="J182" i="9"/>
  <c r="K71" i="48" s="1"/>
  <c r="D182" i="9"/>
  <c r="E71" i="48" s="1"/>
  <c r="C204" i="9"/>
  <c r="C194" i="9"/>
  <c r="C185" i="9"/>
  <c r="J151" i="9"/>
  <c r="K63" i="48" s="1"/>
  <c r="D151" i="9"/>
  <c r="E63" i="48" s="1"/>
  <c r="A162" i="9"/>
  <c r="I182" i="9"/>
  <c r="J71" i="48" s="1"/>
  <c r="C182" i="9"/>
  <c r="R59" i="26" s="1"/>
  <c r="A204" i="9"/>
  <c r="B40" i="23" s="1"/>
  <c r="A194" i="9"/>
  <c r="A185" i="9"/>
  <c r="I151" i="9"/>
  <c r="J63" i="48" s="1"/>
  <c r="C151" i="9"/>
  <c r="A158" i="9"/>
  <c r="B143" i="9"/>
  <c r="B182" i="9"/>
  <c r="Q59" i="26" s="1"/>
  <c r="C199" i="9"/>
  <c r="C189" i="9"/>
  <c r="C178" i="9"/>
  <c r="B151" i="9"/>
  <c r="A154" i="9"/>
  <c r="E182" i="9"/>
  <c r="A182" i="9"/>
  <c r="P59" i="26" s="1"/>
  <c r="A199" i="9"/>
  <c r="A189" i="9"/>
  <c r="A178" i="9"/>
  <c r="E151" i="9"/>
  <c r="A151" i="9"/>
  <c r="A147" i="9"/>
  <c r="C208" i="9"/>
  <c r="J147" i="9"/>
  <c r="K62" i="48" s="1"/>
  <c r="J158" i="9"/>
  <c r="K65" i="48" s="1"/>
  <c r="E178" i="9"/>
  <c r="E199" i="9"/>
  <c r="I143" i="9"/>
  <c r="J61" i="48" s="1"/>
  <c r="I154" i="9"/>
  <c r="J64" i="48" s="1"/>
  <c r="I162" i="9"/>
  <c r="J66" i="48" s="1"/>
  <c r="J185" i="9"/>
  <c r="K72" i="48" s="1"/>
  <c r="J194" i="9"/>
  <c r="K74" i="48" s="1"/>
  <c r="J204" i="9"/>
  <c r="K76" i="48" s="1"/>
  <c r="I178" i="9"/>
  <c r="J70" i="48" s="1"/>
  <c r="I199" i="9"/>
  <c r="J75" i="48" s="1"/>
  <c r="E143" i="9"/>
  <c r="E158" i="9"/>
  <c r="B178" i="9"/>
  <c r="B189" i="9"/>
  <c r="B199" i="9"/>
  <c r="I208" i="9"/>
  <c r="J77" i="48" s="1"/>
  <c r="D147" i="9"/>
  <c r="E62" i="48" s="1"/>
  <c r="D158" i="9"/>
  <c r="E65" i="48" s="1"/>
  <c r="E185" i="9"/>
  <c r="E204" i="9"/>
  <c r="C143" i="9"/>
  <c r="C154" i="9"/>
  <c r="C162" i="9"/>
  <c r="D185" i="9"/>
  <c r="E72" i="48" s="1"/>
  <c r="D194" i="9"/>
  <c r="E74" i="48" s="1"/>
  <c r="D204" i="9"/>
  <c r="E76" i="48" s="1"/>
  <c r="B147" i="9"/>
  <c r="B158" i="9"/>
  <c r="I185" i="9"/>
  <c r="J72" i="48" s="1"/>
  <c r="I204" i="9"/>
  <c r="J76" i="48" s="1"/>
  <c r="A143" i="9"/>
  <c r="E162" i="9"/>
  <c r="J143" i="9"/>
  <c r="K61" i="48" s="1"/>
  <c r="J154" i="9"/>
  <c r="K64" i="48" s="1"/>
  <c r="J162" i="9"/>
  <c r="K66" i="48" s="1"/>
  <c r="E189" i="9"/>
  <c r="D208" i="9"/>
  <c r="E77" i="48" s="1"/>
  <c r="I147" i="9"/>
  <c r="J62" i="48" s="1"/>
  <c r="I158" i="9"/>
  <c r="J65" i="48" s="1"/>
  <c r="J178" i="9"/>
  <c r="K70" i="48" s="1"/>
  <c r="J189" i="9"/>
  <c r="K73" i="48" s="1"/>
  <c r="J199" i="9"/>
  <c r="K75" i="48" s="1"/>
  <c r="A208" i="9"/>
  <c r="I189" i="9"/>
  <c r="J73" i="48" s="1"/>
  <c r="B208" i="9"/>
  <c r="E147" i="9"/>
  <c r="B185" i="9"/>
  <c r="B194" i="9"/>
  <c r="B204" i="9"/>
  <c r="D143" i="9"/>
  <c r="E61" i="48" s="1"/>
  <c r="D154" i="9"/>
  <c r="E64" i="48" s="1"/>
  <c r="D162" i="9"/>
  <c r="E66" i="48" s="1"/>
  <c r="E194" i="9"/>
  <c r="J208" i="9"/>
  <c r="K77" i="48" s="1"/>
  <c r="C147" i="9"/>
  <c r="C158" i="9"/>
  <c r="D178" i="9"/>
  <c r="E70" i="48" s="1"/>
  <c r="D189" i="9"/>
  <c r="E73" i="48" s="1"/>
  <c r="D199" i="9"/>
  <c r="E75" i="48" s="1"/>
  <c r="E208" i="9"/>
  <c r="B154" i="9"/>
  <c r="B162" i="9"/>
  <c r="I194" i="9"/>
  <c r="J74" i="48" s="1"/>
  <c r="E154" i="9"/>
  <c r="D167" i="9"/>
  <c r="E67" i="48" s="1"/>
  <c r="E167" i="9"/>
  <c r="J167" i="9"/>
  <c r="K67" i="48" s="1"/>
  <c r="J89" i="9"/>
  <c r="K32" i="48" s="1"/>
  <c r="D89" i="9"/>
  <c r="E32" i="48" s="1"/>
  <c r="J86" i="9"/>
  <c r="K31" i="48" s="1"/>
  <c r="D86" i="9"/>
  <c r="E31" i="48" s="1"/>
  <c r="J83" i="9"/>
  <c r="K30" i="48" s="1"/>
  <c r="D83" i="9"/>
  <c r="E30" i="48" s="1"/>
  <c r="J80" i="9"/>
  <c r="K29" i="48" s="1"/>
  <c r="D80" i="9"/>
  <c r="E29" i="48" s="1"/>
  <c r="J77" i="9"/>
  <c r="K28" i="48" s="1"/>
  <c r="D77" i="9"/>
  <c r="E28" i="48" s="1"/>
  <c r="J74" i="9"/>
  <c r="K27" i="48" s="1"/>
  <c r="D74" i="9"/>
  <c r="E27" i="48" s="1"/>
  <c r="J71" i="9"/>
  <c r="K26" i="48" s="1"/>
  <c r="D71" i="9"/>
  <c r="E26" i="48" s="1"/>
  <c r="J68" i="9"/>
  <c r="K25" i="48" s="1"/>
  <c r="D68" i="9"/>
  <c r="E25" i="48" s="1"/>
  <c r="B65" i="9"/>
  <c r="B60" i="9"/>
  <c r="B56" i="9"/>
  <c r="B52" i="9"/>
  <c r="B48" i="9"/>
  <c r="B44" i="9"/>
  <c r="B40" i="9"/>
  <c r="B36" i="9"/>
  <c r="B32" i="9"/>
  <c r="B28" i="9"/>
  <c r="B23" i="9"/>
  <c r="B19" i="9"/>
  <c r="D15" i="9"/>
  <c r="E12" i="48" s="1"/>
  <c r="B89" i="9"/>
  <c r="D65" i="9"/>
  <c r="E24" i="48" s="1"/>
  <c r="J60" i="9"/>
  <c r="K23" i="48" s="1"/>
  <c r="J56" i="9"/>
  <c r="K22" i="48" s="1"/>
  <c r="J52" i="9"/>
  <c r="K21" i="48" s="1"/>
  <c r="J48" i="9"/>
  <c r="K20" i="48" s="1"/>
  <c r="J44" i="9"/>
  <c r="K19" i="48" s="1"/>
  <c r="D40" i="9"/>
  <c r="E18" i="48" s="1"/>
  <c r="D36" i="9"/>
  <c r="E17" i="48" s="1"/>
  <c r="D32" i="9"/>
  <c r="E16" i="48" s="1"/>
  <c r="D28" i="9"/>
  <c r="E15" i="48" s="1"/>
  <c r="D23" i="9"/>
  <c r="E14" i="48" s="1"/>
  <c r="D19" i="9"/>
  <c r="E13" i="48" s="1"/>
  <c r="J15" i="9"/>
  <c r="K12" i="48" s="1"/>
  <c r="A89" i="9"/>
  <c r="A86" i="9"/>
  <c r="A83" i="9"/>
  <c r="A80" i="9"/>
  <c r="A77" i="9"/>
  <c r="E74" i="9"/>
  <c r="E71" i="9"/>
  <c r="E68" i="9"/>
  <c r="E65" i="9"/>
  <c r="I60" i="9"/>
  <c r="J23" i="48" s="1"/>
  <c r="I56" i="9"/>
  <c r="J22" i="48" s="1"/>
  <c r="C52" i="9"/>
  <c r="I48" i="9"/>
  <c r="J20" i="48" s="1"/>
  <c r="I44" i="9"/>
  <c r="J19" i="48" s="1"/>
  <c r="I40" i="9"/>
  <c r="J18" i="48" s="1"/>
  <c r="C40" i="9"/>
  <c r="C36" i="9"/>
  <c r="C32" i="9"/>
  <c r="C28" i="9"/>
  <c r="I23" i="9"/>
  <c r="J14" i="48" s="1"/>
  <c r="I89" i="9"/>
  <c r="J32" i="48" s="1"/>
  <c r="C89" i="9"/>
  <c r="I86" i="9"/>
  <c r="J31" i="48" s="1"/>
  <c r="C86" i="9"/>
  <c r="I83" i="9"/>
  <c r="J30" i="48" s="1"/>
  <c r="C83" i="9"/>
  <c r="D30" i="48" s="1"/>
  <c r="I80" i="9"/>
  <c r="J29" i="48" s="1"/>
  <c r="C80" i="9"/>
  <c r="I77" i="9"/>
  <c r="J28" i="48" s="1"/>
  <c r="C77" i="9"/>
  <c r="I74" i="9"/>
  <c r="J27" i="48" s="1"/>
  <c r="C74" i="9"/>
  <c r="I71" i="9"/>
  <c r="J26" i="48" s="1"/>
  <c r="C71" i="9"/>
  <c r="D26" i="48" s="1"/>
  <c r="I68" i="9"/>
  <c r="J25" i="48" s="1"/>
  <c r="C68" i="9"/>
  <c r="D25" i="48" s="1"/>
  <c r="C65" i="9"/>
  <c r="I65" i="9"/>
  <c r="J24" i="48" s="1"/>
  <c r="E60" i="9"/>
  <c r="A60" i="9"/>
  <c r="E56" i="9"/>
  <c r="A56" i="9"/>
  <c r="E52" i="9"/>
  <c r="A52" i="9"/>
  <c r="E48" i="9"/>
  <c r="A48" i="9"/>
  <c r="E44" i="9"/>
  <c r="A44" i="9"/>
  <c r="E40" i="9"/>
  <c r="A40" i="9"/>
  <c r="E36" i="9"/>
  <c r="A36" i="9"/>
  <c r="E32" i="9"/>
  <c r="A32" i="9"/>
  <c r="E28" i="9"/>
  <c r="A28" i="9"/>
  <c r="E23" i="9"/>
  <c r="A23" i="9"/>
  <c r="E19" i="9"/>
  <c r="A19" i="9"/>
  <c r="P8" i="24" s="1"/>
  <c r="B15" i="9"/>
  <c r="B86" i="9"/>
  <c r="B83" i="9"/>
  <c r="B80" i="9"/>
  <c r="B77" i="9"/>
  <c r="B74" i="9"/>
  <c r="B71" i="9"/>
  <c r="B68" i="9"/>
  <c r="J65" i="9"/>
  <c r="K24" i="48" s="1"/>
  <c r="D60" i="9"/>
  <c r="E23" i="48" s="1"/>
  <c r="D56" i="9"/>
  <c r="E22" i="48" s="1"/>
  <c r="D52" i="9"/>
  <c r="E21" i="48" s="1"/>
  <c r="D48" i="9"/>
  <c r="E20" i="48" s="1"/>
  <c r="D44" i="9"/>
  <c r="E19" i="48" s="1"/>
  <c r="J40" i="9"/>
  <c r="K18" i="48" s="1"/>
  <c r="J36" i="9"/>
  <c r="K17" i="48" s="1"/>
  <c r="J32" i="9"/>
  <c r="K16" i="48" s="1"/>
  <c r="J28" i="9"/>
  <c r="K15" i="48" s="1"/>
  <c r="J23" i="9"/>
  <c r="K14" i="48" s="1"/>
  <c r="J19" i="9"/>
  <c r="K13" i="48" s="1"/>
  <c r="E89" i="9"/>
  <c r="E86" i="9"/>
  <c r="E83" i="9"/>
  <c r="E80" i="9"/>
  <c r="E77" i="9"/>
  <c r="A74" i="9"/>
  <c r="A71" i="9"/>
  <c r="A68" i="9"/>
  <c r="A65" i="9"/>
  <c r="C60" i="9"/>
  <c r="C56" i="9"/>
  <c r="I52" i="9"/>
  <c r="J21" i="48" s="1"/>
  <c r="C48" i="9"/>
  <c r="D20" i="48" s="1"/>
  <c r="C44" i="9"/>
  <c r="D19" i="48" s="1"/>
  <c r="I36" i="9"/>
  <c r="J17" i="48" s="1"/>
  <c r="I32" i="9"/>
  <c r="J16" i="48" s="1"/>
  <c r="I28" i="9"/>
  <c r="J15" i="48" s="1"/>
  <c r="C23" i="9"/>
  <c r="I19" i="9"/>
  <c r="J13" i="48" s="1"/>
  <c r="C19" i="9"/>
  <c r="R8" i="24" s="1"/>
  <c r="A15" i="9"/>
  <c r="C15" i="9"/>
  <c r="E15" i="9"/>
  <c r="I15" i="9"/>
  <c r="J12" i="48" s="1"/>
  <c r="B2" i="9"/>
  <c r="B11" i="9"/>
  <c r="C11" i="9"/>
  <c r="I11" i="9"/>
  <c r="J11" i="48" s="1"/>
  <c r="D11" i="9"/>
  <c r="E11" i="48" s="1"/>
  <c r="J11" i="9"/>
  <c r="K11" i="48" s="1"/>
  <c r="E11" i="9"/>
  <c r="A11" i="9"/>
  <c r="E248" i="48"/>
  <c r="E55" i="48"/>
  <c r="E239" i="48"/>
  <c r="E264" i="48"/>
  <c r="E91" i="48"/>
  <c r="E287" i="48"/>
  <c r="E233" i="48"/>
  <c r="E176" i="48"/>
  <c r="E266" i="48"/>
  <c r="E49" i="48"/>
  <c r="E258" i="48"/>
  <c r="E298" i="48"/>
  <c r="E283" i="48"/>
  <c r="E253" i="48"/>
  <c r="E236" i="48"/>
  <c r="E42" i="48"/>
  <c r="E293" i="48"/>
  <c r="E260" i="48"/>
  <c r="E247" i="48"/>
  <c r="O70" i="67"/>
  <c r="E111" i="48"/>
  <c r="E93" i="48"/>
  <c r="E47" i="48"/>
  <c r="E271" i="48"/>
  <c r="E38" i="48"/>
  <c r="E274" i="48"/>
  <c r="E249" i="48"/>
  <c r="E234" i="48"/>
  <c r="E98" i="48"/>
  <c r="E267" i="48"/>
  <c r="E50" i="48"/>
  <c r="E36" i="48"/>
  <c r="E254" i="48"/>
  <c r="E43" i="48"/>
  <c r="E297" i="48"/>
  <c r="E294" i="48"/>
  <c r="E250" i="48"/>
  <c r="E232" i="48"/>
  <c r="E92" i="48"/>
  <c r="E272" i="48"/>
  <c r="E39" i="48"/>
  <c r="E291" i="48"/>
  <c r="E290" i="48"/>
  <c r="E244" i="48"/>
  <c r="E97" i="48"/>
  <c r="E34" i="48"/>
  <c r="E282" i="48"/>
  <c r="E126" i="48"/>
  <c r="E45" i="48"/>
  <c r="E288" i="48"/>
  <c r="E251" i="48"/>
  <c r="E230" i="48"/>
  <c r="E54" i="48"/>
  <c r="E241" i="48"/>
  <c r="E269" i="48"/>
  <c r="E35" i="48"/>
  <c r="E284" i="48"/>
  <c r="E286" i="48"/>
  <c r="E240" i="48"/>
  <c r="E175" i="48"/>
  <c r="E268" i="48"/>
  <c r="E277" i="48"/>
  <c r="E243" i="48"/>
  <c r="E41" i="48"/>
  <c r="E265" i="48"/>
  <c r="E285" i="48"/>
  <c r="E246" i="48"/>
  <c r="E177" i="48"/>
  <c r="E270" i="48"/>
  <c r="E57" i="48"/>
  <c r="E245" i="48"/>
  <c r="E261" i="48"/>
  <c r="E103" i="48"/>
  <c r="E56" i="48"/>
  <c r="E256" i="48"/>
  <c r="E235" i="48"/>
  <c r="E59" i="48"/>
  <c r="E37" i="48"/>
  <c r="E52" i="48"/>
  <c r="E259" i="48"/>
  <c r="E242" i="48"/>
  <c r="E263" i="48"/>
  <c r="E44" i="48"/>
  <c r="E295" i="48"/>
  <c r="E53" i="48"/>
  <c r="E237" i="48"/>
  <c r="E257" i="48"/>
  <c r="E99" i="48"/>
  <c r="E48" i="48"/>
  <c r="E289" i="48"/>
  <c r="E252" i="48"/>
  <c r="E231" i="48"/>
  <c r="E238" i="48"/>
  <c r="E58" i="48"/>
  <c r="E69" i="48"/>
  <c r="E46" i="48"/>
  <c r="E40" i="48"/>
  <c r="E51" i="48"/>
  <c r="E292" i="48"/>
  <c r="E255" i="48"/>
  <c r="E169" i="48"/>
  <c r="E68" i="48"/>
  <c r="J218" i="48"/>
  <c r="J219" i="48"/>
  <c r="D152" i="48"/>
  <c r="N29" i="55"/>
  <c r="D146" i="48"/>
  <c r="N23" i="55"/>
  <c r="D170" i="48"/>
  <c r="N23" i="56"/>
  <c r="M5" i="62"/>
  <c r="M7" i="61"/>
  <c r="M11" i="14"/>
  <c r="B32" i="56"/>
  <c r="L64" i="67"/>
  <c r="L48" i="56"/>
  <c r="D226" i="48"/>
  <c r="N64" i="67"/>
  <c r="N48" i="56"/>
  <c r="C198" i="48"/>
  <c r="M56" i="67"/>
  <c r="B21" i="67"/>
  <c r="L58" i="67"/>
  <c r="L3" i="67"/>
  <c r="L3" i="55"/>
  <c r="L3" i="56"/>
  <c r="N13" i="56"/>
  <c r="N25" i="67"/>
  <c r="N13" i="55"/>
  <c r="N13" i="67"/>
  <c r="L18" i="67"/>
  <c r="L32" i="55"/>
  <c r="D29" i="64"/>
  <c r="N10" i="64"/>
  <c r="N12" i="57"/>
  <c r="N67" i="67"/>
  <c r="L2" i="60"/>
  <c r="L69" i="67"/>
  <c r="M35" i="67"/>
  <c r="M32" i="56"/>
  <c r="M8" i="55"/>
  <c r="M8" i="67"/>
  <c r="N30" i="55"/>
  <c r="D153" i="48"/>
  <c r="M30" i="55"/>
  <c r="C153" i="48"/>
  <c r="L30" i="55"/>
  <c r="B153" i="48"/>
  <c r="B220" i="48"/>
  <c r="L5" i="62"/>
  <c r="L7" i="61"/>
  <c r="L11" i="14"/>
  <c r="B31" i="56"/>
  <c r="L63" i="67"/>
  <c r="L47" i="56"/>
  <c r="B33" i="56"/>
  <c r="L65" i="67"/>
  <c r="L49" i="56"/>
  <c r="M64" i="67"/>
  <c r="M48" i="56"/>
  <c r="D203" i="48"/>
  <c r="N61" i="67"/>
  <c r="B201" i="48"/>
  <c r="L59" i="67"/>
  <c r="L13" i="67"/>
  <c r="L13" i="55"/>
  <c r="M25" i="67"/>
  <c r="M13" i="56"/>
  <c r="M13" i="67"/>
  <c r="M13" i="55"/>
  <c r="M18" i="67"/>
  <c r="M32" i="55"/>
  <c r="C29" i="64"/>
  <c r="M10" i="64"/>
  <c r="M12" i="57"/>
  <c r="M67" i="67"/>
  <c r="N69" i="67"/>
  <c r="N2" i="60"/>
  <c r="L35" i="67"/>
  <c r="L32" i="56"/>
  <c r="N8" i="56"/>
  <c r="N20" i="67"/>
  <c r="L8" i="67"/>
  <c r="L8" i="55"/>
  <c r="D222" i="48"/>
  <c r="N63" i="67"/>
  <c r="N47" i="56"/>
  <c r="D227" i="48"/>
  <c r="N65" i="67"/>
  <c r="N49" i="56"/>
  <c r="B19" i="67"/>
  <c r="L56" i="67"/>
  <c r="B23" i="67"/>
  <c r="L60" i="67"/>
  <c r="C199" i="48"/>
  <c r="M57" i="67"/>
  <c r="L13" i="56"/>
  <c r="L25" i="67"/>
  <c r="N18" i="56"/>
  <c r="N30" i="67"/>
  <c r="N3" i="56"/>
  <c r="N3" i="67"/>
  <c r="N3" i="55"/>
  <c r="D144" i="48"/>
  <c r="N18" i="67"/>
  <c r="N32" i="55"/>
  <c r="D30" i="64"/>
  <c r="N11" i="64"/>
  <c r="N13" i="57"/>
  <c r="N68" i="67"/>
  <c r="N9" i="64"/>
  <c r="N66" i="67"/>
  <c r="N11" i="57"/>
  <c r="C34" i="67"/>
  <c r="M69" i="67"/>
  <c r="M2" i="60"/>
  <c r="M20" i="67"/>
  <c r="M8" i="56"/>
  <c r="D220" i="48"/>
  <c r="N7" i="61"/>
  <c r="N5" i="62"/>
  <c r="N11" i="14"/>
  <c r="M63" i="67"/>
  <c r="M47" i="56"/>
  <c r="C33" i="56"/>
  <c r="M65" i="67"/>
  <c r="M49" i="56"/>
  <c r="C200" i="48"/>
  <c r="M58" i="67"/>
  <c r="L30" i="67"/>
  <c r="L18" i="56"/>
  <c r="M30" i="67"/>
  <c r="M18" i="56"/>
  <c r="M3" i="56"/>
  <c r="M3" i="67"/>
  <c r="M3" i="55"/>
  <c r="C30" i="64"/>
  <c r="M11" i="64"/>
  <c r="M68" i="67"/>
  <c r="M13" i="57"/>
  <c r="C34" i="57"/>
  <c r="M9" i="64"/>
  <c r="M11" i="57"/>
  <c r="M66" i="67"/>
  <c r="N35" i="67"/>
  <c r="N32" i="56"/>
  <c r="L20" i="67"/>
  <c r="L8" i="56"/>
  <c r="N8" i="55"/>
  <c r="N8" i="67"/>
  <c r="B225" i="48"/>
  <c r="L11" i="64"/>
  <c r="L13" i="57"/>
  <c r="L68" i="67"/>
  <c r="B29" i="64"/>
  <c r="L10" i="64"/>
  <c r="L67" i="67"/>
  <c r="L12" i="57"/>
  <c r="B31" i="67"/>
  <c r="L9" i="64"/>
  <c r="L11" i="57"/>
  <c r="L66" i="67"/>
  <c r="F30" i="48"/>
  <c r="L30" i="48" s="1"/>
  <c r="B169" i="12"/>
  <c r="J23" i="56" s="1"/>
  <c r="B46" i="12"/>
  <c r="H4" i="55" s="1"/>
  <c r="B227" i="12"/>
  <c r="B224" i="12"/>
  <c r="B92" i="12"/>
  <c r="F10" i="9" s="1"/>
  <c r="G10" i="48" s="1"/>
  <c r="K7" i="24"/>
  <c r="B44" i="12"/>
  <c r="B49" i="12"/>
  <c r="G3" i="59" s="1"/>
  <c r="B10" i="12"/>
  <c r="B97" i="12"/>
  <c r="E10" i="48" s="1"/>
  <c r="B274" i="12"/>
  <c r="B87" i="12"/>
  <c r="A10" i="8" s="1"/>
  <c r="L10" i="9" s="1"/>
  <c r="B235" i="12"/>
  <c r="B38" i="12"/>
  <c r="B133" i="15" s="1"/>
  <c r="K7" i="43"/>
  <c r="K7" i="51"/>
  <c r="K7" i="18"/>
  <c r="B81" i="12"/>
  <c r="E148" i="11" s="1"/>
  <c r="B101" i="12"/>
  <c r="B244" i="12"/>
  <c r="C38" i="30" s="1"/>
  <c r="B3" i="12"/>
  <c r="K3" i="11" s="1"/>
  <c r="K7" i="29"/>
  <c r="K7" i="54"/>
  <c r="B198" i="12"/>
  <c r="B236" i="12"/>
  <c r="B414" i="11" s="1"/>
  <c r="K7" i="53"/>
  <c r="B15" i="12"/>
  <c r="K7" i="42"/>
  <c r="K7" i="49"/>
  <c r="B94" i="12"/>
  <c r="H10" i="9" s="1"/>
  <c r="I10" i="48" s="1"/>
  <c r="B77" i="12"/>
  <c r="B19" i="11" s="1"/>
  <c r="B215" i="12"/>
  <c r="D119" i="11" s="1"/>
  <c r="B250" i="12"/>
  <c r="B130" i="12"/>
  <c r="B160" i="12"/>
  <c r="P23" i="3" s="1"/>
  <c r="B110" i="12"/>
  <c r="F435" i="9"/>
  <c r="F445" i="9"/>
  <c r="F437" i="9"/>
  <c r="F448" i="9"/>
  <c r="F440" i="9"/>
  <c r="F449" i="9"/>
  <c r="F444" i="9"/>
  <c r="F447" i="9"/>
  <c r="F442" i="9"/>
  <c r="F443" i="9"/>
  <c r="F454" i="9"/>
  <c r="F446" i="9"/>
  <c r="F438" i="9"/>
  <c r="F441" i="9"/>
  <c r="F452" i="9"/>
  <c r="F453" i="9"/>
  <c r="F439" i="9"/>
  <c r="F450" i="9"/>
  <c r="F451" i="9"/>
  <c r="F428" i="9"/>
  <c r="Q26" i="56" s="1"/>
  <c r="R26" i="56" s="1"/>
  <c r="F432" i="9"/>
  <c r="F426" i="9"/>
  <c r="F429" i="9"/>
  <c r="F431" i="9"/>
  <c r="Q29" i="56" s="1"/>
  <c r="R29" i="56" s="1"/>
  <c r="F427" i="9"/>
  <c r="F430" i="9"/>
  <c r="F406" i="9"/>
  <c r="F423" i="9"/>
  <c r="F424" i="9"/>
  <c r="F422" i="9"/>
  <c r="F421" i="9"/>
  <c r="F418" i="9"/>
  <c r="F419" i="9"/>
  <c r="F417" i="9"/>
  <c r="F416" i="9"/>
  <c r="F409" i="9"/>
  <c r="F413" i="9"/>
  <c r="F414" i="9"/>
  <c r="F412" i="9"/>
  <c r="F411" i="9"/>
  <c r="F403" i="9"/>
  <c r="F402" i="9"/>
  <c r="F401" i="9"/>
  <c r="F400" i="9"/>
  <c r="F398" i="9"/>
  <c r="F404" i="9"/>
  <c r="F395" i="9"/>
  <c r="F393" i="9"/>
  <c r="F396" i="9"/>
  <c r="F394" i="9"/>
  <c r="F389" i="9"/>
  <c r="F390" i="9"/>
  <c r="F388" i="9"/>
  <c r="F391" i="9"/>
  <c r="F381" i="9"/>
  <c r="F384" i="9"/>
  <c r="F385" i="9"/>
  <c r="F383" i="9"/>
  <c r="F386" i="9"/>
  <c r="B160" i="48"/>
  <c r="B170" i="48"/>
  <c r="B165" i="48"/>
  <c r="C226" i="48"/>
  <c r="C32" i="56"/>
  <c r="B173" i="48"/>
  <c r="C222" i="48"/>
  <c r="C31" i="56"/>
  <c r="C160" i="48"/>
  <c r="C144" i="48"/>
  <c r="B139" i="48"/>
  <c r="F224" i="48"/>
  <c r="L224" i="48" s="1"/>
  <c r="F210" i="48"/>
  <c r="L210" i="48" s="1"/>
  <c r="F134" i="48"/>
  <c r="L134" i="48" s="1"/>
  <c r="F129" i="48"/>
  <c r="L129" i="48" s="1"/>
  <c r="F121" i="9"/>
  <c r="G59" i="48" s="1"/>
  <c r="M59" i="48" s="1"/>
  <c r="H59" i="48" s="1"/>
  <c r="B43" i="48"/>
  <c r="P22" i="74"/>
  <c r="P22" i="73"/>
  <c r="P22" i="72"/>
  <c r="P22" i="71"/>
  <c r="P22" i="70"/>
  <c r="P22" i="54"/>
  <c r="P22" i="53"/>
  <c r="P22" i="52"/>
  <c r="P22" i="50"/>
  <c r="P22" i="69"/>
  <c r="P22" i="51"/>
  <c r="P22" i="49"/>
  <c r="P22" i="42"/>
  <c r="P22" i="41"/>
  <c r="P22" i="44"/>
  <c r="P22" i="43"/>
  <c r="P22" i="40"/>
  <c r="P22" i="32"/>
  <c r="P22" i="35"/>
  <c r="P22" i="34"/>
  <c r="P22" i="38"/>
  <c r="P22" i="37"/>
  <c r="P22" i="33"/>
  <c r="P22" i="39"/>
  <c r="P22" i="31"/>
  <c r="P22" i="77"/>
  <c r="P22" i="20"/>
  <c r="P22" i="30"/>
  <c r="P22" i="29"/>
  <c r="P22" i="27"/>
  <c r="P22" i="76"/>
  <c r="P22" i="19"/>
  <c r="P22" i="18"/>
  <c r="P22" i="2"/>
  <c r="P22" i="21"/>
  <c r="P22" i="17"/>
  <c r="P22" i="23"/>
  <c r="P22" i="26"/>
  <c r="P22" i="25"/>
  <c r="P22" i="24"/>
  <c r="P22" i="22"/>
  <c r="B41" i="48"/>
  <c r="P20" i="74"/>
  <c r="P20" i="72"/>
  <c r="P20" i="73"/>
  <c r="P20" i="71"/>
  <c r="P20" i="70"/>
  <c r="P20" i="52"/>
  <c r="P20" i="54"/>
  <c r="P20" i="53"/>
  <c r="P20" i="51"/>
  <c r="P20" i="49"/>
  <c r="P20" i="69"/>
  <c r="P20" i="50"/>
  <c r="P20" i="43"/>
  <c r="P20" i="44"/>
  <c r="P20" i="41"/>
  <c r="P20" i="42"/>
  <c r="P20" i="39"/>
  <c r="P20" i="38"/>
  <c r="P20" i="33"/>
  <c r="P20" i="34"/>
  <c r="P20" i="35"/>
  <c r="P20" i="37"/>
  <c r="P20" i="40"/>
  <c r="P20" i="32"/>
  <c r="P20" i="30"/>
  <c r="P20" i="29"/>
  <c r="P20" i="27"/>
  <c r="P20" i="76"/>
  <c r="P20" i="19"/>
  <c r="P20" i="18"/>
  <c r="P20" i="20"/>
  <c r="P20" i="31"/>
  <c r="P20" i="21"/>
  <c r="P20" i="17"/>
  <c r="P20" i="77"/>
  <c r="P20" i="2"/>
  <c r="P20" i="26"/>
  <c r="P20" i="23"/>
  <c r="P20" i="24"/>
  <c r="P20" i="25"/>
  <c r="P20" i="22"/>
  <c r="C39" i="48"/>
  <c r="Q18" i="74"/>
  <c r="Q18" i="73"/>
  <c r="Q18" i="72"/>
  <c r="Q18" i="71"/>
  <c r="Q18" i="53"/>
  <c r="Q18" i="70"/>
  <c r="Q18" i="51"/>
  <c r="Q18" i="52"/>
  <c r="Q18" i="50"/>
  <c r="Q18" i="69"/>
  <c r="Q18" i="54"/>
  <c r="Q18" i="49"/>
  <c r="Q18" i="41"/>
  <c r="Q18" i="43"/>
  <c r="Q18" i="42"/>
  <c r="Q18" i="44"/>
  <c r="Q18" i="37"/>
  <c r="Q18" i="34"/>
  <c r="Q18" i="33"/>
  <c r="Q18" i="39"/>
  <c r="Q18" i="40"/>
  <c r="Q18" i="32"/>
  <c r="Q18" i="38"/>
  <c r="Q18" i="35"/>
  <c r="Q18" i="21"/>
  <c r="Q18" i="27"/>
  <c r="Q18" i="20"/>
  <c r="Q18" i="19"/>
  <c r="Q18" i="31"/>
  <c r="Q18" i="29"/>
  <c r="Q18" i="18"/>
  <c r="Q18" i="2"/>
  <c r="Q18" i="17"/>
  <c r="Q18" i="77"/>
  <c r="Q18" i="30"/>
  <c r="Q18" i="76"/>
  <c r="Q18" i="26"/>
  <c r="Q18" i="25"/>
  <c r="Q18" i="24"/>
  <c r="Q18" i="22"/>
  <c r="Q18" i="23"/>
  <c r="D38" i="48"/>
  <c r="R17" i="74"/>
  <c r="R17" i="73"/>
  <c r="R17" i="72"/>
  <c r="R17" i="71"/>
  <c r="R17" i="69"/>
  <c r="R17" i="70"/>
  <c r="R17" i="53"/>
  <c r="R17" i="51"/>
  <c r="R17" i="52"/>
  <c r="R17" i="54"/>
  <c r="R17" i="50"/>
  <c r="R17" i="49"/>
  <c r="R17" i="41"/>
  <c r="R17" i="42"/>
  <c r="R17" i="43"/>
  <c r="R17" i="44"/>
  <c r="R17" i="37"/>
  <c r="R17" i="38"/>
  <c r="R17" i="39"/>
  <c r="R17" i="34"/>
  <c r="R17" i="32"/>
  <c r="R17" i="40"/>
  <c r="R17" i="33"/>
  <c r="R17" i="35"/>
  <c r="R17" i="21"/>
  <c r="R17" i="27"/>
  <c r="R17" i="20"/>
  <c r="R17" i="19"/>
  <c r="R17" i="2"/>
  <c r="R17" i="18"/>
  <c r="R17" i="31"/>
  <c r="R17" i="30"/>
  <c r="R17" i="76"/>
  <c r="R17" i="77"/>
  <c r="R17" i="29"/>
  <c r="R17" i="17"/>
  <c r="R17" i="26"/>
  <c r="R17" i="23"/>
  <c r="R17" i="25"/>
  <c r="R17" i="24"/>
  <c r="R17" i="22"/>
  <c r="B35" i="48"/>
  <c r="P14" i="74"/>
  <c r="P14" i="73"/>
  <c r="P14" i="72"/>
  <c r="P14" i="71"/>
  <c r="P14" i="69"/>
  <c r="P14" i="54"/>
  <c r="P14" i="70"/>
  <c r="P14" i="49"/>
  <c r="P14" i="51"/>
  <c r="P14" i="53"/>
  <c r="P14" i="52"/>
  <c r="P14" i="50"/>
  <c r="P14" i="44"/>
  <c r="P14" i="40"/>
  <c r="P14" i="32"/>
  <c r="P14" i="35"/>
  <c r="P14" i="34"/>
  <c r="P14" i="38"/>
  <c r="P14" i="33"/>
  <c r="P14" i="39"/>
  <c r="P14" i="37"/>
  <c r="P14" i="31"/>
  <c r="P14" i="77"/>
  <c r="P14" i="30"/>
  <c r="P14" i="29"/>
  <c r="P14" i="27"/>
  <c r="P14" i="76"/>
  <c r="P14" i="20"/>
  <c r="P14" i="21"/>
  <c r="P14" i="19"/>
  <c r="P14" i="17"/>
  <c r="P14" i="2"/>
  <c r="P14" i="18"/>
  <c r="P14" i="25"/>
  <c r="P14" i="26"/>
  <c r="P14" i="24"/>
  <c r="P14" i="22"/>
  <c r="P14" i="23"/>
  <c r="D46" i="48"/>
  <c r="R25" i="73"/>
  <c r="R25" i="74"/>
  <c r="R25" i="72"/>
  <c r="R25" i="71"/>
  <c r="R25" i="53"/>
  <c r="R25" i="70"/>
  <c r="R25" i="51"/>
  <c r="R25" i="52"/>
  <c r="R25" i="50"/>
  <c r="R25" i="69"/>
  <c r="R25" i="49"/>
  <c r="R25" i="41"/>
  <c r="R25" i="42"/>
  <c r="R25" i="44"/>
  <c r="R25" i="43"/>
  <c r="R25" i="39"/>
  <c r="R25" i="34"/>
  <c r="R25" i="32"/>
  <c r="R25" i="38"/>
  <c r="R25" i="40"/>
  <c r="R25" i="37"/>
  <c r="R25" i="33"/>
  <c r="R25" i="35"/>
  <c r="R25" i="30"/>
  <c r="R25" i="21"/>
  <c r="R25" i="27"/>
  <c r="R25" i="18"/>
  <c r="R25" i="17"/>
  <c r="R25" i="77"/>
  <c r="R25" i="29"/>
  <c r="R25" i="20"/>
  <c r="R25" i="19"/>
  <c r="R25" i="31"/>
  <c r="R25" i="76"/>
  <c r="R25" i="2"/>
  <c r="R25" i="26"/>
  <c r="R25" i="23"/>
  <c r="R25" i="25"/>
  <c r="R25" i="24"/>
  <c r="R25" i="22"/>
  <c r="R15" i="74"/>
  <c r="R15" i="73"/>
  <c r="R15" i="72"/>
  <c r="R15" i="71"/>
  <c r="R15" i="69"/>
  <c r="R15" i="70"/>
  <c r="R15" i="53"/>
  <c r="R15" i="52"/>
  <c r="R15" i="54"/>
  <c r="R15" i="49"/>
  <c r="R15" i="51"/>
  <c r="R15" i="50"/>
  <c r="R15" i="43"/>
  <c r="R15" i="42"/>
  <c r="R15" i="44"/>
  <c r="R15" i="41"/>
  <c r="R15" i="34"/>
  <c r="R15" i="32"/>
  <c r="R15" i="38"/>
  <c r="R15" i="40"/>
  <c r="R15" i="35"/>
  <c r="R15" i="33"/>
  <c r="R15" i="39"/>
  <c r="R15" i="37"/>
  <c r="R15" i="76"/>
  <c r="R15" i="20"/>
  <c r="R15" i="31"/>
  <c r="R15" i="77"/>
  <c r="R15" i="29"/>
  <c r="R15" i="30"/>
  <c r="R15" i="21"/>
  <c r="R15" i="19"/>
  <c r="R15" i="18"/>
  <c r="R15" i="2"/>
  <c r="R15" i="27"/>
  <c r="R15" i="17"/>
  <c r="R15" i="26"/>
  <c r="R15" i="24"/>
  <c r="R15" i="22"/>
  <c r="R15" i="23"/>
  <c r="R15" i="25"/>
  <c r="Q50" i="73"/>
  <c r="Q50" i="72"/>
  <c r="Q50" i="71"/>
  <c r="Q50" i="74"/>
  <c r="Q50" i="70"/>
  <c r="Q50" i="69"/>
  <c r="Q50" i="50"/>
  <c r="Q50" i="53"/>
  <c r="Q46" i="51"/>
  <c r="Q50" i="49"/>
  <c r="Q50" i="52"/>
  <c r="Q52" i="54"/>
  <c r="Q50" i="43"/>
  <c r="Q50" i="44"/>
  <c r="Q50" i="42"/>
  <c r="Q50" i="41"/>
  <c r="Q50" i="31"/>
  <c r="Q50" i="77"/>
  <c r="Q50" i="30"/>
  <c r="Q50" i="21"/>
  <c r="Q50" i="17"/>
  <c r="Q50" i="76"/>
  <c r="Q50" i="20"/>
  <c r="Q50" i="18"/>
  <c r="Q50" i="27"/>
  <c r="Q50" i="19"/>
  <c r="Q50" i="2"/>
  <c r="Q50" i="29"/>
  <c r="Q50" i="23"/>
  <c r="Q50" i="24"/>
  <c r="Q50" i="22"/>
  <c r="Q50" i="26"/>
  <c r="Q50" i="25"/>
  <c r="C270" i="48"/>
  <c r="Q48" i="73"/>
  <c r="Q48" i="74"/>
  <c r="Q48" i="71"/>
  <c r="Q48" i="72"/>
  <c r="Q48" i="69"/>
  <c r="Q48" i="70"/>
  <c r="Q48" i="52"/>
  <c r="Q48" i="53"/>
  <c r="Q50" i="54"/>
  <c r="Q48" i="49"/>
  <c r="Q48" i="50"/>
  <c r="Q44" i="51"/>
  <c r="Q48" i="43"/>
  <c r="Q48" i="44"/>
  <c r="Q48" i="41"/>
  <c r="Q48" i="42"/>
  <c r="Q48" i="29"/>
  <c r="Q48" i="76"/>
  <c r="Q48" i="31"/>
  <c r="Q48" i="30"/>
  <c r="Q48" i="77"/>
  <c r="Q48" i="17"/>
  <c r="Q48" i="2"/>
  <c r="Q48" i="20"/>
  <c r="Q48" i="19"/>
  <c r="Q48" i="27"/>
  <c r="Q48" i="21"/>
  <c r="Q48" i="18"/>
  <c r="Q48" i="23"/>
  <c r="Q48" i="26"/>
  <c r="Q48" i="22"/>
  <c r="Q48" i="25"/>
  <c r="Q48" i="24"/>
  <c r="R85" i="73"/>
  <c r="R85" i="74"/>
  <c r="R85" i="72"/>
  <c r="R85" i="71"/>
  <c r="R85" i="70"/>
  <c r="R85" i="69"/>
  <c r="B39" i="48"/>
  <c r="P18" i="74"/>
  <c r="P18" i="73"/>
  <c r="P18" i="72"/>
  <c r="P18" i="71"/>
  <c r="P18" i="69"/>
  <c r="P18" i="70"/>
  <c r="P18" i="54"/>
  <c r="P18" i="53"/>
  <c r="P18" i="51"/>
  <c r="P18" i="52"/>
  <c r="P18" i="50"/>
  <c r="P18" i="49"/>
  <c r="P18" i="42"/>
  <c r="P18" i="41"/>
  <c r="P18" i="43"/>
  <c r="P18" i="44"/>
  <c r="P18" i="35"/>
  <c r="P18" i="40"/>
  <c r="P18" i="37"/>
  <c r="P18" i="34"/>
  <c r="P18" i="39"/>
  <c r="P18" i="32"/>
  <c r="P18" i="38"/>
  <c r="P18" i="33"/>
  <c r="P18" i="31"/>
  <c r="P18" i="77"/>
  <c r="P18" i="21"/>
  <c r="P18" i="30"/>
  <c r="P18" i="27"/>
  <c r="P18" i="76"/>
  <c r="P18" i="20"/>
  <c r="P18" i="29"/>
  <c r="P18" i="19"/>
  <c r="P18" i="18"/>
  <c r="P18" i="2"/>
  <c r="P18" i="17"/>
  <c r="P18" i="26"/>
  <c r="P18" i="25"/>
  <c r="P18" i="24"/>
  <c r="P18" i="23"/>
  <c r="P18" i="22"/>
  <c r="B34" i="48"/>
  <c r="P13" i="74"/>
  <c r="P13" i="72"/>
  <c r="P13" i="71"/>
  <c r="P13" i="73"/>
  <c r="P13" i="69"/>
  <c r="P13" i="70"/>
  <c r="P13" i="53"/>
  <c r="P13" i="52"/>
  <c r="P13" i="54"/>
  <c r="P13" i="49"/>
  <c r="P13" i="50"/>
  <c r="P13" i="51"/>
  <c r="P13" i="44"/>
  <c r="P13" i="38"/>
  <c r="P13" i="34"/>
  <c r="P13" i="32"/>
  <c r="P13" i="35"/>
  <c r="P13" i="40"/>
  <c r="P13" i="39"/>
  <c r="P13" i="37"/>
  <c r="P13" i="33"/>
  <c r="P13" i="76"/>
  <c r="P13" i="21"/>
  <c r="P13" i="31"/>
  <c r="P13" i="77"/>
  <c r="P13" i="20"/>
  <c r="P13" i="29"/>
  <c r="P13" i="27"/>
  <c r="P13" i="18"/>
  <c r="P13" i="2"/>
  <c r="P13" i="30"/>
  <c r="P13" i="19"/>
  <c r="P13" i="17"/>
  <c r="P13" i="26"/>
  <c r="P13" i="24"/>
  <c r="P13" i="22"/>
  <c r="P13" i="23"/>
  <c r="P13" i="25"/>
  <c r="C46" i="48"/>
  <c r="Q25" i="74"/>
  <c r="Q25" i="73"/>
  <c r="Q25" i="72"/>
  <c r="Q25" i="71"/>
  <c r="Q25" i="69"/>
  <c r="Q25" i="70"/>
  <c r="Q25" i="53"/>
  <c r="Q25" i="52"/>
  <c r="Q25" i="51"/>
  <c r="Q25" i="50"/>
  <c r="Q25" i="49"/>
  <c r="Q25" i="43"/>
  <c r="Q25" i="42"/>
  <c r="Q25" i="41"/>
  <c r="Q25" i="44"/>
  <c r="Q25" i="37"/>
  <c r="Q25" i="33"/>
  <c r="Q25" i="35"/>
  <c r="Q25" i="32"/>
  <c r="Q25" i="40"/>
  <c r="Q25" i="39"/>
  <c r="Q25" i="34"/>
  <c r="Q25" i="38"/>
  <c r="Q25" i="31"/>
  <c r="Q25" i="77"/>
  <c r="Q25" i="30"/>
  <c r="Q25" i="21"/>
  <c r="Q25" i="2"/>
  <c r="Q25" i="29"/>
  <c r="Q25" i="20"/>
  <c r="Q25" i="19"/>
  <c r="Q25" i="27"/>
  <c r="Q25" i="76"/>
  <c r="Q25" i="18"/>
  <c r="Q25" i="17"/>
  <c r="Q25" i="22"/>
  <c r="Q25" i="24"/>
  <c r="Q25" i="25"/>
  <c r="Q25" i="23"/>
  <c r="Q25" i="26"/>
  <c r="R61" i="43"/>
  <c r="R61" i="41"/>
  <c r="R61" i="42"/>
  <c r="B47" i="48"/>
  <c r="P26" i="74"/>
  <c r="P26" i="73"/>
  <c r="P26" i="71"/>
  <c r="P26" i="72"/>
  <c r="P26" i="69"/>
  <c r="P26" i="70"/>
  <c r="P26" i="53"/>
  <c r="P26" i="51"/>
  <c r="P26" i="52"/>
  <c r="P26" i="50"/>
  <c r="P26" i="49"/>
  <c r="P26" i="43"/>
  <c r="P26" i="42"/>
  <c r="P26" i="41"/>
  <c r="P26" i="44"/>
  <c r="P26" i="31"/>
  <c r="P26" i="30"/>
  <c r="P26" i="77"/>
  <c r="P26" i="21"/>
  <c r="P26" i="27"/>
  <c r="P26" i="76"/>
  <c r="P26" i="2"/>
  <c r="P26" i="29"/>
  <c r="P26" i="20"/>
  <c r="P26" i="19"/>
  <c r="P26" i="18"/>
  <c r="P26" i="17"/>
  <c r="P26" i="23"/>
  <c r="P26" i="26"/>
  <c r="P26" i="25"/>
  <c r="P26" i="24"/>
  <c r="P26" i="22"/>
  <c r="B20" i="16"/>
  <c r="P44" i="74"/>
  <c r="P44" i="73"/>
  <c r="P44" i="72"/>
  <c r="P44" i="71"/>
  <c r="P44" i="69"/>
  <c r="P44" i="53"/>
  <c r="P44" i="70"/>
  <c r="P46" i="54"/>
  <c r="P40" i="51"/>
  <c r="P44" i="52"/>
  <c r="P44" i="50"/>
  <c r="P44" i="49"/>
  <c r="P44" i="42"/>
  <c r="P44" i="41"/>
  <c r="P44" i="43"/>
  <c r="P44" i="44"/>
  <c r="P44" i="30"/>
  <c r="P44" i="21"/>
  <c r="P44" i="20"/>
  <c r="P44" i="27"/>
  <c r="P44" i="76"/>
  <c r="P44" i="19"/>
  <c r="P44" i="31"/>
  <c r="P44" i="2"/>
  <c r="P44" i="77"/>
  <c r="P44" i="29"/>
  <c r="P44" i="18"/>
  <c r="P44" i="17"/>
  <c r="P44" i="26"/>
  <c r="P44" i="23"/>
  <c r="P44" i="24"/>
  <c r="P44" i="25"/>
  <c r="P44" i="22"/>
  <c r="P47" i="74"/>
  <c r="P47" i="73"/>
  <c r="P47" i="72"/>
  <c r="P47" i="71"/>
  <c r="P47" i="70"/>
  <c r="P47" i="69"/>
  <c r="P49" i="54"/>
  <c r="P43" i="51"/>
  <c r="P47" i="52"/>
  <c r="P47" i="50"/>
  <c r="P47" i="49"/>
  <c r="P47" i="53"/>
  <c r="P47" i="42"/>
  <c r="P47" i="41"/>
  <c r="P47" i="44"/>
  <c r="P47" i="43"/>
  <c r="P47" i="27"/>
  <c r="P47" i="29"/>
  <c r="P47" i="76"/>
  <c r="P47" i="19"/>
  <c r="P47" i="77"/>
  <c r="P47" i="20"/>
  <c r="P47" i="18"/>
  <c r="P47" i="30"/>
  <c r="P47" i="17"/>
  <c r="P47" i="21"/>
  <c r="P47" i="31"/>
  <c r="P47" i="2"/>
  <c r="P47" i="26"/>
  <c r="P47" i="23"/>
  <c r="P47" i="25"/>
  <c r="P47" i="24"/>
  <c r="P47" i="22"/>
  <c r="R49" i="74"/>
  <c r="R49" i="73"/>
  <c r="R49" i="72"/>
  <c r="R49" i="71"/>
  <c r="R49" i="70"/>
  <c r="R49" i="69"/>
  <c r="R49" i="53"/>
  <c r="R45" i="51"/>
  <c r="R51" i="54"/>
  <c r="R49" i="52"/>
  <c r="R49" i="50"/>
  <c r="R49" i="49"/>
  <c r="R49" i="43"/>
  <c r="R49" i="41"/>
  <c r="R49" i="42"/>
  <c r="R49" i="44"/>
  <c r="R49" i="30"/>
  <c r="R49" i="77"/>
  <c r="R49" i="27"/>
  <c r="R49" i="21"/>
  <c r="R49" i="20"/>
  <c r="R49" i="18"/>
  <c r="R49" i="29"/>
  <c r="R49" i="19"/>
  <c r="R49" i="2"/>
  <c r="R49" i="31"/>
  <c r="R49" i="76"/>
  <c r="R49" i="17"/>
  <c r="R49" i="23"/>
  <c r="R49" i="26"/>
  <c r="R49" i="25"/>
  <c r="R49" i="24"/>
  <c r="R49" i="22"/>
  <c r="R47" i="74"/>
  <c r="R47" i="73"/>
  <c r="R47" i="72"/>
  <c r="R47" i="71"/>
  <c r="R47" i="69"/>
  <c r="R47" i="53"/>
  <c r="R47" i="50"/>
  <c r="R49" i="54"/>
  <c r="R43" i="51"/>
  <c r="R47" i="52"/>
  <c r="R47" i="49"/>
  <c r="R47" i="70"/>
  <c r="R47" i="43"/>
  <c r="R47" i="44"/>
  <c r="R47" i="41"/>
  <c r="R47" i="42"/>
  <c r="R47" i="31"/>
  <c r="R47" i="30"/>
  <c r="R47" i="77"/>
  <c r="R47" i="21"/>
  <c r="R47" i="20"/>
  <c r="R47" i="27"/>
  <c r="R47" i="29"/>
  <c r="R47" i="2"/>
  <c r="R47" i="18"/>
  <c r="R47" i="76"/>
  <c r="R47" i="19"/>
  <c r="R47" i="17"/>
  <c r="R47" i="23"/>
  <c r="R47" i="26"/>
  <c r="R47" i="25"/>
  <c r="R47" i="24"/>
  <c r="R47" i="22"/>
  <c r="P15" i="74"/>
  <c r="P15" i="72"/>
  <c r="P15" i="73"/>
  <c r="P15" i="71"/>
  <c r="P15" i="69"/>
  <c r="P15" i="70"/>
  <c r="P15" i="51"/>
  <c r="P15" i="53"/>
  <c r="P15" i="52"/>
  <c r="P15" i="54"/>
  <c r="P15" i="50"/>
  <c r="P15" i="49"/>
  <c r="P15" i="41"/>
  <c r="P15" i="42"/>
  <c r="P15" i="43"/>
  <c r="P15" i="44"/>
  <c r="P15" i="33"/>
  <c r="P15" i="38"/>
  <c r="P15" i="39"/>
  <c r="P15" i="37"/>
  <c r="P15" i="34"/>
  <c r="P15" i="32"/>
  <c r="P15" i="40"/>
  <c r="P15" i="35"/>
  <c r="P15" i="30"/>
  <c r="P15" i="27"/>
  <c r="P15" i="21"/>
  <c r="P15" i="76"/>
  <c r="P15" i="17"/>
  <c r="P15" i="2"/>
  <c r="P15" i="18"/>
  <c r="P15" i="31"/>
  <c r="P15" i="19"/>
  <c r="P15" i="77"/>
  <c r="P15" i="20"/>
  <c r="P15" i="29"/>
  <c r="P15" i="26"/>
  <c r="P15" i="23"/>
  <c r="P15" i="25"/>
  <c r="P15" i="22"/>
  <c r="P15" i="24"/>
  <c r="R86" i="73"/>
  <c r="R86" i="74"/>
  <c r="R86" i="72"/>
  <c r="R86" i="71"/>
  <c r="R86" i="69"/>
  <c r="R86" i="70"/>
  <c r="Q85" i="74"/>
  <c r="Q85" i="73"/>
  <c r="Q85" i="72"/>
  <c r="Q85" i="71"/>
  <c r="Q85" i="70"/>
  <c r="Q85" i="69"/>
  <c r="R23" i="74"/>
  <c r="R23" i="73"/>
  <c r="R23" i="72"/>
  <c r="R23" i="71"/>
  <c r="R23" i="70"/>
  <c r="R23" i="69"/>
  <c r="R23" i="52"/>
  <c r="R23" i="54"/>
  <c r="R23" i="53"/>
  <c r="R23" i="49"/>
  <c r="R23" i="51"/>
  <c r="R23" i="50"/>
  <c r="R23" i="42"/>
  <c r="R23" i="44"/>
  <c r="R23" i="41"/>
  <c r="R23" i="43"/>
  <c r="R23" i="34"/>
  <c r="R23" i="32"/>
  <c r="R23" i="38"/>
  <c r="R23" i="40"/>
  <c r="R23" i="35"/>
  <c r="R23" i="37"/>
  <c r="R23" i="33"/>
  <c r="R23" i="39"/>
  <c r="R23" i="76"/>
  <c r="R23" i="31"/>
  <c r="R23" i="77"/>
  <c r="R23" i="29"/>
  <c r="R23" i="20"/>
  <c r="R23" i="19"/>
  <c r="R23" i="17"/>
  <c r="R23" i="27"/>
  <c r="R23" i="18"/>
  <c r="R23" i="2"/>
  <c r="R23" i="30"/>
  <c r="R23" i="21"/>
  <c r="R23" i="23"/>
  <c r="R23" i="26"/>
  <c r="R23" i="24"/>
  <c r="R23" i="22"/>
  <c r="R23" i="25"/>
  <c r="D43" i="48"/>
  <c r="R22" i="74"/>
  <c r="R22" i="72"/>
  <c r="R22" i="73"/>
  <c r="R22" i="71"/>
  <c r="R22" i="69"/>
  <c r="R22" i="70"/>
  <c r="R22" i="52"/>
  <c r="R22" i="54"/>
  <c r="R22" i="53"/>
  <c r="R22" i="49"/>
  <c r="R22" i="50"/>
  <c r="R22" i="51"/>
  <c r="R22" i="43"/>
  <c r="R22" i="44"/>
  <c r="R22" i="42"/>
  <c r="R22" i="41"/>
  <c r="R22" i="39"/>
  <c r="R22" i="32"/>
  <c r="R22" i="33"/>
  <c r="R22" i="34"/>
  <c r="R22" i="40"/>
  <c r="R22" i="35"/>
  <c r="R22" i="38"/>
  <c r="R22" i="37"/>
  <c r="R22" i="27"/>
  <c r="R22" i="76"/>
  <c r="R22" i="21"/>
  <c r="R22" i="77"/>
  <c r="R22" i="31"/>
  <c r="R22" i="30"/>
  <c r="R22" i="17"/>
  <c r="R22" i="19"/>
  <c r="R22" i="18"/>
  <c r="R22" i="2"/>
  <c r="R22" i="29"/>
  <c r="R22" i="20"/>
  <c r="R22" i="26"/>
  <c r="R22" i="24"/>
  <c r="R22" i="22"/>
  <c r="R22" i="23"/>
  <c r="R22" i="25"/>
  <c r="D42" i="48"/>
  <c r="R21" i="74"/>
  <c r="R21" i="73"/>
  <c r="R21" i="72"/>
  <c r="R21" i="71"/>
  <c r="R21" i="69"/>
  <c r="R21" i="70"/>
  <c r="R21" i="53"/>
  <c r="R21" i="51"/>
  <c r="R21" i="52"/>
  <c r="R21" i="54"/>
  <c r="R21" i="50"/>
  <c r="R21" i="49"/>
  <c r="R21" i="41"/>
  <c r="R21" i="43"/>
  <c r="R21" i="42"/>
  <c r="R21" i="44"/>
  <c r="R21" i="38"/>
  <c r="R21" i="37"/>
  <c r="R21" i="40"/>
  <c r="R21" i="39"/>
  <c r="R21" i="33"/>
  <c r="R21" i="34"/>
  <c r="R21" i="32"/>
  <c r="R21" i="35"/>
  <c r="R21" i="29"/>
  <c r="R21" i="20"/>
  <c r="R21" i="30"/>
  <c r="R21" i="27"/>
  <c r="R21" i="21"/>
  <c r="R21" i="31"/>
  <c r="R21" i="76"/>
  <c r="R21" i="19"/>
  <c r="R21" i="17"/>
  <c r="R21" i="77"/>
  <c r="R21" i="18"/>
  <c r="R21" i="2"/>
  <c r="R21" i="26"/>
  <c r="R21" i="23"/>
  <c r="R21" i="25"/>
  <c r="R21" i="22"/>
  <c r="R21" i="24"/>
  <c r="D41" i="48"/>
  <c r="R20" i="74"/>
  <c r="R20" i="73"/>
  <c r="R20" i="72"/>
  <c r="R20" i="71"/>
  <c r="R20" i="69"/>
  <c r="R20" i="70"/>
  <c r="R20" i="54"/>
  <c r="R20" i="53"/>
  <c r="R20" i="49"/>
  <c r="R20" i="52"/>
  <c r="R20" i="50"/>
  <c r="R20" i="51"/>
  <c r="R20" i="42"/>
  <c r="R20" i="41"/>
  <c r="R20" i="43"/>
  <c r="R20" i="44"/>
  <c r="R20" i="34"/>
  <c r="R20" i="35"/>
  <c r="R20" i="33"/>
  <c r="R20" i="37"/>
  <c r="R20" i="40"/>
  <c r="R20" i="32"/>
  <c r="R20" i="39"/>
  <c r="R20" i="38"/>
  <c r="R20" i="31"/>
  <c r="R20" i="77"/>
  <c r="R20" i="21"/>
  <c r="R20" i="20"/>
  <c r="R20" i="19"/>
  <c r="R20" i="30"/>
  <c r="R20" i="18"/>
  <c r="R20" i="2"/>
  <c r="R20" i="29"/>
  <c r="R20" i="76"/>
  <c r="R20" i="27"/>
  <c r="R20" i="17"/>
  <c r="R20" i="24"/>
  <c r="R20" i="26"/>
  <c r="R20" i="23"/>
  <c r="R20" i="25"/>
  <c r="R20" i="22"/>
  <c r="D40" i="48"/>
  <c r="R19" i="74"/>
  <c r="R19" i="73"/>
  <c r="R19" i="72"/>
  <c r="R19" i="71"/>
  <c r="R19" i="69"/>
  <c r="R19" i="70"/>
  <c r="R19" i="52"/>
  <c r="R19" i="54"/>
  <c r="R19" i="53"/>
  <c r="R19" i="49"/>
  <c r="R19" i="51"/>
  <c r="R19" i="50"/>
  <c r="R19" i="42"/>
  <c r="R19" i="44"/>
  <c r="R19" i="41"/>
  <c r="R19" i="43"/>
  <c r="R19" i="33"/>
  <c r="R19" i="35"/>
  <c r="R19" i="37"/>
  <c r="R19" i="34"/>
  <c r="R19" i="32"/>
  <c r="R19" i="39"/>
  <c r="R19" i="38"/>
  <c r="R19" i="40"/>
  <c r="R19" i="30"/>
  <c r="R19" i="76"/>
  <c r="R19" i="31"/>
  <c r="R19" i="77"/>
  <c r="R19" i="21"/>
  <c r="R19" i="29"/>
  <c r="R19" i="17"/>
  <c r="R19" i="2"/>
  <c r="R19" i="27"/>
  <c r="R19" i="20"/>
  <c r="R19" i="18"/>
  <c r="R19" i="19"/>
  <c r="R19" i="23"/>
  <c r="R19" i="26"/>
  <c r="R19" i="25"/>
  <c r="R19" i="22"/>
  <c r="R19" i="24"/>
  <c r="B38" i="48"/>
  <c r="P17" i="74"/>
  <c r="P17" i="73"/>
  <c r="P17" i="72"/>
  <c r="P17" i="71"/>
  <c r="P17" i="69"/>
  <c r="P17" i="70"/>
  <c r="P17" i="52"/>
  <c r="P17" i="54"/>
  <c r="P17" i="49"/>
  <c r="P17" i="51"/>
  <c r="P17" i="50"/>
  <c r="P17" i="53"/>
  <c r="P17" i="43"/>
  <c r="P17" i="42"/>
  <c r="P17" i="44"/>
  <c r="P17" i="41"/>
  <c r="P17" i="38"/>
  <c r="P17" i="40"/>
  <c r="P17" i="33"/>
  <c r="P17" i="35"/>
  <c r="P17" i="37"/>
  <c r="P17" i="39"/>
  <c r="P17" i="34"/>
  <c r="P17" i="32"/>
  <c r="P17" i="29"/>
  <c r="P17" i="76"/>
  <c r="P17" i="31"/>
  <c r="P17" i="30"/>
  <c r="P17" i="77"/>
  <c r="P17" i="27"/>
  <c r="P17" i="20"/>
  <c r="P17" i="19"/>
  <c r="P17" i="17"/>
  <c r="P17" i="21"/>
  <c r="P17" i="2"/>
  <c r="P17" i="18"/>
  <c r="P17" i="26"/>
  <c r="P17" i="23"/>
  <c r="P17" i="25"/>
  <c r="P17" i="24"/>
  <c r="P17" i="22"/>
  <c r="D35" i="48"/>
  <c r="R14" i="74"/>
  <c r="R14" i="73"/>
  <c r="R14" i="72"/>
  <c r="R14" i="71"/>
  <c r="R14" i="69"/>
  <c r="R14" i="70"/>
  <c r="R14" i="53"/>
  <c r="R14" i="52"/>
  <c r="R14" i="54"/>
  <c r="R14" i="50"/>
  <c r="R14" i="51"/>
  <c r="R14" i="49"/>
  <c r="R14" i="44"/>
  <c r="R14" i="39"/>
  <c r="R14" i="37"/>
  <c r="R14" i="40"/>
  <c r="R14" i="35"/>
  <c r="R14" i="34"/>
  <c r="R14" i="32"/>
  <c r="R14" i="38"/>
  <c r="R14" i="33"/>
  <c r="R14" i="27"/>
  <c r="R14" i="76"/>
  <c r="R14" i="21"/>
  <c r="R14" i="20"/>
  <c r="R14" i="19"/>
  <c r="R14" i="77"/>
  <c r="R14" i="29"/>
  <c r="R14" i="18"/>
  <c r="R14" i="31"/>
  <c r="R14" i="30"/>
  <c r="R14" i="17"/>
  <c r="R14" i="2"/>
  <c r="R14" i="26"/>
  <c r="R14" i="23"/>
  <c r="R14" i="25"/>
  <c r="R14" i="24"/>
  <c r="R14" i="22"/>
  <c r="B46" i="48"/>
  <c r="P25" i="74"/>
  <c r="P25" i="72"/>
  <c r="P25" i="71"/>
  <c r="P25" i="73"/>
  <c r="P25" i="69"/>
  <c r="P25" i="70"/>
  <c r="P25" i="52"/>
  <c r="P25" i="53"/>
  <c r="P25" i="51"/>
  <c r="P25" i="49"/>
  <c r="P25" i="50"/>
  <c r="P25" i="43"/>
  <c r="P25" i="42"/>
  <c r="P25" i="44"/>
  <c r="P25" i="41"/>
  <c r="P25" i="38"/>
  <c r="P25" i="40"/>
  <c r="P25" i="39"/>
  <c r="P25" i="34"/>
  <c r="P25" i="37"/>
  <c r="P25" i="33"/>
  <c r="P25" i="35"/>
  <c r="P25" i="32"/>
  <c r="P25" i="29"/>
  <c r="P25" i="76"/>
  <c r="P25" i="20"/>
  <c r="P25" i="31"/>
  <c r="P25" i="77"/>
  <c r="P25" i="30"/>
  <c r="P25" i="27"/>
  <c r="P25" i="21"/>
  <c r="P25" i="18"/>
  <c r="P25" i="17"/>
  <c r="P25" i="19"/>
  <c r="P25" i="2"/>
  <c r="P25" i="23"/>
  <c r="P25" i="26"/>
  <c r="P25" i="25"/>
  <c r="P25" i="24"/>
  <c r="P25" i="22"/>
  <c r="C126" i="48"/>
  <c r="Q61" i="43"/>
  <c r="Q61" i="42"/>
  <c r="Q61" i="41"/>
  <c r="R26" i="73"/>
  <c r="R26" i="74"/>
  <c r="R26" i="72"/>
  <c r="R26" i="71"/>
  <c r="R26" i="69"/>
  <c r="R26" i="70"/>
  <c r="R26" i="51"/>
  <c r="R26" i="52"/>
  <c r="R26" i="53"/>
  <c r="R26" i="49"/>
  <c r="R26" i="50"/>
  <c r="R26" i="43"/>
  <c r="R26" i="42"/>
  <c r="R26" i="44"/>
  <c r="R26" i="41"/>
  <c r="R26" i="27"/>
  <c r="R26" i="20"/>
  <c r="R26" i="29"/>
  <c r="R26" i="76"/>
  <c r="R26" i="19"/>
  <c r="R26" i="30"/>
  <c r="R26" i="77"/>
  <c r="R26" i="18"/>
  <c r="R26" i="21"/>
  <c r="R26" i="17"/>
  <c r="R26" i="2"/>
  <c r="R26" i="31"/>
  <c r="R26" i="26"/>
  <c r="R26" i="22"/>
  <c r="R26" i="23"/>
  <c r="R26" i="25"/>
  <c r="R26" i="24"/>
  <c r="B266" i="48"/>
  <c r="P43" i="74"/>
  <c r="P43" i="73"/>
  <c r="P43" i="72"/>
  <c r="P43" i="71"/>
  <c r="P43" i="69"/>
  <c r="P43" i="53"/>
  <c r="P43" i="50"/>
  <c r="P43" i="70"/>
  <c r="P45" i="54"/>
  <c r="P39" i="51"/>
  <c r="P43" i="49"/>
  <c r="P43" i="52"/>
  <c r="P43" i="42"/>
  <c r="P43" i="44"/>
  <c r="P43" i="43"/>
  <c r="P43" i="41"/>
  <c r="P43" i="31"/>
  <c r="P43" i="77"/>
  <c r="P43" i="29"/>
  <c r="P43" i="30"/>
  <c r="P43" i="20"/>
  <c r="P43" i="27"/>
  <c r="P43" i="76"/>
  <c r="P43" i="19"/>
  <c r="P43" i="21"/>
  <c r="P43" i="2"/>
  <c r="P43" i="18"/>
  <c r="P43" i="17"/>
  <c r="P43" i="23"/>
  <c r="P43" i="25"/>
  <c r="P43" i="26"/>
  <c r="P43" i="24"/>
  <c r="P43" i="22"/>
  <c r="B24" i="16"/>
  <c r="P49" i="74"/>
  <c r="P49" i="73"/>
  <c r="P49" i="72"/>
  <c r="P49" i="71"/>
  <c r="P49" i="69"/>
  <c r="P49" i="70"/>
  <c r="P51" i="54"/>
  <c r="P49" i="52"/>
  <c r="P49" i="53"/>
  <c r="P45" i="51"/>
  <c r="P49" i="49"/>
  <c r="P49" i="50"/>
  <c r="P49" i="42"/>
  <c r="P49" i="41"/>
  <c r="P49" i="44"/>
  <c r="P49" i="43"/>
  <c r="P49" i="76"/>
  <c r="P49" i="31"/>
  <c r="P49" i="29"/>
  <c r="P49" i="19"/>
  <c r="P49" i="77"/>
  <c r="P49" i="20"/>
  <c r="P49" i="27"/>
  <c r="P49" i="18"/>
  <c r="P49" i="17"/>
  <c r="P49" i="21"/>
  <c r="P49" i="30"/>
  <c r="P49" i="2"/>
  <c r="P49" i="26"/>
  <c r="P49" i="25"/>
  <c r="P49" i="24"/>
  <c r="P49" i="23"/>
  <c r="P49" i="22"/>
  <c r="C271" i="48"/>
  <c r="Q49" i="74"/>
  <c r="Q49" i="73"/>
  <c r="Q49" i="72"/>
  <c r="Q49" i="71"/>
  <c r="Q49" i="70"/>
  <c r="Q49" i="69"/>
  <c r="Q49" i="50"/>
  <c r="Q49" i="53"/>
  <c r="Q45" i="51"/>
  <c r="Q49" i="49"/>
  <c r="Q49" i="52"/>
  <c r="Q51" i="54"/>
  <c r="Q49" i="44"/>
  <c r="Q49" i="43"/>
  <c r="Q49" i="42"/>
  <c r="Q49" i="41"/>
  <c r="Q49" i="31"/>
  <c r="Q49" i="29"/>
  <c r="Q49" i="30"/>
  <c r="Q49" i="77"/>
  <c r="Q49" i="27"/>
  <c r="Q49" i="18"/>
  <c r="Q49" i="17"/>
  <c r="Q49" i="76"/>
  <c r="Q49" i="20"/>
  <c r="Q49" i="21"/>
  <c r="Q49" i="19"/>
  <c r="Q49" i="2"/>
  <c r="Q49" i="23"/>
  <c r="Q49" i="22"/>
  <c r="Q49" i="26"/>
  <c r="Q49" i="25"/>
  <c r="Q49" i="24"/>
  <c r="C269" i="48"/>
  <c r="Q47" i="74"/>
  <c r="Q47" i="73"/>
  <c r="Q47" i="72"/>
  <c r="Q47" i="71"/>
  <c r="Q47" i="70"/>
  <c r="Q47" i="69"/>
  <c r="Q47" i="52"/>
  <c r="Q47" i="53"/>
  <c r="Q47" i="50"/>
  <c r="Q47" i="49"/>
  <c r="Q49" i="54"/>
  <c r="Q43" i="51"/>
  <c r="Q47" i="43"/>
  <c r="Q47" i="44"/>
  <c r="Q47" i="42"/>
  <c r="Q47" i="41"/>
  <c r="Q47" i="29"/>
  <c r="Q47" i="76"/>
  <c r="Q47" i="31"/>
  <c r="Q47" i="30"/>
  <c r="Q47" i="77"/>
  <c r="Q47" i="19"/>
  <c r="Q47" i="17"/>
  <c r="Q47" i="18"/>
  <c r="Q47" i="27"/>
  <c r="Q47" i="21"/>
  <c r="Q47" i="2"/>
  <c r="Q47" i="20"/>
  <c r="Q47" i="23"/>
  <c r="Q47" i="26"/>
  <c r="Q47" i="22"/>
  <c r="Q47" i="25"/>
  <c r="Q47" i="24"/>
  <c r="C20" i="16"/>
  <c r="Q44" i="74"/>
  <c r="Q44" i="73"/>
  <c r="Q44" i="72"/>
  <c r="Q44" i="71"/>
  <c r="Q44" i="70"/>
  <c r="Q44" i="69"/>
  <c r="Q46" i="54"/>
  <c r="Q40" i="51"/>
  <c r="Q44" i="52"/>
  <c r="Q44" i="50"/>
  <c r="Q44" i="49"/>
  <c r="Q44" i="53"/>
  <c r="Q44" i="42"/>
  <c r="Q44" i="41"/>
  <c r="Q44" i="44"/>
  <c r="Q44" i="43"/>
  <c r="Q44" i="27"/>
  <c r="Q44" i="29"/>
  <c r="Q44" i="76"/>
  <c r="Q44" i="19"/>
  <c r="Q44" i="31"/>
  <c r="Q44" i="2"/>
  <c r="Q44" i="30"/>
  <c r="Q44" i="77"/>
  <c r="Q44" i="20"/>
  <c r="Q44" i="18"/>
  <c r="Q44" i="17"/>
  <c r="Q44" i="21"/>
  <c r="Q44" i="26"/>
  <c r="Q44" i="23"/>
  <c r="Q44" i="22"/>
  <c r="Q44" i="25"/>
  <c r="Q44" i="24"/>
  <c r="B37" i="48"/>
  <c r="P16" i="74"/>
  <c r="P16" i="72"/>
  <c r="P16" i="73"/>
  <c r="P16" i="71"/>
  <c r="P16" i="69"/>
  <c r="P16" i="70"/>
  <c r="P16" i="53"/>
  <c r="P16" i="52"/>
  <c r="P16" i="54"/>
  <c r="P16" i="51"/>
  <c r="P16" i="49"/>
  <c r="P16" i="50"/>
  <c r="P16" i="43"/>
  <c r="P16" i="41"/>
  <c r="P16" i="42"/>
  <c r="P16" i="44"/>
  <c r="P16" i="39"/>
  <c r="P16" i="37"/>
  <c r="P16" i="34"/>
  <c r="P16" i="33"/>
  <c r="P16" i="35"/>
  <c r="P16" i="40"/>
  <c r="P16" i="32"/>
  <c r="P16" i="38"/>
  <c r="P16" i="27"/>
  <c r="P16" i="21"/>
  <c r="P16" i="20"/>
  <c r="P16" i="76"/>
  <c r="P16" i="19"/>
  <c r="P16" i="18"/>
  <c r="P16" i="17"/>
  <c r="P16" i="29"/>
  <c r="P16" i="31"/>
  <c r="P16" i="30"/>
  <c r="P16" i="77"/>
  <c r="P16" i="2"/>
  <c r="P16" i="26"/>
  <c r="P16" i="23"/>
  <c r="P16" i="25"/>
  <c r="P16" i="24"/>
  <c r="P16" i="22"/>
  <c r="R87" i="73"/>
  <c r="R87" i="74"/>
  <c r="R87" i="72"/>
  <c r="R87" i="71"/>
  <c r="R87" i="69"/>
  <c r="R87" i="70"/>
  <c r="Q86" i="73"/>
  <c r="Q86" i="72"/>
  <c r="Q86" i="71"/>
  <c r="Q86" i="74"/>
  <c r="Q86" i="70"/>
  <c r="Q86" i="69"/>
  <c r="P85" i="74"/>
  <c r="P85" i="73"/>
  <c r="P85" i="71"/>
  <c r="P85" i="72"/>
  <c r="P85" i="69"/>
  <c r="P85" i="70"/>
  <c r="R24" i="74"/>
  <c r="R24" i="73"/>
  <c r="R24" i="72"/>
  <c r="R24" i="71"/>
  <c r="R24" i="70"/>
  <c r="R24" i="69"/>
  <c r="R24" i="53"/>
  <c r="R24" i="52"/>
  <c r="R24" i="50"/>
  <c r="R24" i="49"/>
  <c r="R24" i="51"/>
  <c r="R24" i="42"/>
  <c r="R24" i="43"/>
  <c r="R24" i="41"/>
  <c r="R24" i="44"/>
  <c r="R24" i="38"/>
  <c r="R24" i="33"/>
  <c r="R24" i="35"/>
  <c r="R24" i="39"/>
  <c r="R24" i="34"/>
  <c r="R24" i="37"/>
  <c r="R24" i="40"/>
  <c r="R24" i="32"/>
  <c r="R24" i="31"/>
  <c r="R24" i="77"/>
  <c r="R24" i="29"/>
  <c r="R24" i="30"/>
  <c r="R24" i="20"/>
  <c r="R24" i="2"/>
  <c r="R24" i="76"/>
  <c r="R24" i="27"/>
  <c r="R24" i="19"/>
  <c r="R24" i="21"/>
  <c r="R24" i="17"/>
  <c r="R24" i="18"/>
  <c r="R24" i="26"/>
  <c r="R24" i="23"/>
  <c r="R24" i="25"/>
  <c r="R24" i="22"/>
  <c r="R24" i="24"/>
  <c r="Q23" i="74"/>
  <c r="Q23" i="73"/>
  <c r="Q23" i="72"/>
  <c r="Q23" i="71"/>
  <c r="Q23" i="69"/>
  <c r="Q23" i="70"/>
  <c r="Q23" i="52"/>
  <c r="Q23" i="54"/>
  <c r="Q23" i="49"/>
  <c r="Q23" i="53"/>
  <c r="Q23" i="51"/>
  <c r="Q23" i="50"/>
  <c r="Q23" i="43"/>
  <c r="Q23" i="41"/>
  <c r="Q23" i="42"/>
  <c r="Q23" i="44"/>
  <c r="Q23" i="39"/>
  <c r="Q23" i="40"/>
  <c r="Q23" i="34"/>
  <c r="Q23" i="32"/>
  <c r="Q23" i="38"/>
  <c r="Q23" i="35"/>
  <c r="Q23" i="37"/>
  <c r="Q23" i="33"/>
  <c r="Q23" i="27"/>
  <c r="Q23" i="21"/>
  <c r="Q23" i="76"/>
  <c r="Q23" i="31"/>
  <c r="Q23" i="29"/>
  <c r="Q23" i="20"/>
  <c r="Q23" i="19"/>
  <c r="Q23" i="2"/>
  <c r="Q23" i="30"/>
  <c r="Q23" i="77"/>
  <c r="Q23" i="17"/>
  <c r="Q23" i="18"/>
  <c r="Q23" i="26"/>
  <c r="Q23" i="23"/>
  <c r="Q23" i="22"/>
  <c r="Q23" i="24"/>
  <c r="Q23" i="25"/>
  <c r="B42" i="48"/>
  <c r="P21" i="74"/>
  <c r="P21" i="73"/>
  <c r="P21" i="72"/>
  <c r="P21" i="71"/>
  <c r="P21" i="69"/>
  <c r="P21" i="70"/>
  <c r="P21" i="52"/>
  <c r="P21" i="54"/>
  <c r="P21" i="53"/>
  <c r="P21" i="49"/>
  <c r="P21" i="51"/>
  <c r="P21" i="50"/>
  <c r="P21" i="42"/>
  <c r="P21" i="44"/>
  <c r="P21" i="43"/>
  <c r="P21" i="41"/>
  <c r="P21" i="37"/>
  <c r="P21" i="34"/>
  <c r="P21" i="32"/>
  <c r="P21" i="35"/>
  <c r="P21" i="38"/>
  <c r="P21" i="40"/>
  <c r="P21" i="39"/>
  <c r="P21" i="33"/>
  <c r="P21" i="76"/>
  <c r="P21" i="21"/>
  <c r="P21" i="31"/>
  <c r="P21" i="77"/>
  <c r="P21" i="19"/>
  <c r="P21" i="27"/>
  <c r="P21" i="17"/>
  <c r="P21" i="18"/>
  <c r="P21" i="2"/>
  <c r="P21" i="30"/>
  <c r="P21" i="29"/>
  <c r="P21" i="20"/>
  <c r="P21" i="23"/>
  <c r="P21" i="26"/>
  <c r="P21" i="24"/>
  <c r="P21" i="22"/>
  <c r="P21" i="25"/>
  <c r="B40" i="48"/>
  <c r="P19" i="74"/>
  <c r="P19" i="73"/>
  <c r="P19" i="72"/>
  <c r="P19" i="71"/>
  <c r="P19" i="70"/>
  <c r="P19" i="53"/>
  <c r="P19" i="69"/>
  <c r="P19" i="51"/>
  <c r="P19" i="52"/>
  <c r="P19" i="54"/>
  <c r="P19" i="50"/>
  <c r="P19" i="49"/>
  <c r="P19" i="41"/>
  <c r="P19" i="43"/>
  <c r="P19" i="42"/>
  <c r="P19" i="44"/>
  <c r="P19" i="37"/>
  <c r="P19" i="34"/>
  <c r="P19" i="32"/>
  <c r="P19" i="39"/>
  <c r="P19" i="38"/>
  <c r="P19" i="40"/>
  <c r="P19" i="33"/>
  <c r="P19" i="35"/>
  <c r="P19" i="29"/>
  <c r="P19" i="27"/>
  <c r="P19" i="20"/>
  <c r="P19" i="30"/>
  <c r="P19" i="76"/>
  <c r="P19" i="18"/>
  <c r="P19" i="2"/>
  <c r="P19" i="31"/>
  <c r="P19" i="21"/>
  <c r="P19" i="19"/>
  <c r="P19" i="77"/>
  <c r="P19" i="17"/>
  <c r="P19" i="26"/>
  <c r="P19" i="25"/>
  <c r="P19" i="24"/>
  <c r="P19" i="23"/>
  <c r="P19" i="22"/>
  <c r="C34" i="48"/>
  <c r="Q13" i="74"/>
  <c r="Q13" i="72"/>
  <c r="Q13" i="73"/>
  <c r="Q13" i="71"/>
  <c r="Q13" i="69"/>
  <c r="Q13" i="54"/>
  <c r="Q13" i="49"/>
  <c r="Q13" i="70"/>
  <c r="Q13" i="50"/>
  <c r="Q13" i="53"/>
  <c r="Q13" i="51"/>
  <c r="Q13" i="52"/>
  <c r="Q13" i="44"/>
  <c r="Q13" i="34"/>
  <c r="Q13" i="32"/>
  <c r="Q13" i="35"/>
  <c r="Q13" i="39"/>
  <c r="Q13" i="38"/>
  <c r="Q13" i="40"/>
  <c r="Q13" i="37"/>
  <c r="Q13" i="33"/>
  <c r="Q13" i="31"/>
  <c r="Q13" i="77"/>
  <c r="Q13" i="20"/>
  <c r="Q13" i="30"/>
  <c r="Q13" i="29"/>
  <c r="Q13" i="21"/>
  <c r="Q13" i="27"/>
  <c r="Q13" i="19"/>
  <c r="Q13" i="17"/>
  <c r="Q13" i="2"/>
  <c r="Q13" i="76"/>
  <c r="Q13" i="18"/>
  <c r="Q13" i="24"/>
  <c r="Q13" i="22"/>
  <c r="Q13" i="23"/>
  <c r="Q13" i="25"/>
  <c r="Q13" i="26"/>
  <c r="B23" i="16"/>
  <c r="P48" i="74"/>
  <c r="P48" i="73"/>
  <c r="P48" i="72"/>
  <c r="P48" i="71"/>
  <c r="P48" i="70"/>
  <c r="P48" i="69"/>
  <c r="P50" i="54"/>
  <c r="P44" i="51"/>
  <c r="P48" i="52"/>
  <c r="P48" i="49"/>
  <c r="P48" i="53"/>
  <c r="P48" i="50"/>
  <c r="P48" i="42"/>
  <c r="P48" i="41"/>
  <c r="P48" i="43"/>
  <c r="P48" i="44"/>
  <c r="P48" i="27"/>
  <c r="P48" i="29"/>
  <c r="P48" i="76"/>
  <c r="P48" i="19"/>
  <c r="P48" i="21"/>
  <c r="P48" i="18"/>
  <c r="P48" i="31"/>
  <c r="P48" i="30"/>
  <c r="P48" i="17"/>
  <c r="P48" i="77"/>
  <c r="P48" i="20"/>
  <c r="P48" i="2"/>
  <c r="P48" i="26"/>
  <c r="P48" i="23"/>
  <c r="P48" i="25"/>
  <c r="P48" i="22"/>
  <c r="P48" i="24"/>
  <c r="C268" i="48"/>
  <c r="Q46" i="74"/>
  <c r="Q46" i="73"/>
  <c r="Q46" i="72"/>
  <c r="Q46" i="71"/>
  <c r="Q46" i="69"/>
  <c r="Q46" i="70"/>
  <c r="Q46" i="52"/>
  <c r="Q46" i="53"/>
  <c r="Q42" i="51"/>
  <c r="Q46" i="49"/>
  <c r="Q46" i="50"/>
  <c r="Q48" i="54"/>
  <c r="Q46" i="43"/>
  <c r="Q46" i="44"/>
  <c r="Q46" i="42"/>
  <c r="Q46" i="41"/>
  <c r="Q46" i="29"/>
  <c r="Q46" i="76"/>
  <c r="Q46" i="31"/>
  <c r="Q46" i="30"/>
  <c r="Q46" i="77"/>
  <c r="Q46" i="17"/>
  <c r="Q46" i="21"/>
  <c r="Q46" i="20"/>
  <c r="Q46" i="2"/>
  <c r="Q46" i="27"/>
  <c r="Q46" i="19"/>
  <c r="Q46" i="18"/>
  <c r="Q46" i="23"/>
  <c r="Q46" i="26"/>
  <c r="Q46" i="22"/>
  <c r="Q46" i="25"/>
  <c r="Q46" i="24"/>
  <c r="C37" i="48"/>
  <c r="Q16" i="73"/>
  <c r="Q16" i="72"/>
  <c r="Q16" i="71"/>
  <c r="Q16" i="74"/>
  <c r="Q16" i="70"/>
  <c r="Q16" i="69"/>
  <c r="Q16" i="52"/>
  <c r="Q16" i="54"/>
  <c r="Q16" i="49"/>
  <c r="Q16" i="53"/>
  <c r="Q16" i="50"/>
  <c r="Q16" i="51"/>
  <c r="Q16" i="43"/>
  <c r="Q16" i="42"/>
  <c r="Q16" i="44"/>
  <c r="Q16" i="41"/>
  <c r="Q16" i="40"/>
  <c r="Q16" i="32"/>
  <c r="Q16" i="39"/>
  <c r="Q16" i="38"/>
  <c r="Q16" i="33"/>
  <c r="Q16" i="35"/>
  <c r="Q16" i="37"/>
  <c r="Q16" i="34"/>
  <c r="Q16" i="76"/>
  <c r="Q16" i="31"/>
  <c r="Q16" i="30"/>
  <c r="Q16" i="77"/>
  <c r="Q16" i="29"/>
  <c r="Q16" i="19"/>
  <c r="Q16" i="17"/>
  <c r="Q16" i="21"/>
  <c r="Q16" i="2"/>
  <c r="Q16" i="27"/>
  <c r="Q16" i="20"/>
  <c r="Q16" i="18"/>
  <c r="Q16" i="26"/>
  <c r="Q16" i="22"/>
  <c r="Q16" i="23"/>
  <c r="Q16" i="25"/>
  <c r="Q16" i="24"/>
  <c r="P87" i="74"/>
  <c r="P87" i="73"/>
  <c r="P87" i="72"/>
  <c r="P87" i="71"/>
  <c r="P87" i="69"/>
  <c r="P87" i="70"/>
  <c r="P24" i="74"/>
  <c r="P24" i="73"/>
  <c r="P24" i="72"/>
  <c r="P24" i="71"/>
  <c r="P24" i="69"/>
  <c r="P24" i="70"/>
  <c r="P24" i="52"/>
  <c r="P24" i="53"/>
  <c r="P24" i="51"/>
  <c r="P24" i="49"/>
  <c r="P24" i="50"/>
  <c r="P24" i="43"/>
  <c r="P24" i="41"/>
  <c r="P24" i="42"/>
  <c r="P24" i="44"/>
  <c r="P24" i="39"/>
  <c r="P24" i="34"/>
  <c r="P24" i="37"/>
  <c r="P24" i="40"/>
  <c r="P24" i="32"/>
  <c r="P24" i="38"/>
  <c r="P24" i="33"/>
  <c r="P24" i="35"/>
  <c r="P24" i="27"/>
  <c r="P24" i="21"/>
  <c r="P24" i="76"/>
  <c r="P24" i="20"/>
  <c r="P24" i="30"/>
  <c r="P24" i="31"/>
  <c r="P24" i="29"/>
  <c r="P24" i="18"/>
  <c r="P24" i="17"/>
  <c r="P24" i="77"/>
  <c r="P24" i="2"/>
  <c r="P24" i="19"/>
  <c r="P24" i="26"/>
  <c r="P24" i="24"/>
  <c r="P24" i="25"/>
  <c r="P24" i="22"/>
  <c r="P24" i="23"/>
  <c r="C38" i="48"/>
  <c r="Q17" i="73"/>
  <c r="Q17" i="74"/>
  <c r="Q17" i="71"/>
  <c r="Q17" i="72"/>
  <c r="Q17" i="54"/>
  <c r="Q17" i="69"/>
  <c r="Q17" i="70"/>
  <c r="Q17" i="53"/>
  <c r="Q17" i="52"/>
  <c r="Q17" i="49"/>
  <c r="Q17" i="50"/>
  <c r="Q17" i="51"/>
  <c r="Q17" i="42"/>
  <c r="Q17" i="41"/>
  <c r="Q17" i="44"/>
  <c r="Q17" i="43"/>
  <c r="Q17" i="33"/>
  <c r="Q17" i="35"/>
  <c r="Q17" i="37"/>
  <c r="Q17" i="39"/>
  <c r="Q17" i="34"/>
  <c r="Q17" i="32"/>
  <c r="Q17" i="38"/>
  <c r="Q17" i="40"/>
  <c r="Q17" i="31"/>
  <c r="Q17" i="30"/>
  <c r="Q17" i="77"/>
  <c r="Q17" i="21"/>
  <c r="Q17" i="29"/>
  <c r="Q17" i="19"/>
  <c r="Q17" i="17"/>
  <c r="Q17" i="20"/>
  <c r="Q17" i="2"/>
  <c r="Q17" i="18"/>
  <c r="Q17" i="27"/>
  <c r="Q17" i="76"/>
  <c r="Q17" i="22"/>
  <c r="Q17" i="24"/>
  <c r="Q17" i="25"/>
  <c r="Q17" i="26"/>
  <c r="Q17" i="23"/>
  <c r="C43" i="48"/>
  <c r="Q22" i="74"/>
  <c r="Q22" i="73"/>
  <c r="Q22" i="72"/>
  <c r="Q22" i="71"/>
  <c r="Q22" i="69"/>
  <c r="Q22" i="53"/>
  <c r="Q22" i="70"/>
  <c r="Q22" i="51"/>
  <c r="Q22" i="52"/>
  <c r="Q22" i="50"/>
  <c r="Q22" i="49"/>
  <c r="Q22" i="54"/>
  <c r="Q22" i="41"/>
  <c r="Q22" i="43"/>
  <c r="Q22" i="44"/>
  <c r="Q22" i="42"/>
  <c r="Q22" i="38"/>
  <c r="Q22" i="37"/>
  <c r="Q22" i="33"/>
  <c r="Q22" i="34"/>
  <c r="Q22" i="39"/>
  <c r="Q22" i="40"/>
  <c r="Q22" i="35"/>
  <c r="Q22" i="32"/>
  <c r="Q22" i="30"/>
  <c r="Q22" i="29"/>
  <c r="Q22" i="27"/>
  <c r="Q22" i="31"/>
  <c r="Q22" i="20"/>
  <c r="Q22" i="17"/>
  <c r="Q22" i="76"/>
  <c r="Q22" i="19"/>
  <c r="Q22" i="77"/>
  <c r="Q22" i="21"/>
  <c r="Q22" i="18"/>
  <c r="Q22" i="2"/>
  <c r="Q22" i="26"/>
  <c r="Q22" i="23"/>
  <c r="Q22" i="25"/>
  <c r="Q22" i="22"/>
  <c r="Q22" i="24"/>
  <c r="C42" i="48"/>
  <c r="Q21" i="73"/>
  <c r="Q21" i="74"/>
  <c r="Q21" i="72"/>
  <c r="Q21" i="71"/>
  <c r="Q21" i="54"/>
  <c r="Q21" i="69"/>
  <c r="Q21" i="53"/>
  <c r="Q21" i="70"/>
  <c r="Q21" i="50"/>
  <c r="Q21" i="49"/>
  <c r="Q21" i="51"/>
  <c r="Q21" i="52"/>
  <c r="Q21" i="42"/>
  <c r="Q21" i="41"/>
  <c r="Q21" i="43"/>
  <c r="Q21" i="44"/>
  <c r="Q21" i="34"/>
  <c r="Q21" i="32"/>
  <c r="Q21" i="35"/>
  <c r="Q21" i="38"/>
  <c r="Q21" i="37"/>
  <c r="Q21" i="40"/>
  <c r="Q21" i="39"/>
  <c r="Q21" i="33"/>
  <c r="Q21" i="31"/>
  <c r="Q21" i="77"/>
  <c r="Q21" i="29"/>
  <c r="Q21" i="20"/>
  <c r="Q21" i="18"/>
  <c r="Q21" i="2"/>
  <c r="Q21" i="27"/>
  <c r="Q21" i="30"/>
  <c r="Q21" i="21"/>
  <c r="Q21" i="76"/>
  <c r="Q21" i="19"/>
  <c r="Q21" i="17"/>
  <c r="Q21" i="24"/>
  <c r="Q21" i="22"/>
  <c r="Q21" i="25"/>
  <c r="Q21" i="23"/>
  <c r="Q21" i="26"/>
  <c r="C41" i="48"/>
  <c r="Q20" i="74"/>
  <c r="Q20" i="73"/>
  <c r="Q20" i="72"/>
  <c r="Q20" i="71"/>
  <c r="Q20" i="69"/>
  <c r="Q20" i="52"/>
  <c r="Q20" i="54"/>
  <c r="Q20" i="53"/>
  <c r="Q20" i="49"/>
  <c r="Q20" i="70"/>
  <c r="Q20" i="50"/>
  <c r="Q20" i="51"/>
  <c r="Q20" i="42"/>
  <c r="Q20" i="44"/>
  <c r="Q20" i="43"/>
  <c r="Q20" i="41"/>
  <c r="Q20" i="40"/>
  <c r="Q20" i="39"/>
  <c r="Q20" i="34"/>
  <c r="Q20" i="35"/>
  <c r="Q20" i="37"/>
  <c r="Q20" i="32"/>
  <c r="Q20" i="38"/>
  <c r="Q20" i="33"/>
  <c r="Q20" i="76"/>
  <c r="Q20" i="31"/>
  <c r="Q20" i="77"/>
  <c r="Q20" i="21"/>
  <c r="Q20" i="17"/>
  <c r="Q20" i="19"/>
  <c r="Q20" i="30"/>
  <c r="Q20" i="18"/>
  <c r="Q20" i="2"/>
  <c r="Q20" i="29"/>
  <c r="Q20" i="20"/>
  <c r="Q20" i="27"/>
  <c r="Q20" i="23"/>
  <c r="Q20" i="26"/>
  <c r="Q20" i="22"/>
  <c r="Q20" i="24"/>
  <c r="Q20" i="25"/>
  <c r="C40" i="48"/>
  <c r="Q19" i="74"/>
  <c r="Q19" i="73"/>
  <c r="Q19" i="72"/>
  <c r="Q19" i="71"/>
  <c r="Q19" i="69"/>
  <c r="Q19" i="70"/>
  <c r="Q19" i="52"/>
  <c r="Q19" i="54"/>
  <c r="Q19" i="49"/>
  <c r="Q19" i="51"/>
  <c r="Q19" i="50"/>
  <c r="Q19" i="53"/>
  <c r="Q19" i="43"/>
  <c r="Q19" i="44"/>
  <c r="Q19" i="41"/>
  <c r="Q19" i="42"/>
  <c r="Q19" i="39"/>
  <c r="Q19" i="38"/>
  <c r="Q19" i="40"/>
  <c r="Q19" i="35"/>
  <c r="Q19" i="33"/>
  <c r="Q19" i="37"/>
  <c r="Q19" i="34"/>
  <c r="Q19" i="32"/>
  <c r="Q19" i="29"/>
  <c r="Q19" i="27"/>
  <c r="Q19" i="20"/>
  <c r="Q19" i="30"/>
  <c r="Q19" i="76"/>
  <c r="Q19" i="31"/>
  <c r="Q19" i="21"/>
  <c r="Q19" i="19"/>
  <c r="Q19" i="77"/>
  <c r="Q19" i="17"/>
  <c r="Q19" i="18"/>
  <c r="Q19" i="2"/>
  <c r="Q19" i="26"/>
  <c r="Q19" i="23"/>
  <c r="Q19" i="22"/>
  <c r="Q19" i="25"/>
  <c r="Q19" i="24"/>
  <c r="D39" i="48"/>
  <c r="R18" i="74"/>
  <c r="R18" i="72"/>
  <c r="R18" i="71"/>
  <c r="R18" i="73"/>
  <c r="R18" i="69"/>
  <c r="R18" i="70"/>
  <c r="R18" i="52"/>
  <c r="R18" i="54"/>
  <c r="R18" i="53"/>
  <c r="R18" i="50"/>
  <c r="R18" i="49"/>
  <c r="R18" i="51"/>
  <c r="R18" i="43"/>
  <c r="R18" i="42"/>
  <c r="R18" i="44"/>
  <c r="R18" i="41"/>
  <c r="R18" i="39"/>
  <c r="R18" i="40"/>
  <c r="R18" i="32"/>
  <c r="R18" i="38"/>
  <c r="R18" i="33"/>
  <c r="R18" i="35"/>
  <c r="R18" i="37"/>
  <c r="R18" i="34"/>
  <c r="R18" i="27"/>
  <c r="R18" i="20"/>
  <c r="R18" i="30"/>
  <c r="R18" i="29"/>
  <c r="R18" i="76"/>
  <c r="R18" i="77"/>
  <c r="R18" i="19"/>
  <c r="R18" i="31"/>
  <c r="R18" i="21"/>
  <c r="R18" i="17"/>
  <c r="R18" i="18"/>
  <c r="R18" i="2"/>
  <c r="R18" i="26"/>
  <c r="R18" i="23"/>
  <c r="R18" i="22"/>
  <c r="R18" i="25"/>
  <c r="R18" i="24"/>
  <c r="D37" i="48"/>
  <c r="R16" i="74"/>
  <c r="R16" i="73"/>
  <c r="R16" i="71"/>
  <c r="R16" i="72"/>
  <c r="R16" i="69"/>
  <c r="R16" i="54"/>
  <c r="R16" i="53"/>
  <c r="R16" i="70"/>
  <c r="R16" i="52"/>
  <c r="R16" i="50"/>
  <c r="R16" i="49"/>
  <c r="R16" i="51"/>
  <c r="R16" i="43"/>
  <c r="R16" i="42"/>
  <c r="R16" i="41"/>
  <c r="R16" i="44"/>
  <c r="R16" i="38"/>
  <c r="R16" i="33"/>
  <c r="R16" i="35"/>
  <c r="R16" i="39"/>
  <c r="R16" i="37"/>
  <c r="R16" i="34"/>
  <c r="R16" i="40"/>
  <c r="R16" i="32"/>
  <c r="R16" i="31"/>
  <c r="R16" i="30"/>
  <c r="R16" i="77"/>
  <c r="R16" i="29"/>
  <c r="R16" i="19"/>
  <c r="R16" i="17"/>
  <c r="R16" i="18"/>
  <c r="R16" i="76"/>
  <c r="R16" i="21"/>
  <c r="R16" i="2"/>
  <c r="R16" i="27"/>
  <c r="R16" i="20"/>
  <c r="R16" i="26"/>
  <c r="R16" i="22"/>
  <c r="R16" i="23"/>
  <c r="R16" i="24"/>
  <c r="R16" i="25"/>
  <c r="C35" i="48"/>
  <c r="Q14" i="74"/>
  <c r="Q14" i="73"/>
  <c r="Q14" i="71"/>
  <c r="Q14" i="72"/>
  <c r="Q14" i="69"/>
  <c r="Q14" i="70"/>
  <c r="Q14" i="51"/>
  <c r="Q14" i="53"/>
  <c r="Q14" i="52"/>
  <c r="Q14" i="50"/>
  <c r="Q14" i="49"/>
  <c r="Q14" i="54"/>
  <c r="Q14" i="44"/>
  <c r="Q14" i="38"/>
  <c r="Q14" i="33"/>
  <c r="Q14" i="34"/>
  <c r="Q14" i="40"/>
  <c r="Q14" i="39"/>
  <c r="Q14" i="37"/>
  <c r="Q14" i="35"/>
  <c r="Q14" i="32"/>
  <c r="Q14" i="30"/>
  <c r="Q14" i="29"/>
  <c r="Q14" i="27"/>
  <c r="Q14" i="31"/>
  <c r="Q14" i="21"/>
  <c r="Q14" i="19"/>
  <c r="Q14" i="17"/>
  <c r="Q14" i="2"/>
  <c r="Q14" i="77"/>
  <c r="Q14" i="20"/>
  <c r="Q14" i="18"/>
  <c r="Q14" i="76"/>
  <c r="Q14" i="26"/>
  <c r="Q14" i="22"/>
  <c r="Q14" i="23"/>
  <c r="Q14" i="25"/>
  <c r="Q14" i="24"/>
  <c r="D34" i="48"/>
  <c r="R13" i="74"/>
  <c r="R13" i="73"/>
  <c r="R13" i="72"/>
  <c r="R13" i="71"/>
  <c r="R13" i="70"/>
  <c r="R13" i="69"/>
  <c r="R13" i="51"/>
  <c r="R13" i="53"/>
  <c r="R13" i="52"/>
  <c r="R13" i="54"/>
  <c r="R13" i="50"/>
  <c r="R13" i="49"/>
  <c r="R13" i="44"/>
  <c r="R13" i="38"/>
  <c r="R13" i="40"/>
  <c r="R13" i="39"/>
  <c r="R13" i="37"/>
  <c r="R13" i="33"/>
  <c r="R13" i="34"/>
  <c r="R13" i="32"/>
  <c r="R13" i="35"/>
  <c r="R13" i="30"/>
  <c r="R13" i="29"/>
  <c r="R13" i="27"/>
  <c r="R13" i="20"/>
  <c r="R13" i="19"/>
  <c r="R13" i="17"/>
  <c r="R13" i="2"/>
  <c r="R13" i="31"/>
  <c r="R13" i="76"/>
  <c r="R13" i="18"/>
  <c r="R13" i="77"/>
  <c r="R13" i="21"/>
  <c r="R13" i="26"/>
  <c r="R13" i="23"/>
  <c r="R13" i="25"/>
  <c r="R13" i="22"/>
  <c r="R13" i="24"/>
  <c r="P61" i="42"/>
  <c r="P61" i="41"/>
  <c r="P61" i="43"/>
  <c r="Q26" i="74"/>
  <c r="Q26" i="73"/>
  <c r="Q26" i="72"/>
  <c r="Q26" i="71"/>
  <c r="Q26" i="69"/>
  <c r="Q26" i="70"/>
  <c r="Q26" i="53"/>
  <c r="Q26" i="51"/>
  <c r="Q26" i="52"/>
  <c r="Q26" i="50"/>
  <c r="Q26" i="49"/>
  <c r="Q26" i="41"/>
  <c r="Q26" i="43"/>
  <c r="Q26" i="42"/>
  <c r="Q26" i="44"/>
  <c r="Q26" i="21"/>
  <c r="Q26" i="27"/>
  <c r="Q26" i="20"/>
  <c r="Q26" i="31"/>
  <c r="Q26" i="76"/>
  <c r="Q26" i="30"/>
  <c r="Q26" i="77"/>
  <c r="Q26" i="19"/>
  <c r="Q26" i="18"/>
  <c r="Q26" i="29"/>
  <c r="Q26" i="17"/>
  <c r="Q26" i="2"/>
  <c r="Q26" i="26"/>
  <c r="Q26" i="23"/>
  <c r="Q26" i="25"/>
  <c r="Q26" i="24"/>
  <c r="Q26" i="22"/>
  <c r="B21" i="16"/>
  <c r="P46" i="74"/>
  <c r="P46" i="73"/>
  <c r="P46" i="72"/>
  <c r="P46" i="71"/>
  <c r="P46" i="70"/>
  <c r="P46" i="69"/>
  <c r="P48" i="54"/>
  <c r="P42" i="51"/>
  <c r="P46" i="52"/>
  <c r="P46" i="53"/>
  <c r="P46" i="50"/>
  <c r="P46" i="49"/>
  <c r="P46" i="42"/>
  <c r="P46" i="41"/>
  <c r="P46" i="43"/>
  <c r="P46" i="44"/>
  <c r="P46" i="27"/>
  <c r="P46" i="29"/>
  <c r="P46" i="76"/>
  <c r="P46" i="19"/>
  <c r="P46" i="21"/>
  <c r="P46" i="18"/>
  <c r="P46" i="31"/>
  <c r="P46" i="30"/>
  <c r="P46" i="17"/>
  <c r="P46" i="77"/>
  <c r="P46" i="20"/>
  <c r="P46" i="2"/>
  <c r="P46" i="26"/>
  <c r="P46" i="24"/>
  <c r="P46" i="23"/>
  <c r="P46" i="22"/>
  <c r="P46" i="25"/>
  <c r="B25" i="16"/>
  <c r="P50" i="74"/>
  <c r="P50" i="73"/>
  <c r="P50" i="72"/>
  <c r="P50" i="71"/>
  <c r="P50" i="69"/>
  <c r="P50" i="70"/>
  <c r="P52" i="54"/>
  <c r="P50" i="52"/>
  <c r="P50" i="53"/>
  <c r="P46" i="51"/>
  <c r="P50" i="49"/>
  <c r="P50" i="50"/>
  <c r="P50" i="41"/>
  <c r="P50" i="43"/>
  <c r="P50" i="44"/>
  <c r="P50" i="42"/>
  <c r="P50" i="29"/>
  <c r="P50" i="76"/>
  <c r="P50" i="31"/>
  <c r="P50" i="77"/>
  <c r="P50" i="27"/>
  <c r="P50" i="21"/>
  <c r="P50" i="30"/>
  <c r="P50" i="17"/>
  <c r="P50" i="20"/>
  <c r="P50" i="18"/>
  <c r="P50" i="19"/>
  <c r="P50" i="2"/>
  <c r="P50" i="26"/>
  <c r="P50" i="23"/>
  <c r="P50" i="24"/>
  <c r="P50" i="22"/>
  <c r="P50" i="25"/>
  <c r="D272" i="48"/>
  <c r="R50" i="74"/>
  <c r="R50" i="73"/>
  <c r="R50" i="72"/>
  <c r="R50" i="71"/>
  <c r="R50" i="70"/>
  <c r="R50" i="69"/>
  <c r="R50" i="53"/>
  <c r="R46" i="51"/>
  <c r="R52" i="54"/>
  <c r="R50" i="52"/>
  <c r="R50" i="49"/>
  <c r="R50" i="50"/>
  <c r="R50" i="42"/>
  <c r="R50" i="43"/>
  <c r="R50" i="44"/>
  <c r="R50" i="41"/>
  <c r="R50" i="30"/>
  <c r="R50" i="21"/>
  <c r="R50" i="27"/>
  <c r="R50" i="20"/>
  <c r="R50" i="18"/>
  <c r="R50" i="31"/>
  <c r="R50" i="76"/>
  <c r="R50" i="77"/>
  <c r="R50" i="19"/>
  <c r="R50" i="2"/>
  <c r="R50" i="29"/>
  <c r="R50" i="17"/>
  <c r="R50" i="23"/>
  <c r="R50" i="26"/>
  <c r="R50" i="25"/>
  <c r="R50" i="22"/>
  <c r="R50" i="24"/>
  <c r="R48" i="74"/>
  <c r="R48" i="72"/>
  <c r="R48" i="71"/>
  <c r="R48" i="73"/>
  <c r="R48" i="70"/>
  <c r="R48" i="69"/>
  <c r="R48" i="53"/>
  <c r="R48" i="50"/>
  <c r="R50" i="54"/>
  <c r="R44" i="51"/>
  <c r="R48" i="52"/>
  <c r="R48" i="49"/>
  <c r="R48" i="43"/>
  <c r="R48" i="44"/>
  <c r="R48" i="42"/>
  <c r="R48" i="41"/>
  <c r="R48" i="31"/>
  <c r="R48" i="30"/>
  <c r="R48" i="77"/>
  <c r="R48" i="21"/>
  <c r="R48" i="20"/>
  <c r="R48" i="18"/>
  <c r="R48" i="19"/>
  <c r="R48" i="76"/>
  <c r="R48" i="2"/>
  <c r="R48" i="27"/>
  <c r="R48" i="29"/>
  <c r="R48" i="17"/>
  <c r="R48" i="23"/>
  <c r="R48" i="25"/>
  <c r="R48" i="24"/>
  <c r="R48" i="22"/>
  <c r="R48" i="26"/>
  <c r="R46" i="74"/>
  <c r="R46" i="73"/>
  <c r="R46" i="72"/>
  <c r="R46" i="71"/>
  <c r="R46" i="69"/>
  <c r="R46" i="70"/>
  <c r="R46" i="53"/>
  <c r="R46" i="50"/>
  <c r="R48" i="54"/>
  <c r="R42" i="51"/>
  <c r="R46" i="52"/>
  <c r="R46" i="49"/>
  <c r="R46" i="43"/>
  <c r="R46" i="44"/>
  <c r="R46" i="41"/>
  <c r="R46" i="42"/>
  <c r="R46" i="31"/>
  <c r="R46" i="30"/>
  <c r="R46" i="77"/>
  <c r="R46" i="21"/>
  <c r="R46" i="20"/>
  <c r="R46" i="29"/>
  <c r="R46" i="76"/>
  <c r="R46" i="2"/>
  <c r="R46" i="27"/>
  <c r="R46" i="19"/>
  <c r="R46" i="18"/>
  <c r="R46" i="17"/>
  <c r="R46" i="23"/>
  <c r="R46" i="25"/>
  <c r="R46" i="24"/>
  <c r="R46" i="26"/>
  <c r="R46" i="22"/>
  <c r="D266" i="48"/>
  <c r="R43" i="74"/>
  <c r="R43" i="73"/>
  <c r="R43" i="72"/>
  <c r="R43" i="71"/>
  <c r="R43" i="70"/>
  <c r="R43" i="69"/>
  <c r="R45" i="54"/>
  <c r="R39" i="51"/>
  <c r="R43" i="52"/>
  <c r="R43" i="53"/>
  <c r="R43" i="49"/>
  <c r="R43" i="50"/>
  <c r="R43" i="44"/>
  <c r="R43" i="41"/>
  <c r="R43" i="43"/>
  <c r="R43" i="42"/>
  <c r="R43" i="27"/>
  <c r="R43" i="21"/>
  <c r="R43" i="76"/>
  <c r="R43" i="77"/>
  <c r="R43" i="2"/>
  <c r="R43" i="20"/>
  <c r="R43" i="29"/>
  <c r="R43" i="18"/>
  <c r="R43" i="17"/>
  <c r="R43" i="31"/>
  <c r="R43" i="30"/>
  <c r="R43" i="19"/>
  <c r="R43" i="26"/>
  <c r="R43" i="25"/>
  <c r="R43" i="22"/>
  <c r="R43" i="24"/>
  <c r="R43" i="23"/>
  <c r="Q15" i="74"/>
  <c r="Q15" i="73"/>
  <c r="Q15" i="71"/>
  <c r="Q15" i="72"/>
  <c r="Q15" i="69"/>
  <c r="Q15" i="70"/>
  <c r="Q15" i="53"/>
  <c r="Q15" i="52"/>
  <c r="Q15" i="54"/>
  <c r="Q15" i="50"/>
  <c r="Q15" i="49"/>
  <c r="Q15" i="51"/>
  <c r="Q15" i="44"/>
  <c r="Q15" i="43"/>
  <c r="Q15" i="41"/>
  <c r="Q15" i="42"/>
  <c r="Q15" i="39"/>
  <c r="Q15" i="37"/>
  <c r="Q15" i="38"/>
  <c r="Q15" i="34"/>
  <c r="Q15" i="32"/>
  <c r="Q15" i="40"/>
  <c r="Q15" i="35"/>
  <c r="Q15" i="33"/>
  <c r="Q15" i="27"/>
  <c r="Q15" i="21"/>
  <c r="Q15" i="76"/>
  <c r="Q15" i="20"/>
  <c r="Q15" i="19"/>
  <c r="Q15" i="31"/>
  <c r="Q15" i="30"/>
  <c r="Q15" i="77"/>
  <c r="Q15" i="18"/>
  <c r="Q15" i="29"/>
  <c r="Q15" i="17"/>
  <c r="Q15" i="2"/>
  <c r="Q15" i="26"/>
  <c r="Q15" i="23"/>
  <c r="Q15" i="25"/>
  <c r="Q15" i="22"/>
  <c r="Q15" i="24"/>
  <c r="C294" i="48"/>
  <c r="Q87" i="73"/>
  <c r="Q87" i="74"/>
  <c r="Q87" i="72"/>
  <c r="Q87" i="71"/>
  <c r="Q87" i="69"/>
  <c r="Q87" i="70"/>
  <c r="P86" i="74"/>
  <c r="P86" i="73"/>
  <c r="P86" i="72"/>
  <c r="P86" i="71"/>
  <c r="P86" i="70"/>
  <c r="P86" i="69"/>
  <c r="R61" i="54"/>
  <c r="R59" i="50"/>
  <c r="R55" i="51"/>
  <c r="R59" i="53"/>
  <c r="R59" i="52"/>
  <c r="R59" i="49"/>
  <c r="R59" i="43"/>
  <c r="R59" i="44"/>
  <c r="R59" i="41"/>
  <c r="R59" i="42"/>
  <c r="R59" i="29"/>
  <c r="R59" i="18"/>
  <c r="R59" i="76"/>
  <c r="R59" i="17"/>
  <c r="R59" i="2"/>
  <c r="R59" i="27"/>
  <c r="R59" i="24"/>
  <c r="R59" i="25"/>
  <c r="C45" i="48"/>
  <c r="Q24" i="74"/>
  <c r="Q24" i="73"/>
  <c r="Q24" i="72"/>
  <c r="Q24" i="71"/>
  <c r="Q24" i="69"/>
  <c r="Q24" i="70"/>
  <c r="Q24" i="52"/>
  <c r="Q24" i="53"/>
  <c r="Q24" i="49"/>
  <c r="Q24" i="51"/>
  <c r="Q24" i="50"/>
  <c r="Q24" i="42"/>
  <c r="Q24" i="44"/>
  <c r="Q24" i="41"/>
  <c r="Q24" i="43"/>
  <c r="Q24" i="40"/>
  <c r="Q24" i="32"/>
  <c r="Q24" i="38"/>
  <c r="Q24" i="33"/>
  <c r="Q24" i="35"/>
  <c r="Q24" i="37"/>
  <c r="Q24" i="39"/>
  <c r="Q24" i="34"/>
  <c r="Q24" i="76"/>
  <c r="Q24" i="20"/>
  <c r="Q24" i="31"/>
  <c r="Q24" i="77"/>
  <c r="Q24" i="29"/>
  <c r="Q24" i="19"/>
  <c r="Q24" i="21"/>
  <c r="Q24" i="18"/>
  <c r="Q24" i="17"/>
  <c r="Q24" i="2"/>
  <c r="Q24" i="30"/>
  <c r="Q24" i="27"/>
  <c r="Q24" i="23"/>
  <c r="Q24" i="26"/>
  <c r="Q24" i="22"/>
  <c r="Q24" i="25"/>
  <c r="Q24" i="24"/>
  <c r="P23" i="74"/>
  <c r="P23" i="73"/>
  <c r="P23" i="72"/>
  <c r="P23" i="71"/>
  <c r="P23" i="70"/>
  <c r="P23" i="53"/>
  <c r="P23" i="69"/>
  <c r="P23" i="51"/>
  <c r="P23" i="52"/>
  <c r="P23" i="54"/>
  <c r="P23" i="50"/>
  <c r="P23" i="49"/>
  <c r="P23" i="43"/>
  <c r="P23" i="41"/>
  <c r="P23" i="42"/>
  <c r="P23" i="44"/>
  <c r="P23" i="37"/>
  <c r="P23" i="33"/>
  <c r="P23" i="38"/>
  <c r="P23" i="40"/>
  <c r="P23" i="39"/>
  <c r="P23" i="34"/>
  <c r="P23" i="32"/>
  <c r="P23" i="35"/>
  <c r="P23" i="30"/>
  <c r="P23" i="27"/>
  <c r="P23" i="21"/>
  <c r="P23" i="76"/>
  <c r="P23" i="31"/>
  <c r="P23" i="29"/>
  <c r="P23" i="20"/>
  <c r="P23" i="77"/>
  <c r="P23" i="17"/>
  <c r="P23" i="19"/>
  <c r="P23" i="2"/>
  <c r="P23" i="18"/>
  <c r="P23" i="26"/>
  <c r="P23" i="23"/>
  <c r="P23" i="25"/>
  <c r="P23" i="24"/>
  <c r="P23" i="22"/>
  <c r="B118" i="12"/>
  <c r="E9" i="59" s="1"/>
  <c r="B285" i="12"/>
  <c r="B284" i="12"/>
  <c r="B272" i="12"/>
  <c r="F144" i="48"/>
  <c r="L144" i="48" s="1"/>
  <c r="F165" i="48"/>
  <c r="L165" i="48" s="1"/>
  <c r="F267" i="48"/>
  <c r="F75" i="48"/>
  <c r="F289" i="48"/>
  <c r="L289" i="48" s="1"/>
  <c r="F293" i="48"/>
  <c r="L293" i="48" s="1"/>
  <c r="F291" i="48"/>
  <c r="L291" i="48" s="1"/>
  <c r="F228" i="48"/>
  <c r="L228" i="48" s="1"/>
  <c r="F212" i="48"/>
  <c r="L212" i="48" s="1"/>
  <c r="F207" i="48"/>
  <c r="L207" i="48" s="1"/>
  <c r="F203" i="48"/>
  <c r="L203" i="48" s="1"/>
  <c r="F199" i="48"/>
  <c r="L199" i="48" s="1"/>
  <c r="F152" i="48"/>
  <c r="L152" i="48" s="1"/>
  <c r="F283" i="48"/>
  <c r="L283" i="48" s="1"/>
  <c r="F232" i="48"/>
  <c r="L232" i="48" s="1"/>
  <c r="F236" i="48"/>
  <c r="L236" i="48" s="1"/>
  <c r="F242" i="48"/>
  <c r="L242" i="48" s="1"/>
  <c r="F244" i="48"/>
  <c r="L244" i="48" s="1"/>
  <c r="F248" i="48"/>
  <c r="L248" i="48" s="1"/>
  <c r="F252" i="48"/>
  <c r="L252" i="48" s="1"/>
  <c r="F256" i="48"/>
  <c r="L256" i="48" s="1"/>
  <c r="F261" i="48"/>
  <c r="L261" i="48" s="1"/>
  <c r="F184" i="48"/>
  <c r="L184" i="48" s="1"/>
  <c r="F170" i="48"/>
  <c r="L170" i="48" s="1"/>
  <c r="F297" i="48"/>
  <c r="L297" i="48" s="1"/>
  <c r="F295" i="48"/>
  <c r="L295" i="48" s="1"/>
  <c r="F288" i="48"/>
  <c r="L288" i="48" s="1"/>
  <c r="F286" i="48"/>
  <c r="L286" i="48" s="1"/>
  <c r="F272" i="48"/>
  <c r="L272" i="48" s="1"/>
  <c r="F270" i="48"/>
  <c r="L270" i="48" s="1"/>
  <c r="F268" i="48"/>
  <c r="L268" i="48" s="1"/>
  <c r="F220" i="48"/>
  <c r="L220" i="48" s="1"/>
  <c r="F213" i="48"/>
  <c r="L213" i="48" s="1"/>
  <c r="F208" i="48"/>
  <c r="L208" i="48" s="1"/>
  <c r="F202" i="48"/>
  <c r="L202" i="48" s="1"/>
  <c r="F198" i="48"/>
  <c r="L198" i="48" s="1"/>
  <c r="F149" i="48"/>
  <c r="L149" i="48" s="1"/>
  <c r="F126" i="48"/>
  <c r="L126" i="48" s="1"/>
  <c r="F119" i="48"/>
  <c r="L119" i="48" s="1"/>
  <c r="F61" i="48"/>
  <c r="L61" i="48" s="1"/>
  <c r="F74" i="48"/>
  <c r="F233" i="48"/>
  <c r="L233" i="48" s="1"/>
  <c r="F237" i="48"/>
  <c r="L237" i="48" s="1"/>
  <c r="F241" i="48"/>
  <c r="L241" i="48" s="1"/>
  <c r="F245" i="48"/>
  <c r="L245" i="48" s="1"/>
  <c r="F249" i="48"/>
  <c r="L249" i="48" s="1"/>
  <c r="F253" i="48"/>
  <c r="L253" i="48" s="1"/>
  <c r="F260" i="48"/>
  <c r="L260" i="48" s="1"/>
  <c r="F179" i="48"/>
  <c r="L179" i="48" s="1"/>
  <c r="F292" i="48"/>
  <c r="L292" i="48" s="1"/>
  <c r="F290" i="48"/>
  <c r="L290" i="48" s="1"/>
  <c r="F282" i="48"/>
  <c r="L282" i="48" s="1"/>
  <c r="F277" i="48"/>
  <c r="L277" i="48" s="1"/>
  <c r="F227" i="48"/>
  <c r="L227" i="48" s="1"/>
  <c r="F225" i="48"/>
  <c r="L225" i="48" s="1"/>
  <c r="F223" i="48"/>
  <c r="L223" i="48" s="1"/>
  <c r="F214" i="48"/>
  <c r="L214" i="48" s="1"/>
  <c r="F205" i="48"/>
  <c r="L205" i="48" s="1"/>
  <c r="F201" i="48"/>
  <c r="L201" i="48" s="1"/>
  <c r="F146" i="48"/>
  <c r="L146" i="48" s="1"/>
  <c r="F125" i="48"/>
  <c r="L125" i="48" s="1"/>
  <c r="F120" i="48"/>
  <c r="L120" i="48" s="1"/>
  <c r="F113" i="48"/>
  <c r="L113" i="48" s="1"/>
  <c r="F67" i="48"/>
  <c r="L67" i="48" s="1"/>
  <c r="F66" i="48"/>
  <c r="L66" i="48" s="1"/>
  <c r="F64" i="48"/>
  <c r="L64" i="48" s="1"/>
  <c r="F294" i="48"/>
  <c r="L294" i="48" s="1"/>
  <c r="F230" i="48"/>
  <c r="L230" i="48" s="1"/>
  <c r="F234" i="48"/>
  <c r="L234" i="48" s="1"/>
  <c r="F238" i="48"/>
  <c r="L238" i="48" s="1"/>
  <c r="F240" i="48"/>
  <c r="L240" i="48" s="1"/>
  <c r="F246" i="48"/>
  <c r="L246" i="48" s="1"/>
  <c r="F251" i="48"/>
  <c r="L251" i="48" s="1"/>
  <c r="F254" i="48"/>
  <c r="L254" i="48" s="1"/>
  <c r="F259" i="48"/>
  <c r="L259" i="48" s="1"/>
  <c r="F176" i="48"/>
  <c r="L176" i="48" s="1"/>
  <c r="F160" i="48"/>
  <c r="L160" i="48" s="1"/>
  <c r="F285" i="48"/>
  <c r="L285" i="48" s="1"/>
  <c r="F298" i="48"/>
  <c r="L298" i="48" s="1"/>
  <c r="F296" i="48"/>
  <c r="L296" i="48" s="1"/>
  <c r="F287" i="48"/>
  <c r="L287" i="48" s="1"/>
  <c r="F284" i="48"/>
  <c r="L284" i="48" s="1"/>
  <c r="F271" i="48"/>
  <c r="L271" i="48" s="1"/>
  <c r="F269" i="48"/>
  <c r="L269" i="48" s="1"/>
  <c r="F265" i="48"/>
  <c r="L265" i="48" s="1"/>
  <c r="F216" i="48"/>
  <c r="L216" i="48" s="1"/>
  <c r="F211" i="48"/>
  <c r="L211" i="48" s="1"/>
  <c r="F206" i="48"/>
  <c r="L206" i="48" s="1"/>
  <c r="F204" i="48"/>
  <c r="L204" i="48" s="1"/>
  <c r="F200" i="48"/>
  <c r="L200" i="48" s="1"/>
  <c r="F70" i="48"/>
  <c r="L70" i="48" s="1"/>
  <c r="F73" i="48"/>
  <c r="L73" i="48" s="1"/>
  <c r="F209" i="48"/>
  <c r="L209" i="48" s="1"/>
  <c r="F231" i="48"/>
  <c r="L231" i="48" s="1"/>
  <c r="F235" i="48"/>
  <c r="L235" i="48" s="1"/>
  <c r="F239" i="48"/>
  <c r="L239" i="48" s="1"/>
  <c r="F243" i="48"/>
  <c r="L243" i="48" s="1"/>
  <c r="F247" i="48"/>
  <c r="L247" i="48" s="1"/>
  <c r="F250" i="48"/>
  <c r="L250" i="48" s="1"/>
  <c r="F255" i="48"/>
  <c r="L255" i="48" s="1"/>
  <c r="F258" i="48"/>
  <c r="L258" i="48" s="1"/>
  <c r="F139" i="48"/>
  <c r="L139" i="48" s="1"/>
  <c r="F155" i="48"/>
  <c r="L155" i="48" s="1"/>
  <c r="F173" i="48"/>
  <c r="L173" i="48" s="1"/>
  <c r="F194" i="48"/>
  <c r="L194" i="48" s="1"/>
  <c r="F124" i="48"/>
  <c r="L124" i="48" s="1"/>
  <c r="F117" i="48"/>
  <c r="L117" i="48" s="1"/>
  <c r="F121" i="48"/>
  <c r="L121" i="48" s="1"/>
  <c r="F123" i="48"/>
  <c r="L123" i="48" s="1"/>
  <c r="R59" i="22"/>
  <c r="K7" i="50"/>
  <c r="K7" i="2"/>
  <c r="K7" i="22"/>
  <c r="K7" i="25"/>
  <c r="K7" i="44"/>
  <c r="K7" i="52"/>
  <c r="K7" i="17"/>
  <c r="K7" i="27"/>
  <c r="K7" i="41"/>
  <c r="J114" i="48"/>
  <c r="D44" i="48"/>
  <c r="D45" i="48"/>
  <c r="C44" i="48"/>
  <c r="J47" i="48"/>
  <c r="K47" i="48"/>
  <c r="D47" i="48"/>
  <c r="C47" i="48"/>
  <c r="B45" i="48"/>
  <c r="B44" i="48"/>
  <c r="L274" i="48"/>
  <c r="L221" i="48"/>
  <c r="L222" i="48"/>
  <c r="C273" i="9"/>
  <c r="B283" i="9"/>
  <c r="F289" i="9"/>
  <c r="F281" i="9"/>
  <c r="F273" i="9"/>
  <c r="C283" i="9"/>
  <c r="C275" i="9"/>
  <c r="J283" i="9"/>
  <c r="K102" i="48" s="1"/>
  <c r="B277" i="9"/>
  <c r="I289" i="9"/>
  <c r="J105" i="48" s="1"/>
  <c r="I285" i="9"/>
  <c r="J103" i="48" s="1"/>
  <c r="I281" i="9"/>
  <c r="J101" i="48" s="1"/>
  <c r="I277" i="9"/>
  <c r="J99" i="48" s="1"/>
  <c r="I273" i="9"/>
  <c r="J97" i="48" s="1"/>
  <c r="J281" i="9"/>
  <c r="K101" i="48" s="1"/>
  <c r="F287" i="9"/>
  <c r="C289" i="9"/>
  <c r="B289" i="9"/>
  <c r="B275" i="9"/>
  <c r="A285" i="9"/>
  <c r="A273" i="9"/>
  <c r="J279" i="9"/>
  <c r="K100" i="48" s="1"/>
  <c r="F285" i="9"/>
  <c r="C287" i="9"/>
  <c r="J287" i="9"/>
  <c r="K104" i="48" s="1"/>
  <c r="J273" i="9"/>
  <c r="K97" i="48" s="1"/>
  <c r="I283" i="9"/>
  <c r="J102" i="48" s="1"/>
  <c r="I275" i="9"/>
  <c r="J98" i="48" s="1"/>
  <c r="J285" i="9"/>
  <c r="K103" i="48" s="1"/>
  <c r="J275" i="9"/>
  <c r="K98" i="48" s="1"/>
  <c r="F283" i="9"/>
  <c r="F275" i="9"/>
  <c r="C285" i="9"/>
  <c r="C277" i="9"/>
  <c r="B285" i="9"/>
  <c r="J277" i="9"/>
  <c r="K99" i="48" s="1"/>
  <c r="B273" i="9"/>
  <c r="A287" i="9"/>
  <c r="A283" i="9"/>
  <c r="A279" i="9"/>
  <c r="A275" i="9"/>
  <c r="J289" i="9"/>
  <c r="K105" i="48" s="1"/>
  <c r="F279" i="9"/>
  <c r="C281" i="9"/>
  <c r="B281" i="9"/>
  <c r="A289" i="9"/>
  <c r="A281" i="9"/>
  <c r="A277" i="9"/>
  <c r="B287" i="9"/>
  <c r="F277" i="9"/>
  <c r="C279" i="9"/>
  <c r="B279" i="9"/>
  <c r="I287" i="9"/>
  <c r="J104" i="48" s="1"/>
  <c r="I279" i="9"/>
  <c r="J100" i="48" s="1"/>
  <c r="B3" i="9"/>
  <c r="F270" i="9"/>
  <c r="J268" i="9"/>
  <c r="K95" i="48" s="1"/>
  <c r="B268" i="9"/>
  <c r="F262" i="9"/>
  <c r="J260" i="9"/>
  <c r="K91" i="48" s="1"/>
  <c r="B260" i="9"/>
  <c r="F258" i="9"/>
  <c r="J256" i="9"/>
  <c r="K89" i="48" s="1"/>
  <c r="B256" i="9"/>
  <c r="F254" i="9"/>
  <c r="J270" i="9"/>
  <c r="K96" i="48" s="1"/>
  <c r="B270" i="9"/>
  <c r="F268" i="9"/>
  <c r="J262" i="9"/>
  <c r="K92" i="48" s="1"/>
  <c r="B262" i="9"/>
  <c r="F260" i="9"/>
  <c r="B258" i="9"/>
  <c r="F256" i="9"/>
  <c r="J254" i="9"/>
  <c r="K88" i="48" s="1"/>
  <c r="B254" i="9"/>
  <c r="A270" i="9"/>
  <c r="I262" i="9"/>
  <c r="J92" i="48" s="1"/>
  <c r="A262" i="9"/>
  <c r="I258" i="9"/>
  <c r="J90" i="48" s="1"/>
  <c r="A258" i="9"/>
  <c r="I254" i="9"/>
  <c r="J88" i="48" s="1"/>
  <c r="A254" i="9"/>
  <c r="C270" i="9"/>
  <c r="I268" i="9"/>
  <c r="J95" i="48" s="1"/>
  <c r="A268" i="9"/>
  <c r="C262" i="9"/>
  <c r="I260" i="9"/>
  <c r="J91" i="48" s="1"/>
  <c r="A260" i="9"/>
  <c r="C258" i="9"/>
  <c r="I256" i="9"/>
  <c r="J89" i="48" s="1"/>
  <c r="A256" i="9"/>
  <c r="C254" i="9"/>
  <c r="J258" i="9"/>
  <c r="K90" i="48" s="1"/>
  <c r="I270" i="9"/>
  <c r="J96" i="48" s="1"/>
  <c r="C268" i="9"/>
  <c r="C260" i="9"/>
  <c r="C256" i="9"/>
  <c r="F660" i="9"/>
  <c r="G304" i="48" s="1"/>
  <c r="M304" i="48" s="1"/>
  <c r="H304" i="48" s="1"/>
  <c r="F415" i="9"/>
  <c r="F659" i="9"/>
  <c r="G303" i="48" s="1"/>
  <c r="M303" i="48" s="1"/>
  <c r="H303" i="48" s="1"/>
  <c r="D37" i="16"/>
  <c r="F125" i="9"/>
  <c r="F17" i="16" s="1"/>
  <c r="G17" i="16" s="1"/>
  <c r="F124" i="9"/>
  <c r="F16" i="16" s="1"/>
  <c r="G16" i="16" s="1"/>
  <c r="F120" i="9"/>
  <c r="F119" i="9"/>
  <c r="T38" i="54" s="1"/>
  <c r="U38" i="54" s="1"/>
  <c r="F118" i="9"/>
  <c r="T37" i="54" s="1"/>
  <c r="U37" i="54" s="1"/>
  <c r="F117" i="9"/>
  <c r="T36" i="54" s="1"/>
  <c r="U36" i="54" s="1"/>
  <c r="F116" i="9"/>
  <c r="T35" i="54" s="1"/>
  <c r="U35" i="54" s="1"/>
  <c r="F593" i="9"/>
  <c r="J122" i="48"/>
  <c r="C266" i="9"/>
  <c r="A266" i="9"/>
  <c r="J96" i="9"/>
  <c r="K36" i="48" s="1"/>
  <c r="F134" i="9"/>
  <c r="F644" i="9"/>
  <c r="F397" i="9"/>
  <c r="F665" i="9"/>
  <c r="G309" i="48" s="1"/>
  <c r="M309" i="48" s="1"/>
  <c r="H309" i="48" s="1"/>
  <c r="F661" i="9"/>
  <c r="G305" i="48" s="1"/>
  <c r="M305" i="48" s="1"/>
  <c r="H305" i="48" s="1"/>
  <c r="F657" i="9"/>
  <c r="G301" i="48" s="1"/>
  <c r="M301" i="48" s="1"/>
  <c r="H301" i="48" s="1"/>
  <c r="F110" i="9"/>
  <c r="T29" i="54" s="1"/>
  <c r="U29" i="54" s="1"/>
  <c r="F112" i="9"/>
  <c r="T31" i="54" s="1"/>
  <c r="U31" i="54" s="1"/>
  <c r="F114" i="9"/>
  <c r="T33" i="54" s="1"/>
  <c r="U33" i="54" s="1"/>
  <c r="F111" i="9"/>
  <c r="T30" i="54" s="1"/>
  <c r="U30" i="54" s="1"/>
  <c r="F113" i="9"/>
  <c r="T32" i="54" s="1"/>
  <c r="U32" i="54" s="1"/>
  <c r="F115" i="9"/>
  <c r="T34" i="54" s="1"/>
  <c r="U34" i="54" s="1"/>
  <c r="F599" i="9"/>
  <c r="G256" i="48" s="1"/>
  <c r="F547" i="9"/>
  <c r="F545" i="9"/>
  <c r="F459" i="9"/>
  <c r="F420" i="9"/>
  <c r="F667" i="9"/>
  <c r="F610" i="9"/>
  <c r="F26" i="16" s="1"/>
  <c r="G26" i="16" s="1"/>
  <c r="F575" i="9"/>
  <c r="F23" i="75" s="1"/>
  <c r="G23" i="75" s="1"/>
  <c r="F581" i="9"/>
  <c r="G241" i="48" s="1"/>
  <c r="F580" i="9"/>
  <c r="F19" i="75" s="1"/>
  <c r="G19" i="75" s="1"/>
  <c r="F579" i="9"/>
  <c r="F18" i="75" s="1"/>
  <c r="G18" i="75" s="1"/>
  <c r="F585" i="9"/>
  <c r="F14" i="75" s="1"/>
  <c r="G14" i="75" s="1"/>
  <c r="F588" i="9"/>
  <c r="G248" i="48" s="1"/>
  <c r="F571" i="9"/>
  <c r="F4" i="75" s="1"/>
  <c r="G4" i="75" s="1"/>
  <c r="I173" i="9"/>
  <c r="J68" i="48" s="1"/>
  <c r="J173" i="9"/>
  <c r="K68" i="48" s="1"/>
  <c r="C184" i="48"/>
  <c r="I266" i="9"/>
  <c r="J94" i="48" s="1"/>
  <c r="C36" i="48"/>
  <c r="J121" i="48"/>
  <c r="J264" i="9"/>
  <c r="K93" i="48" s="1"/>
  <c r="D27" i="61"/>
  <c r="J266" i="9"/>
  <c r="K94" i="48" s="1"/>
  <c r="D246" i="48"/>
  <c r="B34" i="57"/>
  <c r="B174" i="9"/>
  <c r="C69" i="48" s="1"/>
  <c r="A173" i="9"/>
  <c r="F410" i="9"/>
  <c r="B6" i="75"/>
  <c r="C31" i="75"/>
  <c r="D283" i="48"/>
  <c r="D201" i="48"/>
  <c r="C4" i="75"/>
  <c r="C49" i="16"/>
  <c r="B129" i="48"/>
  <c r="B202" i="48"/>
  <c r="B22" i="67"/>
  <c r="D14" i="75"/>
  <c r="D12" i="75"/>
  <c r="C152" i="48"/>
  <c r="D15" i="75"/>
  <c r="C36" i="57"/>
  <c r="D52" i="16"/>
  <c r="B45" i="16"/>
  <c r="B40" i="16"/>
  <c r="C28" i="64"/>
  <c r="C33" i="67"/>
  <c r="B28" i="64"/>
  <c r="D139" i="48"/>
  <c r="C225" i="48"/>
  <c r="C223" i="48"/>
  <c r="F587" i="9"/>
  <c r="F17" i="75" s="1"/>
  <c r="G17" i="75" s="1"/>
  <c r="B198" i="48"/>
  <c r="C290" i="48"/>
  <c r="B223" i="48"/>
  <c r="C31" i="67"/>
  <c r="C238" i="48"/>
  <c r="C245" i="48"/>
  <c r="B298" i="48"/>
  <c r="C260" i="48"/>
  <c r="B255" i="48"/>
  <c r="C224" i="48"/>
  <c r="B268" i="48"/>
  <c r="D221" i="48"/>
  <c r="B30" i="64"/>
  <c r="C32" i="67"/>
  <c r="C176" i="48"/>
  <c r="C20" i="75"/>
  <c r="B36" i="57"/>
  <c r="B272" i="48"/>
  <c r="D32" i="75"/>
  <c r="C27" i="75"/>
  <c r="C35" i="57"/>
  <c r="D129" i="48"/>
  <c r="B283" i="48"/>
  <c r="D34" i="75"/>
  <c r="C179" i="48"/>
  <c r="C230" i="48"/>
  <c r="D24" i="60"/>
  <c r="C40" i="16"/>
  <c r="B200" i="48"/>
  <c r="C8" i="75"/>
  <c r="C134" i="48"/>
  <c r="C242" i="48"/>
  <c r="B33" i="67"/>
  <c r="C42" i="16"/>
  <c r="L226" i="48"/>
  <c r="D45" i="16"/>
  <c r="D293" i="48"/>
  <c r="F382" i="9"/>
  <c r="B295" i="48"/>
  <c r="B19" i="16"/>
  <c r="D30" i="75"/>
  <c r="B46" i="16"/>
  <c r="F645" i="9"/>
  <c r="F591" i="9"/>
  <c r="F641" i="9"/>
  <c r="F45" i="16" s="1"/>
  <c r="G45" i="16" s="1"/>
  <c r="F636" i="9"/>
  <c r="F40" i="16" s="1"/>
  <c r="G40" i="16" s="1"/>
  <c r="F132" i="9"/>
  <c r="F548" i="9"/>
  <c r="F574" i="9"/>
  <c r="F551" i="9"/>
  <c r="Q70" i="67" s="1"/>
  <c r="R70" i="67" s="1"/>
  <c r="F597" i="9"/>
  <c r="G254" i="48" s="1"/>
  <c r="D249" i="48"/>
  <c r="F604" i="9"/>
  <c r="G261" i="48" s="1"/>
  <c r="F603" i="9"/>
  <c r="F34" i="75" s="1"/>
  <c r="G34" i="75" s="1"/>
  <c r="F602" i="9"/>
  <c r="F33" i="75" s="1"/>
  <c r="G33" i="75" s="1"/>
  <c r="F601" i="9"/>
  <c r="G258" i="48" s="1"/>
  <c r="F639" i="9"/>
  <c r="F387" i="9"/>
  <c r="D41" i="16"/>
  <c r="D287" i="48"/>
  <c r="F592" i="9"/>
  <c r="F577" i="9"/>
  <c r="F600" i="9"/>
  <c r="G257" i="48" s="1"/>
  <c r="M257" i="48" s="1"/>
  <c r="H257" i="48" s="1"/>
  <c r="F462" i="9"/>
  <c r="F572" i="9"/>
  <c r="F10" i="75" s="1"/>
  <c r="G10" i="75" s="1"/>
  <c r="B285" i="48"/>
  <c r="B39" i="16"/>
  <c r="B284" i="48"/>
  <c r="B38" i="16"/>
  <c r="D292" i="48"/>
  <c r="D46" i="16"/>
  <c r="D44" i="16"/>
  <c r="D290" i="48"/>
  <c r="C272" i="48"/>
  <c r="C25" i="16"/>
  <c r="C23" i="16"/>
  <c r="C21" i="16"/>
  <c r="B237" i="48"/>
  <c r="D165" i="48"/>
  <c r="C234" i="48"/>
  <c r="C9" i="75"/>
  <c r="J116" i="48"/>
  <c r="I264" i="9"/>
  <c r="J93" i="48" s="1"/>
  <c r="F264" i="9"/>
  <c r="F589" i="9"/>
  <c r="K121" i="48"/>
  <c r="A264" i="9"/>
  <c r="K205" i="48"/>
  <c r="G296" i="48"/>
  <c r="F643" i="9"/>
  <c r="F631" i="9"/>
  <c r="G282" i="48" s="1"/>
  <c r="F135" i="9"/>
  <c r="F131" i="9"/>
  <c r="F540" i="9"/>
  <c r="F425" i="9"/>
  <c r="B266" i="9"/>
  <c r="F266" i="9"/>
  <c r="F544" i="9"/>
  <c r="F550" i="9"/>
  <c r="F461" i="9"/>
  <c r="Q60" i="67" s="1"/>
  <c r="R60" i="67" s="1"/>
  <c r="F457" i="9"/>
  <c r="Q56" i="67" s="1"/>
  <c r="R56" i="67" s="1"/>
  <c r="F392" i="9"/>
  <c r="F666" i="9"/>
  <c r="F668" i="9"/>
  <c r="F656" i="9"/>
  <c r="G300" i="48" s="1"/>
  <c r="M300" i="48" s="1"/>
  <c r="H300" i="48" s="1"/>
  <c r="F663" i="9"/>
  <c r="G307" i="48" s="1"/>
  <c r="M307" i="48" s="1"/>
  <c r="H307" i="48" s="1"/>
  <c r="F590" i="9"/>
  <c r="C23" i="62"/>
  <c r="C34" i="14"/>
  <c r="B226" i="48"/>
  <c r="B253" i="48"/>
  <c r="C284" i="48"/>
  <c r="C287" i="48"/>
  <c r="C46" i="16"/>
  <c r="C36" i="16"/>
  <c r="C282" i="48"/>
  <c r="D254" i="48"/>
  <c r="D26" i="75"/>
  <c r="D239" i="48"/>
  <c r="D18" i="75"/>
  <c r="D234" i="48"/>
  <c r="D9" i="75"/>
  <c r="B42" i="16"/>
  <c r="B288" i="48"/>
  <c r="B245" i="48"/>
  <c r="C19" i="67"/>
  <c r="C173" i="48"/>
  <c r="B126" i="48"/>
  <c r="F460" i="9"/>
  <c r="F458" i="9"/>
  <c r="Q57" i="67" s="1"/>
  <c r="R57" i="67" s="1"/>
  <c r="F549" i="9"/>
  <c r="F436" i="9"/>
  <c r="F576" i="9"/>
  <c r="G236" i="48" s="1"/>
  <c r="F583" i="9"/>
  <c r="F13" i="75" s="1"/>
  <c r="G13" i="75" s="1"/>
  <c r="F664" i="9"/>
  <c r="G308" i="48" s="1"/>
  <c r="M308" i="48" s="1"/>
  <c r="H308" i="48" s="1"/>
  <c r="F596" i="9"/>
  <c r="F570" i="9"/>
  <c r="F546" i="9"/>
  <c r="F573" i="9"/>
  <c r="C264" i="9"/>
  <c r="B22" i="16"/>
  <c r="B269" i="48"/>
  <c r="B17" i="75"/>
  <c r="B10" i="75"/>
  <c r="B11" i="75"/>
  <c r="B16" i="75"/>
  <c r="D134" i="48"/>
  <c r="I174" i="9"/>
  <c r="J69" i="48" s="1"/>
  <c r="C174" i="9"/>
  <c r="D69" i="48" s="1"/>
  <c r="F642" i="9"/>
  <c r="G292" i="48" s="1"/>
  <c r="F637" i="9"/>
  <c r="F41" i="16" s="1"/>
  <c r="G41" i="16" s="1"/>
  <c r="F130" i="9"/>
  <c r="F127" i="9"/>
  <c r="F399" i="9"/>
  <c r="F365" i="9"/>
  <c r="F632" i="9"/>
  <c r="B264" i="9"/>
  <c r="J174" i="9"/>
  <c r="K69" i="48" s="1"/>
  <c r="A174" i="9"/>
  <c r="B69" i="48" s="1"/>
  <c r="F640" i="9"/>
  <c r="F44" i="16" s="1"/>
  <c r="G44" i="16" s="1"/>
  <c r="F638" i="9"/>
  <c r="G288" i="48" s="1"/>
  <c r="F633" i="9"/>
  <c r="F29" i="16"/>
  <c r="G29" i="16" s="1"/>
  <c r="F128" i="9"/>
  <c r="F126" i="9"/>
  <c r="F405" i="9"/>
  <c r="F174" i="9"/>
  <c r="G69" i="48" s="1"/>
  <c r="M69" i="48" s="1"/>
  <c r="H69" i="48" s="1"/>
  <c r="F662" i="9"/>
  <c r="G306" i="48" s="1"/>
  <c r="M306" i="48" s="1"/>
  <c r="H306" i="48" s="1"/>
  <c r="F658" i="9"/>
  <c r="G302" i="48" s="1"/>
  <c r="M302" i="48" s="1"/>
  <c r="H302" i="48" s="1"/>
  <c r="F598" i="9"/>
  <c r="F578" i="9"/>
  <c r="G238" i="48" s="1"/>
  <c r="F582" i="9"/>
  <c r="F21" i="75" s="1"/>
  <c r="G21" i="75" s="1"/>
  <c r="F586" i="9"/>
  <c r="F16" i="75" s="1"/>
  <c r="G16" i="75" s="1"/>
  <c r="F584" i="9"/>
  <c r="F15" i="75" s="1"/>
  <c r="G15" i="75" s="1"/>
  <c r="F595" i="9"/>
  <c r="G252" i="48" s="1"/>
  <c r="F594" i="9"/>
  <c r="F7" i="75" s="1"/>
  <c r="G7" i="75" s="1"/>
  <c r="F173" i="9"/>
  <c r="D155" i="48"/>
  <c r="C244" i="48"/>
  <c r="C15" i="75"/>
  <c r="B26" i="16"/>
  <c r="B25" i="75"/>
  <c r="C165" i="48"/>
  <c r="B274" i="48"/>
  <c r="J206" i="48"/>
  <c r="B36" i="48"/>
  <c r="B173" i="9"/>
  <c r="F653" i="9"/>
  <c r="G298" i="48" s="1"/>
  <c r="F634" i="9"/>
  <c r="K211" i="48"/>
  <c r="D36" i="48"/>
  <c r="B176" i="48"/>
  <c r="B228" i="48"/>
  <c r="B35" i="67"/>
  <c r="B24" i="67"/>
  <c r="B203" i="48"/>
  <c r="C293" i="48"/>
  <c r="C47" i="16"/>
  <c r="D289" i="48"/>
  <c r="D224" i="48"/>
  <c r="D35" i="57"/>
  <c r="B34" i="67"/>
  <c r="B24" i="60"/>
  <c r="D238" i="48"/>
  <c r="D24" i="75"/>
  <c r="D23" i="75"/>
  <c r="D235" i="48"/>
  <c r="D20" i="75"/>
  <c r="D241" i="48"/>
  <c r="D17" i="75"/>
  <c r="D247" i="48"/>
  <c r="B8" i="75"/>
  <c r="B233" i="48"/>
  <c r="C250" i="48"/>
  <c r="C6" i="75"/>
  <c r="C249" i="48"/>
  <c r="C5" i="75"/>
  <c r="D230" i="48"/>
  <c r="D3" i="75"/>
  <c r="C194" i="48"/>
  <c r="B184" i="48"/>
  <c r="D179" i="48"/>
  <c r="B155" i="48"/>
  <c r="D49" i="16"/>
  <c r="D176" i="48"/>
  <c r="D199" i="48"/>
  <c r="B29" i="16"/>
  <c r="B277" i="48"/>
  <c r="B126" i="9"/>
  <c r="B289" i="48"/>
  <c r="B43" i="16"/>
  <c r="C221" i="48"/>
  <c r="C24" i="60"/>
  <c r="B242" i="48"/>
  <c r="B21" i="75"/>
  <c r="B20" i="75"/>
  <c r="B241" i="48"/>
  <c r="B240" i="48"/>
  <c r="B19" i="75"/>
  <c r="B18" i="75"/>
  <c r="B239" i="48"/>
  <c r="B230" i="48"/>
  <c r="B3" i="75"/>
  <c r="C285" i="48"/>
  <c r="C39" i="16"/>
  <c r="D231" i="48"/>
  <c r="D19" i="75"/>
  <c r="C129" i="48"/>
  <c r="B47" i="16"/>
  <c r="B221" i="48"/>
  <c r="B251" i="48"/>
  <c r="C277" i="48"/>
  <c r="B22" i="75"/>
  <c r="D202" i="48"/>
  <c r="B44" i="16"/>
  <c r="B290" i="48"/>
  <c r="D284" i="48"/>
  <c r="D38" i="16"/>
  <c r="D24" i="16"/>
  <c r="D271" i="48"/>
  <c r="C18" i="75"/>
  <c r="C239" i="48"/>
  <c r="C17" i="75"/>
  <c r="C247" i="48"/>
  <c r="D40" i="16"/>
  <c r="D286" i="48"/>
  <c r="D270" i="48"/>
  <c r="D23" i="16"/>
  <c r="C12" i="75"/>
  <c r="C248" i="48"/>
  <c r="C10" i="75"/>
  <c r="C232" i="48"/>
  <c r="B243" i="48"/>
  <c r="B270" i="48"/>
  <c r="B249" i="48"/>
  <c r="B23" i="62"/>
  <c r="D7" i="75"/>
  <c r="B26" i="75"/>
  <c r="B254" i="48"/>
  <c r="C26" i="16"/>
  <c r="C274" i="48"/>
  <c r="D243" i="48"/>
  <c r="D13" i="75"/>
  <c r="D29" i="16"/>
  <c r="D277" i="48"/>
  <c r="C20" i="67"/>
  <c r="D25" i="16"/>
  <c r="D198" i="48"/>
  <c r="C24" i="16"/>
  <c r="B267" i="48"/>
  <c r="C267" i="48"/>
  <c r="C22" i="16"/>
  <c r="D36" i="16"/>
  <c r="B179" i="48"/>
  <c r="C251" i="48"/>
  <c r="B37" i="16"/>
  <c r="C29" i="67"/>
  <c r="B194" i="48"/>
  <c r="B231" i="48"/>
  <c r="D250" i="48"/>
  <c r="B27" i="61"/>
  <c r="B34" i="14"/>
  <c r="C28" i="75"/>
  <c r="C237" i="48"/>
  <c r="D21" i="16"/>
  <c r="D268" i="48"/>
  <c r="C48" i="16"/>
  <c r="B32" i="67"/>
  <c r="B35" i="57"/>
  <c r="D43" i="16"/>
  <c r="B224" i="48"/>
  <c r="B271" i="48"/>
  <c r="B261" i="48"/>
  <c r="B259" i="48"/>
  <c r="B33" i="75"/>
  <c r="C170" i="48"/>
  <c r="C27" i="61"/>
  <c r="C220" i="48"/>
  <c r="D27" i="75"/>
  <c r="D253" i="48"/>
  <c r="B235" i="48"/>
  <c r="B23" i="75"/>
  <c r="B244" i="48"/>
  <c r="B15" i="75"/>
  <c r="D10" i="75"/>
  <c r="D232" i="48"/>
  <c r="D225" i="48"/>
  <c r="D36" i="57"/>
  <c r="D28" i="64"/>
  <c r="D223" i="48"/>
  <c r="D34" i="57"/>
  <c r="D184" i="48"/>
  <c r="B134" i="48"/>
  <c r="C32" i="75"/>
  <c r="C139" i="48"/>
  <c r="C149" i="48"/>
  <c r="D23" i="62"/>
  <c r="D34" i="14"/>
  <c r="B199" i="48"/>
  <c r="B20" i="67"/>
  <c r="D22" i="75"/>
  <c r="D236" i="48"/>
  <c r="C246" i="48"/>
  <c r="C16" i="75"/>
  <c r="B234" i="48"/>
  <c r="B9" i="75"/>
  <c r="D194" i="48"/>
  <c r="B32" i="75"/>
  <c r="D261" i="48"/>
  <c r="B29" i="67"/>
  <c r="C254" i="48"/>
  <c r="B248" i="48"/>
  <c r="C259" i="48"/>
  <c r="C33" i="75"/>
  <c r="D68" i="48"/>
  <c r="D126" i="48"/>
  <c r="C291" i="48"/>
  <c r="C45" i="16"/>
  <c r="C43" i="16"/>
  <c r="C289" i="48"/>
  <c r="D160" i="48"/>
  <c r="D28" i="75"/>
  <c r="D237" i="48"/>
  <c r="C22" i="75"/>
  <c r="C236" i="48"/>
  <c r="C243" i="48"/>
  <c r="C13" i="75"/>
  <c r="D294" i="48"/>
  <c r="C261" i="48"/>
  <c r="C35" i="75"/>
  <c r="B28" i="67"/>
  <c r="B222" i="48"/>
  <c r="D200" i="48"/>
  <c r="D48" i="16"/>
  <c r="B294" i="48"/>
  <c r="B48" i="16"/>
  <c r="C283" i="48"/>
  <c r="C37" i="16"/>
  <c r="B24" i="75"/>
  <c r="B238" i="48"/>
  <c r="C23" i="75"/>
  <c r="C235" i="48"/>
  <c r="C11" i="75"/>
  <c r="C252" i="48"/>
  <c r="D233" i="48"/>
  <c r="B260" i="48"/>
  <c r="D21" i="75"/>
  <c r="D259" i="48"/>
  <c r="D33" i="75"/>
  <c r="C24" i="67"/>
  <c r="C203" i="48"/>
  <c r="B152" i="48"/>
  <c r="A126" i="9"/>
  <c r="C126" i="9"/>
  <c r="L77" i="48"/>
  <c r="L76" i="48"/>
  <c r="U160" i="19"/>
  <c r="F116" i="48"/>
  <c r="AD93" i="48"/>
  <c r="F10" i="8"/>
  <c r="Q10" i="9" s="1"/>
  <c r="H4" i="56"/>
  <c r="L2" i="24"/>
  <c r="B18" i="12"/>
  <c r="N11" i="74" s="1"/>
  <c r="F2" i="10"/>
  <c r="F56" i="10"/>
  <c r="B9" i="12"/>
  <c r="B218" i="12"/>
  <c r="B225" i="12"/>
  <c r="B246" i="12"/>
  <c r="B251" i="12"/>
  <c r="B42" i="12"/>
  <c r="B126" i="12"/>
  <c r="L2" i="25"/>
  <c r="B146" i="12"/>
  <c r="B194" i="12"/>
  <c r="B161" i="12"/>
  <c r="P25" i="3" s="1"/>
  <c r="B56" i="12"/>
  <c r="B34" i="10" s="1"/>
  <c r="B205" i="12"/>
  <c r="B33" i="12"/>
  <c r="N9" i="11" s="1"/>
  <c r="L2" i="10"/>
  <c r="F43" i="10"/>
  <c r="B163" i="12"/>
  <c r="B88" i="12"/>
  <c r="B84" i="12"/>
  <c r="G21" i="11" s="1"/>
  <c r="B80" i="12"/>
  <c r="N22" i="11" s="1"/>
  <c r="B70" i="12"/>
  <c r="B8" i="12"/>
  <c r="B19" i="12"/>
  <c r="B216" i="12"/>
  <c r="B298" i="11" s="1"/>
  <c r="B220" i="12"/>
  <c r="B242" i="12"/>
  <c r="B247" i="12"/>
  <c r="B253" i="12"/>
  <c r="B41" i="12"/>
  <c r="B136" i="12"/>
  <c r="B37" i="12"/>
  <c r="N14" i="11" s="1"/>
  <c r="B195" i="12"/>
  <c r="B123" i="12"/>
  <c r="B188" i="12"/>
  <c r="B179" i="12"/>
  <c r="I18" i="14" s="1"/>
  <c r="B53" i="12"/>
  <c r="B208" i="12"/>
  <c r="H6" i="48" s="1"/>
  <c r="J130" i="15"/>
  <c r="F56" i="3"/>
  <c r="B11" i="12"/>
  <c r="I1" i="62" s="1"/>
  <c r="B12" i="12"/>
  <c r="B145" i="12"/>
  <c r="B93" i="12"/>
  <c r="B99" i="12"/>
  <c r="J133" i="75" s="1"/>
  <c r="B16" i="12"/>
  <c r="B233" i="12"/>
  <c r="B409" i="11" s="1"/>
  <c r="B221" i="12"/>
  <c r="A655" i="8" s="1"/>
  <c r="L655" i="9" s="1"/>
  <c r="B60" i="12"/>
  <c r="B100" i="15" s="1"/>
  <c r="B122" i="12"/>
  <c r="B135" i="12"/>
  <c r="B111" i="12"/>
  <c r="B108" i="12"/>
  <c r="B55" i="12"/>
  <c r="B102" i="12"/>
  <c r="B21" i="72" s="1"/>
  <c r="B226" i="12"/>
  <c r="B400" i="11" s="1"/>
  <c r="B219" i="12"/>
  <c r="B324" i="48" s="1"/>
  <c r="B207" i="12"/>
  <c r="B230" i="12"/>
  <c r="B24" i="12"/>
  <c r="K2" i="11" s="1"/>
  <c r="B58" i="12"/>
  <c r="B68" i="12"/>
  <c r="K7" i="39" s="1"/>
  <c r="B54" i="12"/>
  <c r="B185" i="12"/>
  <c r="I16" i="65" s="1"/>
  <c r="B178" i="12"/>
  <c r="I17" i="60" s="1"/>
  <c r="B175" i="12"/>
  <c r="I21" i="59" s="1"/>
  <c r="B173" i="12"/>
  <c r="I22" i="58" s="1"/>
  <c r="B153" i="12"/>
  <c r="B25" i="66" s="1"/>
  <c r="B139" i="12"/>
  <c r="E8" i="66" s="1"/>
  <c r="B138" i="12"/>
  <c r="E7" i="66" s="1"/>
  <c r="B131" i="12"/>
  <c r="B113" i="12"/>
  <c r="E5" i="14" s="1"/>
  <c r="B191" i="12"/>
  <c r="E19" i="60" s="1"/>
  <c r="B124" i="12"/>
  <c r="B156" i="12"/>
  <c r="P15" i="3" s="1"/>
  <c r="B13" i="12"/>
  <c r="B5" i="12"/>
  <c r="N8" i="32" s="1"/>
  <c r="B62" i="12"/>
  <c r="F97" i="10" s="1"/>
  <c r="B237" i="12"/>
  <c r="B415" i="11" s="1"/>
  <c r="B148" i="12"/>
  <c r="B46" i="72" s="1"/>
  <c r="B120" i="12"/>
  <c r="G1" i="60" s="1"/>
  <c r="B107" i="12"/>
  <c r="B109" i="12"/>
  <c r="B59" i="12"/>
  <c r="B150" i="12"/>
  <c r="B47" i="74" s="1"/>
  <c r="B32" i="12"/>
  <c r="I6" i="70" s="1"/>
  <c r="B256" i="12"/>
  <c r="I335" i="48" s="1"/>
  <c r="B154" i="12"/>
  <c r="B96" i="12"/>
  <c r="B206" i="12"/>
  <c r="B229" i="12"/>
  <c r="B67" i="12"/>
  <c r="B42" i="10" s="1"/>
  <c r="B184" i="12"/>
  <c r="I16" i="62" s="1"/>
  <c r="B181" i="12"/>
  <c r="I20" i="57" s="1"/>
  <c r="B174" i="12"/>
  <c r="I18" i="59" s="1"/>
  <c r="B168" i="12"/>
  <c r="J22" i="56" s="1"/>
  <c r="B172" i="12"/>
  <c r="I20" i="58" s="1"/>
  <c r="B134" i="12"/>
  <c r="B114" i="12"/>
  <c r="B192" i="12"/>
  <c r="E18" i="60" s="1"/>
  <c r="B115" i="12"/>
  <c r="B159" i="12"/>
  <c r="P21" i="3" s="1"/>
  <c r="B4" i="12"/>
  <c r="I3" i="65" s="1"/>
  <c r="B36" i="12"/>
  <c r="I7" i="33" s="1"/>
  <c r="B20" i="12"/>
  <c r="N9" i="15" s="1"/>
  <c r="B90" i="12"/>
  <c r="E21" i="61" s="1"/>
  <c r="B125" i="12"/>
  <c r="B34" i="12"/>
  <c r="N10" i="11" s="1"/>
  <c r="O8" i="11" s="1"/>
  <c r="K6" i="69" s="1"/>
  <c r="B252" i="12"/>
  <c r="B331" i="48" s="1"/>
  <c r="B203" i="12"/>
  <c r="B1" i="48" s="1"/>
  <c r="B57" i="12"/>
  <c r="B182" i="12"/>
  <c r="I16" i="64" s="1"/>
  <c r="B176" i="12"/>
  <c r="I22" i="59" s="1"/>
  <c r="B166" i="12"/>
  <c r="J19" i="55" s="1"/>
  <c r="B151" i="12"/>
  <c r="B116" i="12"/>
  <c r="B158" i="12"/>
  <c r="P19" i="3" s="1"/>
  <c r="B104" i="12"/>
  <c r="B55" i="3" s="1"/>
  <c r="B50" i="12"/>
  <c r="B27" i="12"/>
  <c r="B73" i="12"/>
  <c r="Q101" i="10" s="1"/>
  <c r="B190" i="12"/>
  <c r="N77" i="15" s="1"/>
  <c r="B117" i="12"/>
  <c r="B254" i="12"/>
  <c r="B95" i="12"/>
  <c r="F322" i="48" s="1"/>
  <c r="B209" i="12"/>
  <c r="H8" i="48" s="1"/>
  <c r="B228" i="12"/>
  <c r="C122" i="11" s="1"/>
  <c r="B180" i="12"/>
  <c r="I20" i="14" s="1"/>
  <c r="B170" i="12"/>
  <c r="J25" i="56" s="1"/>
  <c r="B171" i="12"/>
  <c r="I18" i="58" s="1"/>
  <c r="B129" i="12"/>
  <c r="B74" i="12"/>
  <c r="B36" i="56" s="1"/>
  <c r="B119" i="12"/>
  <c r="F7" i="60" s="1"/>
  <c r="B157" i="12"/>
  <c r="P17" i="3" s="1"/>
  <c r="B103" i="12"/>
  <c r="B1" i="3" s="1"/>
  <c r="B196" i="12"/>
  <c r="B181" i="41" s="1"/>
  <c r="B197" i="12"/>
  <c r="B144" i="12"/>
  <c r="B43" i="26" s="1"/>
  <c r="B51" i="12"/>
  <c r="B14" i="12"/>
  <c r="B127" i="12"/>
  <c r="B30" i="12"/>
  <c r="N5" i="11" s="1"/>
  <c r="B39" i="12"/>
  <c r="B43" i="12"/>
  <c r="B69" i="12"/>
  <c r="B257" i="12"/>
  <c r="B249" i="12"/>
  <c r="B245" i="12"/>
  <c r="B241" i="12"/>
  <c r="B223" i="12"/>
  <c r="B210" i="12"/>
  <c r="B204" i="12"/>
  <c r="C103" i="11" s="1"/>
  <c r="B199" i="12"/>
  <c r="B214" i="12"/>
  <c r="B165" i="12"/>
  <c r="B89" i="12"/>
  <c r="C10" i="9" s="1"/>
  <c r="D10" i="48" s="1"/>
  <c r="B86" i="12"/>
  <c r="B76" i="12"/>
  <c r="B17" i="12"/>
  <c r="B193" i="12"/>
  <c r="B202" i="12"/>
  <c r="C100" i="11" s="1"/>
  <c r="B238" i="12"/>
  <c r="B128" i="12"/>
  <c r="B177" i="12"/>
  <c r="I24" i="59" s="1"/>
  <c r="B106" i="12"/>
  <c r="B78" i="12"/>
  <c r="N20" i="11" s="1"/>
  <c r="L2" i="22"/>
  <c r="B164" i="12"/>
  <c r="B212" i="12"/>
  <c r="B201" i="12"/>
  <c r="B222" i="12"/>
  <c r="B231" i="12"/>
  <c r="B243" i="12"/>
  <c r="B248" i="12"/>
  <c r="B26" i="12"/>
  <c r="B40" i="12"/>
  <c r="B133" i="12"/>
  <c r="M5" i="3"/>
  <c r="B21" i="12"/>
  <c r="B30" i="56" s="1"/>
  <c r="B47" i="12"/>
  <c r="R8" i="10" s="1"/>
  <c r="G1" i="66"/>
  <c r="B140" i="12"/>
  <c r="E9" i="66" s="1"/>
  <c r="B167" i="12"/>
  <c r="J20" i="56" s="1"/>
  <c r="B183" i="12"/>
  <c r="I18" i="61" s="1"/>
  <c r="B211" i="12"/>
  <c r="H15" i="11" s="1"/>
  <c r="B29" i="12"/>
  <c r="N4" i="11" s="1"/>
  <c r="B64" i="12"/>
  <c r="R106" i="10" s="1"/>
  <c r="B121" i="12"/>
  <c r="B82" i="12"/>
  <c r="B10" i="3"/>
  <c r="L2" i="40"/>
  <c r="K7" i="38"/>
  <c r="B29" i="15"/>
  <c r="B15" i="15"/>
  <c r="I6" i="69"/>
  <c r="L3" i="69"/>
  <c r="L3" i="70"/>
  <c r="B45" i="12"/>
  <c r="C24" i="17" s="1"/>
  <c r="B271" i="12"/>
  <c r="B276" i="12"/>
  <c r="B270" i="12"/>
  <c r="B275" i="12"/>
  <c r="B269" i="12"/>
  <c r="B280" i="12"/>
  <c r="B273" i="12"/>
  <c r="B264" i="12"/>
  <c r="B260" i="12"/>
  <c r="B282" i="12"/>
  <c r="B266" i="12"/>
  <c r="B262" i="12"/>
  <c r="B265" i="12"/>
  <c r="B283" i="12"/>
  <c r="B279" i="12"/>
  <c r="B268" i="12"/>
  <c r="B263" i="12"/>
  <c r="B259" i="12"/>
  <c r="B278" i="12"/>
  <c r="B281" i="12"/>
  <c r="B277" i="12"/>
  <c r="B261" i="12"/>
  <c r="B23" i="12"/>
  <c r="B83" i="12"/>
  <c r="B234" i="12"/>
  <c r="B412" i="11" s="1"/>
  <c r="B100" i="12"/>
  <c r="B213" i="12"/>
  <c r="H19" i="11" s="1"/>
  <c r="B25" i="12"/>
  <c r="B141" i="12"/>
  <c r="B91" i="12"/>
  <c r="B48" i="12"/>
  <c r="L2" i="38" s="1"/>
  <c r="B28" i="12"/>
  <c r="N3" i="11" s="1"/>
  <c r="O2" i="11" s="1"/>
  <c r="B63" i="12"/>
  <c r="B232" i="12"/>
  <c r="B408" i="11" s="1"/>
  <c r="B79" i="12"/>
  <c r="B239" i="12"/>
  <c r="B202" i="10" s="1"/>
  <c r="B142" i="12"/>
  <c r="B71" i="12"/>
  <c r="B147" i="12"/>
  <c r="B22" i="12"/>
  <c r="B4" i="67" s="1"/>
  <c r="B132" i="12"/>
  <c r="B72" i="12"/>
  <c r="B7" i="12"/>
  <c r="L111" i="48"/>
  <c r="L122" i="48"/>
  <c r="D31" i="75"/>
  <c r="D256" i="48"/>
  <c r="C30" i="75"/>
  <c r="C255" i="48"/>
  <c r="C101" i="11"/>
  <c r="D26" i="16"/>
  <c r="D25" i="75"/>
  <c r="D252" i="48"/>
  <c r="D11" i="75"/>
  <c r="E2" i="75"/>
  <c r="E19" i="66"/>
  <c r="E2" i="16"/>
  <c r="E19" i="62"/>
  <c r="E24" i="59"/>
  <c r="E24" i="58"/>
  <c r="E24" i="14"/>
  <c r="E19" i="65"/>
  <c r="N7" i="37"/>
  <c r="N7" i="70"/>
  <c r="N7" i="41"/>
  <c r="N7" i="51"/>
  <c r="N7" i="71"/>
  <c r="I7" i="75"/>
  <c r="J8" i="67"/>
  <c r="I8" i="64"/>
  <c r="I8" i="59"/>
  <c r="I8" i="66"/>
  <c r="I8" i="61"/>
  <c r="I8" i="60"/>
  <c r="I8" i="62"/>
  <c r="I8" i="14"/>
  <c r="J8" i="56"/>
  <c r="I8" i="58"/>
  <c r="N6" i="31"/>
  <c r="N6" i="29"/>
  <c r="I8" i="65"/>
  <c r="I6" i="16"/>
  <c r="N6" i="22"/>
  <c r="N6" i="19"/>
  <c r="T5" i="10"/>
  <c r="K6" i="11"/>
  <c r="N6" i="77"/>
  <c r="N7" i="34"/>
  <c r="N7" i="53"/>
  <c r="N7" i="35"/>
  <c r="N7" i="54"/>
  <c r="N6" i="25"/>
  <c r="N6" i="21"/>
  <c r="N6" i="18"/>
  <c r="N6" i="27"/>
  <c r="N6" i="26"/>
  <c r="N6" i="20"/>
  <c r="N6" i="17"/>
  <c r="N8" i="15"/>
  <c r="N7" i="42"/>
  <c r="N7" i="39"/>
  <c r="N7" i="32"/>
  <c r="N7" i="50"/>
  <c r="P8" i="3"/>
  <c r="N6" i="23"/>
  <c r="N7" i="52"/>
  <c r="N7" i="43"/>
  <c r="N6" i="76"/>
  <c r="N7" i="69"/>
  <c r="N6" i="30"/>
  <c r="N7" i="33"/>
  <c r="N7" i="73"/>
  <c r="N7" i="49"/>
  <c r="N7" i="40"/>
  <c r="D285" i="48"/>
  <c r="D39" i="16"/>
  <c r="C155" i="48"/>
  <c r="C52" i="16"/>
  <c r="N11" i="39"/>
  <c r="N11" i="44"/>
  <c r="N10" i="30"/>
  <c r="B256" i="48"/>
  <c r="B31" i="75"/>
  <c r="C240" i="48"/>
  <c r="C19" i="75"/>
  <c r="N7" i="44"/>
  <c r="N6" i="2"/>
  <c r="C35" i="67"/>
  <c r="C228" i="48"/>
  <c r="B227" i="48"/>
  <c r="B30" i="67"/>
  <c r="C30" i="67"/>
  <c r="C227" i="48"/>
  <c r="C202" i="48"/>
  <c r="C23" i="67"/>
  <c r="E35" i="16"/>
  <c r="D42" i="16"/>
  <c r="D288" i="48"/>
  <c r="AJ114" i="48"/>
  <c r="B41" i="16"/>
  <c r="C21" i="67"/>
  <c r="I9" i="61"/>
  <c r="N7" i="74"/>
  <c r="J8" i="55"/>
  <c r="N6" i="24"/>
  <c r="B149" i="48"/>
  <c r="C146" i="48"/>
  <c r="C28" i="67"/>
  <c r="C22" i="67"/>
  <c r="C201" i="48"/>
  <c r="D22" i="16"/>
  <c r="D269" i="48"/>
  <c r="C128" i="9"/>
  <c r="D19" i="16"/>
  <c r="B43" i="23"/>
  <c r="B146" i="48"/>
  <c r="B36" i="16"/>
  <c r="B282" i="48"/>
  <c r="B127" i="9"/>
  <c r="B65" i="15"/>
  <c r="K7" i="40"/>
  <c r="B55" i="10"/>
  <c r="B62" i="10"/>
  <c r="K7" i="37"/>
  <c r="L87" i="48"/>
  <c r="F84" i="48"/>
  <c r="B58" i="30"/>
  <c r="B46" i="29"/>
  <c r="B48" i="31"/>
  <c r="B58" i="77"/>
  <c r="B53" i="76"/>
  <c r="B53" i="27"/>
  <c r="F35" i="10"/>
  <c r="F29" i="10"/>
  <c r="B200" i="12"/>
  <c r="F266" i="48"/>
  <c r="B144" i="48"/>
  <c r="L63" i="48"/>
  <c r="L62" i="48"/>
  <c r="L29" i="48"/>
  <c r="L68" i="48"/>
  <c r="G280" i="48" l="1"/>
  <c r="M280" i="48" s="1"/>
  <c r="H280" i="48" s="1"/>
  <c r="F32" i="16"/>
  <c r="G32" i="16" s="1"/>
  <c r="F31" i="16"/>
  <c r="G31" i="16" s="1"/>
  <c r="G279" i="48"/>
  <c r="M279" i="48" s="1"/>
  <c r="H279" i="48" s="1"/>
  <c r="G276" i="48"/>
  <c r="M276" i="48" s="1"/>
  <c r="H276" i="48" s="1"/>
  <c r="F28" i="16"/>
  <c r="G28" i="16" s="1"/>
  <c r="F30" i="16"/>
  <c r="G30" i="16" s="1"/>
  <c r="G278" i="48"/>
  <c r="M278" i="48" s="1"/>
  <c r="H278" i="48" s="1"/>
  <c r="I10" i="14"/>
  <c r="D18" i="67"/>
  <c r="E23" i="60"/>
  <c r="N41" i="15"/>
  <c r="D27" i="67"/>
  <c r="I9" i="14"/>
  <c r="N11" i="54"/>
  <c r="N10" i="2"/>
  <c r="N10" i="77"/>
  <c r="I9" i="16"/>
  <c r="N10" i="27"/>
  <c r="N11" i="34"/>
  <c r="N10" i="22"/>
  <c r="N10" i="24"/>
  <c r="P10" i="9"/>
  <c r="E24" i="57"/>
  <c r="E10" i="9"/>
  <c r="F10" i="48" s="1"/>
  <c r="F106" i="10"/>
  <c r="L2" i="41"/>
  <c r="G8" i="8"/>
  <c r="B18" i="11"/>
  <c r="P104" i="71"/>
  <c r="G15" i="71" s="1"/>
  <c r="P104" i="50"/>
  <c r="G15" i="50" s="1"/>
  <c r="P104" i="38"/>
  <c r="G15" i="38" s="1"/>
  <c r="P104" i="30"/>
  <c r="G15" i="30" s="1"/>
  <c r="P104" i="20"/>
  <c r="G15" i="20" s="1"/>
  <c r="P104" i="17"/>
  <c r="G15" i="17" s="1"/>
  <c r="P104" i="33"/>
  <c r="G15" i="33" s="1"/>
  <c r="P104" i="42"/>
  <c r="G15" i="42" s="1"/>
  <c r="P104" i="73"/>
  <c r="G15" i="73" s="1"/>
  <c r="P104" i="27"/>
  <c r="G15" i="27" s="1"/>
  <c r="P104" i="53"/>
  <c r="G15" i="53" s="1"/>
  <c r="B15" i="67"/>
  <c r="B27" i="55"/>
  <c r="N11" i="72"/>
  <c r="N10" i="23"/>
  <c r="I9" i="60"/>
  <c r="N11" i="43"/>
  <c r="N10" i="29"/>
  <c r="I9" i="64"/>
  <c r="N11" i="40"/>
  <c r="N11" i="35"/>
  <c r="I1" i="64"/>
  <c r="B14" i="67"/>
  <c r="B9" i="67"/>
  <c r="B28" i="56"/>
  <c r="B20" i="56"/>
  <c r="B6" i="67"/>
  <c r="B29" i="56"/>
  <c r="B12" i="67"/>
  <c r="B8" i="67"/>
  <c r="B5" i="67"/>
  <c r="B22" i="56"/>
  <c r="B10" i="67"/>
  <c r="B27" i="56"/>
  <c r="B21" i="56"/>
  <c r="B7" i="67"/>
  <c r="B11" i="67"/>
  <c r="B13" i="67"/>
  <c r="B23" i="55"/>
  <c r="B20" i="55"/>
  <c r="B22" i="55"/>
  <c r="B21" i="55"/>
  <c r="P85" i="25"/>
  <c r="F14" i="25" s="1"/>
  <c r="P85" i="26"/>
  <c r="F14" i="26" s="1"/>
  <c r="B24" i="55"/>
  <c r="B25" i="55"/>
  <c r="B26" i="55"/>
  <c r="P86" i="26"/>
  <c r="F15" i="26" s="1"/>
  <c r="P86" i="25"/>
  <c r="F15" i="25" s="1"/>
  <c r="P9" i="3"/>
  <c r="L101" i="55"/>
  <c r="I9" i="58"/>
  <c r="N11" i="50"/>
  <c r="N11" i="41"/>
  <c r="I9" i="57"/>
  <c r="I9" i="75"/>
  <c r="T9" i="10"/>
  <c r="N11" i="38"/>
  <c r="E8" i="14"/>
  <c r="N6" i="65"/>
  <c r="D24" i="65"/>
  <c r="D219" i="48"/>
  <c r="M4" i="65"/>
  <c r="C22" i="65"/>
  <c r="C217" i="48"/>
  <c r="E215" i="48"/>
  <c r="O2" i="65"/>
  <c r="O2" i="67"/>
  <c r="O2" i="56"/>
  <c r="E128" i="48"/>
  <c r="O2" i="55"/>
  <c r="O10" i="57"/>
  <c r="O3" i="65"/>
  <c r="O6" i="61"/>
  <c r="O10" i="14"/>
  <c r="E216" i="48"/>
  <c r="O25" i="56"/>
  <c r="O28" i="55"/>
  <c r="E151" i="48"/>
  <c r="E180" i="48"/>
  <c r="O36" i="67"/>
  <c r="E227" i="48"/>
  <c r="O65" i="67"/>
  <c r="O49" i="56"/>
  <c r="E206" i="48"/>
  <c r="O4" i="57"/>
  <c r="O4" i="14"/>
  <c r="O4" i="59"/>
  <c r="O4" i="64"/>
  <c r="O4" i="58"/>
  <c r="O5" i="64"/>
  <c r="O5" i="57"/>
  <c r="O5" i="14"/>
  <c r="O5" i="59"/>
  <c r="O5" i="58"/>
  <c r="E207" i="48"/>
  <c r="E165" i="48"/>
  <c r="O30" i="67"/>
  <c r="E170" i="48"/>
  <c r="O41" i="56"/>
  <c r="O41" i="67"/>
  <c r="E185" i="48"/>
  <c r="E142" i="48"/>
  <c r="O16" i="55"/>
  <c r="O16" i="67"/>
  <c r="O16" i="56"/>
  <c r="O3" i="62"/>
  <c r="O6" i="57"/>
  <c r="E208" i="48"/>
  <c r="O6" i="14"/>
  <c r="O3" i="61"/>
  <c r="O6" i="58"/>
  <c r="O6" i="64"/>
  <c r="O6" i="59"/>
  <c r="B219" i="48"/>
  <c r="L6" i="65"/>
  <c r="B24" i="65"/>
  <c r="M5" i="65"/>
  <c r="C23" i="65"/>
  <c r="C218" i="48"/>
  <c r="Q5" i="65"/>
  <c r="R5" i="65" s="1"/>
  <c r="G218" i="48"/>
  <c r="O25" i="55"/>
  <c r="E148" i="48"/>
  <c r="O22" i="56"/>
  <c r="O39" i="56"/>
  <c r="O28" i="67"/>
  <c r="E163" i="48"/>
  <c r="O44" i="56"/>
  <c r="E173" i="48"/>
  <c r="E202" i="48"/>
  <c r="O60" i="67"/>
  <c r="O68" i="67"/>
  <c r="E225" i="48"/>
  <c r="O11" i="64"/>
  <c r="O13" i="57"/>
  <c r="E182" i="48"/>
  <c r="O38" i="67"/>
  <c r="O22" i="67"/>
  <c r="E157" i="48"/>
  <c r="O33" i="56"/>
  <c r="E184" i="48"/>
  <c r="O40" i="67"/>
  <c r="O2" i="62"/>
  <c r="O2" i="58"/>
  <c r="O2" i="64"/>
  <c r="O2" i="59"/>
  <c r="O2" i="61"/>
  <c r="O2" i="57"/>
  <c r="E204" i="48"/>
  <c r="O2" i="14"/>
  <c r="O40" i="56"/>
  <c r="E164" i="48"/>
  <c r="O29" i="67"/>
  <c r="O13" i="67"/>
  <c r="E139" i="48"/>
  <c r="O13" i="55"/>
  <c r="O13" i="56"/>
  <c r="E166" i="48"/>
  <c r="O31" i="67"/>
  <c r="O37" i="67"/>
  <c r="E181" i="48"/>
  <c r="O8" i="56"/>
  <c r="O8" i="67"/>
  <c r="E134" i="48"/>
  <c r="O8" i="55"/>
  <c r="E197" i="48"/>
  <c r="O53" i="67"/>
  <c r="E156" i="48"/>
  <c r="O21" i="67"/>
  <c r="O32" i="56"/>
  <c r="O48" i="56"/>
  <c r="O64" i="67"/>
  <c r="E226" i="48"/>
  <c r="E179" i="48"/>
  <c r="O35" i="67"/>
  <c r="O17" i="55"/>
  <c r="O44" i="67"/>
  <c r="E188" i="48"/>
  <c r="O7" i="55"/>
  <c r="E133" i="48"/>
  <c r="O7" i="67"/>
  <c r="O7" i="56"/>
  <c r="E199" i="48"/>
  <c r="O57" i="67"/>
  <c r="O25" i="67"/>
  <c r="E160" i="48"/>
  <c r="O36" i="56"/>
  <c r="O61" i="67"/>
  <c r="E203" i="48"/>
  <c r="O34" i="56"/>
  <c r="O23" i="67"/>
  <c r="E158" i="48"/>
  <c r="D22" i="65"/>
  <c r="D217" i="48"/>
  <c r="N4" i="65"/>
  <c r="N2" i="65"/>
  <c r="D20" i="65"/>
  <c r="D215" i="48"/>
  <c r="Q6" i="65"/>
  <c r="R6" i="65" s="1"/>
  <c r="G219" i="48"/>
  <c r="E174" i="48"/>
  <c r="O45" i="56"/>
  <c r="O45" i="67"/>
  <c r="E189" i="48"/>
  <c r="O18" i="55"/>
  <c r="O23" i="55"/>
  <c r="E146" i="48"/>
  <c r="O20" i="56"/>
  <c r="O20" i="55"/>
  <c r="E191" i="48"/>
  <c r="O47" i="67"/>
  <c r="O6" i="56"/>
  <c r="O6" i="55"/>
  <c r="O6" i="67"/>
  <c r="E132" i="48"/>
  <c r="E214" i="48"/>
  <c r="O4" i="66"/>
  <c r="O26" i="55"/>
  <c r="E149" i="48"/>
  <c r="O23" i="56"/>
  <c r="O47" i="56"/>
  <c r="E222" i="48"/>
  <c r="O63" i="67"/>
  <c r="O8" i="57"/>
  <c r="O5" i="61"/>
  <c r="O8" i="14"/>
  <c r="E210" i="48"/>
  <c r="O3" i="56"/>
  <c r="E129" i="48"/>
  <c r="O3" i="67"/>
  <c r="O3" i="55"/>
  <c r="O50" i="67"/>
  <c r="E194" i="48"/>
  <c r="O26" i="67"/>
  <c r="O37" i="56"/>
  <c r="E161" i="48"/>
  <c r="E196" i="48"/>
  <c r="O52" i="67"/>
  <c r="O4" i="62"/>
  <c r="O7" i="57"/>
  <c r="O4" i="61"/>
  <c r="O7" i="59"/>
  <c r="E209" i="48"/>
  <c r="O7" i="58"/>
  <c r="O7" i="64"/>
  <c r="O7" i="14"/>
  <c r="E168" i="48"/>
  <c r="O33" i="67"/>
  <c r="E217" i="48"/>
  <c r="O4" i="65"/>
  <c r="E172" i="48"/>
  <c r="O43" i="56"/>
  <c r="O5" i="56"/>
  <c r="O5" i="55"/>
  <c r="E131" i="48"/>
  <c r="O5" i="67"/>
  <c r="E195" i="48"/>
  <c r="O51" i="67"/>
  <c r="O10" i="55"/>
  <c r="E136" i="48"/>
  <c r="O10" i="56"/>
  <c r="O10" i="67"/>
  <c r="O3" i="64"/>
  <c r="O3" i="58"/>
  <c r="O3" i="59"/>
  <c r="E205" i="48"/>
  <c r="O3" i="57"/>
  <c r="O3" i="14"/>
  <c r="E153" i="48"/>
  <c r="O30" i="55"/>
  <c r="O27" i="56"/>
  <c r="E220" i="48"/>
  <c r="O11" i="14"/>
  <c r="O5" i="62"/>
  <c r="O7" i="61"/>
  <c r="O48" i="67"/>
  <c r="O21" i="55"/>
  <c r="E192" i="48"/>
  <c r="L5" i="65"/>
  <c r="B23" i="65"/>
  <c r="B218" i="48"/>
  <c r="M2" i="65"/>
  <c r="C215" i="48"/>
  <c r="C20" i="65"/>
  <c r="E143" i="48"/>
  <c r="O31" i="55"/>
  <c r="O17" i="67"/>
  <c r="O17" i="56"/>
  <c r="E212" i="48"/>
  <c r="O2" i="66"/>
  <c r="E141" i="48"/>
  <c r="O15" i="67"/>
  <c r="O15" i="56"/>
  <c r="O15" i="55"/>
  <c r="E193" i="48"/>
  <c r="O49" i="67"/>
  <c r="O27" i="55"/>
  <c r="O24" i="56"/>
  <c r="E150" i="48"/>
  <c r="O9" i="67"/>
  <c r="O9" i="56"/>
  <c r="O9" i="55"/>
  <c r="E135" i="48"/>
  <c r="E162" i="48"/>
  <c r="O27" i="67"/>
  <c r="O38" i="56"/>
  <c r="O4" i="56"/>
  <c r="E130" i="48"/>
  <c r="O4" i="55"/>
  <c r="O4" i="67"/>
  <c r="E144" i="48"/>
  <c r="O18" i="56"/>
  <c r="O18" i="67"/>
  <c r="O32" i="55"/>
  <c r="O12" i="57"/>
  <c r="E224" i="48"/>
  <c r="O10" i="64"/>
  <c r="O67" i="67"/>
  <c r="E159" i="48"/>
  <c r="O24" i="67"/>
  <c r="O35" i="56"/>
  <c r="O12" i="56"/>
  <c r="O12" i="55"/>
  <c r="O12" i="67"/>
  <c r="E138" i="48"/>
  <c r="Q2" i="65"/>
  <c r="R2" i="65" s="1"/>
  <c r="G215" i="48"/>
  <c r="B22" i="65"/>
  <c r="B217" i="48"/>
  <c r="L4" i="65"/>
  <c r="L2" i="65"/>
  <c r="B20" i="65"/>
  <c r="B215" i="48"/>
  <c r="C219" i="48"/>
  <c r="M6" i="65"/>
  <c r="C24" i="65"/>
  <c r="N5" i="65"/>
  <c r="D23" i="65"/>
  <c r="D218" i="48"/>
  <c r="Q4" i="65"/>
  <c r="R4" i="65" s="1"/>
  <c r="G217" i="48"/>
  <c r="O43" i="67"/>
  <c r="E187" i="48"/>
  <c r="O56" i="67"/>
  <c r="E198" i="48"/>
  <c r="O2" i="60"/>
  <c r="O69" i="67"/>
  <c r="E221" i="48"/>
  <c r="E178" i="48"/>
  <c r="O34" i="67"/>
  <c r="E223" i="48"/>
  <c r="O9" i="64"/>
  <c r="O66" i="67"/>
  <c r="O11" i="57"/>
  <c r="O19" i="67"/>
  <c r="E154" i="48"/>
  <c r="O30" i="56"/>
  <c r="E171" i="48"/>
  <c r="O42" i="56"/>
  <c r="E201" i="48"/>
  <c r="O59" i="67"/>
  <c r="O14" i="67"/>
  <c r="E140" i="48"/>
  <c r="O14" i="55"/>
  <c r="O14" i="56"/>
  <c r="E218" i="48"/>
  <c r="O5" i="65"/>
  <c r="O31" i="56"/>
  <c r="E155" i="48"/>
  <c r="O20" i="67"/>
  <c r="O39" i="67"/>
  <c r="E183" i="48"/>
  <c r="E211" i="48"/>
  <c r="O8" i="58"/>
  <c r="O9" i="14"/>
  <c r="O8" i="64"/>
  <c r="O9" i="57"/>
  <c r="O8" i="59"/>
  <c r="O11" i="55"/>
  <c r="O11" i="56"/>
  <c r="E137" i="48"/>
  <c r="O11" i="67"/>
  <c r="O58" i="67"/>
  <c r="E200" i="48"/>
  <c r="E186" i="48"/>
  <c r="O42" i="67"/>
  <c r="E147" i="48"/>
  <c r="O21" i="56"/>
  <c r="O24" i="55"/>
  <c r="E219" i="48"/>
  <c r="O6" i="65"/>
  <c r="E152" i="48"/>
  <c r="O29" i="55"/>
  <c r="O26" i="56"/>
  <c r="O3" i="66"/>
  <c r="E213" i="48"/>
  <c r="E167" i="48"/>
  <c r="O32" i="67"/>
  <c r="O46" i="67"/>
  <c r="E190" i="48"/>
  <c r="O19" i="55"/>
  <c r="O22" i="55"/>
  <c r="E145" i="48"/>
  <c r="O19" i="56"/>
  <c r="L4" i="61"/>
  <c r="L7" i="64"/>
  <c r="L4" i="62"/>
  <c r="L7" i="57"/>
  <c r="L7" i="58"/>
  <c r="L7" i="14"/>
  <c r="L7" i="59"/>
  <c r="C22" i="66"/>
  <c r="M4" i="66"/>
  <c r="C205" i="48"/>
  <c r="M3" i="64"/>
  <c r="M3" i="58"/>
  <c r="M3" i="14"/>
  <c r="M3" i="59"/>
  <c r="M3" i="57"/>
  <c r="Q5" i="62"/>
  <c r="R5" i="62" s="1"/>
  <c r="Q7" i="61"/>
  <c r="R7" i="61" s="1"/>
  <c r="Q11" i="14"/>
  <c r="R11" i="14" s="1"/>
  <c r="D205" i="48"/>
  <c r="N3" i="64"/>
  <c r="N3" i="57"/>
  <c r="N3" i="58"/>
  <c r="N3" i="59"/>
  <c r="N3" i="14"/>
  <c r="Q10" i="64"/>
  <c r="R10" i="64" s="1"/>
  <c r="Q67" i="67"/>
  <c r="R67" i="67" s="1"/>
  <c r="Q12" i="57"/>
  <c r="R12" i="57" s="1"/>
  <c r="D209" i="48"/>
  <c r="N4" i="62"/>
  <c r="N4" i="61"/>
  <c r="N7" i="64"/>
  <c r="N7" i="57"/>
  <c r="N7" i="59"/>
  <c r="N7" i="14"/>
  <c r="N7" i="58"/>
  <c r="C210" i="48"/>
  <c r="M5" i="61"/>
  <c r="M8" i="57"/>
  <c r="M8" i="14"/>
  <c r="B211" i="48"/>
  <c r="L8" i="64"/>
  <c r="L9" i="57"/>
  <c r="L9" i="14"/>
  <c r="L8" i="59"/>
  <c r="L8" i="58"/>
  <c r="B214" i="48"/>
  <c r="L4" i="66"/>
  <c r="B27" i="58"/>
  <c r="L4" i="64"/>
  <c r="L4" i="57"/>
  <c r="L4" i="14"/>
  <c r="L4" i="59"/>
  <c r="L4" i="58"/>
  <c r="B22" i="61"/>
  <c r="L2" i="62"/>
  <c r="L2" i="64"/>
  <c r="L2" i="61"/>
  <c r="L2" i="58"/>
  <c r="L2" i="57"/>
  <c r="L2" i="59"/>
  <c r="L2" i="14"/>
  <c r="D28" i="14"/>
  <c r="N5" i="64"/>
  <c r="N5" i="14"/>
  <c r="N5" i="59"/>
  <c r="N5" i="57"/>
  <c r="N5" i="58"/>
  <c r="B25" i="61"/>
  <c r="L5" i="61"/>
  <c r="L8" i="57"/>
  <c r="L8" i="14"/>
  <c r="C209" i="48"/>
  <c r="M4" i="61"/>
  <c r="M7" i="64"/>
  <c r="M4" i="62"/>
  <c r="M7" i="14"/>
  <c r="M7" i="59"/>
  <c r="M7" i="57"/>
  <c r="M7" i="58"/>
  <c r="Q3" i="62"/>
  <c r="R3" i="62" s="1"/>
  <c r="Q3" i="61"/>
  <c r="R3" i="61" s="1"/>
  <c r="Q6" i="64"/>
  <c r="R6" i="64" s="1"/>
  <c r="Q6" i="57"/>
  <c r="R6" i="57" s="1"/>
  <c r="Q6" i="59"/>
  <c r="R6" i="59" s="1"/>
  <c r="Q6" i="58"/>
  <c r="R6" i="58" s="1"/>
  <c r="Q6" i="14"/>
  <c r="R6" i="14" s="1"/>
  <c r="N5" i="61"/>
  <c r="N8" i="57"/>
  <c r="N8" i="14"/>
  <c r="D22" i="61"/>
  <c r="N2" i="61"/>
  <c r="N2" i="62"/>
  <c r="N2" i="64"/>
  <c r="N2" i="14"/>
  <c r="N2" i="59"/>
  <c r="N2" i="58"/>
  <c r="N2" i="57"/>
  <c r="G221" i="48"/>
  <c r="M221" i="48" s="1"/>
  <c r="H221" i="48" s="1"/>
  <c r="Q69" i="67"/>
  <c r="R69" i="67" s="1"/>
  <c r="Q2" i="60"/>
  <c r="R2" i="60" s="1"/>
  <c r="B26" i="58"/>
  <c r="L3" i="64"/>
  <c r="L3" i="14"/>
  <c r="L3" i="59"/>
  <c r="L3" i="57"/>
  <c r="L3" i="58"/>
  <c r="C23" i="61"/>
  <c r="M3" i="61"/>
  <c r="M6" i="64"/>
  <c r="M3" i="62"/>
  <c r="M6" i="58"/>
  <c r="M6" i="14"/>
  <c r="M6" i="59"/>
  <c r="M6" i="57"/>
  <c r="D26" i="61"/>
  <c r="N6" i="61"/>
  <c r="N3" i="65"/>
  <c r="N10" i="14"/>
  <c r="N10" i="57"/>
  <c r="D21" i="65"/>
  <c r="Q11" i="64"/>
  <c r="R11" i="64" s="1"/>
  <c r="Q68" i="67"/>
  <c r="R68" i="67" s="1"/>
  <c r="Q13" i="57"/>
  <c r="R13" i="57" s="1"/>
  <c r="G222" i="48"/>
  <c r="M222" i="48" s="1"/>
  <c r="H222" i="48" s="1"/>
  <c r="Q63" i="67"/>
  <c r="R63" i="67" s="1"/>
  <c r="Q47" i="56"/>
  <c r="R47" i="56" s="1"/>
  <c r="D27" i="58"/>
  <c r="N4" i="64"/>
  <c r="N4" i="58"/>
  <c r="N4" i="59"/>
  <c r="N4" i="57"/>
  <c r="N4" i="14"/>
  <c r="C22" i="61"/>
  <c r="M2" i="62"/>
  <c r="M2" i="64"/>
  <c r="M2" i="61"/>
  <c r="M2" i="57"/>
  <c r="M2" i="14"/>
  <c r="M2" i="59"/>
  <c r="M2" i="58"/>
  <c r="B212" i="48"/>
  <c r="L2" i="66"/>
  <c r="C28" i="57"/>
  <c r="M5" i="64"/>
  <c r="M5" i="59"/>
  <c r="M5" i="58"/>
  <c r="M5" i="57"/>
  <c r="M5" i="14"/>
  <c r="G201" i="48"/>
  <c r="M201" i="48" s="1"/>
  <c r="H201" i="48" s="1"/>
  <c r="Q59" i="67"/>
  <c r="R59" i="67" s="1"/>
  <c r="G203" i="48"/>
  <c r="M203" i="48" s="1"/>
  <c r="H203" i="48" s="1"/>
  <c r="Q61" i="67"/>
  <c r="R61" i="67" s="1"/>
  <c r="C213" i="48"/>
  <c r="M3" i="66"/>
  <c r="Q2" i="62"/>
  <c r="R2" i="62" s="1"/>
  <c r="Q2" i="64"/>
  <c r="R2" i="64" s="1"/>
  <c r="Q2" i="61"/>
  <c r="R2" i="61" s="1"/>
  <c r="Q2" i="57"/>
  <c r="R2" i="57" s="1"/>
  <c r="Q2" i="58"/>
  <c r="R2" i="58" s="1"/>
  <c r="Q2" i="14"/>
  <c r="R2" i="14" s="1"/>
  <c r="Q2" i="59"/>
  <c r="R2" i="59" s="1"/>
  <c r="M3" i="65"/>
  <c r="M6" i="61"/>
  <c r="M10" i="57"/>
  <c r="M10" i="14"/>
  <c r="C21" i="65"/>
  <c r="N3" i="62"/>
  <c r="N3" i="61"/>
  <c r="N6" i="64"/>
  <c r="N6" i="14"/>
  <c r="N6" i="59"/>
  <c r="N6" i="58"/>
  <c r="N6" i="57"/>
  <c r="C27" i="14"/>
  <c r="M4" i="64"/>
  <c r="M4" i="57"/>
  <c r="M4" i="14"/>
  <c r="M4" i="59"/>
  <c r="M4" i="58"/>
  <c r="C31" i="58"/>
  <c r="M8" i="64"/>
  <c r="M9" i="57"/>
  <c r="M9" i="14"/>
  <c r="M8" i="59"/>
  <c r="M8" i="58"/>
  <c r="Q4" i="64"/>
  <c r="R4" i="64" s="1"/>
  <c r="Q4" i="14"/>
  <c r="R4" i="14" s="1"/>
  <c r="Q4" i="59"/>
  <c r="R4" i="59" s="1"/>
  <c r="Q4" i="57"/>
  <c r="R4" i="57" s="1"/>
  <c r="Q4" i="58"/>
  <c r="R4" i="58" s="1"/>
  <c r="D32" i="57"/>
  <c r="N8" i="64"/>
  <c r="N8" i="58"/>
  <c r="N9" i="14"/>
  <c r="N9" i="57"/>
  <c r="N8" i="59"/>
  <c r="Q3" i="64"/>
  <c r="R3" i="64" s="1"/>
  <c r="Q3" i="57"/>
  <c r="R3" i="57" s="1"/>
  <c r="Q3" i="14"/>
  <c r="R3" i="14" s="1"/>
  <c r="Q3" i="59"/>
  <c r="R3" i="59" s="1"/>
  <c r="Q3" i="58"/>
  <c r="R3" i="58" s="1"/>
  <c r="D213" i="48"/>
  <c r="N3" i="66"/>
  <c r="L6" i="61"/>
  <c r="L3" i="65"/>
  <c r="L10" i="14"/>
  <c r="L10" i="57"/>
  <c r="B21" i="65"/>
  <c r="L3" i="61"/>
  <c r="L6" i="64"/>
  <c r="L3" i="62"/>
  <c r="L6" i="57"/>
  <c r="L6" i="58"/>
  <c r="L6" i="14"/>
  <c r="L6" i="59"/>
  <c r="Q9" i="64"/>
  <c r="R9" i="64" s="1"/>
  <c r="Q11" i="57"/>
  <c r="R11" i="57" s="1"/>
  <c r="Q66" i="67"/>
  <c r="R66" i="67" s="1"/>
  <c r="Q64" i="67"/>
  <c r="R64" i="67" s="1"/>
  <c r="Q48" i="56"/>
  <c r="R48" i="56" s="1"/>
  <c r="Q65" i="67"/>
  <c r="R65" i="67" s="1"/>
  <c r="Q49" i="56"/>
  <c r="R49" i="56" s="1"/>
  <c r="B24" i="64"/>
  <c r="L5" i="64"/>
  <c r="L5" i="57"/>
  <c r="L5" i="58"/>
  <c r="L5" i="14"/>
  <c r="L5" i="59"/>
  <c r="D214" i="48"/>
  <c r="N4" i="66"/>
  <c r="G200" i="48"/>
  <c r="M200" i="48" s="1"/>
  <c r="H200" i="48" s="1"/>
  <c r="Q58" i="67"/>
  <c r="R58" i="67" s="1"/>
  <c r="G139" i="48"/>
  <c r="M139" i="48" s="1"/>
  <c r="H139" i="48" s="1"/>
  <c r="Q13" i="67"/>
  <c r="R13" i="67" s="1"/>
  <c r="Q13" i="55"/>
  <c r="R13" i="55" s="1"/>
  <c r="Q10" i="67"/>
  <c r="R10" i="67" s="1"/>
  <c r="Q10" i="55"/>
  <c r="R10" i="55" s="1"/>
  <c r="G136" i="48"/>
  <c r="M136" i="48" s="1"/>
  <c r="H136" i="48" s="1"/>
  <c r="Q25" i="55"/>
  <c r="R25" i="55" s="1"/>
  <c r="G148" i="48"/>
  <c r="M148" i="48" s="1"/>
  <c r="H148" i="48" s="1"/>
  <c r="Q5" i="67"/>
  <c r="R5" i="67" s="1"/>
  <c r="Q5" i="56"/>
  <c r="R5" i="56" s="1"/>
  <c r="Q5" i="55"/>
  <c r="R5" i="55" s="1"/>
  <c r="G131" i="48"/>
  <c r="M131" i="48" s="1"/>
  <c r="H131" i="48" s="1"/>
  <c r="Q12" i="55"/>
  <c r="R12" i="55" s="1"/>
  <c r="Q12" i="67"/>
  <c r="R12" i="67" s="1"/>
  <c r="G138" i="48"/>
  <c r="M138" i="48" s="1"/>
  <c r="H138" i="48" s="1"/>
  <c r="Q15" i="55"/>
  <c r="R15" i="55" s="1"/>
  <c r="Q15" i="67"/>
  <c r="R15" i="67" s="1"/>
  <c r="G141" i="48"/>
  <c r="M141" i="48" s="1"/>
  <c r="H141" i="48" s="1"/>
  <c r="Q28" i="55"/>
  <c r="R28" i="55" s="1"/>
  <c r="G151" i="48"/>
  <c r="M151" i="48" s="1"/>
  <c r="H151" i="48" s="1"/>
  <c r="G149" i="48"/>
  <c r="M149" i="48" s="1"/>
  <c r="H149" i="48" s="1"/>
  <c r="Q26" i="55"/>
  <c r="R26" i="55" s="1"/>
  <c r="G146" i="48"/>
  <c r="M146" i="48" s="1"/>
  <c r="H146" i="48" s="1"/>
  <c r="Q23" i="55"/>
  <c r="R23" i="55" s="1"/>
  <c r="G144" i="48"/>
  <c r="M144" i="48" s="1"/>
  <c r="H144" i="48" s="1"/>
  <c r="Q18" i="67"/>
  <c r="R18" i="67" s="1"/>
  <c r="Q32" i="55"/>
  <c r="R32" i="55" s="1"/>
  <c r="Q7" i="55"/>
  <c r="R7" i="55" s="1"/>
  <c r="Q7" i="67"/>
  <c r="R7" i="67" s="1"/>
  <c r="G133" i="48"/>
  <c r="M133" i="48" s="1"/>
  <c r="H133" i="48" s="1"/>
  <c r="Q2" i="56"/>
  <c r="R2" i="56" s="1"/>
  <c r="Q2" i="67"/>
  <c r="R2" i="67" s="1"/>
  <c r="Q2" i="55"/>
  <c r="R2" i="55" s="1"/>
  <c r="G128" i="48"/>
  <c r="M128" i="48" s="1"/>
  <c r="H128" i="48" s="1"/>
  <c r="Q9" i="55"/>
  <c r="R9" i="55" s="1"/>
  <c r="Q9" i="67"/>
  <c r="R9" i="67" s="1"/>
  <c r="G135" i="48"/>
  <c r="M135" i="48" s="1"/>
  <c r="H135" i="48" s="1"/>
  <c r="Q17" i="67"/>
  <c r="R17" i="67" s="1"/>
  <c r="Q31" i="55"/>
  <c r="R31" i="55" s="1"/>
  <c r="G143" i="48"/>
  <c r="M143" i="48" s="1"/>
  <c r="H143" i="48" s="1"/>
  <c r="Q22" i="55"/>
  <c r="R22" i="55" s="1"/>
  <c r="G145" i="48"/>
  <c r="M145" i="48" s="1"/>
  <c r="H145" i="48" s="1"/>
  <c r="Q27" i="55"/>
  <c r="R27" i="55" s="1"/>
  <c r="G150" i="48"/>
  <c r="M150" i="48" s="1"/>
  <c r="H150" i="48" s="1"/>
  <c r="Q6" i="67"/>
  <c r="R6" i="67" s="1"/>
  <c r="Q6" i="55"/>
  <c r="R6" i="55" s="1"/>
  <c r="Q6" i="56"/>
  <c r="R6" i="56" s="1"/>
  <c r="G132" i="48"/>
  <c r="M132" i="48" s="1"/>
  <c r="H132" i="48" s="1"/>
  <c r="Q16" i="67"/>
  <c r="R16" i="67" s="1"/>
  <c r="Q16" i="55"/>
  <c r="R16" i="55" s="1"/>
  <c r="G142" i="48"/>
  <c r="M142" i="48" s="1"/>
  <c r="H142" i="48" s="1"/>
  <c r="Q30" i="55"/>
  <c r="R30" i="55" s="1"/>
  <c r="G153" i="48"/>
  <c r="M153" i="48" s="1"/>
  <c r="H153" i="48" s="1"/>
  <c r="G152" i="48"/>
  <c r="M152" i="48" s="1"/>
  <c r="H152" i="48" s="1"/>
  <c r="Q29" i="55"/>
  <c r="R29" i="55" s="1"/>
  <c r="G134" i="48"/>
  <c r="M134" i="48" s="1"/>
  <c r="H134" i="48" s="1"/>
  <c r="Q8" i="67"/>
  <c r="R8" i="67" s="1"/>
  <c r="Q8" i="55"/>
  <c r="R8" i="55" s="1"/>
  <c r="G129" i="48"/>
  <c r="M129" i="48" s="1"/>
  <c r="H129" i="48" s="1"/>
  <c r="Q3" i="67"/>
  <c r="R3" i="67" s="1"/>
  <c r="Q3" i="55"/>
  <c r="R3" i="55" s="1"/>
  <c r="Q3" i="56"/>
  <c r="R3" i="56" s="1"/>
  <c r="Q4" i="56"/>
  <c r="R4" i="56" s="1"/>
  <c r="Q4" i="55"/>
  <c r="R4" i="55" s="1"/>
  <c r="Q4" i="67"/>
  <c r="R4" i="67" s="1"/>
  <c r="G130" i="48"/>
  <c r="M130" i="48" s="1"/>
  <c r="H130" i="48" s="1"/>
  <c r="Q11" i="55"/>
  <c r="R11" i="55" s="1"/>
  <c r="Q11" i="67"/>
  <c r="R11" i="67" s="1"/>
  <c r="G137" i="48"/>
  <c r="M137" i="48" s="1"/>
  <c r="H137" i="48" s="1"/>
  <c r="Q14" i="67"/>
  <c r="R14" i="67" s="1"/>
  <c r="Q14" i="55"/>
  <c r="R14" i="55" s="1"/>
  <c r="G140" i="48"/>
  <c r="M140" i="48" s="1"/>
  <c r="H140" i="48" s="1"/>
  <c r="Q24" i="55"/>
  <c r="R24" i="55" s="1"/>
  <c r="G147" i="48"/>
  <c r="M147" i="48" s="1"/>
  <c r="H147" i="48" s="1"/>
  <c r="G216" i="48"/>
  <c r="M216" i="48" s="1"/>
  <c r="H216" i="48" s="1"/>
  <c r="Q6" i="61"/>
  <c r="R6" i="61" s="1"/>
  <c r="Q3" i="65"/>
  <c r="R3" i="65" s="1"/>
  <c r="Q10" i="14"/>
  <c r="R10" i="14" s="1"/>
  <c r="Q10" i="57"/>
  <c r="R10" i="57" s="1"/>
  <c r="G214" i="48"/>
  <c r="M214" i="48" s="1"/>
  <c r="H214" i="48" s="1"/>
  <c r="Q4" i="66"/>
  <c r="R4" i="66" s="1"/>
  <c r="G212" i="48"/>
  <c r="M212" i="48" s="1"/>
  <c r="H212" i="48" s="1"/>
  <c r="Q2" i="66"/>
  <c r="R2" i="66" s="1"/>
  <c r="Q8" i="64"/>
  <c r="R8" i="64" s="1"/>
  <c r="Q9" i="14"/>
  <c r="R9" i="14" s="1"/>
  <c r="Q8" i="58"/>
  <c r="R8" i="58" s="1"/>
  <c r="Q9" i="57"/>
  <c r="R9" i="57" s="1"/>
  <c r="Q8" i="59"/>
  <c r="R8" i="59" s="1"/>
  <c r="Q5" i="61"/>
  <c r="R5" i="61" s="1"/>
  <c r="Q8" i="57"/>
  <c r="R8" i="57" s="1"/>
  <c r="Q8" i="14"/>
  <c r="R8" i="14" s="1"/>
  <c r="Q7" i="64"/>
  <c r="R7" i="64" s="1"/>
  <c r="Q4" i="62"/>
  <c r="R4" i="62" s="1"/>
  <c r="Q4" i="61"/>
  <c r="R4" i="61" s="1"/>
  <c r="Q7" i="57"/>
  <c r="R7" i="57" s="1"/>
  <c r="Q7" i="14"/>
  <c r="R7" i="14" s="1"/>
  <c r="Q7" i="59"/>
  <c r="R7" i="59" s="1"/>
  <c r="Q7" i="58"/>
  <c r="R7" i="58" s="1"/>
  <c r="G207" i="48"/>
  <c r="M207" i="48" s="1"/>
  <c r="H207" i="48" s="1"/>
  <c r="Q5" i="64"/>
  <c r="R5" i="64" s="1"/>
  <c r="Q5" i="14"/>
  <c r="R5" i="14" s="1"/>
  <c r="Q5" i="57"/>
  <c r="R5" i="57" s="1"/>
  <c r="Q5" i="59"/>
  <c r="R5" i="59" s="1"/>
  <c r="Q5" i="58"/>
  <c r="R5" i="58" s="1"/>
  <c r="Q42" i="56"/>
  <c r="R42" i="56" s="1"/>
  <c r="Q50" i="67"/>
  <c r="R50" i="67" s="1"/>
  <c r="Q43" i="56"/>
  <c r="R43" i="56" s="1"/>
  <c r="Q51" i="67"/>
  <c r="R51" i="67" s="1"/>
  <c r="G195" i="48"/>
  <c r="M195" i="48" s="1"/>
  <c r="H195" i="48" s="1"/>
  <c r="Q53" i="67"/>
  <c r="R53" i="67" s="1"/>
  <c r="Q45" i="56"/>
  <c r="R45" i="56" s="1"/>
  <c r="G197" i="48"/>
  <c r="M197" i="48" s="1"/>
  <c r="H197" i="48" s="1"/>
  <c r="Q43" i="67"/>
  <c r="R43" i="67" s="1"/>
  <c r="Q40" i="56"/>
  <c r="R40" i="56" s="1"/>
  <c r="G187" i="48"/>
  <c r="M187" i="48" s="1"/>
  <c r="H187" i="48" s="1"/>
  <c r="Q36" i="67"/>
  <c r="R36" i="67" s="1"/>
  <c r="Q33" i="56"/>
  <c r="R33" i="56" s="1"/>
  <c r="G180" i="48"/>
  <c r="M180" i="48" s="1"/>
  <c r="H180" i="48" s="1"/>
  <c r="Q49" i="67"/>
  <c r="R49" i="67" s="1"/>
  <c r="Q41" i="56"/>
  <c r="R41" i="56" s="1"/>
  <c r="G193" i="48"/>
  <c r="M193" i="48" s="1"/>
  <c r="H193" i="48" s="1"/>
  <c r="Q40" i="67"/>
  <c r="R40" i="67" s="1"/>
  <c r="Q37" i="56"/>
  <c r="R37" i="56" s="1"/>
  <c r="Q42" i="67"/>
  <c r="R42" i="67" s="1"/>
  <c r="Q39" i="56"/>
  <c r="R39" i="56" s="1"/>
  <c r="G186" i="48"/>
  <c r="M186" i="48" s="1"/>
  <c r="H186" i="48" s="1"/>
  <c r="Q48" i="67"/>
  <c r="R48" i="67" s="1"/>
  <c r="Q21" i="55"/>
  <c r="R21" i="55" s="1"/>
  <c r="G192" i="48"/>
  <c r="M192" i="48" s="1"/>
  <c r="H192" i="48" s="1"/>
  <c r="Q44" i="67"/>
  <c r="R44" i="67" s="1"/>
  <c r="Q17" i="55"/>
  <c r="R17" i="55" s="1"/>
  <c r="G188" i="48"/>
  <c r="M188" i="48" s="1"/>
  <c r="H188" i="48" s="1"/>
  <c r="G179" i="48"/>
  <c r="M179" i="48" s="1"/>
  <c r="H179" i="48" s="1"/>
  <c r="Q32" i="56"/>
  <c r="R32" i="56" s="1"/>
  <c r="Q35" i="67"/>
  <c r="R35" i="67" s="1"/>
  <c r="Q35" i="56"/>
  <c r="R35" i="56" s="1"/>
  <c r="Q38" i="67"/>
  <c r="R38" i="67" s="1"/>
  <c r="G182" i="48"/>
  <c r="M182" i="48" s="1"/>
  <c r="H182" i="48" s="1"/>
  <c r="Q37" i="67"/>
  <c r="R37" i="67" s="1"/>
  <c r="Q34" i="56"/>
  <c r="R34" i="56" s="1"/>
  <c r="G181" i="48"/>
  <c r="M181" i="48" s="1"/>
  <c r="H181" i="48" s="1"/>
  <c r="Q38" i="56"/>
  <c r="R38" i="56" s="1"/>
  <c r="Q41" i="67"/>
  <c r="R41" i="67" s="1"/>
  <c r="G185" i="48"/>
  <c r="M185" i="48" s="1"/>
  <c r="H185" i="48" s="1"/>
  <c r="Q36" i="56"/>
  <c r="R36" i="56" s="1"/>
  <c r="Q39" i="67"/>
  <c r="R39" i="67" s="1"/>
  <c r="G183" i="48"/>
  <c r="M183" i="48" s="1"/>
  <c r="H183" i="48" s="1"/>
  <c r="Q31" i="56"/>
  <c r="R31" i="56" s="1"/>
  <c r="Q34" i="67"/>
  <c r="R34" i="67" s="1"/>
  <c r="G178" i="48"/>
  <c r="M178" i="48" s="1"/>
  <c r="H178" i="48" s="1"/>
  <c r="Q52" i="67"/>
  <c r="R52" i="67" s="1"/>
  <c r="Q44" i="56"/>
  <c r="R44" i="56" s="1"/>
  <c r="G196" i="48"/>
  <c r="M196" i="48" s="1"/>
  <c r="H196" i="48" s="1"/>
  <c r="Q18" i="55"/>
  <c r="R18" i="55" s="1"/>
  <c r="Q45" i="67"/>
  <c r="R45" i="67" s="1"/>
  <c r="G189" i="48"/>
  <c r="M189" i="48" s="1"/>
  <c r="H189" i="48" s="1"/>
  <c r="Q19" i="55"/>
  <c r="R19" i="55" s="1"/>
  <c r="Q46" i="67"/>
  <c r="R46" i="67" s="1"/>
  <c r="G190" i="48"/>
  <c r="M190" i="48" s="1"/>
  <c r="H190" i="48" s="1"/>
  <c r="Q47" i="67"/>
  <c r="R47" i="67" s="1"/>
  <c r="Q20" i="55"/>
  <c r="R20" i="55" s="1"/>
  <c r="G191" i="48"/>
  <c r="M191" i="48" s="1"/>
  <c r="H191" i="48" s="1"/>
  <c r="Q8" i="56"/>
  <c r="R8" i="56" s="1"/>
  <c r="Q20" i="67"/>
  <c r="R20" i="67" s="1"/>
  <c r="Q24" i="67"/>
  <c r="R24" i="67" s="1"/>
  <c r="Q12" i="56"/>
  <c r="R12" i="56" s="1"/>
  <c r="G159" i="48"/>
  <c r="M159" i="48" s="1"/>
  <c r="H159" i="48" s="1"/>
  <c r="Q27" i="67"/>
  <c r="R27" i="67" s="1"/>
  <c r="Q15" i="56"/>
  <c r="R15" i="56" s="1"/>
  <c r="G162" i="48"/>
  <c r="M162" i="48" s="1"/>
  <c r="H162" i="48" s="1"/>
  <c r="Q28" i="56"/>
  <c r="R28" i="56" s="1"/>
  <c r="G175" i="48"/>
  <c r="M175" i="48" s="1"/>
  <c r="H175" i="48" s="1"/>
  <c r="Q30" i="67"/>
  <c r="R30" i="67" s="1"/>
  <c r="Q18" i="56"/>
  <c r="R18" i="56" s="1"/>
  <c r="G170" i="48"/>
  <c r="M170" i="48" s="1"/>
  <c r="H170" i="48" s="1"/>
  <c r="Q23" i="56"/>
  <c r="R23" i="56" s="1"/>
  <c r="Q22" i="67"/>
  <c r="R22" i="67" s="1"/>
  <c r="Q10" i="56"/>
  <c r="R10" i="56" s="1"/>
  <c r="G157" i="48"/>
  <c r="M157" i="48" s="1"/>
  <c r="H157" i="48" s="1"/>
  <c r="Q26" i="67"/>
  <c r="R26" i="67" s="1"/>
  <c r="Q14" i="56"/>
  <c r="R14" i="56" s="1"/>
  <c r="G161" i="48"/>
  <c r="M161" i="48" s="1"/>
  <c r="H161" i="48" s="1"/>
  <c r="Q31" i="67"/>
  <c r="R31" i="67" s="1"/>
  <c r="Q19" i="56"/>
  <c r="R19" i="56" s="1"/>
  <c r="G166" i="48"/>
  <c r="M166" i="48" s="1"/>
  <c r="H166" i="48" s="1"/>
  <c r="Q27" i="56"/>
  <c r="R27" i="56" s="1"/>
  <c r="G174" i="48"/>
  <c r="M174" i="48" s="1"/>
  <c r="H174" i="48" s="1"/>
  <c r="Q25" i="67"/>
  <c r="R25" i="67" s="1"/>
  <c r="Q13" i="56"/>
  <c r="R13" i="56" s="1"/>
  <c r="Q32" i="67"/>
  <c r="R32" i="67" s="1"/>
  <c r="Q20" i="56"/>
  <c r="R20" i="56" s="1"/>
  <c r="G167" i="48"/>
  <c r="M167" i="48" s="1"/>
  <c r="H167" i="48" s="1"/>
  <c r="Q24" i="56"/>
  <c r="R24" i="56" s="1"/>
  <c r="G171" i="48"/>
  <c r="M171" i="48" s="1"/>
  <c r="H171" i="48" s="1"/>
  <c r="Q23" i="67"/>
  <c r="R23" i="67" s="1"/>
  <c r="Q11" i="56"/>
  <c r="R11" i="56" s="1"/>
  <c r="G158" i="48"/>
  <c r="M158" i="48" s="1"/>
  <c r="H158" i="48" s="1"/>
  <c r="Q17" i="56"/>
  <c r="R17" i="56" s="1"/>
  <c r="Q29" i="67"/>
  <c r="R29" i="67" s="1"/>
  <c r="G164" i="48"/>
  <c r="M164" i="48" s="1"/>
  <c r="H164" i="48" s="1"/>
  <c r="Q22" i="56"/>
  <c r="R22" i="56" s="1"/>
  <c r="G169" i="48"/>
  <c r="M169" i="48" s="1"/>
  <c r="H169" i="48" s="1"/>
  <c r="Q25" i="56"/>
  <c r="R25" i="56" s="1"/>
  <c r="G172" i="48"/>
  <c r="M172" i="48" s="1"/>
  <c r="H172" i="48" s="1"/>
  <c r="Q30" i="56"/>
  <c r="R30" i="56" s="1"/>
  <c r="G177" i="48"/>
  <c r="M177" i="48" s="1"/>
  <c r="H177" i="48" s="1"/>
  <c r="Q21" i="67"/>
  <c r="R21" i="67" s="1"/>
  <c r="Q9" i="56"/>
  <c r="R9" i="56" s="1"/>
  <c r="G156" i="48"/>
  <c r="M156" i="48" s="1"/>
  <c r="H156" i="48" s="1"/>
  <c r="Q7" i="56"/>
  <c r="R7" i="56" s="1"/>
  <c r="Q19" i="67"/>
  <c r="R19" i="67" s="1"/>
  <c r="G154" i="48"/>
  <c r="M154" i="48" s="1"/>
  <c r="H154" i="48" s="1"/>
  <c r="Q28" i="67"/>
  <c r="R28" i="67" s="1"/>
  <c r="Q16" i="56"/>
  <c r="R16" i="56" s="1"/>
  <c r="G163" i="48"/>
  <c r="M163" i="48" s="1"/>
  <c r="H163" i="48" s="1"/>
  <c r="Q33" i="67"/>
  <c r="R33" i="67" s="1"/>
  <c r="Q21" i="56"/>
  <c r="R21" i="56" s="1"/>
  <c r="G168" i="48"/>
  <c r="M168" i="48" s="1"/>
  <c r="H168" i="48" s="1"/>
  <c r="D10" i="8"/>
  <c r="O10" i="9"/>
  <c r="D10" i="9"/>
  <c r="B58" i="15"/>
  <c r="R2" i="10"/>
  <c r="H2" i="56"/>
  <c r="H2" i="55"/>
  <c r="F5" i="3"/>
  <c r="L2" i="69"/>
  <c r="L2" i="74"/>
  <c r="N8" i="41"/>
  <c r="N2" i="76"/>
  <c r="I10" i="62"/>
  <c r="F126" i="15"/>
  <c r="L2" i="19"/>
  <c r="M49" i="3"/>
  <c r="G3" i="58"/>
  <c r="N8" i="70"/>
  <c r="I2" i="16"/>
  <c r="N2" i="77"/>
  <c r="A10" i="9"/>
  <c r="B10" i="48" s="1"/>
  <c r="K98" i="56"/>
  <c r="K6" i="70"/>
  <c r="N8" i="71"/>
  <c r="J1" i="56"/>
  <c r="I10" i="65"/>
  <c r="G3" i="64"/>
  <c r="C38" i="20"/>
  <c r="L2" i="73"/>
  <c r="N8" i="39"/>
  <c r="N7" i="76"/>
  <c r="N8" i="50"/>
  <c r="I1" i="60"/>
  <c r="I1" i="14"/>
  <c r="J10" i="55"/>
  <c r="J10" i="56"/>
  <c r="L2" i="23"/>
  <c r="G3" i="60"/>
  <c r="E6" i="61"/>
  <c r="L2" i="76"/>
  <c r="L2" i="71"/>
  <c r="B47" i="72"/>
  <c r="N3" i="72"/>
  <c r="J1" i="67"/>
  <c r="I10" i="57"/>
  <c r="K110" i="10"/>
  <c r="C38" i="27"/>
  <c r="B40" i="29"/>
  <c r="K115" i="15"/>
  <c r="K77" i="15"/>
  <c r="K34" i="15"/>
  <c r="K56" i="15"/>
  <c r="K41" i="15"/>
  <c r="K105" i="15"/>
  <c r="K70" i="15"/>
  <c r="K27" i="15"/>
  <c r="K91" i="15"/>
  <c r="K20" i="15"/>
  <c r="K98" i="15"/>
  <c r="B36" i="34"/>
  <c r="B134" i="15"/>
  <c r="E5" i="57"/>
  <c r="B402" i="11"/>
  <c r="B32" i="54"/>
  <c r="I7" i="39"/>
  <c r="B129" i="15"/>
  <c r="E8" i="64"/>
  <c r="D32" i="43"/>
  <c r="D34" i="42"/>
  <c r="B122" i="15"/>
  <c r="Q110" i="10"/>
  <c r="I7" i="37"/>
  <c r="B411" i="11"/>
  <c r="B20" i="11"/>
  <c r="E20" i="64"/>
  <c r="D30" i="56"/>
  <c r="E8" i="57"/>
  <c r="E9" i="58"/>
  <c r="C38" i="17"/>
  <c r="D33" i="43"/>
  <c r="D35" i="42"/>
  <c r="D35" i="41"/>
  <c r="C18" i="20"/>
  <c r="C19" i="56"/>
  <c r="C4" i="67"/>
  <c r="D31" i="43"/>
  <c r="D33" i="42"/>
  <c r="B51" i="15"/>
  <c r="D32" i="41"/>
  <c r="D30" i="43"/>
  <c r="D32" i="42"/>
  <c r="I7" i="54"/>
  <c r="J186" i="16"/>
  <c r="H251" i="67"/>
  <c r="B13" i="48"/>
  <c r="Q10" i="25"/>
  <c r="C31" i="48"/>
  <c r="Q10" i="26"/>
  <c r="D32" i="48"/>
  <c r="R11" i="26"/>
  <c r="R11" i="25"/>
  <c r="R10" i="25"/>
  <c r="D31" i="48"/>
  <c r="R10" i="26"/>
  <c r="P11" i="26"/>
  <c r="P11" i="25"/>
  <c r="B32" i="48"/>
  <c r="P10" i="26"/>
  <c r="P10" i="25"/>
  <c r="B31" i="48"/>
  <c r="Q11" i="26"/>
  <c r="Q11" i="25"/>
  <c r="C32" i="48"/>
  <c r="T38" i="26"/>
  <c r="U38" i="26" s="1"/>
  <c r="T38" i="18"/>
  <c r="U38" i="18" s="1"/>
  <c r="T38" i="41"/>
  <c r="U38" i="41" s="1"/>
  <c r="T40" i="54"/>
  <c r="U40" i="54" s="1"/>
  <c r="T38" i="25"/>
  <c r="U38" i="25" s="1"/>
  <c r="T38" i="76"/>
  <c r="U38" i="76" s="1"/>
  <c r="T38" i="42"/>
  <c r="U38" i="42" s="1"/>
  <c r="T38" i="69"/>
  <c r="U38" i="69" s="1"/>
  <c r="T38" i="19"/>
  <c r="U38" i="19" s="1"/>
  <c r="T38" i="21"/>
  <c r="U38" i="21" s="1"/>
  <c r="T38" i="52"/>
  <c r="U38" i="52" s="1"/>
  <c r="T38" i="73"/>
  <c r="U38" i="73" s="1"/>
  <c r="T38" i="22"/>
  <c r="U38" i="22" s="1"/>
  <c r="T38" i="2"/>
  <c r="U38" i="2" s="1"/>
  <c r="T38" i="31"/>
  <c r="U38" i="31" s="1"/>
  <c r="T38" i="50"/>
  <c r="U38" i="50" s="1"/>
  <c r="T38" i="74"/>
  <c r="U38" i="74" s="1"/>
  <c r="T38" i="23"/>
  <c r="U38" i="23" s="1"/>
  <c r="T38" i="30"/>
  <c r="U38" i="30" s="1"/>
  <c r="T38" i="20"/>
  <c r="U38" i="20" s="1"/>
  <c r="T38" i="77"/>
  <c r="U38" i="77" s="1"/>
  <c r="T38" i="44"/>
  <c r="U38" i="44" s="1"/>
  <c r="T34" i="51"/>
  <c r="U34" i="51" s="1"/>
  <c r="T38" i="70"/>
  <c r="U38" i="70" s="1"/>
  <c r="T38" i="72"/>
  <c r="U38" i="72" s="1"/>
  <c r="T38" i="24"/>
  <c r="U38" i="24" s="1"/>
  <c r="T38" i="17"/>
  <c r="U38" i="17" s="1"/>
  <c r="T38" i="27"/>
  <c r="U38" i="27" s="1"/>
  <c r="T38" i="29"/>
  <c r="U38" i="29" s="1"/>
  <c r="T38" i="43"/>
  <c r="U38" i="43" s="1"/>
  <c r="T38" i="49"/>
  <c r="U38" i="49" s="1"/>
  <c r="T38" i="53"/>
  <c r="U38" i="53" s="1"/>
  <c r="T38" i="71"/>
  <c r="U38" i="71" s="1"/>
  <c r="T10" i="26"/>
  <c r="U10" i="26" s="1"/>
  <c r="T10" i="25"/>
  <c r="U10" i="25" s="1"/>
  <c r="G31" i="48"/>
  <c r="M31" i="48" s="1"/>
  <c r="H31" i="48" s="1"/>
  <c r="G32" i="48"/>
  <c r="M32" i="48" s="1"/>
  <c r="H32" i="48" s="1"/>
  <c r="T11" i="25"/>
  <c r="U11" i="25" s="1"/>
  <c r="T11" i="26"/>
  <c r="U11" i="26" s="1"/>
  <c r="G209" i="48"/>
  <c r="M209" i="48" s="1"/>
  <c r="H209" i="48" s="1"/>
  <c r="R61" i="74"/>
  <c r="R61" i="73"/>
  <c r="R61" i="72"/>
  <c r="R61" i="71"/>
  <c r="R61" i="70"/>
  <c r="R61" i="69"/>
  <c r="R61" i="20"/>
  <c r="R61" i="19"/>
  <c r="R61" i="21"/>
  <c r="R61" i="31"/>
  <c r="R61" i="77"/>
  <c r="R61" i="30"/>
  <c r="R61" i="23"/>
  <c r="R61" i="26"/>
  <c r="P61" i="73"/>
  <c r="P61" i="74"/>
  <c r="P61" i="72"/>
  <c r="P61" i="71"/>
  <c r="P61" i="69"/>
  <c r="P61" i="70"/>
  <c r="P61" i="31"/>
  <c r="P61" i="30"/>
  <c r="P61" i="77"/>
  <c r="P61" i="21"/>
  <c r="P61" i="19"/>
  <c r="P61" i="20"/>
  <c r="P61" i="26"/>
  <c r="P61" i="23"/>
  <c r="T59" i="31"/>
  <c r="U59" i="31" s="1"/>
  <c r="T59" i="30"/>
  <c r="U59" i="30" s="1"/>
  <c r="T59" i="77"/>
  <c r="U59" i="77" s="1"/>
  <c r="D15" i="16"/>
  <c r="R63" i="23"/>
  <c r="R63" i="26"/>
  <c r="R82" i="73"/>
  <c r="R82" i="71"/>
  <c r="R82" i="50"/>
  <c r="R82" i="53"/>
  <c r="R82" i="42"/>
  <c r="R53" i="33"/>
  <c r="R53" i="38"/>
  <c r="R82" i="20"/>
  <c r="R82" i="17"/>
  <c r="T73" i="30"/>
  <c r="U73" i="30" s="1"/>
  <c r="T73" i="27"/>
  <c r="U73" i="27" s="1"/>
  <c r="T73" i="76"/>
  <c r="U73" i="76" s="1"/>
  <c r="T73" i="29"/>
  <c r="U73" i="29" s="1"/>
  <c r="T73" i="31"/>
  <c r="U73" i="31" s="1"/>
  <c r="T73" i="77"/>
  <c r="U73" i="77" s="1"/>
  <c r="R57" i="74"/>
  <c r="R57" i="72"/>
  <c r="R57" i="73"/>
  <c r="R57" i="71"/>
  <c r="R57" i="69"/>
  <c r="R57" i="70"/>
  <c r="R59" i="54"/>
  <c r="R57" i="50"/>
  <c r="R53" i="51"/>
  <c r="R57" i="53"/>
  <c r="R57" i="49"/>
  <c r="R57" i="52"/>
  <c r="R57" i="43"/>
  <c r="R57" i="44"/>
  <c r="R57" i="42"/>
  <c r="R57" i="41"/>
  <c r="R57" i="77"/>
  <c r="R57" i="29"/>
  <c r="R57" i="19"/>
  <c r="R57" i="18"/>
  <c r="R57" i="30"/>
  <c r="R57" i="27"/>
  <c r="R57" i="20"/>
  <c r="R57" i="76"/>
  <c r="R57" i="17"/>
  <c r="R57" i="2"/>
  <c r="R57" i="21"/>
  <c r="R57" i="31"/>
  <c r="R57" i="26"/>
  <c r="R57" i="23"/>
  <c r="R57" i="25"/>
  <c r="R57" i="24"/>
  <c r="R57" i="22"/>
  <c r="P8" i="26"/>
  <c r="P8" i="25"/>
  <c r="C12" i="48"/>
  <c r="Q7" i="24"/>
  <c r="P8" i="74"/>
  <c r="P8" i="73"/>
  <c r="P8" i="71"/>
  <c r="P8" i="72"/>
  <c r="P8" i="70"/>
  <c r="P8" i="53"/>
  <c r="P8" i="52"/>
  <c r="P8" i="54"/>
  <c r="P8" i="69"/>
  <c r="P8" i="49"/>
  <c r="P8" i="50"/>
  <c r="P8" i="51"/>
  <c r="P8" i="42"/>
  <c r="P8" i="43"/>
  <c r="P8" i="41"/>
  <c r="P8" i="44"/>
  <c r="P8" i="38"/>
  <c r="P8" i="33"/>
  <c r="P8" i="34"/>
  <c r="P8" i="32"/>
  <c r="P8" i="39"/>
  <c r="P8" i="37"/>
  <c r="P8" i="40"/>
  <c r="P8" i="35"/>
  <c r="P8" i="76"/>
  <c r="P8" i="31"/>
  <c r="P8" i="77"/>
  <c r="P8" i="21"/>
  <c r="P8" i="20"/>
  <c r="P8" i="19"/>
  <c r="P8" i="27"/>
  <c r="P8" i="17"/>
  <c r="P8" i="30"/>
  <c r="P8" i="29"/>
  <c r="P8" i="18"/>
  <c r="P8" i="2"/>
  <c r="P8" i="22"/>
  <c r="P8" i="23"/>
  <c r="G267" i="48"/>
  <c r="T44" i="74"/>
  <c r="U44" i="74" s="1"/>
  <c r="T44" i="73"/>
  <c r="U44" i="73" s="1"/>
  <c r="T44" i="72"/>
  <c r="U44" i="72" s="1"/>
  <c r="T44" i="71"/>
  <c r="U44" i="71" s="1"/>
  <c r="T44" i="70"/>
  <c r="U44" i="70" s="1"/>
  <c r="T44" i="69"/>
  <c r="U44" i="69" s="1"/>
  <c r="T44" i="53"/>
  <c r="U44" i="53" s="1"/>
  <c r="T46" i="54"/>
  <c r="U46" i="54" s="1"/>
  <c r="T40" i="51"/>
  <c r="U40" i="51" s="1"/>
  <c r="T44" i="52"/>
  <c r="U44" i="52" s="1"/>
  <c r="T44" i="50"/>
  <c r="U44" i="50" s="1"/>
  <c r="T44" i="49"/>
  <c r="U44" i="49" s="1"/>
  <c r="T44" i="42"/>
  <c r="U44" i="42" s="1"/>
  <c r="T44" i="41"/>
  <c r="U44" i="41" s="1"/>
  <c r="T44" i="43"/>
  <c r="U44" i="43" s="1"/>
  <c r="T44" i="44"/>
  <c r="U44" i="44" s="1"/>
  <c r="T44" i="30"/>
  <c r="U44" i="30" s="1"/>
  <c r="T44" i="21"/>
  <c r="U44" i="21" s="1"/>
  <c r="T44" i="20"/>
  <c r="U44" i="20" s="1"/>
  <c r="T44" i="27"/>
  <c r="U44" i="27" s="1"/>
  <c r="T44" i="29"/>
  <c r="U44" i="29" s="1"/>
  <c r="T44" i="19"/>
  <c r="U44" i="19" s="1"/>
  <c r="T44" i="18"/>
  <c r="U44" i="18" s="1"/>
  <c r="T44" i="17"/>
  <c r="U44" i="17" s="1"/>
  <c r="T44" i="2"/>
  <c r="U44" i="2" s="1"/>
  <c r="T44" i="31"/>
  <c r="U44" i="31" s="1"/>
  <c r="T44" i="76"/>
  <c r="U44" i="76" s="1"/>
  <c r="T44" i="77"/>
  <c r="U44" i="77" s="1"/>
  <c r="T44" i="26"/>
  <c r="U44" i="26" s="1"/>
  <c r="T44" i="23"/>
  <c r="U44" i="23" s="1"/>
  <c r="T44" i="24"/>
  <c r="U44" i="24" s="1"/>
  <c r="T44" i="22"/>
  <c r="U44" i="22" s="1"/>
  <c r="T44" i="25"/>
  <c r="U44" i="25" s="1"/>
  <c r="F3" i="16"/>
  <c r="G3" i="16" s="1"/>
  <c r="T55" i="74"/>
  <c r="U55" i="74" s="1"/>
  <c r="T55" i="73"/>
  <c r="U55" i="73" s="1"/>
  <c r="T55" i="72"/>
  <c r="U55" i="72" s="1"/>
  <c r="T55" i="71"/>
  <c r="U55" i="71" s="1"/>
  <c r="T55" i="69"/>
  <c r="U55" i="69" s="1"/>
  <c r="T55" i="70"/>
  <c r="U55" i="70" s="1"/>
  <c r="T57" i="54"/>
  <c r="U57" i="54" s="1"/>
  <c r="T55" i="50"/>
  <c r="U55" i="50" s="1"/>
  <c r="T51" i="51"/>
  <c r="U51" i="51" s="1"/>
  <c r="T55" i="52"/>
  <c r="U55" i="52" s="1"/>
  <c r="T55" i="49"/>
  <c r="U55" i="49" s="1"/>
  <c r="T55" i="53"/>
  <c r="U55" i="53" s="1"/>
  <c r="T55" i="42"/>
  <c r="U55" i="42" s="1"/>
  <c r="T55" i="41"/>
  <c r="U55" i="41" s="1"/>
  <c r="T55" i="44"/>
  <c r="U55" i="44" s="1"/>
  <c r="T55" i="43"/>
  <c r="U55" i="43" s="1"/>
  <c r="T55" i="77"/>
  <c r="U55" i="77" s="1"/>
  <c r="T55" i="29"/>
  <c r="U55" i="29" s="1"/>
  <c r="T55" i="31"/>
  <c r="U55" i="31" s="1"/>
  <c r="T55" i="27"/>
  <c r="U55" i="27" s="1"/>
  <c r="T55" i="20"/>
  <c r="U55" i="20" s="1"/>
  <c r="T55" i="19"/>
  <c r="U55" i="19" s="1"/>
  <c r="T55" i="2"/>
  <c r="U55" i="2" s="1"/>
  <c r="T55" i="18"/>
  <c r="U55" i="18" s="1"/>
  <c r="T55" i="30"/>
  <c r="U55" i="30" s="1"/>
  <c r="T55" i="21"/>
  <c r="U55" i="21" s="1"/>
  <c r="T55" i="17"/>
  <c r="U55" i="17" s="1"/>
  <c r="T55" i="76"/>
  <c r="U55" i="76" s="1"/>
  <c r="T55" i="26"/>
  <c r="U55" i="26" s="1"/>
  <c r="T55" i="23"/>
  <c r="U55" i="23" s="1"/>
  <c r="T55" i="22"/>
  <c r="U55" i="22" s="1"/>
  <c r="T55" i="25"/>
  <c r="U55" i="25" s="1"/>
  <c r="T55" i="24"/>
  <c r="U55" i="24" s="1"/>
  <c r="R4" i="26"/>
  <c r="R4" i="25"/>
  <c r="G39" i="48"/>
  <c r="M39" i="48" s="1"/>
  <c r="H39" i="48" s="1"/>
  <c r="T18" i="73"/>
  <c r="U18" i="73" s="1"/>
  <c r="T18" i="74"/>
  <c r="U18" i="74" s="1"/>
  <c r="T18" i="72"/>
  <c r="U18" i="72" s="1"/>
  <c r="T18" i="71"/>
  <c r="U18" i="71" s="1"/>
  <c r="T18" i="69"/>
  <c r="U18" i="69" s="1"/>
  <c r="T18" i="70"/>
  <c r="U18" i="70" s="1"/>
  <c r="T18" i="54"/>
  <c r="U18" i="54" s="1"/>
  <c r="T18" i="53"/>
  <c r="U18" i="53" s="1"/>
  <c r="T18" i="51"/>
  <c r="U18" i="51" s="1"/>
  <c r="T18" i="50"/>
  <c r="U18" i="50" s="1"/>
  <c r="T18" i="52"/>
  <c r="U18" i="52" s="1"/>
  <c r="T18" i="49"/>
  <c r="U18" i="49" s="1"/>
  <c r="T18" i="42"/>
  <c r="U18" i="42" s="1"/>
  <c r="T18" i="41"/>
  <c r="U18" i="41" s="1"/>
  <c r="T18" i="44"/>
  <c r="U18" i="44" s="1"/>
  <c r="T18" i="43"/>
  <c r="U18" i="43" s="1"/>
  <c r="T18" i="35"/>
  <c r="U18" i="35" s="1"/>
  <c r="T18" i="32"/>
  <c r="U18" i="32" s="1"/>
  <c r="T18" i="38"/>
  <c r="U18" i="38" s="1"/>
  <c r="T18" i="37"/>
  <c r="U18" i="37" s="1"/>
  <c r="T18" i="34"/>
  <c r="U18" i="34" s="1"/>
  <c r="T18" i="39"/>
  <c r="U18" i="39" s="1"/>
  <c r="T18" i="40"/>
  <c r="U18" i="40" s="1"/>
  <c r="T18" i="33"/>
  <c r="U18" i="33" s="1"/>
  <c r="T18" i="31"/>
  <c r="U18" i="31" s="1"/>
  <c r="T18" i="77"/>
  <c r="U18" i="77" s="1"/>
  <c r="T18" i="21"/>
  <c r="U18" i="21" s="1"/>
  <c r="T18" i="20"/>
  <c r="U18" i="20" s="1"/>
  <c r="T18" i="30"/>
  <c r="U18" i="30" s="1"/>
  <c r="T18" i="76"/>
  <c r="U18" i="76" s="1"/>
  <c r="T18" i="18"/>
  <c r="U18" i="18" s="1"/>
  <c r="T18" i="2"/>
  <c r="U18" i="2" s="1"/>
  <c r="T18" i="29"/>
  <c r="U18" i="29" s="1"/>
  <c r="T18" i="27"/>
  <c r="U18" i="27" s="1"/>
  <c r="T18" i="19"/>
  <c r="U18" i="19" s="1"/>
  <c r="T18" i="17"/>
  <c r="U18" i="17" s="1"/>
  <c r="T18" i="22"/>
  <c r="U18" i="22" s="1"/>
  <c r="T18" i="25"/>
  <c r="U18" i="25" s="1"/>
  <c r="T18" i="24"/>
  <c r="U18" i="24" s="1"/>
  <c r="T18" i="26"/>
  <c r="U18" i="26" s="1"/>
  <c r="T18" i="23"/>
  <c r="U18" i="23" s="1"/>
  <c r="F24" i="16"/>
  <c r="G24" i="16" s="1"/>
  <c r="T49" i="74"/>
  <c r="U49" i="74" s="1"/>
  <c r="T49" i="73"/>
  <c r="U49" i="73" s="1"/>
  <c r="T49" i="72"/>
  <c r="U49" i="72" s="1"/>
  <c r="T49" i="71"/>
  <c r="U49" i="71" s="1"/>
  <c r="T49" i="70"/>
  <c r="U49" i="70" s="1"/>
  <c r="T49" i="69"/>
  <c r="U49" i="69" s="1"/>
  <c r="T49" i="53"/>
  <c r="U49" i="53" s="1"/>
  <c r="T45" i="51"/>
  <c r="U45" i="51" s="1"/>
  <c r="T51" i="54"/>
  <c r="U51" i="54" s="1"/>
  <c r="T49" i="52"/>
  <c r="U49" i="52" s="1"/>
  <c r="T49" i="50"/>
  <c r="U49" i="50" s="1"/>
  <c r="T49" i="49"/>
  <c r="U49" i="49" s="1"/>
  <c r="T49" i="42"/>
  <c r="U49" i="42" s="1"/>
  <c r="T49" i="41"/>
  <c r="U49" i="41" s="1"/>
  <c r="T49" i="43"/>
  <c r="U49" i="43" s="1"/>
  <c r="T49" i="44"/>
  <c r="U49" i="44" s="1"/>
  <c r="T49" i="27"/>
  <c r="U49" i="27" s="1"/>
  <c r="T49" i="21"/>
  <c r="U49" i="21" s="1"/>
  <c r="T49" i="20"/>
  <c r="U49" i="20" s="1"/>
  <c r="T49" i="76"/>
  <c r="U49" i="76" s="1"/>
  <c r="T49" i="29"/>
  <c r="U49" i="29" s="1"/>
  <c r="T49" i="19"/>
  <c r="U49" i="19" s="1"/>
  <c r="T49" i="2"/>
  <c r="U49" i="2" s="1"/>
  <c r="T49" i="31"/>
  <c r="U49" i="31" s="1"/>
  <c r="T49" i="30"/>
  <c r="U49" i="30" s="1"/>
  <c r="T49" i="17"/>
  <c r="U49" i="17" s="1"/>
  <c r="T49" i="77"/>
  <c r="U49" i="77" s="1"/>
  <c r="T49" i="18"/>
  <c r="U49" i="18" s="1"/>
  <c r="T49" i="26"/>
  <c r="U49" i="26" s="1"/>
  <c r="T49" i="23"/>
  <c r="U49" i="23" s="1"/>
  <c r="T49" i="22"/>
  <c r="U49" i="22" s="1"/>
  <c r="T49" i="25"/>
  <c r="U49" i="25" s="1"/>
  <c r="T49" i="24"/>
  <c r="U49" i="24" s="1"/>
  <c r="R81" i="70"/>
  <c r="R81" i="69"/>
  <c r="R81" i="52"/>
  <c r="R81" i="49"/>
  <c r="R81" i="41"/>
  <c r="R81" i="19"/>
  <c r="R81" i="2"/>
  <c r="D29" i="48"/>
  <c r="R8" i="26"/>
  <c r="R8" i="25"/>
  <c r="C124" i="48"/>
  <c r="Q28" i="35"/>
  <c r="Q28" i="33"/>
  <c r="Q28" i="34"/>
  <c r="Q28" i="32"/>
  <c r="G54" i="48"/>
  <c r="M54" i="48" s="1"/>
  <c r="H54" i="48" s="1"/>
  <c r="T33" i="74"/>
  <c r="U33" i="74" s="1"/>
  <c r="T33" i="73"/>
  <c r="U33" i="73" s="1"/>
  <c r="T33" i="71"/>
  <c r="U33" i="71" s="1"/>
  <c r="T33" i="72"/>
  <c r="U33" i="72" s="1"/>
  <c r="T33" i="69"/>
  <c r="U33" i="69" s="1"/>
  <c r="T33" i="70"/>
  <c r="U33" i="70" s="1"/>
  <c r="T33" i="52"/>
  <c r="U33" i="52" s="1"/>
  <c r="T33" i="53"/>
  <c r="U33" i="53" s="1"/>
  <c r="T29" i="51"/>
  <c r="U29" i="51" s="1"/>
  <c r="T33" i="49"/>
  <c r="U33" i="49" s="1"/>
  <c r="T33" i="50"/>
  <c r="U33" i="50" s="1"/>
  <c r="T33" i="42"/>
  <c r="U33" i="42" s="1"/>
  <c r="T33" i="44"/>
  <c r="U33" i="44" s="1"/>
  <c r="T33" i="43"/>
  <c r="U33" i="43" s="1"/>
  <c r="T33" i="41"/>
  <c r="U33" i="41" s="1"/>
  <c r="T33" i="76"/>
  <c r="U33" i="76" s="1"/>
  <c r="T33" i="20"/>
  <c r="U33" i="20" s="1"/>
  <c r="T33" i="31"/>
  <c r="U33" i="31" s="1"/>
  <c r="T33" i="77"/>
  <c r="U33" i="77" s="1"/>
  <c r="T33" i="29"/>
  <c r="U33" i="29" s="1"/>
  <c r="T33" i="19"/>
  <c r="U33" i="19" s="1"/>
  <c r="T33" i="21"/>
  <c r="U33" i="21" s="1"/>
  <c r="T33" i="17"/>
  <c r="U33" i="17" s="1"/>
  <c r="T33" i="2"/>
  <c r="U33" i="2" s="1"/>
  <c r="T33" i="27"/>
  <c r="U33" i="27" s="1"/>
  <c r="T33" i="18"/>
  <c r="U33" i="18" s="1"/>
  <c r="T33" i="30"/>
  <c r="U33" i="30" s="1"/>
  <c r="T33" i="23"/>
  <c r="U33" i="23" s="1"/>
  <c r="T33" i="26"/>
  <c r="U33" i="26" s="1"/>
  <c r="T33" i="24"/>
  <c r="U33" i="24" s="1"/>
  <c r="T33" i="25"/>
  <c r="U33" i="25" s="1"/>
  <c r="T33" i="22"/>
  <c r="U33" i="22" s="1"/>
  <c r="G58" i="48"/>
  <c r="M58" i="48" s="1"/>
  <c r="H58" i="48" s="1"/>
  <c r="T37" i="74"/>
  <c r="U37" i="74" s="1"/>
  <c r="T37" i="72"/>
  <c r="U37" i="72" s="1"/>
  <c r="T37" i="73"/>
  <c r="U37" i="73" s="1"/>
  <c r="T37" i="71"/>
  <c r="U37" i="71" s="1"/>
  <c r="T37" i="52"/>
  <c r="U37" i="52" s="1"/>
  <c r="T39" i="54"/>
  <c r="U39" i="54" s="1"/>
  <c r="T37" i="69"/>
  <c r="U37" i="69" s="1"/>
  <c r="T37" i="53"/>
  <c r="U37" i="53" s="1"/>
  <c r="T33" i="51"/>
  <c r="U33" i="51" s="1"/>
  <c r="T37" i="49"/>
  <c r="U37" i="49" s="1"/>
  <c r="T37" i="70"/>
  <c r="U37" i="70" s="1"/>
  <c r="T37" i="50"/>
  <c r="U37" i="50" s="1"/>
  <c r="T37" i="43"/>
  <c r="U37" i="43" s="1"/>
  <c r="T37" i="42"/>
  <c r="U37" i="42" s="1"/>
  <c r="T37" i="44"/>
  <c r="U37" i="44" s="1"/>
  <c r="T37" i="41"/>
  <c r="U37" i="41" s="1"/>
  <c r="T37" i="76"/>
  <c r="U37" i="76" s="1"/>
  <c r="T37" i="21"/>
  <c r="U37" i="21" s="1"/>
  <c r="T37" i="31"/>
  <c r="U37" i="31" s="1"/>
  <c r="T37" i="30"/>
  <c r="U37" i="30" s="1"/>
  <c r="T37" i="77"/>
  <c r="U37" i="77" s="1"/>
  <c r="T37" i="29"/>
  <c r="U37" i="29" s="1"/>
  <c r="T37" i="20"/>
  <c r="U37" i="20" s="1"/>
  <c r="T37" i="17"/>
  <c r="U37" i="17" s="1"/>
  <c r="T37" i="19"/>
  <c r="U37" i="19" s="1"/>
  <c r="T37" i="27"/>
  <c r="U37" i="27" s="1"/>
  <c r="T37" i="18"/>
  <c r="U37" i="18" s="1"/>
  <c r="T37" i="2"/>
  <c r="U37" i="2" s="1"/>
  <c r="T37" i="23"/>
  <c r="U37" i="23" s="1"/>
  <c r="T37" i="26"/>
  <c r="U37" i="26" s="1"/>
  <c r="T37" i="25"/>
  <c r="U37" i="25" s="1"/>
  <c r="T37" i="24"/>
  <c r="U37" i="24" s="1"/>
  <c r="T37" i="22"/>
  <c r="U37" i="22" s="1"/>
  <c r="G42" i="48"/>
  <c r="M42" i="48" s="1"/>
  <c r="H42" i="48" s="1"/>
  <c r="T21" i="74"/>
  <c r="U21" i="74" s="1"/>
  <c r="T21" i="73"/>
  <c r="U21" i="73" s="1"/>
  <c r="T21" i="72"/>
  <c r="U21" i="72" s="1"/>
  <c r="T21" i="71"/>
  <c r="U21" i="71" s="1"/>
  <c r="T21" i="69"/>
  <c r="U21" i="69" s="1"/>
  <c r="T21" i="70"/>
  <c r="U21" i="70" s="1"/>
  <c r="T21" i="52"/>
  <c r="U21" i="52" s="1"/>
  <c r="T21" i="54"/>
  <c r="U21" i="54" s="1"/>
  <c r="T21" i="53"/>
  <c r="U21" i="53" s="1"/>
  <c r="T21" i="51"/>
  <c r="U21" i="51" s="1"/>
  <c r="T21" i="49"/>
  <c r="U21" i="49" s="1"/>
  <c r="T21" i="50"/>
  <c r="U21" i="50" s="1"/>
  <c r="T21" i="42"/>
  <c r="U21" i="42" s="1"/>
  <c r="T21" i="44"/>
  <c r="U21" i="44" s="1"/>
  <c r="T21" i="41"/>
  <c r="U21" i="41" s="1"/>
  <c r="T21" i="43"/>
  <c r="U21" i="43" s="1"/>
  <c r="T21" i="38"/>
  <c r="U21" i="38" s="1"/>
  <c r="T21" i="40"/>
  <c r="U21" i="40" s="1"/>
  <c r="T21" i="34"/>
  <c r="U21" i="34" s="1"/>
  <c r="T21" i="32"/>
  <c r="U21" i="32" s="1"/>
  <c r="T21" i="35"/>
  <c r="U21" i="35" s="1"/>
  <c r="T21" i="37"/>
  <c r="U21" i="37" s="1"/>
  <c r="T21" i="39"/>
  <c r="U21" i="39" s="1"/>
  <c r="T21" i="33"/>
  <c r="U21" i="33" s="1"/>
  <c r="T21" i="76"/>
  <c r="U21" i="76" s="1"/>
  <c r="T21" i="21"/>
  <c r="U21" i="21" s="1"/>
  <c r="T21" i="31"/>
  <c r="U21" i="31" s="1"/>
  <c r="T21" i="77"/>
  <c r="U21" i="77" s="1"/>
  <c r="T21" i="19"/>
  <c r="U21" i="19" s="1"/>
  <c r="T21" i="29"/>
  <c r="U21" i="29" s="1"/>
  <c r="T21" i="17"/>
  <c r="U21" i="17" s="1"/>
  <c r="T21" i="27"/>
  <c r="U21" i="27" s="1"/>
  <c r="T21" i="20"/>
  <c r="U21" i="20" s="1"/>
  <c r="T21" i="18"/>
  <c r="U21" i="18" s="1"/>
  <c r="T21" i="2"/>
  <c r="U21" i="2" s="1"/>
  <c r="T21" i="30"/>
  <c r="U21" i="30" s="1"/>
  <c r="T21" i="23"/>
  <c r="U21" i="23" s="1"/>
  <c r="T21" i="26"/>
  <c r="U21" i="26" s="1"/>
  <c r="T21" i="22"/>
  <c r="U21" i="22" s="1"/>
  <c r="T21" i="24"/>
  <c r="U21" i="24" s="1"/>
  <c r="T21" i="25"/>
  <c r="U21" i="25" s="1"/>
  <c r="B80" i="48"/>
  <c r="P64" i="74"/>
  <c r="P64" i="73"/>
  <c r="P64" i="72"/>
  <c r="P64" i="71"/>
  <c r="P64" i="69"/>
  <c r="P60" i="51"/>
  <c r="P66" i="54"/>
  <c r="P64" i="53"/>
  <c r="P64" i="52"/>
  <c r="P64" i="70"/>
  <c r="P64" i="49"/>
  <c r="P64" i="50"/>
  <c r="P64" i="41"/>
  <c r="P64" i="43"/>
  <c r="P64" i="42"/>
  <c r="P64" i="27"/>
  <c r="P64" i="30"/>
  <c r="P64" i="77"/>
  <c r="P64" i="76"/>
  <c r="P64" i="21"/>
  <c r="P64" i="20"/>
  <c r="P64" i="29"/>
  <c r="P64" i="18"/>
  <c r="P64" i="19"/>
  <c r="P64" i="31"/>
  <c r="P64" i="2"/>
  <c r="P64" i="17"/>
  <c r="B79" i="48"/>
  <c r="P63" i="74"/>
  <c r="P63" i="73"/>
  <c r="P63" i="72"/>
  <c r="P63" i="71"/>
  <c r="P63" i="70"/>
  <c r="P63" i="69"/>
  <c r="P59" i="51"/>
  <c r="P63" i="53"/>
  <c r="P63" i="52"/>
  <c r="P65" i="54"/>
  <c r="P63" i="50"/>
  <c r="P63" i="49"/>
  <c r="P63" i="42"/>
  <c r="P63" i="41"/>
  <c r="P63" i="43"/>
  <c r="P63" i="31"/>
  <c r="P63" i="27"/>
  <c r="P63" i="30"/>
  <c r="P63" i="77"/>
  <c r="P63" i="76"/>
  <c r="P63" i="21"/>
  <c r="P63" i="20"/>
  <c r="P63" i="19"/>
  <c r="P63" i="29"/>
  <c r="P63" i="18"/>
  <c r="P63" i="17"/>
  <c r="P63" i="2"/>
  <c r="G82" i="48"/>
  <c r="M82" i="48" s="1"/>
  <c r="H82" i="48" s="1"/>
  <c r="T66" i="73"/>
  <c r="U66" i="73" s="1"/>
  <c r="T66" i="74"/>
  <c r="U66" i="74" s="1"/>
  <c r="T66" i="72"/>
  <c r="U66" i="72" s="1"/>
  <c r="T66" i="71"/>
  <c r="U66" i="71" s="1"/>
  <c r="T66" i="69"/>
  <c r="U66" i="69" s="1"/>
  <c r="T68" i="54"/>
  <c r="U68" i="54" s="1"/>
  <c r="T66" i="70"/>
  <c r="U66" i="70" s="1"/>
  <c r="T62" i="51"/>
  <c r="U62" i="51" s="1"/>
  <c r="T66" i="53"/>
  <c r="U66" i="53" s="1"/>
  <c r="T66" i="52"/>
  <c r="U66" i="52" s="1"/>
  <c r="T66" i="49"/>
  <c r="U66" i="49" s="1"/>
  <c r="T66" i="50"/>
  <c r="U66" i="50" s="1"/>
  <c r="T66" i="43"/>
  <c r="U66" i="43" s="1"/>
  <c r="T66" i="41"/>
  <c r="U66" i="41" s="1"/>
  <c r="T66" i="42"/>
  <c r="U66" i="42" s="1"/>
  <c r="T66" i="30"/>
  <c r="U66" i="30" s="1"/>
  <c r="T66" i="27"/>
  <c r="U66" i="27" s="1"/>
  <c r="T66" i="21"/>
  <c r="U66" i="21" s="1"/>
  <c r="T66" i="76"/>
  <c r="U66" i="76" s="1"/>
  <c r="T66" i="18"/>
  <c r="U66" i="18" s="1"/>
  <c r="T66" i="17"/>
  <c r="U66" i="17" s="1"/>
  <c r="T66" i="29"/>
  <c r="U66" i="29" s="1"/>
  <c r="T66" i="20"/>
  <c r="U66" i="20" s="1"/>
  <c r="T66" i="31"/>
  <c r="U66" i="31" s="1"/>
  <c r="T66" i="77"/>
  <c r="U66" i="77" s="1"/>
  <c r="T66" i="19"/>
  <c r="U66" i="19" s="1"/>
  <c r="T66" i="2"/>
  <c r="U66" i="2" s="1"/>
  <c r="G79" i="48"/>
  <c r="M79" i="48" s="1"/>
  <c r="H79" i="48" s="1"/>
  <c r="T63" i="74"/>
  <c r="U63" i="74" s="1"/>
  <c r="T63" i="72"/>
  <c r="U63" i="72" s="1"/>
  <c r="T63" i="73"/>
  <c r="U63" i="73" s="1"/>
  <c r="T63" i="71"/>
  <c r="U63" i="71" s="1"/>
  <c r="T63" i="70"/>
  <c r="U63" i="70" s="1"/>
  <c r="T65" i="54"/>
  <c r="U65" i="54" s="1"/>
  <c r="T63" i="69"/>
  <c r="U63" i="69" s="1"/>
  <c r="T59" i="51"/>
  <c r="U59" i="51" s="1"/>
  <c r="T63" i="53"/>
  <c r="U63" i="53" s="1"/>
  <c r="T63" i="52"/>
  <c r="U63" i="52" s="1"/>
  <c r="T63" i="49"/>
  <c r="U63" i="49" s="1"/>
  <c r="T63" i="50"/>
  <c r="U63" i="50" s="1"/>
  <c r="T63" i="42"/>
  <c r="U63" i="42" s="1"/>
  <c r="T63" i="41"/>
  <c r="U63" i="41" s="1"/>
  <c r="T63" i="43"/>
  <c r="U63" i="43" s="1"/>
  <c r="T63" i="31"/>
  <c r="U63" i="31" s="1"/>
  <c r="T63" i="27"/>
  <c r="U63" i="27" s="1"/>
  <c r="T63" i="77"/>
  <c r="U63" i="77" s="1"/>
  <c r="T63" i="17"/>
  <c r="U63" i="17" s="1"/>
  <c r="T63" i="30"/>
  <c r="U63" i="30" s="1"/>
  <c r="T63" i="29"/>
  <c r="U63" i="29" s="1"/>
  <c r="T63" i="21"/>
  <c r="U63" i="21" s="1"/>
  <c r="T63" i="20"/>
  <c r="U63" i="20" s="1"/>
  <c r="T63" i="18"/>
  <c r="U63" i="18" s="1"/>
  <c r="T63" i="76"/>
  <c r="U63" i="76" s="1"/>
  <c r="T63" i="2"/>
  <c r="U63" i="2" s="1"/>
  <c r="T63" i="19"/>
  <c r="U63" i="19" s="1"/>
  <c r="D82" i="48"/>
  <c r="R66" i="74"/>
  <c r="R66" i="73"/>
  <c r="R66" i="72"/>
  <c r="R66" i="71"/>
  <c r="R66" i="70"/>
  <c r="R68" i="54"/>
  <c r="R66" i="50"/>
  <c r="R66" i="69"/>
  <c r="R62" i="51"/>
  <c r="R66" i="53"/>
  <c r="R66" i="52"/>
  <c r="R66" i="49"/>
  <c r="R66" i="42"/>
  <c r="R66" i="43"/>
  <c r="R66" i="41"/>
  <c r="R66" i="31"/>
  <c r="R66" i="29"/>
  <c r="R66" i="19"/>
  <c r="R66" i="18"/>
  <c r="R66" i="20"/>
  <c r="R66" i="77"/>
  <c r="R66" i="21"/>
  <c r="R66" i="76"/>
  <c r="R66" i="17"/>
  <c r="R66" i="30"/>
  <c r="R66" i="27"/>
  <c r="R66" i="2"/>
  <c r="G86" i="48"/>
  <c r="M86" i="48" s="1"/>
  <c r="H86" i="48" s="1"/>
  <c r="T70" i="74"/>
  <c r="U70" i="74" s="1"/>
  <c r="T70" i="73"/>
  <c r="U70" i="73" s="1"/>
  <c r="T70" i="72"/>
  <c r="U70" i="72" s="1"/>
  <c r="T70" i="71"/>
  <c r="U70" i="71" s="1"/>
  <c r="T70" i="69"/>
  <c r="U70" i="69" s="1"/>
  <c r="T72" i="54"/>
  <c r="U72" i="54" s="1"/>
  <c r="T70" i="70"/>
  <c r="U70" i="70" s="1"/>
  <c r="T66" i="51"/>
  <c r="U66" i="51" s="1"/>
  <c r="T70" i="53"/>
  <c r="U70" i="53" s="1"/>
  <c r="T70" i="52"/>
  <c r="U70" i="52" s="1"/>
  <c r="T70" i="49"/>
  <c r="U70" i="49" s="1"/>
  <c r="T70" i="50"/>
  <c r="U70" i="50" s="1"/>
  <c r="T70" i="42"/>
  <c r="U70" i="42" s="1"/>
  <c r="T70" i="41"/>
  <c r="U70" i="41" s="1"/>
  <c r="T70" i="43"/>
  <c r="U70" i="43" s="1"/>
  <c r="T41" i="38"/>
  <c r="U41" i="38" s="1"/>
  <c r="T41" i="34"/>
  <c r="U41" i="34" s="1"/>
  <c r="T41" i="37"/>
  <c r="U41" i="37" s="1"/>
  <c r="T41" i="33"/>
  <c r="U41" i="33" s="1"/>
  <c r="T41" i="39"/>
  <c r="U41" i="39" s="1"/>
  <c r="T41" i="32"/>
  <c r="U41" i="32" s="1"/>
  <c r="T70" i="30"/>
  <c r="U70" i="30" s="1"/>
  <c r="T70" i="19"/>
  <c r="U70" i="19" s="1"/>
  <c r="T70" i="27"/>
  <c r="U70" i="27" s="1"/>
  <c r="T70" i="76"/>
  <c r="U70" i="76" s="1"/>
  <c r="T70" i="21"/>
  <c r="U70" i="21" s="1"/>
  <c r="T70" i="18"/>
  <c r="U70" i="18" s="1"/>
  <c r="T70" i="17"/>
  <c r="U70" i="17" s="1"/>
  <c r="T70" i="31"/>
  <c r="U70" i="31" s="1"/>
  <c r="T70" i="77"/>
  <c r="U70" i="77" s="1"/>
  <c r="T70" i="29"/>
  <c r="U70" i="29" s="1"/>
  <c r="T70" i="20"/>
  <c r="U70" i="20" s="1"/>
  <c r="T70" i="2"/>
  <c r="U70" i="2" s="1"/>
  <c r="B82" i="48"/>
  <c r="P66" i="73"/>
  <c r="P66" i="74"/>
  <c r="P66" i="72"/>
  <c r="P66" i="71"/>
  <c r="P66" i="69"/>
  <c r="P66" i="70"/>
  <c r="P62" i="51"/>
  <c r="P66" i="53"/>
  <c r="P66" i="52"/>
  <c r="P66" i="50"/>
  <c r="P66" i="49"/>
  <c r="P68" i="54"/>
  <c r="P66" i="43"/>
  <c r="P66" i="41"/>
  <c r="P66" i="42"/>
  <c r="P66" i="27"/>
  <c r="P66" i="21"/>
  <c r="P66" i="30"/>
  <c r="P66" i="77"/>
  <c r="P66" i="76"/>
  <c r="P66" i="20"/>
  <c r="P66" i="29"/>
  <c r="P66" i="19"/>
  <c r="P66" i="2"/>
  <c r="P66" i="31"/>
  <c r="P66" i="18"/>
  <c r="P66" i="17"/>
  <c r="T25" i="74"/>
  <c r="U25" i="74" s="1"/>
  <c r="T25" i="73"/>
  <c r="U25" i="73" s="1"/>
  <c r="T25" i="72"/>
  <c r="U25" i="72" s="1"/>
  <c r="T25" i="71"/>
  <c r="U25" i="71" s="1"/>
  <c r="T25" i="70"/>
  <c r="U25" i="70" s="1"/>
  <c r="T25" i="69"/>
  <c r="U25" i="69" s="1"/>
  <c r="T25" i="52"/>
  <c r="U25" i="52" s="1"/>
  <c r="T25" i="53"/>
  <c r="U25" i="53" s="1"/>
  <c r="T25" i="49"/>
  <c r="U25" i="49" s="1"/>
  <c r="T25" i="51"/>
  <c r="U25" i="51" s="1"/>
  <c r="T25" i="50"/>
  <c r="U25" i="50" s="1"/>
  <c r="T25" i="43"/>
  <c r="U25" i="43" s="1"/>
  <c r="T25" i="42"/>
  <c r="U25" i="42" s="1"/>
  <c r="T25" i="44"/>
  <c r="U25" i="44" s="1"/>
  <c r="T25" i="41"/>
  <c r="U25" i="41" s="1"/>
  <c r="T25" i="38"/>
  <c r="U25" i="38" s="1"/>
  <c r="T25" i="40"/>
  <c r="U25" i="40" s="1"/>
  <c r="T25" i="37"/>
  <c r="U25" i="37" s="1"/>
  <c r="T25" i="33"/>
  <c r="U25" i="33" s="1"/>
  <c r="T25" i="35"/>
  <c r="U25" i="35" s="1"/>
  <c r="T25" i="39"/>
  <c r="U25" i="39" s="1"/>
  <c r="T25" i="34"/>
  <c r="U25" i="34" s="1"/>
  <c r="T25" i="32"/>
  <c r="U25" i="32" s="1"/>
  <c r="T25" i="29"/>
  <c r="U25" i="29" s="1"/>
  <c r="T25" i="76"/>
  <c r="U25" i="76" s="1"/>
  <c r="T25" i="20"/>
  <c r="U25" i="20" s="1"/>
  <c r="T25" i="31"/>
  <c r="U25" i="31" s="1"/>
  <c r="T25" i="77"/>
  <c r="U25" i="77" s="1"/>
  <c r="T25" i="18"/>
  <c r="U25" i="18" s="1"/>
  <c r="T25" i="17"/>
  <c r="U25" i="17" s="1"/>
  <c r="T25" i="27"/>
  <c r="U25" i="27" s="1"/>
  <c r="T25" i="2"/>
  <c r="U25" i="2" s="1"/>
  <c r="T25" i="30"/>
  <c r="U25" i="30" s="1"/>
  <c r="T25" i="21"/>
  <c r="U25" i="21" s="1"/>
  <c r="T25" i="19"/>
  <c r="U25" i="19" s="1"/>
  <c r="T25" i="23"/>
  <c r="U25" i="23" s="1"/>
  <c r="T25" i="26"/>
  <c r="U25" i="26" s="1"/>
  <c r="T25" i="22"/>
  <c r="U25" i="22" s="1"/>
  <c r="T25" i="25"/>
  <c r="U25" i="25" s="1"/>
  <c r="T25" i="24"/>
  <c r="U25" i="24" s="1"/>
  <c r="D92" i="48"/>
  <c r="R79" i="70"/>
  <c r="R79" i="69"/>
  <c r="R79" i="49"/>
  <c r="R79" i="52"/>
  <c r="R79" i="41"/>
  <c r="R79" i="19"/>
  <c r="R79" i="2"/>
  <c r="B88" i="48"/>
  <c r="P75" i="69"/>
  <c r="P75" i="70"/>
  <c r="P75" i="52"/>
  <c r="P75" i="49"/>
  <c r="P75" i="41"/>
  <c r="P75" i="19"/>
  <c r="P75" i="2"/>
  <c r="B92" i="48"/>
  <c r="P79" i="69"/>
  <c r="P79" i="70"/>
  <c r="P79" i="52"/>
  <c r="P79" i="49"/>
  <c r="P79" i="41"/>
  <c r="P79" i="19"/>
  <c r="P79" i="2"/>
  <c r="C92" i="48"/>
  <c r="Q79" i="69"/>
  <c r="Q79" i="52"/>
  <c r="Q79" i="70"/>
  <c r="Q79" i="49"/>
  <c r="Q79" i="41"/>
  <c r="Q79" i="19"/>
  <c r="Q79" i="2"/>
  <c r="G90" i="48"/>
  <c r="M90" i="48" s="1"/>
  <c r="H90" i="48" s="1"/>
  <c r="T77" i="70"/>
  <c r="U77" i="70" s="1"/>
  <c r="T77" i="69"/>
  <c r="U77" i="69" s="1"/>
  <c r="T77" i="52"/>
  <c r="U77" i="52" s="1"/>
  <c r="T77" i="49"/>
  <c r="U77" i="49" s="1"/>
  <c r="T77" i="41"/>
  <c r="U77" i="41" s="1"/>
  <c r="T77" i="19"/>
  <c r="U77" i="19" s="1"/>
  <c r="T77" i="2"/>
  <c r="U77" i="2" s="1"/>
  <c r="C95" i="48"/>
  <c r="Q82" i="69"/>
  <c r="Q82" i="70"/>
  <c r="Q82" i="52"/>
  <c r="Q82" i="49"/>
  <c r="Q82" i="41"/>
  <c r="Q53" i="37"/>
  <c r="Q53" i="32"/>
  <c r="Q82" i="2"/>
  <c r="Q82" i="19"/>
  <c r="P58" i="72"/>
  <c r="P58" i="71"/>
  <c r="P58" i="69"/>
  <c r="P59" i="23"/>
  <c r="C100" i="48"/>
  <c r="Q78" i="77"/>
  <c r="Q78" i="76"/>
  <c r="B99" i="48"/>
  <c r="P77" i="77"/>
  <c r="P77" i="76"/>
  <c r="D101" i="48"/>
  <c r="R79" i="76"/>
  <c r="R79" i="77"/>
  <c r="B100" i="48"/>
  <c r="P78" i="77"/>
  <c r="P78" i="76"/>
  <c r="G98" i="48"/>
  <c r="M98" i="48" s="1"/>
  <c r="H98" i="48" s="1"/>
  <c r="T76" i="76"/>
  <c r="U76" i="76" s="1"/>
  <c r="T76" i="77"/>
  <c r="U76" i="77" s="1"/>
  <c r="D104" i="48"/>
  <c r="R82" i="76"/>
  <c r="R82" i="77"/>
  <c r="B103" i="48"/>
  <c r="P81" i="77"/>
  <c r="P81" i="76"/>
  <c r="G104" i="48"/>
  <c r="M104" i="48" s="1"/>
  <c r="H104" i="48" s="1"/>
  <c r="T82" i="77"/>
  <c r="U82" i="77" s="1"/>
  <c r="T82" i="76"/>
  <c r="U82" i="76" s="1"/>
  <c r="G101" i="48"/>
  <c r="M101" i="48" s="1"/>
  <c r="H101" i="48" s="1"/>
  <c r="T79" i="77"/>
  <c r="U79" i="77" s="1"/>
  <c r="T79" i="76"/>
  <c r="U79" i="76" s="1"/>
  <c r="C113" i="48"/>
  <c r="Q81" i="30"/>
  <c r="Q81" i="27"/>
  <c r="C111" i="48"/>
  <c r="Q79" i="30"/>
  <c r="Q79" i="27"/>
  <c r="G115" i="48"/>
  <c r="M115" i="48" s="1"/>
  <c r="H115" i="48" s="1"/>
  <c r="T83" i="30"/>
  <c r="U83" i="30" s="1"/>
  <c r="T83" i="27"/>
  <c r="U83" i="27" s="1"/>
  <c r="G113" i="48"/>
  <c r="M113" i="48" s="1"/>
  <c r="H113" i="48" s="1"/>
  <c r="T81" i="30"/>
  <c r="U81" i="30" s="1"/>
  <c r="T81" i="27"/>
  <c r="U81" i="27" s="1"/>
  <c r="G111" i="48"/>
  <c r="M111" i="48" s="1"/>
  <c r="H111" i="48" s="1"/>
  <c r="T79" i="27"/>
  <c r="U79" i="27" s="1"/>
  <c r="T79" i="30"/>
  <c r="U79" i="30" s="1"/>
  <c r="B115" i="48"/>
  <c r="P83" i="27"/>
  <c r="P83" i="30"/>
  <c r="D110" i="48"/>
  <c r="R83" i="73"/>
  <c r="R83" i="71"/>
  <c r="R83" i="53"/>
  <c r="R83" i="50"/>
  <c r="R83" i="42"/>
  <c r="R54" i="33"/>
  <c r="R54" i="38"/>
  <c r="R83" i="17"/>
  <c r="R83" i="20"/>
  <c r="Q73" i="77"/>
  <c r="Q73" i="31"/>
  <c r="Q73" i="29"/>
  <c r="Q73" i="30"/>
  <c r="Q73" i="76"/>
  <c r="Q73" i="27"/>
  <c r="T68" i="74"/>
  <c r="U68" i="74" s="1"/>
  <c r="T68" i="73"/>
  <c r="U68" i="73" s="1"/>
  <c r="T68" i="72"/>
  <c r="U68" i="72" s="1"/>
  <c r="T68" i="71"/>
  <c r="U68" i="71" s="1"/>
  <c r="T68" i="69"/>
  <c r="U68" i="69" s="1"/>
  <c r="T70" i="54"/>
  <c r="U70" i="54" s="1"/>
  <c r="T64" i="51"/>
  <c r="U64" i="51" s="1"/>
  <c r="T68" i="70"/>
  <c r="U68" i="70" s="1"/>
  <c r="T68" i="53"/>
  <c r="U68" i="53" s="1"/>
  <c r="T68" i="52"/>
  <c r="U68" i="52" s="1"/>
  <c r="T68" i="50"/>
  <c r="U68" i="50" s="1"/>
  <c r="T68" i="49"/>
  <c r="U68" i="49" s="1"/>
  <c r="T68" i="43"/>
  <c r="U68" i="43" s="1"/>
  <c r="T68" i="41"/>
  <c r="U68" i="41" s="1"/>
  <c r="T68" i="42"/>
  <c r="U68" i="42" s="1"/>
  <c r="T68" i="21"/>
  <c r="U68" i="21" s="1"/>
  <c r="T68" i="19"/>
  <c r="U68" i="19" s="1"/>
  <c r="T68" i="30"/>
  <c r="U68" i="30" s="1"/>
  <c r="T68" i="27"/>
  <c r="U68" i="27" s="1"/>
  <c r="T68" i="76"/>
  <c r="U68" i="76" s="1"/>
  <c r="T68" i="17"/>
  <c r="U68" i="17" s="1"/>
  <c r="T68" i="18"/>
  <c r="U68" i="18" s="1"/>
  <c r="T68" i="2"/>
  <c r="U68" i="2" s="1"/>
  <c r="T68" i="31"/>
  <c r="U68" i="31" s="1"/>
  <c r="T68" i="77"/>
  <c r="U68" i="77" s="1"/>
  <c r="T68" i="29"/>
  <c r="U68" i="29" s="1"/>
  <c r="T68" i="20"/>
  <c r="U68" i="20" s="1"/>
  <c r="P68" i="74"/>
  <c r="P68" i="73"/>
  <c r="P68" i="72"/>
  <c r="P68" i="71"/>
  <c r="P68" i="70"/>
  <c r="P68" i="69"/>
  <c r="P64" i="51"/>
  <c r="P70" i="54"/>
  <c r="P68" i="53"/>
  <c r="P68" i="52"/>
  <c r="P68" i="49"/>
  <c r="P68" i="50"/>
  <c r="P68" i="41"/>
  <c r="P68" i="42"/>
  <c r="P68" i="43"/>
  <c r="P68" i="30"/>
  <c r="P68" i="27"/>
  <c r="P68" i="77"/>
  <c r="P68" i="76"/>
  <c r="P68" i="20"/>
  <c r="P68" i="29"/>
  <c r="P68" i="18"/>
  <c r="P68" i="2"/>
  <c r="P68" i="31"/>
  <c r="P68" i="21"/>
  <c r="P68" i="19"/>
  <c r="P68" i="17"/>
  <c r="R42" i="74"/>
  <c r="R42" i="73"/>
  <c r="R42" i="72"/>
  <c r="R42" i="71"/>
  <c r="R42" i="70"/>
  <c r="R42" i="53"/>
  <c r="R44" i="54"/>
  <c r="R38" i="51"/>
  <c r="R42" i="52"/>
  <c r="R42" i="50"/>
  <c r="R42" i="69"/>
  <c r="R42" i="49"/>
  <c r="R42" i="43"/>
  <c r="R42" i="41"/>
  <c r="R42" i="42"/>
  <c r="R42" i="44"/>
  <c r="R42" i="20"/>
  <c r="R42" i="30"/>
  <c r="R42" i="27"/>
  <c r="R42" i="21"/>
  <c r="R42" i="29"/>
  <c r="R42" i="17"/>
  <c r="R42" i="77"/>
  <c r="R42" i="19"/>
  <c r="R42" i="2"/>
  <c r="R42" i="31"/>
  <c r="R42" i="76"/>
  <c r="R42" i="18"/>
  <c r="R42" i="26"/>
  <c r="R42" i="23"/>
  <c r="R42" i="24"/>
  <c r="R42" i="22"/>
  <c r="R42" i="25"/>
  <c r="Q42" i="74"/>
  <c r="Q42" i="71"/>
  <c r="Q42" i="73"/>
  <c r="Q42" i="72"/>
  <c r="Q42" i="69"/>
  <c r="Q42" i="70"/>
  <c r="Q42" i="53"/>
  <c r="Q42" i="50"/>
  <c r="Q44" i="54"/>
  <c r="Q38" i="51"/>
  <c r="Q42" i="52"/>
  <c r="Q42" i="49"/>
  <c r="Q42" i="42"/>
  <c r="Q42" i="44"/>
  <c r="Q42" i="43"/>
  <c r="Q42" i="41"/>
  <c r="Q42" i="31"/>
  <c r="Q42" i="77"/>
  <c r="Q42" i="29"/>
  <c r="Q42" i="20"/>
  <c r="Q42" i="19"/>
  <c r="Q42" i="18"/>
  <c r="Q42" i="27"/>
  <c r="Q42" i="21"/>
  <c r="Q42" i="2"/>
  <c r="Q42" i="30"/>
  <c r="Q42" i="76"/>
  <c r="Q42" i="17"/>
  <c r="Q42" i="23"/>
  <c r="Q42" i="25"/>
  <c r="Q42" i="22"/>
  <c r="Q42" i="24"/>
  <c r="Q42" i="26"/>
  <c r="P53" i="74"/>
  <c r="P53" i="72"/>
  <c r="P53" i="71"/>
  <c r="P53" i="73"/>
  <c r="P53" i="69"/>
  <c r="P53" i="70"/>
  <c r="P55" i="54"/>
  <c r="P53" i="50"/>
  <c r="P53" i="53"/>
  <c r="P49" i="51"/>
  <c r="P53" i="49"/>
  <c r="P53" i="52"/>
  <c r="P53" i="43"/>
  <c r="P53" i="41"/>
  <c r="P53" i="44"/>
  <c r="P53" i="42"/>
  <c r="P53" i="77"/>
  <c r="P53" i="29"/>
  <c r="P53" i="31"/>
  <c r="P53" i="30"/>
  <c r="P53" i="18"/>
  <c r="P53" i="17"/>
  <c r="P53" i="21"/>
  <c r="P53" i="76"/>
  <c r="P53" i="20"/>
  <c r="P53" i="19"/>
  <c r="P53" i="27"/>
  <c r="P53" i="2"/>
  <c r="P53" i="26"/>
  <c r="P53" i="23"/>
  <c r="P53" i="24"/>
  <c r="P53" i="25"/>
  <c r="P53" i="22"/>
  <c r="T30" i="33"/>
  <c r="U30" i="33" s="1"/>
  <c r="T30" i="35"/>
  <c r="U30" i="35" s="1"/>
  <c r="T30" i="34"/>
  <c r="U30" i="34" s="1"/>
  <c r="T30" i="32"/>
  <c r="U30" i="32" s="1"/>
  <c r="R13" i="41"/>
  <c r="R13" i="43"/>
  <c r="R13" i="42"/>
  <c r="R31" i="34"/>
  <c r="R31" i="32"/>
  <c r="R31" i="35"/>
  <c r="R31" i="33"/>
  <c r="P60" i="74"/>
  <c r="P60" i="73"/>
  <c r="P60" i="71"/>
  <c r="P60" i="72"/>
  <c r="P60" i="69"/>
  <c r="P60" i="70"/>
  <c r="P60" i="31"/>
  <c r="P60" i="20"/>
  <c r="P60" i="30"/>
  <c r="P60" i="77"/>
  <c r="P60" i="21"/>
  <c r="P60" i="19"/>
  <c r="P60" i="23"/>
  <c r="P60" i="26"/>
  <c r="P31" i="33"/>
  <c r="P31" i="34"/>
  <c r="P31" i="32"/>
  <c r="P31" i="35"/>
  <c r="P59" i="31"/>
  <c r="P59" i="30"/>
  <c r="P59" i="77"/>
  <c r="T81" i="73"/>
  <c r="U81" i="73" s="1"/>
  <c r="T81" i="71"/>
  <c r="U81" i="71" s="1"/>
  <c r="T81" i="50"/>
  <c r="U81" i="50" s="1"/>
  <c r="T81" i="53"/>
  <c r="U81" i="53" s="1"/>
  <c r="T81" i="42"/>
  <c r="U81" i="42" s="1"/>
  <c r="T81" i="17"/>
  <c r="U81" i="17" s="1"/>
  <c r="T81" i="20"/>
  <c r="U81" i="20" s="1"/>
  <c r="Q30" i="37"/>
  <c r="Q30" i="39"/>
  <c r="Q30" i="38"/>
  <c r="Q30" i="40"/>
  <c r="R30" i="39"/>
  <c r="R30" i="40"/>
  <c r="R30" i="37"/>
  <c r="R30" i="38"/>
  <c r="Q31" i="34"/>
  <c r="Q31" i="32"/>
  <c r="Q31" i="35"/>
  <c r="Q31" i="33"/>
  <c r="T57" i="74"/>
  <c r="U57" i="74" s="1"/>
  <c r="T57" i="73"/>
  <c r="U57" i="73" s="1"/>
  <c r="T57" i="72"/>
  <c r="U57" i="72" s="1"/>
  <c r="T57" i="71"/>
  <c r="U57" i="71" s="1"/>
  <c r="T57" i="70"/>
  <c r="U57" i="70" s="1"/>
  <c r="T53" i="51"/>
  <c r="U53" i="51" s="1"/>
  <c r="T57" i="53"/>
  <c r="U57" i="53" s="1"/>
  <c r="T57" i="52"/>
  <c r="U57" i="52" s="1"/>
  <c r="T57" i="49"/>
  <c r="U57" i="49" s="1"/>
  <c r="T57" i="69"/>
  <c r="U57" i="69" s="1"/>
  <c r="T59" i="54"/>
  <c r="U59" i="54" s="1"/>
  <c r="T57" i="50"/>
  <c r="U57" i="50" s="1"/>
  <c r="T57" i="42"/>
  <c r="U57" i="42" s="1"/>
  <c r="T57" i="41"/>
  <c r="U57" i="41" s="1"/>
  <c r="T57" i="44"/>
  <c r="U57" i="44" s="1"/>
  <c r="T57" i="43"/>
  <c r="U57" i="43" s="1"/>
  <c r="T57" i="29"/>
  <c r="U57" i="29" s="1"/>
  <c r="T57" i="31"/>
  <c r="U57" i="31" s="1"/>
  <c r="T57" i="27"/>
  <c r="U57" i="27" s="1"/>
  <c r="T57" i="17"/>
  <c r="U57" i="17" s="1"/>
  <c r="T57" i="2"/>
  <c r="U57" i="2" s="1"/>
  <c r="T57" i="18"/>
  <c r="U57" i="18" s="1"/>
  <c r="T57" i="21"/>
  <c r="U57" i="21" s="1"/>
  <c r="T57" i="76"/>
  <c r="U57" i="76" s="1"/>
  <c r="T57" i="19"/>
  <c r="U57" i="19" s="1"/>
  <c r="T57" i="30"/>
  <c r="U57" i="30" s="1"/>
  <c r="T57" i="77"/>
  <c r="U57" i="77" s="1"/>
  <c r="T57" i="20"/>
  <c r="U57" i="20" s="1"/>
  <c r="T57" i="26"/>
  <c r="U57" i="26" s="1"/>
  <c r="T57" i="23"/>
  <c r="U57" i="23" s="1"/>
  <c r="T57" i="24"/>
  <c r="U57" i="24" s="1"/>
  <c r="T57" i="25"/>
  <c r="U57" i="25" s="1"/>
  <c r="T57" i="22"/>
  <c r="U57" i="22" s="1"/>
  <c r="B12" i="48"/>
  <c r="P7" i="24"/>
  <c r="C11" i="48"/>
  <c r="Q6" i="24"/>
  <c r="T23" i="74"/>
  <c r="U23" i="74" s="1"/>
  <c r="T23" i="73"/>
  <c r="U23" i="73" s="1"/>
  <c r="T23" i="72"/>
  <c r="U23" i="72" s="1"/>
  <c r="T23" i="71"/>
  <c r="U23" i="71" s="1"/>
  <c r="T23" i="69"/>
  <c r="U23" i="69" s="1"/>
  <c r="T23" i="53"/>
  <c r="U23" i="53" s="1"/>
  <c r="T23" i="51"/>
  <c r="U23" i="51" s="1"/>
  <c r="T23" i="52"/>
  <c r="U23" i="52" s="1"/>
  <c r="T23" i="50"/>
  <c r="U23" i="50" s="1"/>
  <c r="T23" i="70"/>
  <c r="U23" i="70" s="1"/>
  <c r="T23" i="54"/>
  <c r="U23" i="54" s="1"/>
  <c r="T23" i="49"/>
  <c r="U23" i="49" s="1"/>
  <c r="T23" i="43"/>
  <c r="U23" i="43" s="1"/>
  <c r="T23" i="41"/>
  <c r="U23" i="41" s="1"/>
  <c r="T23" i="42"/>
  <c r="U23" i="42" s="1"/>
  <c r="T23" i="44"/>
  <c r="U23" i="44" s="1"/>
  <c r="T23" i="37"/>
  <c r="U23" i="37" s="1"/>
  <c r="T23" i="33"/>
  <c r="U23" i="33" s="1"/>
  <c r="T23" i="39"/>
  <c r="U23" i="39" s="1"/>
  <c r="T23" i="34"/>
  <c r="U23" i="34" s="1"/>
  <c r="T23" i="32"/>
  <c r="U23" i="32" s="1"/>
  <c r="T23" i="38"/>
  <c r="U23" i="38" s="1"/>
  <c r="T23" i="40"/>
  <c r="U23" i="40" s="1"/>
  <c r="T23" i="35"/>
  <c r="U23" i="35" s="1"/>
  <c r="T23" i="30"/>
  <c r="U23" i="30" s="1"/>
  <c r="T23" i="27"/>
  <c r="U23" i="27" s="1"/>
  <c r="T23" i="21"/>
  <c r="U23" i="21" s="1"/>
  <c r="T23" i="19"/>
  <c r="U23" i="19" s="1"/>
  <c r="T23" i="17"/>
  <c r="U23" i="17" s="1"/>
  <c r="T23" i="31"/>
  <c r="U23" i="31" s="1"/>
  <c r="T23" i="29"/>
  <c r="U23" i="29" s="1"/>
  <c r="T23" i="76"/>
  <c r="U23" i="76" s="1"/>
  <c r="T23" i="20"/>
  <c r="U23" i="20" s="1"/>
  <c r="T23" i="77"/>
  <c r="U23" i="77" s="1"/>
  <c r="T23" i="2"/>
  <c r="U23" i="2" s="1"/>
  <c r="T23" i="18"/>
  <c r="U23" i="18" s="1"/>
  <c r="T23" i="26"/>
  <c r="U23" i="26" s="1"/>
  <c r="T23" i="23"/>
  <c r="U23" i="23" s="1"/>
  <c r="T23" i="25"/>
  <c r="U23" i="25" s="1"/>
  <c r="T23" i="24"/>
  <c r="U23" i="24" s="1"/>
  <c r="T23" i="22"/>
  <c r="U23" i="22" s="1"/>
  <c r="Q57" i="73"/>
  <c r="Q57" i="74"/>
  <c r="Q57" i="72"/>
  <c r="Q57" i="71"/>
  <c r="Q57" i="69"/>
  <c r="Q57" i="70"/>
  <c r="Q59" i="54"/>
  <c r="Q57" i="53"/>
  <c r="Q57" i="52"/>
  <c r="Q53" i="51"/>
  <c r="Q57" i="49"/>
  <c r="Q57" i="50"/>
  <c r="Q57" i="43"/>
  <c r="Q57" i="42"/>
  <c r="Q57" i="44"/>
  <c r="Q57" i="41"/>
  <c r="Q57" i="30"/>
  <c r="Q57" i="76"/>
  <c r="Q57" i="21"/>
  <c r="Q57" i="20"/>
  <c r="Q57" i="77"/>
  <c r="Q57" i="31"/>
  <c r="Q57" i="18"/>
  <c r="Q57" i="2"/>
  <c r="Q57" i="27"/>
  <c r="Q57" i="29"/>
  <c r="Q57" i="17"/>
  <c r="Q57" i="19"/>
  <c r="Q57" i="26"/>
  <c r="Q57" i="23"/>
  <c r="Q57" i="22"/>
  <c r="Q57" i="25"/>
  <c r="Q57" i="24"/>
  <c r="P81" i="73"/>
  <c r="P81" i="71"/>
  <c r="P81" i="50"/>
  <c r="P81" i="53"/>
  <c r="P81" i="42"/>
  <c r="P81" i="20"/>
  <c r="P81" i="17"/>
  <c r="P73" i="74"/>
  <c r="P73" i="73"/>
  <c r="P73" i="72"/>
  <c r="P73" i="71"/>
  <c r="P73" i="70"/>
  <c r="P69" i="51"/>
  <c r="P75" i="54"/>
  <c r="P73" i="53"/>
  <c r="P73" i="52"/>
  <c r="P73" i="69"/>
  <c r="P73" i="50"/>
  <c r="P73" i="49"/>
  <c r="P73" i="41"/>
  <c r="P73" i="43"/>
  <c r="P73" i="42"/>
  <c r="P44" i="37"/>
  <c r="P44" i="33"/>
  <c r="P44" i="34"/>
  <c r="P44" i="38"/>
  <c r="P44" i="39"/>
  <c r="P44" i="32"/>
  <c r="P73" i="20"/>
  <c r="P73" i="18"/>
  <c r="P73" i="21"/>
  <c r="P73" i="2"/>
  <c r="P73" i="19"/>
  <c r="P73" i="17"/>
  <c r="G63" i="48"/>
  <c r="M63" i="48" s="1"/>
  <c r="H63" i="48" s="1"/>
  <c r="T54" i="74"/>
  <c r="U54" i="74" s="1"/>
  <c r="T54" i="73"/>
  <c r="U54" i="73" s="1"/>
  <c r="T54" i="72"/>
  <c r="U54" i="72" s="1"/>
  <c r="T54" i="71"/>
  <c r="U54" i="71" s="1"/>
  <c r="T54" i="69"/>
  <c r="U54" i="69" s="1"/>
  <c r="T54" i="70"/>
  <c r="U54" i="70" s="1"/>
  <c r="T56" i="54"/>
  <c r="U56" i="54" s="1"/>
  <c r="T54" i="50"/>
  <c r="U54" i="50" s="1"/>
  <c r="T50" i="51"/>
  <c r="U50" i="51" s="1"/>
  <c r="T54" i="53"/>
  <c r="U54" i="53" s="1"/>
  <c r="T54" i="52"/>
  <c r="U54" i="52" s="1"/>
  <c r="T54" i="49"/>
  <c r="U54" i="49" s="1"/>
  <c r="T54" i="43"/>
  <c r="U54" i="43" s="1"/>
  <c r="T54" i="41"/>
  <c r="U54" i="41" s="1"/>
  <c r="T54" i="44"/>
  <c r="U54" i="44" s="1"/>
  <c r="T54" i="42"/>
  <c r="U54" i="42" s="1"/>
  <c r="T54" i="31"/>
  <c r="U54" i="31" s="1"/>
  <c r="T54" i="77"/>
  <c r="U54" i="77" s="1"/>
  <c r="T54" i="29"/>
  <c r="U54" i="29" s="1"/>
  <c r="T54" i="19"/>
  <c r="U54" i="19" s="1"/>
  <c r="T54" i="21"/>
  <c r="U54" i="21" s="1"/>
  <c r="T54" i="2"/>
  <c r="U54" i="2" s="1"/>
  <c r="T54" i="30"/>
  <c r="U54" i="30" s="1"/>
  <c r="T54" i="76"/>
  <c r="U54" i="76" s="1"/>
  <c r="T54" i="18"/>
  <c r="U54" i="18" s="1"/>
  <c r="T54" i="17"/>
  <c r="U54" i="17" s="1"/>
  <c r="T54" i="27"/>
  <c r="U54" i="27" s="1"/>
  <c r="T54" i="20"/>
  <c r="U54" i="20" s="1"/>
  <c r="T54" i="26"/>
  <c r="U54" i="26" s="1"/>
  <c r="T54" i="23"/>
  <c r="U54" i="23" s="1"/>
  <c r="T54" i="24"/>
  <c r="U54" i="24" s="1"/>
  <c r="T54" i="25"/>
  <c r="U54" i="25" s="1"/>
  <c r="T54" i="22"/>
  <c r="U54" i="22" s="1"/>
  <c r="D17" i="48"/>
  <c r="R5" i="74"/>
  <c r="R5" i="73"/>
  <c r="R5" i="71"/>
  <c r="R5" i="72"/>
  <c r="R5" i="70"/>
  <c r="R5" i="69"/>
  <c r="R5" i="52"/>
  <c r="R5" i="54"/>
  <c r="R5" i="53"/>
  <c r="R5" i="49"/>
  <c r="R5" i="50"/>
  <c r="R5" i="51"/>
  <c r="R5" i="41"/>
  <c r="R5" i="42"/>
  <c r="R5" i="44"/>
  <c r="R5" i="43"/>
  <c r="R5" i="39"/>
  <c r="R5" i="34"/>
  <c r="R5" i="35"/>
  <c r="R5" i="37"/>
  <c r="R5" i="40"/>
  <c r="R5" i="33"/>
  <c r="R5" i="38"/>
  <c r="R5" i="32"/>
  <c r="R5" i="27"/>
  <c r="R5" i="30"/>
  <c r="R5" i="29"/>
  <c r="R5" i="76"/>
  <c r="R5" i="77"/>
  <c r="R5" i="17"/>
  <c r="R5" i="2"/>
  <c r="R5" i="21"/>
  <c r="R5" i="20"/>
  <c r="R5" i="31"/>
  <c r="R5" i="19"/>
  <c r="R5" i="18"/>
  <c r="R5" i="23"/>
  <c r="R5" i="22"/>
  <c r="C14" i="48"/>
  <c r="Q9" i="24"/>
  <c r="T7" i="74"/>
  <c r="U7" i="74" s="1"/>
  <c r="T7" i="73"/>
  <c r="U7" i="73" s="1"/>
  <c r="T7" i="72"/>
  <c r="U7" i="72" s="1"/>
  <c r="T7" i="71"/>
  <c r="U7" i="71" s="1"/>
  <c r="T7" i="69"/>
  <c r="U7" i="69" s="1"/>
  <c r="T7" i="70"/>
  <c r="U7" i="70" s="1"/>
  <c r="T7" i="53"/>
  <c r="U7" i="53" s="1"/>
  <c r="T7" i="52"/>
  <c r="U7" i="52" s="1"/>
  <c r="T7" i="54"/>
  <c r="U7" i="54" s="1"/>
  <c r="T7" i="51"/>
  <c r="U7" i="51" s="1"/>
  <c r="T7" i="49"/>
  <c r="U7" i="49" s="1"/>
  <c r="T7" i="50"/>
  <c r="U7" i="50" s="1"/>
  <c r="T7" i="41"/>
  <c r="U7" i="41" s="1"/>
  <c r="T7" i="42"/>
  <c r="U7" i="42" s="1"/>
  <c r="T7" i="44"/>
  <c r="U7" i="44" s="1"/>
  <c r="T7" i="43"/>
  <c r="U7" i="43" s="1"/>
  <c r="T7" i="39"/>
  <c r="U7" i="39" s="1"/>
  <c r="T7" i="40"/>
  <c r="U7" i="40" s="1"/>
  <c r="T7" i="35"/>
  <c r="U7" i="35" s="1"/>
  <c r="T7" i="38"/>
  <c r="U7" i="38" s="1"/>
  <c r="T7" i="37"/>
  <c r="U7" i="37" s="1"/>
  <c r="T7" i="33"/>
  <c r="U7" i="33" s="1"/>
  <c r="T7" i="34"/>
  <c r="U7" i="34" s="1"/>
  <c r="T7" i="32"/>
  <c r="U7" i="32" s="1"/>
  <c r="T7" i="30"/>
  <c r="U7" i="30" s="1"/>
  <c r="T7" i="27"/>
  <c r="U7" i="27" s="1"/>
  <c r="T7" i="29"/>
  <c r="U7" i="29" s="1"/>
  <c r="T7" i="76"/>
  <c r="U7" i="76" s="1"/>
  <c r="T7" i="77"/>
  <c r="U7" i="77" s="1"/>
  <c r="T7" i="19"/>
  <c r="U7" i="19" s="1"/>
  <c r="T7" i="2"/>
  <c r="U7" i="2" s="1"/>
  <c r="T7" i="18"/>
  <c r="U7" i="18" s="1"/>
  <c r="T7" i="31"/>
  <c r="U7" i="31" s="1"/>
  <c r="T7" i="21"/>
  <c r="U7" i="21" s="1"/>
  <c r="T7" i="20"/>
  <c r="U7" i="20" s="1"/>
  <c r="T7" i="17"/>
  <c r="U7" i="17" s="1"/>
  <c r="T7" i="23"/>
  <c r="U7" i="23" s="1"/>
  <c r="T7" i="22"/>
  <c r="D16" i="48"/>
  <c r="R4" i="74"/>
  <c r="R4" i="73"/>
  <c r="R4" i="71"/>
  <c r="R4" i="72"/>
  <c r="R4" i="70"/>
  <c r="R4" i="51"/>
  <c r="R4" i="69"/>
  <c r="R4" i="52"/>
  <c r="R4" i="54"/>
  <c r="R4" i="53"/>
  <c r="R4" i="50"/>
  <c r="R4" i="49"/>
  <c r="R4" i="43"/>
  <c r="R4" i="41"/>
  <c r="R4" i="42"/>
  <c r="R4" i="44"/>
  <c r="R4" i="38"/>
  <c r="R4" i="33"/>
  <c r="R4" i="32"/>
  <c r="R4" i="37"/>
  <c r="R4" i="39"/>
  <c r="R4" i="35"/>
  <c r="R4" i="34"/>
  <c r="R4" i="40"/>
  <c r="R4" i="21"/>
  <c r="R4" i="27"/>
  <c r="R4" i="20"/>
  <c r="R4" i="19"/>
  <c r="R4" i="29"/>
  <c r="R4" i="18"/>
  <c r="R4" i="17"/>
  <c r="R4" i="2"/>
  <c r="R4" i="31"/>
  <c r="R4" i="76"/>
  <c r="R4" i="30"/>
  <c r="R4" i="77"/>
  <c r="R4" i="23"/>
  <c r="R4" i="22"/>
  <c r="B19" i="48"/>
  <c r="P7" i="74"/>
  <c r="P7" i="73"/>
  <c r="P7" i="72"/>
  <c r="P7" i="71"/>
  <c r="P7" i="69"/>
  <c r="P7" i="70"/>
  <c r="P7" i="53"/>
  <c r="P7" i="52"/>
  <c r="P7" i="54"/>
  <c r="P7" i="51"/>
  <c r="P7" i="50"/>
  <c r="P7" i="49"/>
  <c r="P7" i="41"/>
  <c r="P7" i="42"/>
  <c r="P7" i="43"/>
  <c r="P7" i="44"/>
  <c r="P7" i="39"/>
  <c r="P7" i="40"/>
  <c r="P7" i="35"/>
  <c r="P7" i="34"/>
  <c r="P7" i="37"/>
  <c r="P7" i="33"/>
  <c r="P7" i="38"/>
  <c r="P7" i="32"/>
  <c r="P7" i="30"/>
  <c r="P7" i="27"/>
  <c r="P7" i="29"/>
  <c r="P7" i="76"/>
  <c r="P7" i="21"/>
  <c r="P7" i="2"/>
  <c r="P7" i="20"/>
  <c r="P7" i="31"/>
  <c r="P7" i="77"/>
  <c r="P7" i="18"/>
  <c r="P7" i="19"/>
  <c r="P7" i="17"/>
  <c r="P7" i="23"/>
  <c r="P7" i="22"/>
  <c r="T6" i="74"/>
  <c r="U6" i="74" s="1"/>
  <c r="T6" i="73"/>
  <c r="U6" i="73" s="1"/>
  <c r="T6" i="72"/>
  <c r="U6" i="72" s="1"/>
  <c r="T6" i="71"/>
  <c r="U6" i="71" s="1"/>
  <c r="T6" i="70"/>
  <c r="U6" i="70" s="1"/>
  <c r="T6" i="69"/>
  <c r="U6" i="69" s="1"/>
  <c r="T6" i="51"/>
  <c r="U6" i="51" s="1"/>
  <c r="T6" i="52"/>
  <c r="U6" i="52" s="1"/>
  <c r="T6" i="50"/>
  <c r="U6" i="50" s="1"/>
  <c r="T6" i="49"/>
  <c r="U6" i="49" s="1"/>
  <c r="T6" i="54"/>
  <c r="U6" i="54" s="1"/>
  <c r="T6" i="53"/>
  <c r="U6" i="53" s="1"/>
  <c r="T6" i="43"/>
  <c r="U6" i="43" s="1"/>
  <c r="T6" i="41"/>
  <c r="U6" i="41" s="1"/>
  <c r="T6" i="44"/>
  <c r="U6" i="44" s="1"/>
  <c r="T6" i="42"/>
  <c r="U6" i="42" s="1"/>
  <c r="T6" i="32"/>
  <c r="U6" i="32" s="1"/>
  <c r="T6" i="40"/>
  <c r="U6" i="40" s="1"/>
  <c r="T6" i="39"/>
  <c r="U6" i="39" s="1"/>
  <c r="T6" i="34"/>
  <c r="U6" i="34" s="1"/>
  <c r="T6" i="35"/>
  <c r="U6" i="35" s="1"/>
  <c r="T6" i="37"/>
  <c r="U6" i="37" s="1"/>
  <c r="T6" i="38"/>
  <c r="U6" i="38" s="1"/>
  <c r="T6" i="33"/>
  <c r="U6" i="33" s="1"/>
  <c r="T6" i="21"/>
  <c r="U6" i="21" s="1"/>
  <c r="T6" i="20"/>
  <c r="U6" i="20" s="1"/>
  <c r="T6" i="27"/>
  <c r="U6" i="27" s="1"/>
  <c r="T6" i="29"/>
  <c r="U6" i="29" s="1"/>
  <c r="T6" i="19"/>
  <c r="U6" i="19" s="1"/>
  <c r="T6" i="18"/>
  <c r="U6" i="18" s="1"/>
  <c r="T6" i="77"/>
  <c r="U6" i="77" s="1"/>
  <c r="T6" i="17"/>
  <c r="U6" i="17" s="1"/>
  <c r="T6" i="2"/>
  <c r="U6" i="2" s="1"/>
  <c r="T6" i="31"/>
  <c r="U6" i="31" s="1"/>
  <c r="T6" i="76"/>
  <c r="U6" i="76" s="1"/>
  <c r="T6" i="30"/>
  <c r="U6" i="30" s="1"/>
  <c r="T6" i="22"/>
  <c r="U6" i="22" s="1"/>
  <c r="T6" i="23"/>
  <c r="U6" i="23" s="1"/>
  <c r="T31" i="38"/>
  <c r="U31" i="38" s="1"/>
  <c r="T31" i="37"/>
  <c r="U31" i="37" s="1"/>
  <c r="T31" i="40"/>
  <c r="U31" i="40" s="1"/>
  <c r="T31" i="39"/>
  <c r="U31" i="39" s="1"/>
  <c r="B23" i="48"/>
  <c r="P11" i="74"/>
  <c r="P11" i="73"/>
  <c r="P11" i="72"/>
  <c r="P11" i="71"/>
  <c r="P11" i="70"/>
  <c r="P11" i="69"/>
  <c r="P11" i="53"/>
  <c r="P11" i="52"/>
  <c r="P11" i="54"/>
  <c r="P11" i="51"/>
  <c r="P11" i="50"/>
  <c r="P11" i="49"/>
  <c r="P11" i="43"/>
  <c r="P11" i="42"/>
  <c r="P11" i="41"/>
  <c r="P11" i="44"/>
  <c r="P11" i="39"/>
  <c r="P11" i="38"/>
  <c r="P11" i="37"/>
  <c r="P11" i="33"/>
  <c r="P11" i="40"/>
  <c r="P11" i="35"/>
  <c r="P11" i="34"/>
  <c r="P11" i="32"/>
  <c r="P11" i="29"/>
  <c r="P11" i="27"/>
  <c r="P11" i="76"/>
  <c r="P11" i="21"/>
  <c r="P11" i="19"/>
  <c r="P11" i="31"/>
  <c r="P11" i="18"/>
  <c r="P11" i="30"/>
  <c r="P11" i="77"/>
  <c r="P11" i="20"/>
  <c r="P11" i="17"/>
  <c r="P11" i="2"/>
  <c r="P11" i="23"/>
  <c r="P11" i="22"/>
  <c r="G22" i="48"/>
  <c r="M22" i="48" s="1"/>
  <c r="H22" i="48" s="1"/>
  <c r="T10" i="74"/>
  <c r="U10" i="74" s="1"/>
  <c r="T10" i="73"/>
  <c r="U10" i="73" s="1"/>
  <c r="T10" i="72"/>
  <c r="U10" i="72" s="1"/>
  <c r="T10" i="71"/>
  <c r="U10" i="71" s="1"/>
  <c r="T10" i="69"/>
  <c r="U10" i="69" s="1"/>
  <c r="T10" i="70"/>
  <c r="U10" i="70" s="1"/>
  <c r="T10" i="51"/>
  <c r="U10" i="51" s="1"/>
  <c r="T10" i="53"/>
  <c r="U10" i="53" s="1"/>
  <c r="T10" i="52"/>
  <c r="U10" i="52" s="1"/>
  <c r="T10" i="50"/>
  <c r="U10" i="50" s="1"/>
  <c r="T10" i="54"/>
  <c r="U10" i="54" s="1"/>
  <c r="T10" i="49"/>
  <c r="U10" i="49" s="1"/>
  <c r="T10" i="41"/>
  <c r="U10" i="41" s="1"/>
  <c r="T10" i="44"/>
  <c r="U10" i="44" s="1"/>
  <c r="T10" i="43"/>
  <c r="U10" i="43" s="1"/>
  <c r="T10" i="42"/>
  <c r="U10" i="42" s="1"/>
  <c r="T10" i="40"/>
  <c r="U10" i="40" s="1"/>
  <c r="T10" i="32"/>
  <c r="U10" i="32" s="1"/>
  <c r="T10" i="35"/>
  <c r="U10" i="35" s="1"/>
  <c r="T10" i="34"/>
  <c r="U10" i="34" s="1"/>
  <c r="T10" i="39"/>
  <c r="U10" i="39" s="1"/>
  <c r="T10" i="38"/>
  <c r="U10" i="38" s="1"/>
  <c r="T10" i="37"/>
  <c r="U10" i="37" s="1"/>
  <c r="T10" i="33"/>
  <c r="U10" i="33" s="1"/>
  <c r="T10" i="30"/>
  <c r="U10" i="30" s="1"/>
  <c r="T10" i="29"/>
  <c r="U10" i="29" s="1"/>
  <c r="T10" i="27"/>
  <c r="U10" i="27" s="1"/>
  <c r="T10" i="20"/>
  <c r="U10" i="20" s="1"/>
  <c r="T10" i="17"/>
  <c r="U10" i="17" s="1"/>
  <c r="T10" i="2"/>
  <c r="U10" i="2" s="1"/>
  <c r="T10" i="31"/>
  <c r="U10" i="31" s="1"/>
  <c r="T10" i="76"/>
  <c r="U10" i="76" s="1"/>
  <c r="T10" i="19"/>
  <c r="U10" i="19" s="1"/>
  <c r="T10" i="77"/>
  <c r="U10" i="77" s="1"/>
  <c r="T10" i="21"/>
  <c r="U10" i="21" s="1"/>
  <c r="T10" i="18"/>
  <c r="U10" i="18" s="1"/>
  <c r="T10" i="23"/>
  <c r="U10" i="23" s="1"/>
  <c r="T10" i="22"/>
  <c r="U10" i="22" s="1"/>
  <c r="G21" i="48"/>
  <c r="M21" i="48" s="1"/>
  <c r="H21" i="48" s="1"/>
  <c r="T9" i="74"/>
  <c r="U9" i="74" s="1"/>
  <c r="T9" i="73"/>
  <c r="U9" i="73" s="1"/>
  <c r="T9" i="72"/>
  <c r="U9" i="72" s="1"/>
  <c r="T9" i="71"/>
  <c r="U9" i="71" s="1"/>
  <c r="T9" i="70"/>
  <c r="U9" i="70" s="1"/>
  <c r="T9" i="54"/>
  <c r="U9" i="54" s="1"/>
  <c r="T9" i="69"/>
  <c r="U9" i="69" s="1"/>
  <c r="T9" i="51"/>
  <c r="U9" i="51" s="1"/>
  <c r="T9" i="52"/>
  <c r="U9" i="52" s="1"/>
  <c r="T9" i="50"/>
  <c r="U9" i="50" s="1"/>
  <c r="T9" i="49"/>
  <c r="U9" i="49" s="1"/>
  <c r="T9" i="53"/>
  <c r="U9" i="53" s="1"/>
  <c r="T9" i="43"/>
  <c r="U9" i="43" s="1"/>
  <c r="T9" i="42"/>
  <c r="U9" i="42" s="1"/>
  <c r="T9" i="44"/>
  <c r="U9" i="44" s="1"/>
  <c r="T9" i="41"/>
  <c r="U9" i="41" s="1"/>
  <c r="T9" i="34"/>
  <c r="U9" i="34" s="1"/>
  <c r="T9" i="39"/>
  <c r="U9" i="39" s="1"/>
  <c r="T9" i="33"/>
  <c r="U9" i="33" s="1"/>
  <c r="T9" i="40"/>
  <c r="U9" i="40" s="1"/>
  <c r="T9" i="32"/>
  <c r="U9" i="32" s="1"/>
  <c r="T9" i="37"/>
  <c r="U9" i="37" s="1"/>
  <c r="T9" i="35"/>
  <c r="U9" i="35" s="1"/>
  <c r="T9" i="38"/>
  <c r="U9" i="38" s="1"/>
  <c r="T9" i="31"/>
  <c r="U9" i="31" s="1"/>
  <c r="T9" i="77"/>
  <c r="U9" i="77" s="1"/>
  <c r="T9" i="21"/>
  <c r="U9" i="21" s="1"/>
  <c r="T9" i="20"/>
  <c r="U9" i="20" s="1"/>
  <c r="T9" i="18"/>
  <c r="U9" i="18" s="1"/>
  <c r="T9" i="2"/>
  <c r="U9" i="2" s="1"/>
  <c r="T9" i="30"/>
  <c r="U9" i="30" s="1"/>
  <c r="T9" i="76"/>
  <c r="U9" i="76" s="1"/>
  <c r="T9" i="17"/>
  <c r="U9" i="17" s="1"/>
  <c r="T9" i="27"/>
  <c r="U9" i="27" s="1"/>
  <c r="T9" i="29"/>
  <c r="U9" i="29" s="1"/>
  <c r="T9" i="19"/>
  <c r="U9" i="19" s="1"/>
  <c r="T9" i="22"/>
  <c r="T9" i="23"/>
  <c r="U9" i="23" s="1"/>
  <c r="C21" i="48"/>
  <c r="Q9" i="74"/>
  <c r="Q9" i="73"/>
  <c r="Q9" i="72"/>
  <c r="Q9" i="71"/>
  <c r="Q9" i="69"/>
  <c r="Q9" i="70"/>
  <c r="Q9" i="51"/>
  <c r="Q9" i="53"/>
  <c r="Q9" i="52"/>
  <c r="Q9" i="50"/>
  <c r="Q9" i="49"/>
  <c r="Q9" i="54"/>
  <c r="Q9" i="41"/>
  <c r="Q9" i="44"/>
  <c r="Q9" i="42"/>
  <c r="Q9" i="43"/>
  <c r="Q9" i="40"/>
  <c r="Q9" i="32"/>
  <c r="Q9" i="38"/>
  <c r="Q9" i="34"/>
  <c r="Q9" i="39"/>
  <c r="Q9" i="37"/>
  <c r="Q9" i="33"/>
  <c r="Q9" i="35"/>
  <c r="Q9" i="30"/>
  <c r="Q9" i="29"/>
  <c r="Q9" i="27"/>
  <c r="Q9" i="31"/>
  <c r="Q9" i="17"/>
  <c r="Q9" i="76"/>
  <c r="Q9" i="77"/>
  <c r="Q9" i="21"/>
  <c r="Q9" i="2"/>
  <c r="Q9" i="20"/>
  <c r="Q9" i="19"/>
  <c r="Q9" i="18"/>
  <c r="Q9" i="23"/>
  <c r="Q9" i="22"/>
  <c r="P55" i="51"/>
  <c r="P59" i="53"/>
  <c r="P59" i="52"/>
  <c r="P61" i="54"/>
  <c r="P59" i="50"/>
  <c r="P59" i="49"/>
  <c r="P59" i="42"/>
  <c r="P59" i="41"/>
  <c r="P59" i="43"/>
  <c r="P59" i="44"/>
  <c r="P59" i="27"/>
  <c r="P59" i="76"/>
  <c r="P59" i="29"/>
  <c r="P59" i="18"/>
  <c r="P59" i="2"/>
  <c r="P59" i="17"/>
  <c r="P59" i="25"/>
  <c r="P59" i="24"/>
  <c r="T80" i="73"/>
  <c r="U80" i="73" s="1"/>
  <c r="T80" i="71"/>
  <c r="U80" i="71" s="1"/>
  <c r="T80" i="50"/>
  <c r="U80" i="50" s="1"/>
  <c r="T80" i="53"/>
  <c r="U80" i="53" s="1"/>
  <c r="T80" i="42"/>
  <c r="U80" i="42" s="1"/>
  <c r="T80" i="17"/>
  <c r="U80" i="17" s="1"/>
  <c r="T80" i="20"/>
  <c r="U80" i="20" s="1"/>
  <c r="Q54" i="74"/>
  <c r="Q54" i="73"/>
  <c r="Q54" i="71"/>
  <c r="Q54" i="72"/>
  <c r="Q54" i="70"/>
  <c r="Q54" i="69"/>
  <c r="Q50" i="51"/>
  <c r="Q56" i="54"/>
  <c r="Q54" i="53"/>
  <c r="Q54" i="52"/>
  <c r="Q54" i="50"/>
  <c r="Q54" i="49"/>
  <c r="Q54" i="42"/>
  <c r="Q54" i="44"/>
  <c r="Q54" i="43"/>
  <c r="Q54" i="41"/>
  <c r="Q54" i="30"/>
  <c r="Q54" i="27"/>
  <c r="Q54" i="76"/>
  <c r="Q54" i="21"/>
  <c r="Q54" i="20"/>
  <c r="Q54" i="2"/>
  <c r="Q54" i="29"/>
  <c r="Q54" i="19"/>
  <c r="Q54" i="31"/>
  <c r="Q54" i="77"/>
  <c r="Q54" i="18"/>
  <c r="Q54" i="17"/>
  <c r="Q54" i="23"/>
  <c r="Q54" i="24"/>
  <c r="Q54" i="22"/>
  <c r="Q54" i="25"/>
  <c r="Q54" i="26"/>
  <c r="P30" i="37"/>
  <c r="P30" i="40"/>
  <c r="P30" i="39"/>
  <c r="P30" i="38"/>
  <c r="P52" i="74"/>
  <c r="P52" i="73"/>
  <c r="P52" i="72"/>
  <c r="P52" i="71"/>
  <c r="P52" i="69"/>
  <c r="P52" i="70"/>
  <c r="P54" i="54"/>
  <c r="P52" i="50"/>
  <c r="P52" i="53"/>
  <c r="P48" i="51"/>
  <c r="P52" i="52"/>
  <c r="P52" i="49"/>
  <c r="P52" i="43"/>
  <c r="P52" i="41"/>
  <c r="P52" i="44"/>
  <c r="P52" i="42"/>
  <c r="P52" i="77"/>
  <c r="P52" i="29"/>
  <c r="P52" i="31"/>
  <c r="P52" i="27"/>
  <c r="P52" i="20"/>
  <c r="P52" i="19"/>
  <c r="P52" i="17"/>
  <c r="P52" i="18"/>
  <c r="P52" i="30"/>
  <c r="P52" i="76"/>
  <c r="P52" i="21"/>
  <c r="P52" i="2"/>
  <c r="P52" i="26"/>
  <c r="P52" i="25"/>
  <c r="P52" i="23"/>
  <c r="P52" i="24"/>
  <c r="P52" i="22"/>
  <c r="R28" i="34"/>
  <c r="R28" i="32"/>
  <c r="R28" i="33"/>
  <c r="R28" i="35"/>
  <c r="T5" i="26"/>
  <c r="U5" i="26" s="1"/>
  <c r="T5" i="25"/>
  <c r="U5" i="25" s="1"/>
  <c r="G27" i="48"/>
  <c r="M27" i="48" s="1"/>
  <c r="H27" i="48" s="1"/>
  <c r="T6" i="26"/>
  <c r="U6" i="26" s="1"/>
  <c r="T6" i="25"/>
  <c r="U6" i="25" s="1"/>
  <c r="B28" i="48"/>
  <c r="P7" i="26"/>
  <c r="P7" i="25"/>
  <c r="B25" i="48"/>
  <c r="P4" i="26"/>
  <c r="P4" i="25"/>
  <c r="G37" i="48"/>
  <c r="M37" i="48" s="1"/>
  <c r="H37" i="48" s="1"/>
  <c r="T16" i="74"/>
  <c r="U16" i="74" s="1"/>
  <c r="T16" i="73"/>
  <c r="U16" i="73" s="1"/>
  <c r="T16" i="72"/>
  <c r="U16" i="72" s="1"/>
  <c r="T16" i="71"/>
  <c r="U16" i="71" s="1"/>
  <c r="T16" i="69"/>
  <c r="U16" i="69" s="1"/>
  <c r="T16" i="70"/>
  <c r="U16" i="70" s="1"/>
  <c r="T16" i="53"/>
  <c r="U16" i="53" s="1"/>
  <c r="T16" i="52"/>
  <c r="U16" i="52" s="1"/>
  <c r="T16" i="54"/>
  <c r="U16" i="54" s="1"/>
  <c r="T16" i="51"/>
  <c r="U16" i="51" s="1"/>
  <c r="T16" i="49"/>
  <c r="U16" i="49" s="1"/>
  <c r="T16" i="50"/>
  <c r="U16" i="50" s="1"/>
  <c r="T16" i="43"/>
  <c r="U16" i="43" s="1"/>
  <c r="T16" i="44"/>
  <c r="U16" i="44" s="1"/>
  <c r="T16" i="42"/>
  <c r="U16" i="42" s="1"/>
  <c r="T16" i="41"/>
  <c r="U16" i="41" s="1"/>
  <c r="T16" i="39"/>
  <c r="U16" i="39" s="1"/>
  <c r="T16" i="37"/>
  <c r="U16" i="37" s="1"/>
  <c r="T16" i="34"/>
  <c r="U16" i="34" s="1"/>
  <c r="T16" i="35"/>
  <c r="U16" i="35" s="1"/>
  <c r="T16" i="40"/>
  <c r="U16" i="40" s="1"/>
  <c r="T16" i="32"/>
  <c r="U16" i="32" s="1"/>
  <c r="T16" i="38"/>
  <c r="U16" i="38" s="1"/>
  <c r="T16" i="33"/>
  <c r="U16" i="33" s="1"/>
  <c r="T16" i="27"/>
  <c r="U16" i="27" s="1"/>
  <c r="T16" i="21"/>
  <c r="U16" i="21" s="1"/>
  <c r="T16" i="20"/>
  <c r="U16" i="20" s="1"/>
  <c r="T16" i="76"/>
  <c r="U16" i="76" s="1"/>
  <c r="T16" i="19"/>
  <c r="U16" i="19" s="1"/>
  <c r="T16" i="77"/>
  <c r="U16" i="77" s="1"/>
  <c r="T16" i="18"/>
  <c r="U16" i="18" s="1"/>
  <c r="T16" i="30"/>
  <c r="U16" i="30" s="1"/>
  <c r="T16" i="29"/>
  <c r="U16" i="29" s="1"/>
  <c r="T16" i="17"/>
  <c r="U16" i="17" s="1"/>
  <c r="T16" i="31"/>
  <c r="U16" i="31" s="1"/>
  <c r="T16" i="2"/>
  <c r="U16" i="2" s="1"/>
  <c r="T16" i="26"/>
  <c r="U16" i="26" s="1"/>
  <c r="T16" i="23"/>
  <c r="U16" i="23" s="1"/>
  <c r="T16" i="25"/>
  <c r="U16" i="25" s="1"/>
  <c r="T16" i="24"/>
  <c r="U16" i="24" s="1"/>
  <c r="T16" i="22"/>
  <c r="U16" i="22" s="1"/>
  <c r="T32" i="74"/>
  <c r="U32" i="74" s="1"/>
  <c r="T32" i="72"/>
  <c r="U32" i="72" s="1"/>
  <c r="T32" i="73"/>
  <c r="U32" i="73" s="1"/>
  <c r="T32" i="71"/>
  <c r="U32" i="71" s="1"/>
  <c r="T32" i="69"/>
  <c r="U32" i="69" s="1"/>
  <c r="T32" i="70"/>
  <c r="U32" i="70" s="1"/>
  <c r="T32" i="52"/>
  <c r="U32" i="52" s="1"/>
  <c r="T32" i="49"/>
  <c r="U32" i="49" s="1"/>
  <c r="T32" i="50"/>
  <c r="U32" i="50" s="1"/>
  <c r="T32" i="53"/>
  <c r="U32" i="53" s="1"/>
  <c r="T32" i="44"/>
  <c r="U32" i="44" s="1"/>
  <c r="T32" i="43"/>
  <c r="U32" i="43" s="1"/>
  <c r="T32" i="41"/>
  <c r="U32" i="41" s="1"/>
  <c r="T32" i="42"/>
  <c r="U32" i="42" s="1"/>
  <c r="T32" i="30"/>
  <c r="U32" i="30" s="1"/>
  <c r="T32" i="27"/>
  <c r="U32" i="27" s="1"/>
  <c r="T32" i="21"/>
  <c r="U32" i="21" s="1"/>
  <c r="T32" i="76"/>
  <c r="U32" i="76" s="1"/>
  <c r="T32" i="20"/>
  <c r="U32" i="20" s="1"/>
  <c r="T32" i="77"/>
  <c r="U32" i="77" s="1"/>
  <c r="T32" i="29"/>
  <c r="U32" i="29" s="1"/>
  <c r="T32" i="31"/>
  <c r="U32" i="31" s="1"/>
  <c r="T32" i="19"/>
  <c r="U32" i="19" s="1"/>
  <c r="T32" i="17"/>
  <c r="U32" i="17" s="1"/>
  <c r="T32" i="2"/>
  <c r="U32" i="2" s="1"/>
  <c r="T32" i="18"/>
  <c r="U32" i="18" s="1"/>
  <c r="T32" i="26"/>
  <c r="U32" i="26" s="1"/>
  <c r="T32" i="24"/>
  <c r="U32" i="24" s="1"/>
  <c r="T32" i="22"/>
  <c r="U32" i="22" s="1"/>
  <c r="T32" i="23"/>
  <c r="U32" i="23" s="1"/>
  <c r="T32" i="25"/>
  <c r="U32" i="25" s="1"/>
  <c r="T29" i="74"/>
  <c r="U29" i="74" s="1"/>
  <c r="T29" i="73"/>
  <c r="U29" i="73" s="1"/>
  <c r="T29" i="72"/>
  <c r="U29" i="72" s="1"/>
  <c r="T29" i="71"/>
  <c r="U29" i="71" s="1"/>
  <c r="T29" i="69"/>
  <c r="U29" i="69" s="1"/>
  <c r="T29" i="70"/>
  <c r="U29" i="70" s="1"/>
  <c r="T29" i="52"/>
  <c r="U29" i="52" s="1"/>
  <c r="T29" i="53"/>
  <c r="U29" i="53" s="1"/>
  <c r="T29" i="49"/>
  <c r="U29" i="49" s="1"/>
  <c r="T29" i="50"/>
  <c r="U29" i="50" s="1"/>
  <c r="T29" i="42"/>
  <c r="U29" i="42" s="1"/>
  <c r="T29" i="44"/>
  <c r="U29" i="44" s="1"/>
  <c r="T29" i="41"/>
  <c r="U29" i="41" s="1"/>
  <c r="T29" i="43"/>
  <c r="U29" i="43" s="1"/>
  <c r="T29" i="30"/>
  <c r="U29" i="30" s="1"/>
  <c r="T29" i="76"/>
  <c r="U29" i="76" s="1"/>
  <c r="T29" i="21"/>
  <c r="U29" i="21" s="1"/>
  <c r="T29" i="31"/>
  <c r="U29" i="31" s="1"/>
  <c r="T29" i="77"/>
  <c r="U29" i="77" s="1"/>
  <c r="T29" i="17"/>
  <c r="U29" i="17" s="1"/>
  <c r="T29" i="2"/>
  <c r="U29" i="2" s="1"/>
  <c r="T29" i="27"/>
  <c r="U29" i="27" s="1"/>
  <c r="T29" i="19"/>
  <c r="U29" i="19" s="1"/>
  <c r="T29" i="29"/>
  <c r="U29" i="29" s="1"/>
  <c r="T29" i="20"/>
  <c r="U29" i="20" s="1"/>
  <c r="T29" i="18"/>
  <c r="U29" i="18" s="1"/>
  <c r="T29" i="23"/>
  <c r="U29" i="23" s="1"/>
  <c r="T29" i="26"/>
  <c r="U29" i="26" s="1"/>
  <c r="T29" i="22"/>
  <c r="U29" i="22" s="1"/>
  <c r="T29" i="24"/>
  <c r="U29" i="24" s="1"/>
  <c r="T29" i="25"/>
  <c r="U29" i="25" s="1"/>
  <c r="G76" i="48"/>
  <c r="M76" i="48" s="1"/>
  <c r="H76" i="48" s="1"/>
  <c r="T62" i="26"/>
  <c r="U62" i="26" s="1"/>
  <c r="T62" i="23"/>
  <c r="U62" i="23" s="1"/>
  <c r="Q59" i="30"/>
  <c r="Q59" i="31"/>
  <c r="Q59" i="77"/>
  <c r="D107" i="48"/>
  <c r="R80" i="73"/>
  <c r="R80" i="71"/>
  <c r="R80" i="53"/>
  <c r="R80" i="50"/>
  <c r="R80" i="42"/>
  <c r="R80" i="20"/>
  <c r="R80" i="17"/>
  <c r="R59" i="77"/>
  <c r="R59" i="31"/>
  <c r="R59" i="30"/>
  <c r="Q56" i="73"/>
  <c r="Q56" i="74"/>
  <c r="Q56" i="72"/>
  <c r="Q56" i="71"/>
  <c r="Q56" i="69"/>
  <c r="Q56" i="70"/>
  <c r="Q56" i="53"/>
  <c r="Q56" i="52"/>
  <c r="Q56" i="50"/>
  <c r="Q58" i="54"/>
  <c r="Q52" i="51"/>
  <c r="Q56" i="49"/>
  <c r="Q56" i="44"/>
  <c r="Q56" i="43"/>
  <c r="Q56" i="41"/>
  <c r="Q56" i="42"/>
  <c r="Q56" i="30"/>
  <c r="Q56" i="76"/>
  <c r="Q56" i="21"/>
  <c r="Q56" i="77"/>
  <c r="Q56" i="20"/>
  <c r="Q56" i="29"/>
  <c r="Q56" i="18"/>
  <c r="Q56" i="19"/>
  <c r="Q56" i="17"/>
  <c r="Q56" i="27"/>
  <c r="Q56" i="31"/>
  <c r="Q56" i="2"/>
  <c r="Q56" i="23"/>
  <c r="Q56" i="26"/>
  <c r="Q56" i="22"/>
  <c r="Q56" i="25"/>
  <c r="Q56" i="24"/>
  <c r="Q43" i="74"/>
  <c r="Q43" i="73"/>
  <c r="Q43" i="72"/>
  <c r="Q43" i="71"/>
  <c r="Q43" i="69"/>
  <c r="Q43" i="70"/>
  <c r="Q43" i="53"/>
  <c r="Q45" i="54"/>
  <c r="Q39" i="51"/>
  <c r="Q43" i="52"/>
  <c r="Q43" i="50"/>
  <c r="Q43" i="49"/>
  <c r="Q43" i="43"/>
  <c r="Q43" i="41"/>
  <c r="Q43" i="44"/>
  <c r="Q43" i="42"/>
  <c r="Q43" i="30"/>
  <c r="Q43" i="20"/>
  <c r="Q43" i="27"/>
  <c r="Q43" i="21"/>
  <c r="Q43" i="31"/>
  <c r="Q43" i="19"/>
  <c r="Q43" i="77"/>
  <c r="Q43" i="2"/>
  <c r="Q43" i="29"/>
  <c r="Q43" i="18"/>
  <c r="Q43" i="17"/>
  <c r="Q43" i="76"/>
  <c r="Q43" i="26"/>
  <c r="Q43" i="23"/>
  <c r="Q43" i="24"/>
  <c r="Q43" i="22"/>
  <c r="Q43" i="25"/>
  <c r="R44" i="74"/>
  <c r="R44" i="73"/>
  <c r="R44" i="72"/>
  <c r="R44" i="71"/>
  <c r="R44" i="69"/>
  <c r="R44" i="70"/>
  <c r="R44" i="52"/>
  <c r="R44" i="53"/>
  <c r="R46" i="54"/>
  <c r="R44" i="49"/>
  <c r="R40" i="51"/>
  <c r="R44" i="50"/>
  <c r="R44" i="43"/>
  <c r="R44" i="44"/>
  <c r="R44" i="41"/>
  <c r="R44" i="42"/>
  <c r="R44" i="29"/>
  <c r="R44" i="76"/>
  <c r="R44" i="31"/>
  <c r="R44" i="77"/>
  <c r="R44" i="30"/>
  <c r="R44" i="20"/>
  <c r="R44" i="18"/>
  <c r="R44" i="17"/>
  <c r="R44" i="27"/>
  <c r="R44" i="21"/>
  <c r="R44" i="19"/>
  <c r="R44" i="2"/>
  <c r="R44" i="23"/>
  <c r="R44" i="26"/>
  <c r="R44" i="25"/>
  <c r="R44" i="22"/>
  <c r="R44" i="24"/>
  <c r="P42" i="74"/>
  <c r="P42" i="73"/>
  <c r="P42" i="72"/>
  <c r="P42" i="71"/>
  <c r="P42" i="69"/>
  <c r="P42" i="52"/>
  <c r="P42" i="53"/>
  <c r="P42" i="70"/>
  <c r="P44" i="54"/>
  <c r="P42" i="50"/>
  <c r="P42" i="49"/>
  <c r="P38" i="51"/>
  <c r="P42" i="42"/>
  <c r="P42" i="44"/>
  <c r="P42" i="43"/>
  <c r="P42" i="41"/>
  <c r="P42" i="76"/>
  <c r="P42" i="31"/>
  <c r="P42" i="77"/>
  <c r="P42" i="29"/>
  <c r="P42" i="19"/>
  <c r="P42" i="30"/>
  <c r="P42" i="27"/>
  <c r="P42" i="17"/>
  <c r="P42" i="18"/>
  <c r="P42" i="21"/>
  <c r="P42" i="20"/>
  <c r="P42" i="2"/>
  <c r="P42" i="23"/>
  <c r="P42" i="26"/>
  <c r="P42" i="25"/>
  <c r="P42" i="24"/>
  <c r="P42" i="22"/>
  <c r="Q58" i="72"/>
  <c r="Q58" i="71"/>
  <c r="Q58" i="69"/>
  <c r="Q59" i="23"/>
  <c r="T31" i="33"/>
  <c r="U31" i="33" s="1"/>
  <c r="T31" i="35"/>
  <c r="U31" i="35" s="1"/>
  <c r="T31" i="34"/>
  <c r="U31" i="34" s="1"/>
  <c r="T31" i="32"/>
  <c r="U31" i="32" s="1"/>
  <c r="D120" i="48"/>
  <c r="R31" i="39"/>
  <c r="R31" i="38"/>
  <c r="R31" i="37"/>
  <c r="R31" i="40"/>
  <c r="D14" i="16"/>
  <c r="R62" i="23"/>
  <c r="R62" i="26"/>
  <c r="P28" i="33"/>
  <c r="P28" i="34"/>
  <c r="P28" i="32"/>
  <c r="P28" i="35"/>
  <c r="R27" i="34"/>
  <c r="R27" i="32"/>
  <c r="R27" i="33"/>
  <c r="R27" i="35"/>
  <c r="B65" i="48"/>
  <c r="P56" i="74"/>
  <c r="P56" i="73"/>
  <c r="P56" i="72"/>
  <c r="P56" i="71"/>
  <c r="P56" i="69"/>
  <c r="P56" i="70"/>
  <c r="P58" i="54"/>
  <c r="P52" i="51"/>
  <c r="P56" i="53"/>
  <c r="P56" i="52"/>
  <c r="P56" i="49"/>
  <c r="P56" i="50"/>
  <c r="P56" i="42"/>
  <c r="P56" i="41"/>
  <c r="P56" i="44"/>
  <c r="P56" i="43"/>
  <c r="P56" i="31"/>
  <c r="P56" i="27"/>
  <c r="P56" i="30"/>
  <c r="P56" i="76"/>
  <c r="P56" i="21"/>
  <c r="P56" i="20"/>
  <c r="P56" i="19"/>
  <c r="P56" i="29"/>
  <c r="P56" i="18"/>
  <c r="P56" i="77"/>
  <c r="P56" i="2"/>
  <c r="P56" i="17"/>
  <c r="P56" i="26"/>
  <c r="P56" i="24"/>
  <c r="P56" i="25"/>
  <c r="P56" i="23"/>
  <c r="P56" i="22"/>
  <c r="Q59" i="53"/>
  <c r="Q59" i="52"/>
  <c r="Q61" i="54"/>
  <c r="Q55" i="51"/>
  <c r="Q59" i="50"/>
  <c r="Q59" i="49"/>
  <c r="Q59" i="43"/>
  <c r="Q59" i="41"/>
  <c r="Q59" i="44"/>
  <c r="Q59" i="42"/>
  <c r="Q59" i="76"/>
  <c r="Q59" i="29"/>
  <c r="Q59" i="18"/>
  <c r="Q59" i="17"/>
  <c r="Q59" i="2"/>
  <c r="Q59" i="27"/>
  <c r="Q59" i="25"/>
  <c r="Q59" i="24"/>
  <c r="Q73" i="74"/>
  <c r="Q73" i="73"/>
  <c r="Q73" i="72"/>
  <c r="Q73" i="71"/>
  <c r="Q73" i="69"/>
  <c r="Q73" i="70"/>
  <c r="Q75" i="54"/>
  <c r="Q73" i="53"/>
  <c r="Q73" i="52"/>
  <c r="Q73" i="50"/>
  <c r="Q69" i="51"/>
  <c r="Q73" i="49"/>
  <c r="Q73" i="43"/>
  <c r="Q73" i="41"/>
  <c r="Q73" i="42"/>
  <c r="Q44" i="33"/>
  <c r="Q44" i="39"/>
  <c r="Q44" i="34"/>
  <c r="Q44" i="32"/>
  <c r="Q44" i="38"/>
  <c r="Q44" i="37"/>
  <c r="Q73" i="20"/>
  <c r="Q73" i="21"/>
  <c r="Q73" i="19"/>
  <c r="Q73" i="17"/>
  <c r="Q73" i="2"/>
  <c r="Q73" i="18"/>
  <c r="Q81" i="73"/>
  <c r="Q81" i="71"/>
  <c r="Q81" i="53"/>
  <c r="Q81" i="50"/>
  <c r="Q81" i="42"/>
  <c r="Q81" i="20"/>
  <c r="Q81" i="17"/>
  <c r="D64" i="48"/>
  <c r="R55" i="74"/>
  <c r="R55" i="73"/>
  <c r="R55" i="72"/>
  <c r="R55" i="71"/>
  <c r="R57" i="54"/>
  <c r="R55" i="69"/>
  <c r="R55" i="53"/>
  <c r="R55" i="52"/>
  <c r="R55" i="70"/>
  <c r="R55" i="50"/>
  <c r="R51" i="51"/>
  <c r="R55" i="49"/>
  <c r="R55" i="43"/>
  <c r="R55" i="44"/>
  <c r="R55" i="41"/>
  <c r="R55" i="42"/>
  <c r="R55" i="76"/>
  <c r="R55" i="20"/>
  <c r="R55" i="77"/>
  <c r="R55" i="29"/>
  <c r="R55" i="19"/>
  <c r="R55" i="30"/>
  <c r="R55" i="18"/>
  <c r="R55" i="27"/>
  <c r="R55" i="2"/>
  <c r="R55" i="21"/>
  <c r="R55" i="17"/>
  <c r="R55" i="31"/>
  <c r="R55" i="23"/>
  <c r="R55" i="26"/>
  <c r="R55" i="25"/>
  <c r="R55" i="22"/>
  <c r="R55" i="24"/>
  <c r="R71" i="74"/>
  <c r="R71" i="73"/>
  <c r="R71" i="72"/>
  <c r="R71" i="71"/>
  <c r="R71" i="69"/>
  <c r="R71" i="70"/>
  <c r="R73" i="54"/>
  <c r="R71" i="50"/>
  <c r="R67" i="51"/>
  <c r="R71" i="52"/>
  <c r="R71" i="49"/>
  <c r="R71" i="53"/>
  <c r="R71" i="43"/>
  <c r="R71" i="42"/>
  <c r="R71" i="41"/>
  <c r="R42" i="39"/>
  <c r="R42" i="34"/>
  <c r="R42" i="32"/>
  <c r="R42" i="38"/>
  <c r="R42" i="37"/>
  <c r="R42" i="33"/>
  <c r="R71" i="31"/>
  <c r="R71" i="29"/>
  <c r="R71" i="21"/>
  <c r="R71" i="30"/>
  <c r="R71" i="19"/>
  <c r="R71" i="18"/>
  <c r="R71" i="27"/>
  <c r="R71" i="2"/>
  <c r="R71" i="76"/>
  <c r="R71" i="77"/>
  <c r="R71" i="17"/>
  <c r="R71" i="20"/>
  <c r="P30" i="33"/>
  <c r="P30" i="32"/>
  <c r="P30" i="34"/>
  <c r="P30" i="35"/>
  <c r="D12" i="48"/>
  <c r="R7" i="24"/>
  <c r="T56" i="74"/>
  <c r="U56" i="74" s="1"/>
  <c r="T56" i="73"/>
  <c r="U56" i="73" s="1"/>
  <c r="T56" i="72"/>
  <c r="U56" i="72" s="1"/>
  <c r="T56" i="71"/>
  <c r="U56" i="71" s="1"/>
  <c r="T56" i="69"/>
  <c r="U56" i="69" s="1"/>
  <c r="T56" i="70"/>
  <c r="U56" i="70" s="1"/>
  <c r="T52" i="51"/>
  <c r="U52" i="51" s="1"/>
  <c r="T58" i="54"/>
  <c r="U58" i="54" s="1"/>
  <c r="T56" i="53"/>
  <c r="U56" i="53" s="1"/>
  <c r="T56" i="52"/>
  <c r="U56" i="52" s="1"/>
  <c r="T56" i="50"/>
  <c r="U56" i="50" s="1"/>
  <c r="T56" i="49"/>
  <c r="U56" i="49" s="1"/>
  <c r="T56" i="42"/>
  <c r="U56" i="42" s="1"/>
  <c r="T56" i="41"/>
  <c r="U56" i="41" s="1"/>
  <c r="T56" i="44"/>
  <c r="U56" i="44" s="1"/>
  <c r="T56" i="43"/>
  <c r="U56" i="43" s="1"/>
  <c r="T56" i="29"/>
  <c r="U56" i="29" s="1"/>
  <c r="T56" i="31"/>
  <c r="U56" i="31" s="1"/>
  <c r="T56" i="27"/>
  <c r="U56" i="27" s="1"/>
  <c r="T56" i="18"/>
  <c r="U56" i="18" s="1"/>
  <c r="T56" i="76"/>
  <c r="U56" i="76" s="1"/>
  <c r="T56" i="17"/>
  <c r="U56" i="17" s="1"/>
  <c r="T56" i="2"/>
  <c r="U56" i="2" s="1"/>
  <c r="T56" i="30"/>
  <c r="U56" i="30" s="1"/>
  <c r="T56" i="77"/>
  <c r="U56" i="77" s="1"/>
  <c r="T56" i="19"/>
  <c r="U56" i="19" s="1"/>
  <c r="T56" i="20"/>
  <c r="U56" i="20" s="1"/>
  <c r="T56" i="21"/>
  <c r="U56" i="21" s="1"/>
  <c r="T56" i="26"/>
  <c r="U56" i="26" s="1"/>
  <c r="T56" i="23"/>
  <c r="U56" i="23" s="1"/>
  <c r="T56" i="24"/>
  <c r="U56" i="24" s="1"/>
  <c r="T56" i="22"/>
  <c r="U56" i="22" s="1"/>
  <c r="T56" i="25"/>
  <c r="U56" i="25" s="1"/>
  <c r="G283" i="48"/>
  <c r="M283" i="48" s="1"/>
  <c r="H283" i="48" s="1"/>
  <c r="T85" i="74"/>
  <c r="U85" i="74" s="1"/>
  <c r="T85" i="73"/>
  <c r="U85" i="73" s="1"/>
  <c r="T85" i="72"/>
  <c r="U85" i="72" s="1"/>
  <c r="T85" i="71"/>
  <c r="U85" i="71" s="1"/>
  <c r="T85" i="69"/>
  <c r="U85" i="69" s="1"/>
  <c r="T85" i="70"/>
  <c r="U85" i="70" s="1"/>
  <c r="F19" i="16"/>
  <c r="G19" i="16" s="1"/>
  <c r="T43" i="74"/>
  <c r="U43" i="74" s="1"/>
  <c r="T43" i="73"/>
  <c r="U43" i="73" s="1"/>
  <c r="T43" i="71"/>
  <c r="U43" i="71" s="1"/>
  <c r="T43" i="72"/>
  <c r="U43" i="72" s="1"/>
  <c r="T43" i="69"/>
  <c r="U43" i="69" s="1"/>
  <c r="T43" i="70"/>
  <c r="U43" i="70" s="1"/>
  <c r="T43" i="53"/>
  <c r="U43" i="53" s="1"/>
  <c r="T43" i="50"/>
  <c r="U43" i="50" s="1"/>
  <c r="T45" i="54"/>
  <c r="U45" i="54" s="1"/>
  <c r="T39" i="51"/>
  <c r="U39" i="51" s="1"/>
  <c r="T43" i="52"/>
  <c r="U43" i="52" s="1"/>
  <c r="T43" i="49"/>
  <c r="U43" i="49" s="1"/>
  <c r="T43" i="44"/>
  <c r="U43" i="44" s="1"/>
  <c r="T43" i="43"/>
  <c r="U43" i="43" s="1"/>
  <c r="T43" i="42"/>
  <c r="U43" i="42" s="1"/>
  <c r="T43" i="41"/>
  <c r="U43" i="41" s="1"/>
  <c r="T43" i="31"/>
  <c r="U43" i="31" s="1"/>
  <c r="T43" i="77"/>
  <c r="U43" i="77" s="1"/>
  <c r="T43" i="29"/>
  <c r="U43" i="29" s="1"/>
  <c r="T43" i="30"/>
  <c r="U43" i="30" s="1"/>
  <c r="T43" i="20"/>
  <c r="U43" i="20" s="1"/>
  <c r="T43" i="21"/>
  <c r="U43" i="21" s="1"/>
  <c r="T43" i="2"/>
  <c r="U43" i="2" s="1"/>
  <c r="T43" i="76"/>
  <c r="U43" i="76" s="1"/>
  <c r="T43" i="19"/>
  <c r="U43" i="19" s="1"/>
  <c r="T43" i="27"/>
  <c r="U43" i="27" s="1"/>
  <c r="T43" i="17"/>
  <c r="U43" i="17" s="1"/>
  <c r="T43" i="18"/>
  <c r="U43" i="18" s="1"/>
  <c r="T43" i="23"/>
  <c r="U43" i="23" s="1"/>
  <c r="T43" i="25"/>
  <c r="U43" i="25" s="1"/>
  <c r="T43" i="24"/>
  <c r="U43" i="24" s="1"/>
  <c r="T43" i="26"/>
  <c r="U43" i="26" s="1"/>
  <c r="T43" i="22"/>
  <c r="U43" i="22" s="1"/>
  <c r="C79" i="48"/>
  <c r="Q63" i="74"/>
  <c r="Q63" i="73"/>
  <c r="Q63" i="72"/>
  <c r="Q63" i="71"/>
  <c r="Q63" i="69"/>
  <c r="Q63" i="70"/>
  <c r="Q63" i="53"/>
  <c r="Q63" i="52"/>
  <c r="Q65" i="54"/>
  <c r="Q63" i="50"/>
  <c r="Q63" i="49"/>
  <c r="Q59" i="51"/>
  <c r="Q63" i="43"/>
  <c r="Q63" i="42"/>
  <c r="Q63" i="41"/>
  <c r="Q63" i="30"/>
  <c r="Q63" i="77"/>
  <c r="Q63" i="76"/>
  <c r="Q63" i="21"/>
  <c r="Q63" i="20"/>
  <c r="Q63" i="29"/>
  <c r="Q63" i="31"/>
  <c r="Q63" i="19"/>
  <c r="Q63" i="17"/>
  <c r="Q63" i="27"/>
  <c r="Q63" i="18"/>
  <c r="Q63" i="2"/>
  <c r="B86" i="48"/>
  <c r="P70" i="74"/>
  <c r="P70" i="73"/>
  <c r="P70" i="72"/>
  <c r="P70" i="71"/>
  <c r="P70" i="69"/>
  <c r="P66" i="51"/>
  <c r="P70" i="70"/>
  <c r="P70" i="53"/>
  <c r="P70" i="52"/>
  <c r="P70" i="50"/>
  <c r="P70" i="49"/>
  <c r="P72" i="54"/>
  <c r="P70" i="42"/>
  <c r="P70" i="41"/>
  <c r="P70" i="43"/>
  <c r="P41" i="37"/>
  <c r="P41" i="33"/>
  <c r="P41" i="39"/>
  <c r="P41" i="34"/>
  <c r="P41" i="32"/>
  <c r="P41" i="38"/>
  <c r="P70" i="30"/>
  <c r="P70" i="27"/>
  <c r="P70" i="77"/>
  <c r="P70" i="76"/>
  <c r="P70" i="20"/>
  <c r="P70" i="29"/>
  <c r="P70" i="2"/>
  <c r="P70" i="31"/>
  <c r="P70" i="19"/>
  <c r="P70" i="21"/>
  <c r="P70" i="18"/>
  <c r="P70" i="17"/>
  <c r="C82" i="48"/>
  <c r="Q66" i="74"/>
  <c r="Q66" i="72"/>
  <c r="Q66" i="73"/>
  <c r="Q66" i="71"/>
  <c r="Q66" i="69"/>
  <c r="Q66" i="70"/>
  <c r="Q68" i="54"/>
  <c r="Q66" i="53"/>
  <c r="Q66" i="52"/>
  <c r="Q62" i="51"/>
  <c r="Q66" i="50"/>
  <c r="Q66" i="49"/>
  <c r="Q66" i="42"/>
  <c r="Q66" i="43"/>
  <c r="Q66" i="41"/>
  <c r="Q66" i="30"/>
  <c r="Q66" i="77"/>
  <c r="Q66" i="76"/>
  <c r="Q66" i="20"/>
  <c r="Q66" i="31"/>
  <c r="Q66" i="29"/>
  <c r="Q66" i="21"/>
  <c r="Q66" i="17"/>
  <c r="Q66" i="18"/>
  <c r="Q66" i="2"/>
  <c r="Q66" i="27"/>
  <c r="Q66" i="19"/>
  <c r="D81" i="48"/>
  <c r="R65" i="74"/>
  <c r="R65" i="73"/>
  <c r="R65" i="72"/>
  <c r="R65" i="71"/>
  <c r="R67" i="54"/>
  <c r="R65" i="70"/>
  <c r="R65" i="69"/>
  <c r="R65" i="50"/>
  <c r="R61" i="51"/>
  <c r="R65" i="53"/>
  <c r="R65" i="49"/>
  <c r="R65" i="52"/>
  <c r="R65" i="42"/>
  <c r="R65" i="41"/>
  <c r="R65" i="43"/>
  <c r="R65" i="29"/>
  <c r="R65" i="31"/>
  <c r="R65" i="19"/>
  <c r="R65" i="18"/>
  <c r="R65" i="30"/>
  <c r="R65" i="27"/>
  <c r="R65" i="2"/>
  <c r="R65" i="76"/>
  <c r="R65" i="77"/>
  <c r="R65" i="17"/>
  <c r="R65" i="21"/>
  <c r="R65" i="20"/>
  <c r="C81" i="48"/>
  <c r="Q65" i="73"/>
  <c r="Q65" i="72"/>
  <c r="Q65" i="71"/>
  <c r="Q65" i="74"/>
  <c r="Q65" i="69"/>
  <c r="Q67" i="54"/>
  <c r="Q65" i="53"/>
  <c r="Q65" i="52"/>
  <c r="Q65" i="70"/>
  <c r="Q61" i="51"/>
  <c r="Q65" i="49"/>
  <c r="Q65" i="50"/>
  <c r="Q65" i="43"/>
  <c r="Q65" i="42"/>
  <c r="Q65" i="41"/>
  <c r="Q65" i="30"/>
  <c r="Q65" i="77"/>
  <c r="Q65" i="76"/>
  <c r="Q65" i="21"/>
  <c r="Q65" i="20"/>
  <c r="Q65" i="29"/>
  <c r="Q65" i="18"/>
  <c r="Q65" i="27"/>
  <c r="Q65" i="31"/>
  <c r="Q65" i="19"/>
  <c r="Q65" i="17"/>
  <c r="Q65" i="2"/>
  <c r="C86" i="48"/>
  <c r="Q70" i="73"/>
  <c r="Q70" i="74"/>
  <c r="Q70" i="72"/>
  <c r="Q70" i="71"/>
  <c r="Q70" i="70"/>
  <c r="Q72" i="54"/>
  <c r="Q70" i="53"/>
  <c r="Q70" i="52"/>
  <c r="Q70" i="69"/>
  <c r="Q66" i="51"/>
  <c r="Q70" i="49"/>
  <c r="Q70" i="50"/>
  <c r="Q70" i="43"/>
  <c r="Q70" i="42"/>
  <c r="Q70" i="41"/>
  <c r="Q41" i="37"/>
  <c r="Q41" i="33"/>
  <c r="Q41" i="39"/>
  <c r="Q41" i="34"/>
  <c r="Q41" i="32"/>
  <c r="Q41" i="38"/>
  <c r="Q70" i="77"/>
  <c r="Q70" i="76"/>
  <c r="Q70" i="20"/>
  <c r="Q70" i="31"/>
  <c r="Q70" i="29"/>
  <c r="Q70" i="21"/>
  <c r="Q70" i="17"/>
  <c r="Q70" i="27"/>
  <c r="Q70" i="18"/>
  <c r="Q70" i="2"/>
  <c r="Q70" i="30"/>
  <c r="Q70" i="19"/>
  <c r="D89" i="48"/>
  <c r="R76" i="70"/>
  <c r="R76" i="69"/>
  <c r="R76" i="52"/>
  <c r="R76" i="49"/>
  <c r="R76" i="41"/>
  <c r="R76" i="19"/>
  <c r="R76" i="2"/>
  <c r="D90" i="48"/>
  <c r="R77" i="70"/>
  <c r="R77" i="69"/>
  <c r="R77" i="52"/>
  <c r="R77" i="49"/>
  <c r="R77" i="41"/>
  <c r="R77" i="19"/>
  <c r="R77" i="2"/>
  <c r="B95" i="48"/>
  <c r="P82" i="52"/>
  <c r="P82" i="70"/>
  <c r="P82" i="69"/>
  <c r="P82" i="49"/>
  <c r="P82" i="41"/>
  <c r="P53" i="37"/>
  <c r="P53" i="32"/>
  <c r="P82" i="2"/>
  <c r="P82" i="19"/>
  <c r="G89" i="48"/>
  <c r="M89" i="48" s="1"/>
  <c r="H89" i="48" s="1"/>
  <c r="T76" i="69"/>
  <c r="U76" i="69" s="1"/>
  <c r="T76" i="70"/>
  <c r="U76" i="70" s="1"/>
  <c r="T76" i="52"/>
  <c r="U76" i="52" s="1"/>
  <c r="T76" i="49"/>
  <c r="U76" i="49" s="1"/>
  <c r="T76" i="41"/>
  <c r="U76" i="41" s="1"/>
  <c r="T76" i="19"/>
  <c r="U76" i="19" s="1"/>
  <c r="T76" i="2"/>
  <c r="U76" i="2" s="1"/>
  <c r="G88" i="48"/>
  <c r="M88" i="48" s="1"/>
  <c r="H88" i="48" s="1"/>
  <c r="T75" i="69"/>
  <c r="U75" i="69" s="1"/>
  <c r="T75" i="70"/>
  <c r="U75" i="70" s="1"/>
  <c r="T75" i="52"/>
  <c r="U75" i="52" s="1"/>
  <c r="T75" i="49"/>
  <c r="U75" i="49" s="1"/>
  <c r="T75" i="41"/>
  <c r="U75" i="41" s="1"/>
  <c r="T75" i="19"/>
  <c r="U75" i="19" s="1"/>
  <c r="T75" i="2"/>
  <c r="U75" i="2" s="1"/>
  <c r="C91" i="48"/>
  <c r="Q78" i="70"/>
  <c r="Q78" i="52"/>
  <c r="Q78" i="69"/>
  <c r="Q78" i="49"/>
  <c r="Q78" i="41"/>
  <c r="Q78" i="2"/>
  <c r="Q78" i="19"/>
  <c r="D100" i="48"/>
  <c r="R78" i="76"/>
  <c r="R78" i="77"/>
  <c r="B101" i="48"/>
  <c r="P79" i="77"/>
  <c r="P79" i="76"/>
  <c r="G100" i="48"/>
  <c r="M100" i="48" s="1"/>
  <c r="H100" i="48" s="1"/>
  <c r="T78" i="76"/>
  <c r="U78" i="76" s="1"/>
  <c r="T78" i="77"/>
  <c r="U78" i="77" s="1"/>
  <c r="B102" i="48"/>
  <c r="P80" i="76"/>
  <c r="P80" i="77"/>
  <c r="C103" i="48"/>
  <c r="Q81" i="77"/>
  <c r="Q81" i="76"/>
  <c r="G102" i="48"/>
  <c r="M102" i="48" s="1"/>
  <c r="H102" i="48" s="1"/>
  <c r="T80" i="76"/>
  <c r="U80" i="76" s="1"/>
  <c r="T80" i="77"/>
  <c r="U80" i="77" s="1"/>
  <c r="G103" i="48"/>
  <c r="M103" i="48" s="1"/>
  <c r="H103" i="48" s="1"/>
  <c r="T81" i="76"/>
  <c r="U81" i="76" s="1"/>
  <c r="T81" i="77"/>
  <c r="U81" i="77" s="1"/>
  <c r="C98" i="48"/>
  <c r="Q76" i="77"/>
  <c r="Q76" i="76"/>
  <c r="D98" i="48"/>
  <c r="R76" i="76"/>
  <c r="R76" i="77"/>
  <c r="G105" i="48"/>
  <c r="M105" i="48" s="1"/>
  <c r="H105" i="48" s="1"/>
  <c r="T83" i="77"/>
  <c r="U83" i="77" s="1"/>
  <c r="T83" i="76"/>
  <c r="U83" i="76" s="1"/>
  <c r="C110" i="48"/>
  <c r="Q83" i="73"/>
  <c r="Q83" i="71"/>
  <c r="Q83" i="53"/>
  <c r="Q83" i="50"/>
  <c r="Q83" i="42"/>
  <c r="Q54" i="33"/>
  <c r="Q54" i="38"/>
  <c r="Q83" i="20"/>
  <c r="Q83" i="17"/>
  <c r="C114" i="48"/>
  <c r="Q82" i="27"/>
  <c r="Q82" i="30"/>
  <c r="B112" i="48"/>
  <c r="P80" i="30"/>
  <c r="P80" i="27"/>
  <c r="B111" i="48"/>
  <c r="P79" i="27"/>
  <c r="P79" i="30"/>
  <c r="B106" i="48"/>
  <c r="P79" i="73"/>
  <c r="P79" i="71"/>
  <c r="P79" i="50"/>
  <c r="P79" i="53"/>
  <c r="P79" i="42"/>
  <c r="P79" i="20"/>
  <c r="P79" i="17"/>
  <c r="B114" i="48"/>
  <c r="P82" i="30"/>
  <c r="P82" i="27"/>
  <c r="T81" i="70"/>
  <c r="U81" i="70" s="1"/>
  <c r="T81" i="69"/>
  <c r="U81" i="69" s="1"/>
  <c r="T81" i="52"/>
  <c r="U81" i="52" s="1"/>
  <c r="T81" i="49"/>
  <c r="U81" i="49" s="1"/>
  <c r="T81" i="41"/>
  <c r="U81" i="41" s="1"/>
  <c r="T81" i="19"/>
  <c r="U81" i="19" s="1"/>
  <c r="T81" i="2"/>
  <c r="U81" i="2" s="1"/>
  <c r="R73" i="74"/>
  <c r="R73" i="73"/>
  <c r="R73" i="72"/>
  <c r="R73" i="71"/>
  <c r="R75" i="54"/>
  <c r="R73" i="69"/>
  <c r="R73" i="50"/>
  <c r="R73" i="70"/>
  <c r="R69" i="51"/>
  <c r="R73" i="52"/>
  <c r="R73" i="49"/>
  <c r="R73" i="53"/>
  <c r="R73" i="42"/>
  <c r="R73" i="41"/>
  <c r="R73" i="43"/>
  <c r="R44" i="39"/>
  <c r="R44" i="34"/>
  <c r="R44" i="32"/>
  <c r="R44" i="33"/>
  <c r="R44" i="38"/>
  <c r="R44" i="37"/>
  <c r="R73" i="21"/>
  <c r="R73" i="19"/>
  <c r="R73" i="18"/>
  <c r="R73" i="20"/>
  <c r="R73" i="17"/>
  <c r="R73" i="2"/>
  <c r="C121" i="48"/>
  <c r="Q30" i="34"/>
  <c r="Q30" i="32"/>
  <c r="Q30" i="33"/>
  <c r="Q30" i="35"/>
  <c r="P55" i="74"/>
  <c r="P55" i="73"/>
  <c r="P55" i="72"/>
  <c r="P55" i="71"/>
  <c r="P55" i="69"/>
  <c r="P55" i="70"/>
  <c r="P51" i="51"/>
  <c r="P55" i="53"/>
  <c r="P55" i="52"/>
  <c r="P55" i="49"/>
  <c r="P57" i="54"/>
  <c r="P55" i="50"/>
  <c r="P55" i="42"/>
  <c r="P55" i="41"/>
  <c r="P55" i="44"/>
  <c r="P55" i="43"/>
  <c r="P55" i="31"/>
  <c r="P55" i="30"/>
  <c r="P55" i="27"/>
  <c r="P55" i="21"/>
  <c r="P55" i="18"/>
  <c r="P55" i="76"/>
  <c r="P55" i="17"/>
  <c r="P55" i="77"/>
  <c r="P55" i="20"/>
  <c r="P55" i="19"/>
  <c r="P55" i="29"/>
  <c r="P55" i="2"/>
  <c r="P55" i="26"/>
  <c r="P55" i="24"/>
  <c r="P55" i="25"/>
  <c r="P55" i="22"/>
  <c r="P55" i="23"/>
  <c r="T53" i="74"/>
  <c r="U53" i="74" s="1"/>
  <c r="T53" i="73"/>
  <c r="U53" i="73" s="1"/>
  <c r="T53" i="72"/>
  <c r="U53" i="72" s="1"/>
  <c r="T53" i="71"/>
  <c r="U53" i="71" s="1"/>
  <c r="T53" i="70"/>
  <c r="U53" i="70" s="1"/>
  <c r="T53" i="52"/>
  <c r="U53" i="52" s="1"/>
  <c r="T53" i="69"/>
  <c r="U53" i="69" s="1"/>
  <c r="T55" i="54"/>
  <c r="U55" i="54" s="1"/>
  <c r="T53" i="53"/>
  <c r="U53" i="53" s="1"/>
  <c r="T49" i="51"/>
  <c r="U49" i="51" s="1"/>
  <c r="T53" i="49"/>
  <c r="U53" i="49" s="1"/>
  <c r="T53" i="50"/>
  <c r="U53" i="50" s="1"/>
  <c r="T53" i="43"/>
  <c r="U53" i="43" s="1"/>
  <c r="T53" i="41"/>
  <c r="U53" i="41" s="1"/>
  <c r="T53" i="42"/>
  <c r="U53" i="42" s="1"/>
  <c r="T53" i="44"/>
  <c r="U53" i="44" s="1"/>
  <c r="T53" i="76"/>
  <c r="U53" i="76" s="1"/>
  <c r="T53" i="77"/>
  <c r="U53" i="77" s="1"/>
  <c r="T53" i="29"/>
  <c r="U53" i="29" s="1"/>
  <c r="T53" i="19"/>
  <c r="U53" i="19" s="1"/>
  <c r="T53" i="20"/>
  <c r="U53" i="20" s="1"/>
  <c r="T53" i="18"/>
  <c r="U53" i="18" s="1"/>
  <c r="T53" i="2"/>
  <c r="U53" i="2" s="1"/>
  <c r="T53" i="31"/>
  <c r="U53" i="31" s="1"/>
  <c r="T53" i="27"/>
  <c r="U53" i="27" s="1"/>
  <c r="T53" i="17"/>
  <c r="U53" i="17" s="1"/>
  <c r="T53" i="21"/>
  <c r="U53" i="21" s="1"/>
  <c r="T53" i="30"/>
  <c r="U53" i="30" s="1"/>
  <c r="T53" i="26"/>
  <c r="U53" i="26" s="1"/>
  <c r="T53" i="23"/>
  <c r="U53" i="23" s="1"/>
  <c r="T53" i="24"/>
  <c r="U53" i="24" s="1"/>
  <c r="T53" i="22"/>
  <c r="U53" i="22" s="1"/>
  <c r="T53" i="25"/>
  <c r="U53" i="25" s="1"/>
  <c r="Q13" i="41"/>
  <c r="Q13" i="43"/>
  <c r="Q13" i="42"/>
  <c r="C77" i="48"/>
  <c r="Q63" i="23"/>
  <c r="Q63" i="26"/>
  <c r="D15" i="48"/>
  <c r="R3" i="74"/>
  <c r="R3" i="73"/>
  <c r="R3" i="71"/>
  <c r="R3" i="72"/>
  <c r="R3" i="70"/>
  <c r="R3" i="69"/>
  <c r="R3" i="54"/>
  <c r="R3" i="53"/>
  <c r="R3" i="52"/>
  <c r="R3" i="50"/>
  <c r="R3" i="49"/>
  <c r="R3" i="51"/>
  <c r="R3" i="43"/>
  <c r="R3" i="44"/>
  <c r="R3" i="42"/>
  <c r="R3" i="41"/>
  <c r="R3" i="40"/>
  <c r="R3" i="35"/>
  <c r="R3" i="37"/>
  <c r="R3" i="33"/>
  <c r="R3" i="32"/>
  <c r="R3" i="39"/>
  <c r="R3" i="38"/>
  <c r="R3" i="34"/>
  <c r="R3" i="31"/>
  <c r="R3" i="77"/>
  <c r="R3" i="21"/>
  <c r="R3" i="20"/>
  <c r="R3" i="18"/>
  <c r="R3" i="17"/>
  <c r="R3" i="2"/>
  <c r="R3" i="19"/>
  <c r="R3" i="76"/>
  <c r="R3" i="30"/>
  <c r="R3" i="27"/>
  <c r="R3" i="29"/>
  <c r="R3" i="22"/>
  <c r="R3" i="23"/>
  <c r="B18" i="48"/>
  <c r="P6" i="74"/>
  <c r="P6" i="73"/>
  <c r="P6" i="72"/>
  <c r="P6" i="71"/>
  <c r="P6" i="69"/>
  <c r="P6" i="70"/>
  <c r="P6" i="51"/>
  <c r="P6" i="52"/>
  <c r="P6" i="54"/>
  <c r="P6" i="53"/>
  <c r="P6" i="50"/>
  <c r="P6" i="49"/>
  <c r="P6" i="43"/>
  <c r="P6" i="41"/>
  <c r="P6" i="44"/>
  <c r="P6" i="42"/>
  <c r="P6" i="32"/>
  <c r="P6" i="37"/>
  <c r="P6" i="38"/>
  <c r="P6" i="39"/>
  <c r="P6" i="34"/>
  <c r="P6" i="35"/>
  <c r="P6" i="40"/>
  <c r="P6" i="33"/>
  <c r="P6" i="21"/>
  <c r="P6" i="20"/>
  <c r="P6" i="27"/>
  <c r="P6" i="76"/>
  <c r="P6" i="19"/>
  <c r="P6" i="18"/>
  <c r="P6" i="31"/>
  <c r="P6" i="30"/>
  <c r="P6" i="17"/>
  <c r="P6" i="2"/>
  <c r="P6" i="77"/>
  <c r="P6" i="29"/>
  <c r="P6" i="22"/>
  <c r="P6" i="23"/>
  <c r="G17" i="48"/>
  <c r="M17" i="48" s="1"/>
  <c r="H17" i="48" s="1"/>
  <c r="T5" i="74"/>
  <c r="U5" i="74" s="1"/>
  <c r="T5" i="73"/>
  <c r="U5" i="73" s="1"/>
  <c r="T5" i="72"/>
  <c r="U5" i="72" s="1"/>
  <c r="T5" i="71"/>
  <c r="U5" i="71" s="1"/>
  <c r="T5" i="69"/>
  <c r="U5" i="69" s="1"/>
  <c r="T5" i="70"/>
  <c r="U5" i="70" s="1"/>
  <c r="T5" i="54"/>
  <c r="U5" i="54" s="1"/>
  <c r="T5" i="53"/>
  <c r="U5" i="53" s="1"/>
  <c r="T5" i="51"/>
  <c r="U5" i="51" s="1"/>
  <c r="T5" i="50"/>
  <c r="U5" i="50" s="1"/>
  <c r="T5" i="49"/>
  <c r="U5" i="49" s="1"/>
  <c r="T5" i="52"/>
  <c r="U5" i="52" s="1"/>
  <c r="T5" i="43"/>
  <c r="U5" i="43" s="1"/>
  <c r="T5" i="44"/>
  <c r="U5" i="44" s="1"/>
  <c r="T5" i="42"/>
  <c r="U5" i="42" s="1"/>
  <c r="T5" i="41"/>
  <c r="U5" i="41" s="1"/>
  <c r="T5" i="33"/>
  <c r="U5" i="33" s="1"/>
  <c r="T5" i="39"/>
  <c r="U5" i="39" s="1"/>
  <c r="T5" i="34"/>
  <c r="U5" i="34" s="1"/>
  <c r="T5" i="37"/>
  <c r="U5" i="37" s="1"/>
  <c r="T5" i="38"/>
  <c r="U5" i="38" s="1"/>
  <c r="T5" i="32"/>
  <c r="U5" i="32" s="1"/>
  <c r="T5" i="35"/>
  <c r="U5" i="35" s="1"/>
  <c r="T5" i="40"/>
  <c r="U5" i="40" s="1"/>
  <c r="T5" i="31"/>
  <c r="U5" i="31" s="1"/>
  <c r="T5" i="77"/>
  <c r="U5" i="77" s="1"/>
  <c r="T5" i="21"/>
  <c r="U5" i="21" s="1"/>
  <c r="T5" i="20"/>
  <c r="U5" i="20" s="1"/>
  <c r="T5" i="17"/>
  <c r="U5" i="17" s="1"/>
  <c r="T5" i="29"/>
  <c r="U5" i="29" s="1"/>
  <c r="T5" i="76"/>
  <c r="U5" i="76" s="1"/>
  <c r="T5" i="19"/>
  <c r="U5" i="19" s="1"/>
  <c r="T5" i="18"/>
  <c r="U5" i="18" s="1"/>
  <c r="T5" i="30"/>
  <c r="U5" i="30" s="1"/>
  <c r="T5" i="27"/>
  <c r="U5" i="27" s="1"/>
  <c r="T5" i="2"/>
  <c r="U5" i="2" s="1"/>
  <c r="T5" i="22"/>
  <c r="U5" i="22" s="1"/>
  <c r="T5" i="23"/>
  <c r="U5" i="23" s="1"/>
  <c r="D14" i="48"/>
  <c r="R9" i="24"/>
  <c r="B17" i="48"/>
  <c r="P5" i="74"/>
  <c r="P5" i="72"/>
  <c r="P5" i="73"/>
  <c r="P5" i="71"/>
  <c r="P5" i="69"/>
  <c r="P5" i="70"/>
  <c r="P5" i="54"/>
  <c r="P5" i="53"/>
  <c r="P5" i="52"/>
  <c r="P5" i="50"/>
  <c r="P5" i="49"/>
  <c r="P5" i="51"/>
  <c r="P5" i="43"/>
  <c r="P5" i="44"/>
  <c r="P5" i="41"/>
  <c r="P5" i="42"/>
  <c r="P5" i="33"/>
  <c r="P5" i="35"/>
  <c r="P5" i="40"/>
  <c r="P5" i="38"/>
  <c r="P5" i="32"/>
  <c r="P5" i="39"/>
  <c r="P5" i="34"/>
  <c r="P5" i="37"/>
  <c r="P5" i="31"/>
  <c r="P5" i="77"/>
  <c r="P5" i="21"/>
  <c r="P5" i="20"/>
  <c r="P5" i="27"/>
  <c r="P5" i="76"/>
  <c r="P5" i="19"/>
  <c r="P5" i="30"/>
  <c r="P5" i="18"/>
  <c r="P5" i="29"/>
  <c r="P5" i="17"/>
  <c r="P5" i="2"/>
  <c r="P5" i="22"/>
  <c r="P5" i="23"/>
  <c r="G16" i="48"/>
  <c r="M16" i="48" s="1"/>
  <c r="H16" i="48" s="1"/>
  <c r="T4" i="74"/>
  <c r="U4" i="74" s="1"/>
  <c r="T4" i="73"/>
  <c r="U4" i="73" s="1"/>
  <c r="T4" i="72"/>
  <c r="U4" i="72" s="1"/>
  <c r="T4" i="71"/>
  <c r="U4" i="71" s="1"/>
  <c r="T4" i="69"/>
  <c r="U4" i="69" s="1"/>
  <c r="T4" i="70"/>
  <c r="U4" i="70" s="1"/>
  <c r="T4" i="52"/>
  <c r="U4" i="52" s="1"/>
  <c r="T4" i="54"/>
  <c r="U4" i="54" s="1"/>
  <c r="T4" i="53"/>
  <c r="U4" i="53" s="1"/>
  <c r="T4" i="51"/>
  <c r="U4" i="51" s="1"/>
  <c r="T4" i="49"/>
  <c r="U4" i="49" s="1"/>
  <c r="T4" i="50"/>
  <c r="U4" i="50" s="1"/>
  <c r="T4" i="42"/>
  <c r="U4" i="42" s="1"/>
  <c r="T4" i="44"/>
  <c r="U4" i="44" s="1"/>
  <c r="T4" i="41"/>
  <c r="U4" i="41" s="1"/>
  <c r="T4" i="43"/>
  <c r="U4" i="43" s="1"/>
  <c r="T4" i="37"/>
  <c r="U4" i="37" s="1"/>
  <c r="T4" i="34"/>
  <c r="U4" i="34" s="1"/>
  <c r="T4" i="32"/>
  <c r="U4" i="32" s="1"/>
  <c r="T4" i="39"/>
  <c r="U4" i="39" s="1"/>
  <c r="T4" i="40"/>
  <c r="U4" i="40" s="1"/>
  <c r="T4" i="38"/>
  <c r="U4" i="38" s="1"/>
  <c r="T4" i="33"/>
  <c r="U4" i="33" s="1"/>
  <c r="T4" i="35"/>
  <c r="U4" i="35" s="1"/>
  <c r="T4" i="30"/>
  <c r="U4" i="30" s="1"/>
  <c r="T4" i="29"/>
  <c r="U4" i="29" s="1"/>
  <c r="T4" i="76"/>
  <c r="U4" i="76" s="1"/>
  <c r="T4" i="31"/>
  <c r="U4" i="31" s="1"/>
  <c r="T4" i="77"/>
  <c r="U4" i="77" s="1"/>
  <c r="T4" i="20"/>
  <c r="U4" i="20" s="1"/>
  <c r="T4" i="27"/>
  <c r="U4" i="27" s="1"/>
  <c r="T4" i="19"/>
  <c r="U4" i="19" s="1"/>
  <c r="T4" i="21"/>
  <c r="U4" i="21" s="1"/>
  <c r="T4" i="17"/>
  <c r="U4" i="17" s="1"/>
  <c r="T4" i="2"/>
  <c r="U4" i="2" s="1"/>
  <c r="T4" i="18"/>
  <c r="U4" i="18" s="1"/>
  <c r="T4" i="22"/>
  <c r="U4" i="22" s="1"/>
  <c r="T4" i="23"/>
  <c r="U4" i="23" s="1"/>
  <c r="C19" i="48"/>
  <c r="Q7" i="74"/>
  <c r="Q7" i="73"/>
  <c r="Q7" i="71"/>
  <c r="Q7" i="72"/>
  <c r="Q7" i="69"/>
  <c r="Q7" i="70"/>
  <c r="Q7" i="53"/>
  <c r="Q7" i="52"/>
  <c r="Q7" i="54"/>
  <c r="Q7" i="49"/>
  <c r="Q7" i="51"/>
  <c r="Q7" i="50"/>
  <c r="Q7" i="42"/>
  <c r="Q7" i="43"/>
  <c r="Q7" i="41"/>
  <c r="Q7" i="44"/>
  <c r="Q7" i="37"/>
  <c r="Q7" i="33"/>
  <c r="Q7" i="32"/>
  <c r="Q7" i="39"/>
  <c r="Q7" i="40"/>
  <c r="Q7" i="38"/>
  <c r="Q7" i="34"/>
  <c r="Q7" i="35"/>
  <c r="Q7" i="29"/>
  <c r="Q7" i="76"/>
  <c r="Q7" i="31"/>
  <c r="Q7" i="77"/>
  <c r="Q7" i="20"/>
  <c r="Q7" i="19"/>
  <c r="Q7" i="27"/>
  <c r="Q7" i="21"/>
  <c r="Q7" i="18"/>
  <c r="Q7" i="30"/>
  <c r="Q7" i="17"/>
  <c r="Q7" i="2"/>
  <c r="Q7" i="22"/>
  <c r="Q7" i="23"/>
  <c r="B22" i="48"/>
  <c r="P10" i="74"/>
  <c r="P10" i="73"/>
  <c r="P10" i="72"/>
  <c r="P10" i="71"/>
  <c r="P10" i="69"/>
  <c r="P10" i="70"/>
  <c r="P10" i="51"/>
  <c r="P10" i="53"/>
  <c r="P10" i="52"/>
  <c r="P10" i="54"/>
  <c r="P10" i="50"/>
  <c r="P10" i="49"/>
  <c r="P10" i="43"/>
  <c r="P10" i="44"/>
  <c r="P10" i="41"/>
  <c r="P10" i="42"/>
  <c r="P10" i="40"/>
  <c r="P10" i="32"/>
  <c r="P10" i="34"/>
  <c r="P10" i="39"/>
  <c r="P10" i="38"/>
  <c r="P10" i="37"/>
  <c r="P10" i="33"/>
  <c r="P10" i="35"/>
  <c r="P10" i="30"/>
  <c r="P10" i="29"/>
  <c r="P10" i="27"/>
  <c r="P10" i="76"/>
  <c r="P10" i="17"/>
  <c r="P10" i="20"/>
  <c r="P10" i="31"/>
  <c r="P10" i="21"/>
  <c r="P10" i="19"/>
  <c r="P10" i="2"/>
  <c r="P10" i="77"/>
  <c r="P10" i="18"/>
  <c r="P10" i="23"/>
  <c r="P10" i="22"/>
  <c r="B21" i="48"/>
  <c r="P9" i="74"/>
  <c r="P9" i="73"/>
  <c r="P9" i="72"/>
  <c r="P9" i="71"/>
  <c r="P9" i="69"/>
  <c r="P9" i="54"/>
  <c r="P9" i="53"/>
  <c r="P9" i="52"/>
  <c r="P9" i="50"/>
  <c r="P9" i="70"/>
  <c r="P9" i="51"/>
  <c r="P9" i="49"/>
  <c r="P9" i="43"/>
  <c r="P9" i="41"/>
  <c r="P9" i="44"/>
  <c r="P9" i="42"/>
  <c r="P9" i="34"/>
  <c r="P9" i="37"/>
  <c r="P9" i="40"/>
  <c r="P9" i="32"/>
  <c r="P9" i="39"/>
  <c r="P9" i="33"/>
  <c r="P9" i="35"/>
  <c r="P9" i="38"/>
  <c r="P9" i="31"/>
  <c r="P9" i="77"/>
  <c r="P9" i="21"/>
  <c r="P9" i="20"/>
  <c r="P9" i="27"/>
  <c r="P9" i="76"/>
  <c r="P9" i="18"/>
  <c r="P9" i="2"/>
  <c r="P9" i="29"/>
  <c r="P9" i="17"/>
  <c r="P9" i="30"/>
  <c r="P9" i="19"/>
  <c r="P9" i="22"/>
  <c r="P9" i="23"/>
  <c r="D23" i="48"/>
  <c r="R11" i="74"/>
  <c r="R11" i="73"/>
  <c r="R11" i="72"/>
  <c r="R11" i="71"/>
  <c r="R11" i="69"/>
  <c r="R11" i="70"/>
  <c r="R11" i="54"/>
  <c r="R11" i="53"/>
  <c r="R11" i="52"/>
  <c r="R11" i="50"/>
  <c r="R11" i="49"/>
  <c r="R11" i="51"/>
  <c r="R11" i="42"/>
  <c r="R11" i="44"/>
  <c r="R11" i="43"/>
  <c r="R11" i="41"/>
  <c r="R11" i="34"/>
  <c r="R11" i="37"/>
  <c r="R11" i="33"/>
  <c r="R11" i="40"/>
  <c r="R11" i="32"/>
  <c r="R11" i="39"/>
  <c r="R11" i="38"/>
  <c r="R11" i="35"/>
  <c r="R11" i="31"/>
  <c r="R11" i="77"/>
  <c r="R11" i="20"/>
  <c r="R11" i="30"/>
  <c r="R11" i="19"/>
  <c r="R11" i="76"/>
  <c r="R11" i="17"/>
  <c r="R11" i="2"/>
  <c r="R11" i="27"/>
  <c r="R11" i="21"/>
  <c r="R11" i="29"/>
  <c r="R11" i="18"/>
  <c r="R11" i="23"/>
  <c r="R11" i="22"/>
  <c r="Q27" i="34"/>
  <c r="Q27" i="32"/>
  <c r="Q27" i="35"/>
  <c r="Q27" i="33"/>
  <c r="G13" i="48"/>
  <c r="M13" i="48" s="1"/>
  <c r="H13" i="48" s="1"/>
  <c r="T8" i="24"/>
  <c r="U8" i="24" s="1"/>
  <c r="G24" i="48"/>
  <c r="M24" i="48" s="1"/>
  <c r="H24" i="48" s="1"/>
  <c r="T3" i="25"/>
  <c r="U3" i="25" s="1"/>
  <c r="T3" i="26"/>
  <c r="U3" i="26" s="1"/>
  <c r="C27" i="48"/>
  <c r="Q6" i="26"/>
  <c r="Q6" i="25"/>
  <c r="R9" i="25"/>
  <c r="R9" i="26"/>
  <c r="B26" i="48"/>
  <c r="P5" i="26"/>
  <c r="P5" i="25"/>
  <c r="T4" i="26"/>
  <c r="U4" i="26" s="1"/>
  <c r="T4" i="25"/>
  <c r="U4" i="25" s="1"/>
  <c r="P9" i="26"/>
  <c r="P9" i="25"/>
  <c r="D28" i="48"/>
  <c r="R7" i="26"/>
  <c r="R7" i="25"/>
  <c r="G43" i="48"/>
  <c r="M43" i="48" s="1"/>
  <c r="H43" i="48" s="1"/>
  <c r="T22" i="73"/>
  <c r="U22" i="73" s="1"/>
  <c r="T22" i="74"/>
  <c r="U22" i="74" s="1"/>
  <c r="T22" i="72"/>
  <c r="U22" i="72" s="1"/>
  <c r="T22" i="71"/>
  <c r="U22" i="71" s="1"/>
  <c r="T22" i="69"/>
  <c r="U22" i="69" s="1"/>
  <c r="T22" i="70"/>
  <c r="U22" i="70" s="1"/>
  <c r="T22" i="54"/>
  <c r="U22" i="54" s="1"/>
  <c r="T22" i="53"/>
  <c r="U22" i="53" s="1"/>
  <c r="T22" i="51"/>
  <c r="U22" i="51" s="1"/>
  <c r="T22" i="49"/>
  <c r="U22" i="49" s="1"/>
  <c r="T22" i="50"/>
  <c r="U22" i="50" s="1"/>
  <c r="T22" i="52"/>
  <c r="U22" i="52" s="1"/>
  <c r="T22" i="42"/>
  <c r="U22" i="42" s="1"/>
  <c r="T22" i="41"/>
  <c r="U22" i="41" s="1"/>
  <c r="T22" i="43"/>
  <c r="U22" i="43" s="1"/>
  <c r="T22" i="44"/>
  <c r="U22" i="44" s="1"/>
  <c r="T22" i="40"/>
  <c r="U22" i="40" s="1"/>
  <c r="T22" i="32"/>
  <c r="U22" i="32" s="1"/>
  <c r="T22" i="35"/>
  <c r="U22" i="35" s="1"/>
  <c r="T22" i="38"/>
  <c r="U22" i="38" s="1"/>
  <c r="T22" i="37"/>
  <c r="U22" i="37" s="1"/>
  <c r="T22" i="33"/>
  <c r="U22" i="33" s="1"/>
  <c r="T22" i="39"/>
  <c r="U22" i="39" s="1"/>
  <c r="T22" i="34"/>
  <c r="U22" i="34" s="1"/>
  <c r="T22" i="31"/>
  <c r="U22" i="31" s="1"/>
  <c r="T22" i="77"/>
  <c r="U22" i="77" s="1"/>
  <c r="T22" i="20"/>
  <c r="U22" i="20" s="1"/>
  <c r="T22" i="30"/>
  <c r="U22" i="30" s="1"/>
  <c r="T22" i="29"/>
  <c r="U22" i="29" s="1"/>
  <c r="T22" i="21"/>
  <c r="U22" i="21" s="1"/>
  <c r="T22" i="19"/>
  <c r="U22" i="19" s="1"/>
  <c r="T22" i="18"/>
  <c r="U22" i="18" s="1"/>
  <c r="T22" i="2"/>
  <c r="U22" i="2" s="1"/>
  <c r="T22" i="76"/>
  <c r="U22" i="76" s="1"/>
  <c r="T22" i="27"/>
  <c r="U22" i="27" s="1"/>
  <c r="T22" i="17"/>
  <c r="U22" i="17" s="1"/>
  <c r="T22" i="23"/>
  <c r="U22" i="23" s="1"/>
  <c r="T22" i="25"/>
  <c r="U22" i="25" s="1"/>
  <c r="T22" i="22"/>
  <c r="U22" i="22" s="1"/>
  <c r="T22" i="26"/>
  <c r="U22" i="26" s="1"/>
  <c r="T22" i="24"/>
  <c r="U22" i="24" s="1"/>
  <c r="T30" i="74"/>
  <c r="U30" i="74" s="1"/>
  <c r="T30" i="73"/>
  <c r="U30" i="73" s="1"/>
  <c r="T30" i="72"/>
  <c r="U30" i="72" s="1"/>
  <c r="T30" i="71"/>
  <c r="U30" i="71" s="1"/>
  <c r="T30" i="69"/>
  <c r="U30" i="69" s="1"/>
  <c r="T30" i="70"/>
  <c r="U30" i="70" s="1"/>
  <c r="T30" i="53"/>
  <c r="U30" i="53" s="1"/>
  <c r="T30" i="52"/>
  <c r="U30" i="52" s="1"/>
  <c r="T30" i="50"/>
  <c r="U30" i="50" s="1"/>
  <c r="T30" i="49"/>
  <c r="U30" i="49" s="1"/>
  <c r="T30" i="42"/>
  <c r="U30" i="42" s="1"/>
  <c r="T30" i="41"/>
  <c r="U30" i="41" s="1"/>
  <c r="T30" i="44"/>
  <c r="U30" i="44" s="1"/>
  <c r="T30" i="43"/>
  <c r="U30" i="43" s="1"/>
  <c r="T30" i="31"/>
  <c r="U30" i="31" s="1"/>
  <c r="T30" i="77"/>
  <c r="U30" i="77" s="1"/>
  <c r="T30" i="20"/>
  <c r="U30" i="20" s="1"/>
  <c r="T30" i="19"/>
  <c r="U30" i="19" s="1"/>
  <c r="T30" i="30"/>
  <c r="U30" i="30" s="1"/>
  <c r="T30" i="76"/>
  <c r="U30" i="76" s="1"/>
  <c r="T30" i="18"/>
  <c r="U30" i="18" s="1"/>
  <c r="T30" i="27"/>
  <c r="U30" i="27" s="1"/>
  <c r="T30" i="21"/>
  <c r="U30" i="21" s="1"/>
  <c r="T30" i="29"/>
  <c r="U30" i="29" s="1"/>
  <c r="T30" i="2"/>
  <c r="U30" i="2" s="1"/>
  <c r="T30" i="17"/>
  <c r="U30" i="17" s="1"/>
  <c r="T30" i="23"/>
  <c r="U30" i="23" s="1"/>
  <c r="T30" i="25"/>
  <c r="U30" i="25" s="1"/>
  <c r="T30" i="26"/>
  <c r="U30" i="26" s="1"/>
  <c r="T30" i="24"/>
  <c r="U30" i="24" s="1"/>
  <c r="T30" i="22"/>
  <c r="U30" i="22" s="1"/>
  <c r="G48" i="48"/>
  <c r="M48" i="48" s="1"/>
  <c r="H48" i="48" s="1"/>
  <c r="T27" i="74"/>
  <c r="U27" i="74" s="1"/>
  <c r="T27" i="73"/>
  <c r="U27" i="73" s="1"/>
  <c r="T27" i="72"/>
  <c r="U27" i="72" s="1"/>
  <c r="T27" i="71"/>
  <c r="U27" i="71" s="1"/>
  <c r="T27" i="69"/>
  <c r="U27" i="69" s="1"/>
  <c r="T27" i="53"/>
  <c r="U27" i="53" s="1"/>
  <c r="T27" i="51"/>
  <c r="U27" i="51" s="1"/>
  <c r="T27" i="70"/>
  <c r="U27" i="70" s="1"/>
  <c r="T27" i="52"/>
  <c r="U27" i="52" s="1"/>
  <c r="T27" i="50"/>
  <c r="U27" i="50" s="1"/>
  <c r="T27" i="49"/>
  <c r="U27" i="49" s="1"/>
  <c r="T27" i="41"/>
  <c r="U27" i="41" s="1"/>
  <c r="T27" i="42"/>
  <c r="U27" i="42" s="1"/>
  <c r="T27" i="44"/>
  <c r="U27" i="44" s="1"/>
  <c r="T27" i="43"/>
  <c r="U27" i="43" s="1"/>
  <c r="T27" i="29"/>
  <c r="U27" i="29" s="1"/>
  <c r="T27" i="27"/>
  <c r="U27" i="27" s="1"/>
  <c r="T27" i="20"/>
  <c r="U27" i="20" s="1"/>
  <c r="T27" i="19"/>
  <c r="U27" i="19" s="1"/>
  <c r="T27" i="21"/>
  <c r="U27" i="21" s="1"/>
  <c r="T27" i="17"/>
  <c r="U27" i="17" s="1"/>
  <c r="T27" i="18"/>
  <c r="U27" i="18" s="1"/>
  <c r="T27" i="31"/>
  <c r="U27" i="31" s="1"/>
  <c r="T27" i="76"/>
  <c r="U27" i="76" s="1"/>
  <c r="T27" i="30"/>
  <c r="U27" i="30" s="1"/>
  <c r="T27" i="77"/>
  <c r="U27" i="77" s="1"/>
  <c r="T27" i="2"/>
  <c r="U27" i="2" s="1"/>
  <c r="T27" i="26"/>
  <c r="U27" i="26" s="1"/>
  <c r="T27" i="23"/>
  <c r="U27" i="23" s="1"/>
  <c r="T27" i="25"/>
  <c r="U27" i="25" s="1"/>
  <c r="T27" i="24"/>
  <c r="U27" i="24" s="1"/>
  <c r="T27" i="22"/>
  <c r="U27" i="22" s="1"/>
  <c r="R52" i="74"/>
  <c r="R52" i="73"/>
  <c r="R52" i="72"/>
  <c r="R52" i="71"/>
  <c r="R52" i="70"/>
  <c r="R54" i="54"/>
  <c r="R52" i="53"/>
  <c r="R48" i="51"/>
  <c r="R52" i="52"/>
  <c r="R52" i="49"/>
  <c r="R52" i="69"/>
  <c r="R52" i="50"/>
  <c r="R52" i="42"/>
  <c r="R52" i="43"/>
  <c r="R52" i="41"/>
  <c r="R52" i="44"/>
  <c r="R52" i="30"/>
  <c r="R52" i="27"/>
  <c r="R52" i="21"/>
  <c r="R52" i="76"/>
  <c r="R52" i="20"/>
  <c r="R52" i="29"/>
  <c r="R52" i="19"/>
  <c r="R52" i="17"/>
  <c r="R52" i="18"/>
  <c r="R52" i="2"/>
  <c r="R52" i="31"/>
  <c r="R52" i="77"/>
  <c r="R52" i="23"/>
  <c r="R52" i="26"/>
  <c r="R52" i="25"/>
  <c r="R52" i="22"/>
  <c r="R52" i="24"/>
  <c r="R56" i="74"/>
  <c r="R56" i="72"/>
  <c r="R56" i="73"/>
  <c r="R56" i="71"/>
  <c r="R56" i="70"/>
  <c r="R58" i="54"/>
  <c r="R56" i="69"/>
  <c r="R56" i="50"/>
  <c r="R52" i="51"/>
  <c r="R56" i="49"/>
  <c r="R56" i="53"/>
  <c r="R56" i="52"/>
  <c r="R56" i="43"/>
  <c r="R56" i="41"/>
  <c r="R56" i="42"/>
  <c r="R56" i="44"/>
  <c r="R56" i="77"/>
  <c r="R56" i="20"/>
  <c r="R56" i="29"/>
  <c r="R56" i="19"/>
  <c r="R56" i="21"/>
  <c r="R56" i="31"/>
  <c r="R56" i="76"/>
  <c r="R56" i="17"/>
  <c r="R56" i="2"/>
  <c r="R56" i="30"/>
  <c r="R56" i="27"/>
  <c r="R56" i="18"/>
  <c r="R56" i="23"/>
  <c r="R56" i="26"/>
  <c r="R56" i="25"/>
  <c r="R56" i="22"/>
  <c r="R56" i="24"/>
  <c r="C14" i="16"/>
  <c r="Q62" i="23"/>
  <c r="Q62" i="26"/>
  <c r="T26" i="74"/>
  <c r="U26" i="74" s="1"/>
  <c r="T26" i="73"/>
  <c r="U26" i="73" s="1"/>
  <c r="T26" i="72"/>
  <c r="U26" i="72" s="1"/>
  <c r="T26" i="71"/>
  <c r="U26" i="71" s="1"/>
  <c r="T26" i="70"/>
  <c r="U26" i="70" s="1"/>
  <c r="T26" i="53"/>
  <c r="U26" i="53" s="1"/>
  <c r="T26" i="69"/>
  <c r="U26" i="69" s="1"/>
  <c r="T26" i="51"/>
  <c r="U26" i="51" s="1"/>
  <c r="T26" i="49"/>
  <c r="U26" i="49" s="1"/>
  <c r="T26" i="50"/>
  <c r="U26" i="50" s="1"/>
  <c r="T26" i="52"/>
  <c r="U26" i="52" s="1"/>
  <c r="T26" i="43"/>
  <c r="U26" i="43" s="1"/>
  <c r="T26" i="42"/>
  <c r="U26" i="42" s="1"/>
  <c r="T26" i="41"/>
  <c r="U26" i="41" s="1"/>
  <c r="T26" i="44"/>
  <c r="U26" i="44" s="1"/>
  <c r="T26" i="31"/>
  <c r="U26" i="31" s="1"/>
  <c r="T26" i="30"/>
  <c r="U26" i="30" s="1"/>
  <c r="T26" i="77"/>
  <c r="U26" i="77" s="1"/>
  <c r="T26" i="21"/>
  <c r="U26" i="21" s="1"/>
  <c r="T26" i="29"/>
  <c r="U26" i="29" s="1"/>
  <c r="T26" i="20"/>
  <c r="U26" i="20" s="1"/>
  <c r="T26" i="2"/>
  <c r="U26" i="2" s="1"/>
  <c r="T26" i="19"/>
  <c r="U26" i="19" s="1"/>
  <c r="T26" i="76"/>
  <c r="U26" i="76" s="1"/>
  <c r="T26" i="27"/>
  <c r="U26" i="27" s="1"/>
  <c r="T26" i="18"/>
  <c r="U26" i="18" s="1"/>
  <c r="T26" i="17"/>
  <c r="U26" i="17" s="1"/>
  <c r="T26" i="23"/>
  <c r="U26" i="23" s="1"/>
  <c r="T26" i="25"/>
  <c r="U26" i="25" s="1"/>
  <c r="T26" i="24"/>
  <c r="U26" i="24" s="1"/>
  <c r="T26" i="26"/>
  <c r="U26" i="26" s="1"/>
  <c r="T26" i="22"/>
  <c r="U26" i="22" s="1"/>
  <c r="G55" i="48"/>
  <c r="M55" i="48" s="1"/>
  <c r="H55" i="48" s="1"/>
  <c r="T34" i="74"/>
  <c r="U34" i="74" s="1"/>
  <c r="T34" i="73"/>
  <c r="U34" i="73" s="1"/>
  <c r="T34" i="72"/>
  <c r="U34" i="72" s="1"/>
  <c r="T34" i="71"/>
  <c r="U34" i="71" s="1"/>
  <c r="T34" i="69"/>
  <c r="U34" i="69" s="1"/>
  <c r="T34" i="70"/>
  <c r="U34" i="70" s="1"/>
  <c r="T34" i="53"/>
  <c r="U34" i="53" s="1"/>
  <c r="T30" i="51"/>
  <c r="U30" i="51" s="1"/>
  <c r="T34" i="50"/>
  <c r="U34" i="50" s="1"/>
  <c r="T34" i="52"/>
  <c r="U34" i="52" s="1"/>
  <c r="T34" i="49"/>
  <c r="U34" i="49" s="1"/>
  <c r="T34" i="42"/>
  <c r="U34" i="42" s="1"/>
  <c r="T34" i="44"/>
  <c r="U34" i="44" s="1"/>
  <c r="T34" i="43"/>
  <c r="U34" i="43" s="1"/>
  <c r="T34" i="41"/>
  <c r="U34" i="41" s="1"/>
  <c r="T34" i="31"/>
  <c r="U34" i="31" s="1"/>
  <c r="T34" i="77"/>
  <c r="U34" i="77" s="1"/>
  <c r="T34" i="29"/>
  <c r="U34" i="29" s="1"/>
  <c r="T34" i="30"/>
  <c r="U34" i="30" s="1"/>
  <c r="T34" i="21"/>
  <c r="U34" i="21" s="1"/>
  <c r="T34" i="19"/>
  <c r="U34" i="19" s="1"/>
  <c r="T34" i="76"/>
  <c r="U34" i="76" s="1"/>
  <c r="T34" i="27"/>
  <c r="U34" i="27" s="1"/>
  <c r="T34" i="20"/>
  <c r="U34" i="20" s="1"/>
  <c r="T34" i="17"/>
  <c r="U34" i="17" s="1"/>
  <c r="T34" i="2"/>
  <c r="U34" i="2" s="1"/>
  <c r="T34" i="18"/>
  <c r="U34" i="18" s="1"/>
  <c r="T34" i="23"/>
  <c r="U34" i="23" s="1"/>
  <c r="T34" i="25"/>
  <c r="U34" i="25" s="1"/>
  <c r="T34" i="24"/>
  <c r="U34" i="24" s="1"/>
  <c r="T34" i="22"/>
  <c r="U34" i="22" s="1"/>
  <c r="T34" i="26"/>
  <c r="U34" i="26" s="1"/>
  <c r="G263" i="48"/>
  <c r="M263" i="48" s="1"/>
  <c r="H263" i="48" s="1"/>
  <c r="T40" i="74"/>
  <c r="U40" i="74" s="1"/>
  <c r="T40" i="73"/>
  <c r="U40" i="73" s="1"/>
  <c r="T40" i="72"/>
  <c r="U40" i="72" s="1"/>
  <c r="T40" i="71"/>
  <c r="U40" i="71" s="1"/>
  <c r="T40" i="69"/>
  <c r="U40" i="69" s="1"/>
  <c r="T40" i="70"/>
  <c r="U40" i="70" s="1"/>
  <c r="T42" i="54"/>
  <c r="U42" i="54" s="1"/>
  <c r="T40" i="53"/>
  <c r="U40" i="53" s="1"/>
  <c r="T36" i="51"/>
  <c r="U36" i="51" s="1"/>
  <c r="T40" i="52"/>
  <c r="U40" i="52" s="1"/>
  <c r="T40" i="50"/>
  <c r="U40" i="50" s="1"/>
  <c r="T40" i="49"/>
  <c r="U40" i="49" s="1"/>
  <c r="T40" i="41"/>
  <c r="U40" i="41" s="1"/>
  <c r="T40" i="43"/>
  <c r="U40" i="43" s="1"/>
  <c r="T40" i="42"/>
  <c r="U40" i="42" s="1"/>
  <c r="T40" i="44"/>
  <c r="U40" i="44" s="1"/>
  <c r="T40" i="29"/>
  <c r="U40" i="29" s="1"/>
  <c r="T40" i="27"/>
  <c r="U40" i="27" s="1"/>
  <c r="T40" i="20"/>
  <c r="U40" i="20" s="1"/>
  <c r="T40" i="30"/>
  <c r="U40" i="30" s="1"/>
  <c r="T40" i="18"/>
  <c r="U40" i="18" s="1"/>
  <c r="T40" i="17"/>
  <c r="U40" i="17" s="1"/>
  <c r="T40" i="21"/>
  <c r="U40" i="21" s="1"/>
  <c r="T40" i="2"/>
  <c r="U40" i="2" s="1"/>
  <c r="T40" i="31"/>
  <c r="U40" i="31" s="1"/>
  <c r="T40" i="76"/>
  <c r="U40" i="76" s="1"/>
  <c r="T40" i="19"/>
  <c r="U40" i="19" s="1"/>
  <c r="T40" i="77"/>
  <c r="U40" i="77" s="1"/>
  <c r="T40" i="26"/>
  <c r="U40" i="26" s="1"/>
  <c r="T40" i="23"/>
  <c r="U40" i="23" s="1"/>
  <c r="T40" i="24"/>
  <c r="U40" i="24" s="1"/>
  <c r="T40" i="25"/>
  <c r="U40" i="25" s="1"/>
  <c r="T40" i="22"/>
  <c r="U40" i="22" s="1"/>
  <c r="Q61" i="74"/>
  <c r="Q61" i="72"/>
  <c r="Q61" i="73"/>
  <c r="Q61" i="71"/>
  <c r="Q61" i="69"/>
  <c r="Q61" i="70"/>
  <c r="Q61" i="30"/>
  <c r="Q61" i="77"/>
  <c r="Q61" i="21"/>
  <c r="Q61" i="19"/>
  <c r="Q61" i="31"/>
  <c r="Q61" i="20"/>
  <c r="Q61" i="26"/>
  <c r="Q61" i="23"/>
  <c r="B107" i="48"/>
  <c r="P80" i="73"/>
  <c r="P80" i="71"/>
  <c r="P80" i="50"/>
  <c r="P80" i="53"/>
  <c r="P80" i="42"/>
  <c r="P80" i="20"/>
  <c r="P80" i="17"/>
  <c r="R68" i="73"/>
  <c r="R68" i="74"/>
  <c r="R68" i="71"/>
  <c r="R68" i="72"/>
  <c r="R68" i="70"/>
  <c r="R68" i="69"/>
  <c r="R70" i="54"/>
  <c r="R68" i="50"/>
  <c r="R64" i="51"/>
  <c r="R68" i="49"/>
  <c r="R68" i="52"/>
  <c r="R68" i="53"/>
  <c r="R68" i="43"/>
  <c r="R68" i="42"/>
  <c r="R68" i="41"/>
  <c r="R68" i="31"/>
  <c r="R68" i="29"/>
  <c r="R68" i="21"/>
  <c r="R68" i="19"/>
  <c r="R68" i="18"/>
  <c r="R68" i="20"/>
  <c r="R68" i="30"/>
  <c r="R68" i="76"/>
  <c r="R68" i="17"/>
  <c r="R68" i="27"/>
  <c r="R68" i="2"/>
  <c r="R68" i="77"/>
  <c r="T13" i="43"/>
  <c r="U13" i="43" s="1"/>
  <c r="T13" i="42"/>
  <c r="U13" i="42" s="1"/>
  <c r="T13" i="41"/>
  <c r="U13" i="41" s="1"/>
  <c r="B76" i="48"/>
  <c r="P62" i="26"/>
  <c r="P62" i="23"/>
  <c r="Q68" i="74"/>
  <c r="Q68" i="72"/>
  <c r="Q68" i="73"/>
  <c r="Q68" i="71"/>
  <c r="Q68" i="70"/>
  <c r="Q68" i="69"/>
  <c r="Q70" i="54"/>
  <c r="Q68" i="53"/>
  <c r="Q68" i="52"/>
  <c r="Q68" i="50"/>
  <c r="Q64" i="51"/>
  <c r="Q68" i="49"/>
  <c r="Q68" i="42"/>
  <c r="Q68" i="41"/>
  <c r="Q68" i="43"/>
  <c r="Q68" i="77"/>
  <c r="Q68" i="76"/>
  <c r="Q68" i="20"/>
  <c r="Q68" i="31"/>
  <c r="Q68" i="29"/>
  <c r="Q68" i="19"/>
  <c r="Q68" i="17"/>
  <c r="Q68" i="2"/>
  <c r="Q68" i="30"/>
  <c r="Q68" i="21"/>
  <c r="Q68" i="27"/>
  <c r="Q68" i="18"/>
  <c r="T59" i="74"/>
  <c r="U59" i="74" s="1"/>
  <c r="T59" i="73"/>
  <c r="U59" i="73" s="1"/>
  <c r="T59" i="72"/>
  <c r="U59" i="72" s="1"/>
  <c r="T59" i="71"/>
  <c r="U59" i="71" s="1"/>
  <c r="T59" i="69"/>
  <c r="U59" i="69" s="1"/>
  <c r="T59" i="70"/>
  <c r="U59" i="70" s="1"/>
  <c r="T59" i="20"/>
  <c r="U59" i="20" s="1"/>
  <c r="T59" i="21"/>
  <c r="U59" i="21" s="1"/>
  <c r="T59" i="19"/>
  <c r="U59" i="19" s="1"/>
  <c r="P59" i="74"/>
  <c r="P59" i="73"/>
  <c r="P59" i="72"/>
  <c r="P59" i="71"/>
  <c r="P59" i="69"/>
  <c r="P59" i="70"/>
  <c r="P59" i="19"/>
  <c r="P59" i="21"/>
  <c r="P59" i="20"/>
  <c r="B109" i="48"/>
  <c r="P82" i="73"/>
  <c r="P82" i="71"/>
  <c r="P82" i="53"/>
  <c r="P82" i="50"/>
  <c r="P82" i="42"/>
  <c r="P53" i="38"/>
  <c r="P53" i="33"/>
  <c r="P82" i="20"/>
  <c r="T58" i="72"/>
  <c r="U58" i="72" s="1"/>
  <c r="T58" i="71"/>
  <c r="U58" i="71" s="1"/>
  <c r="T58" i="69"/>
  <c r="U58" i="69" s="1"/>
  <c r="T59" i="23"/>
  <c r="U59" i="23" s="1"/>
  <c r="T8" i="74"/>
  <c r="U8" i="74" s="1"/>
  <c r="T8" i="73"/>
  <c r="U8" i="73" s="1"/>
  <c r="T8" i="71"/>
  <c r="U8" i="71" s="1"/>
  <c r="T8" i="72"/>
  <c r="U8" i="72" s="1"/>
  <c r="T8" i="70"/>
  <c r="U8" i="70" s="1"/>
  <c r="T8" i="69"/>
  <c r="U8" i="69" s="1"/>
  <c r="T8" i="53"/>
  <c r="U8" i="53" s="1"/>
  <c r="T8" i="52"/>
  <c r="U8" i="52" s="1"/>
  <c r="T8" i="54"/>
  <c r="U8" i="54" s="1"/>
  <c r="T8" i="51"/>
  <c r="U8" i="51" s="1"/>
  <c r="T8" i="50"/>
  <c r="U8" i="50" s="1"/>
  <c r="T8" i="49"/>
  <c r="U8" i="49" s="1"/>
  <c r="T8" i="42"/>
  <c r="U8" i="42" s="1"/>
  <c r="T8" i="41"/>
  <c r="U8" i="41" s="1"/>
  <c r="T8" i="43"/>
  <c r="U8" i="43" s="1"/>
  <c r="T8" i="44"/>
  <c r="U8" i="44" s="1"/>
  <c r="T8" i="38"/>
  <c r="U8" i="38" s="1"/>
  <c r="T8" i="33"/>
  <c r="U8" i="33" s="1"/>
  <c r="T8" i="34"/>
  <c r="U8" i="34" s="1"/>
  <c r="T8" i="32"/>
  <c r="U8" i="32" s="1"/>
  <c r="T8" i="39"/>
  <c r="U8" i="39" s="1"/>
  <c r="T8" i="37"/>
  <c r="U8" i="37" s="1"/>
  <c r="T8" i="40"/>
  <c r="U8" i="40" s="1"/>
  <c r="T8" i="35"/>
  <c r="U8" i="35" s="1"/>
  <c r="T8" i="76"/>
  <c r="U8" i="76" s="1"/>
  <c r="T8" i="31"/>
  <c r="U8" i="31" s="1"/>
  <c r="T8" i="77"/>
  <c r="U8" i="77" s="1"/>
  <c r="T8" i="21"/>
  <c r="U8" i="21" s="1"/>
  <c r="T8" i="20"/>
  <c r="U8" i="20" s="1"/>
  <c r="T8" i="19"/>
  <c r="U8" i="19" s="1"/>
  <c r="T8" i="30"/>
  <c r="U8" i="30" s="1"/>
  <c r="T8" i="27"/>
  <c r="U8" i="27" s="1"/>
  <c r="T8" i="18"/>
  <c r="U8" i="18" s="1"/>
  <c r="T8" i="29"/>
  <c r="U8" i="29" s="1"/>
  <c r="T8" i="17"/>
  <c r="U8" i="17" s="1"/>
  <c r="T8" i="2"/>
  <c r="U8" i="2" s="1"/>
  <c r="T8" i="23"/>
  <c r="U8" i="23" s="1"/>
  <c r="T8" i="22"/>
  <c r="R8" i="74"/>
  <c r="R8" i="72"/>
  <c r="R8" i="71"/>
  <c r="R8" i="73"/>
  <c r="R8" i="69"/>
  <c r="R8" i="70"/>
  <c r="R8" i="51"/>
  <c r="R8" i="53"/>
  <c r="R8" i="52"/>
  <c r="R8" i="54"/>
  <c r="R8" i="50"/>
  <c r="R8" i="49"/>
  <c r="R8" i="41"/>
  <c r="R8" i="44"/>
  <c r="R8" i="43"/>
  <c r="R8" i="42"/>
  <c r="R8" i="34"/>
  <c r="R8" i="32"/>
  <c r="R8" i="38"/>
  <c r="R8" i="33"/>
  <c r="R8" i="39"/>
  <c r="R8" i="37"/>
  <c r="R8" i="40"/>
  <c r="R8" i="35"/>
  <c r="R8" i="30"/>
  <c r="R8" i="29"/>
  <c r="R8" i="27"/>
  <c r="R8" i="20"/>
  <c r="R8" i="17"/>
  <c r="R8" i="19"/>
  <c r="R8" i="2"/>
  <c r="R8" i="31"/>
  <c r="R8" i="76"/>
  <c r="R8" i="77"/>
  <c r="R8" i="21"/>
  <c r="R8" i="18"/>
  <c r="R8" i="23"/>
  <c r="R8" i="22"/>
  <c r="G12" i="48"/>
  <c r="M12" i="48" s="1"/>
  <c r="H12" i="48" s="1"/>
  <c r="T7" i="24"/>
  <c r="U7" i="24" s="1"/>
  <c r="T60" i="74"/>
  <c r="U60" i="74" s="1"/>
  <c r="T60" i="73"/>
  <c r="U60" i="73" s="1"/>
  <c r="T60" i="72"/>
  <c r="U60" i="72" s="1"/>
  <c r="T60" i="71"/>
  <c r="U60" i="71" s="1"/>
  <c r="T60" i="69"/>
  <c r="U60" i="69" s="1"/>
  <c r="T60" i="70"/>
  <c r="U60" i="70" s="1"/>
  <c r="T60" i="20"/>
  <c r="U60" i="20" s="1"/>
  <c r="T60" i="31"/>
  <c r="U60" i="31" s="1"/>
  <c r="T60" i="19"/>
  <c r="U60" i="19" s="1"/>
  <c r="T60" i="21"/>
  <c r="U60" i="21" s="1"/>
  <c r="T60" i="77"/>
  <c r="U60" i="77" s="1"/>
  <c r="T60" i="30"/>
  <c r="U60" i="30" s="1"/>
  <c r="T60" i="26"/>
  <c r="U60" i="26" s="1"/>
  <c r="T60" i="23"/>
  <c r="U60" i="23" s="1"/>
  <c r="T61" i="42"/>
  <c r="U61" i="42" s="1"/>
  <c r="T61" i="41"/>
  <c r="U61" i="41" s="1"/>
  <c r="T61" i="43"/>
  <c r="U61" i="43" s="1"/>
  <c r="T46" i="74"/>
  <c r="U46" i="74" s="1"/>
  <c r="T46" i="73"/>
  <c r="U46" i="73" s="1"/>
  <c r="T46" i="72"/>
  <c r="U46" i="72" s="1"/>
  <c r="T46" i="71"/>
  <c r="U46" i="71" s="1"/>
  <c r="T46" i="70"/>
  <c r="U46" i="70" s="1"/>
  <c r="T46" i="69"/>
  <c r="U46" i="69" s="1"/>
  <c r="T46" i="53"/>
  <c r="U46" i="53" s="1"/>
  <c r="T48" i="54"/>
  <c r="U48" i="54" s="1"/>
  <c r="T42" i="51"/>
  <c r="U42" i="51" s="1"/>
  <c r="T46" i="52"/>
  <c r="U46" i="52" s="1"/>
  <c r="T46" i="50"/>
  <c r="U46" i="50" s="1"/>
  <c r="T46" i="49"/>
  <c r="U46" i="49" s="1"/>
  <c r="T46" i="42"/>
  <c r="U46" i="42" s="1"/>
  <c r="T46" i="41"/>
  <c r="U46" i="41" s="1"/>
  <c r="T46" i="44"/>
  <c r="U46" i="44" s="1"/>
  <c r="T46" i="43"/>
  <c r="U46" i="43" s="1"/>
  <c r="T46" i="21"/>
  <c r="U46" i="21" s="1"/>
  <c r="T46" i="20"/>
  <c r="U46" i="20" s="1"/>
  <c r="T46" i="27"/>
  <c r="U46" i="27" s="1"/>
  <c r="T46" i="31"/>
  <c r="U46" i="31" s="1"/>
  <c r="T46" i="30"/>
  <c r="U46" i="30" s="1"/>
  <c r="T46" i="76"/>
  <c r="U46" i="76" s="1"/>
  <c r="T46" i="2"/>
  <c r="U46" i="2" s="1"/>
  <c r="T46" i="77"/>
  <c r="U46" i="77" s="1"/>
  <c r="T46" i="19"/>
  <c r="U46" i="19" s="1"/>
  <c r="T46" i="18"/>
  <c r="U46" i="18" s="1"/>
  <c r="T46" i="29"/>
  <c r="U46" i="29" s="1"/>
  <c r="T46" i="17"/>
  <c r="U46" i="17" s="1"/>
  <c r="T46" i="26"/>
  <c r="U46" i="26" s="1"/>
  <c r="T46" i="23"/>
  <c r="U46" i="23" s="1"/>
  <c r="T46" i="22"/>
  <c r="U46" i="22" s="1"/>
  <c r="T46" i="25"/>
  <c r="U46" i="25" s="1"/>
  <c r="T46" i="24"/>
  <c r="U46" i="24" s="1"/>
  <c r="Q81" i="69"/>
  <c r="Q81" i="70"/>
  <c r="Q81" i="52"/>
  <c r="Q81" i="49"/>
  <c r="Q81" i="41"/>
  <c r="Q81" i="19"/>
  <c r="Q81" i="2"/>
  <c r="T47" i="74"/>
  <c r="U47" i="74" s="1"/>
  <c r="T47" i="73"/>
  <c r="U47" i="73" s="1"/>
  <c r="T47" i="72"/>
  <c r="U47" i="72" s="1"/>
  <c r="T47" i="71"/>
  <c r="U47" i="71" s="1"/>
  <c r="T47" i="70"/>
  <c r="U47" i="70" s="1"/>
  <c r="T47" i="53"/>
  <c r="U47" i="53" s="1"/>
  <c r="T49" i="54"/>
  <c r="U49" i="54" s="1"/>
  <c r="T43" i="51"/>
  <c r="U43" i="51" s="1"/>
  <c r="T47" i="69"/>
  <c r="U47" i="69" s="1"/>
  <c r="T47" i="52"/>
  <c r="U47" i="52" s="1"/>
  <c r="T47" i="49"/>
  <c r="U47" i="49" s="1"/>
  <c r="T47" i="50"/>
  <c r="U47" i="50" s="1"/>
  <c r="T47" i="42"/>
  <c r="U47" i="42" s="1"/>
  <c r="T47" i="41"/>
  <c r="U47" i="41" s="1"/>
  <c r="T47" i="44"/>
  <c r="U47" i="44" s="1"/>
  <c r="T47" i="43"/>
  <c r="U47" i="43" s="1"/>
  <c r="T47" i="21"/>
  <c r="U47" i="21" s="1"/>
  <c r="T47" i="20"/>
  <c r="U47" i="20" s="1"/>
  <c r="T47" i="27"/>
  <c r="U47" i="27" s="1"/>
  <c r="T47" i="29"/>
  <c r="U47" i="29" s="1"/>
  <c r="T47" i="2"/>
  <c r="U47" i="2" s="1"/>
  <c r="T47" i="19"/>
  <c r="U47" i="19" s="1"/>
  <c r="T47" i="77"/>
  <c r="U47" i="77" s="1"/>
  <c r="T47" i="18"/>
  <c r="U47" i="18" s="1"/>
  <c r="T47" i="31"/>
  <c r="U47" i="31" s="1"/>
  <c r="T47" i="30"/>
  <c r="U47" i="30" s="1"/>
  <c r="T47" i="76"/>
  <c r="U47" i="76" s="1"/>
  <c r="T47" i="17"/>
  <c r="U47" i="17" s="1"/>
  <c r="T47" i="26"/>
  <c r="U47" i="26" s="1"/>
  <c r="T47" i="23"/>
  <c r="U47" i="23" s="1"/>
  <c r="T47" i="25"/>
  <c r="U47" i="25" s="1"/>
  <c r="T47" i="24"/>
  <c r="U47" i="24" s="1"/>
  <c r="T47" i="22"/>
  <c r="U47" i="22" s="1"/>
  <c r="B93" i="48"/>
  <c r="P80" i="69"/>
  <c r="P80" i="70"/>
  <c r="P80" i="52"/>
  <c r="P80" i="49"/>
  <c r="P80" i="41"/>
  <c r="P80" i="2"/>
  <c r="P80" i="19"/>
  <c r="Q59" i="74"/>
  <c r="Q59" i="73"/>
  <c r="Q59" i="72"/>
  <c r="Q59" i="71"/>
  <c r="Q59" i="69"/>
  <c r="Q59" i="70"/>
  <c r="Q59" i="21"/>
  <c r="Q59" i="20"/>
  <c r="Q59" i="19"/>
  <c r="P31" i="38"/>
  <c r="P31" i="40"/>
  <c r="P31" i="39"/>
  <c r="P31" i="37"/>
  <c r="C64" i="48"/>
  <c r="Q55" i="73"/>
  <c r="Q55" i="74"/>
  <c r="Q55" i="72"/>
  <c r="Q55" i="71"/>
  <c r="Q55" i="70"/>
  <c r="Q51" i="51"/>
  <c r="Q55" i="69"/>
  <c r="Q55" i="53"/>
  <c r="Q55" i="52"/>
  <c r="Q57" i="54"/>
  <c r="Q55" i="49"/>
  <c r="Q55" i="50"/>
  <c r="Q55" i="44"/>
  <c r="Q55" i="43"/>
  <c r="Q55" i="42"/>
  <c r="Q55" i="41"/>
  <c r="Q55" i="30"/>
  <c r="Q55" i="27"/>
  <c r="Q55" i="21"/>
  <c r="Q55" i="76"/>
  <c r="Q55" i="20"/>
  <c r="Q55" i="31"/>
  <c r="Q55" i="77"/>
  <c r="Q55" i="18"/>
  <c r="Q55" i="19"/>
  <c r="Q55" i="29"/>
  <c r="Q55" i="2"/>
  <c r="Q55" i="17"/>
  <c r="Q55" i="23"/>
  <c r="Q55" i="24"/>
  <c r="Q55" i="22"/>
  <c r="Q55" i="26"/>
  <c r="Q55" i="25"/>
  <c r="T80" i="70"/>
  <c r="U80" i="70" s="1"/>
  <c r="T80" i="69"/>
  <c r="U80" i="69" s="1"/>
  <c r="T80" i="52"/>
  <c r="U80" i="52" s="1"/>
  <c r="T80" i="49"/>
  <c r="U80" i="49" s="1"/>
  <c r="T80" i="41"/>
  <c r="U80" i="41" s="1"/>
  <c r="T80" i="19"/>
  <c r="U80" i="19" s="1"/>
  <c r="T80" i="2"/>
  <c r="U80" i="2" s="1"/>
  <c r="T73" i="74"/>
  <c r="U73" i="74" s="1"/>
  <c r="T73" i="73"/>
  <c r="U73" i="73" s="1"/>
  <c r="T73" i="72"/>
  <c r="U73" i="72" s="1"/>
  <c r="T73" i="71"/>
  <c r="U73" i="71" s="1"/>
  <c r="T75" i="54"/>
  <c r="U75" i="54" s="1"/>
  <c r="T73" i="69"/>
  <c r="U73" i="69" s="1"/>
  <c r="T73" i="70"/>
  <c r="U73" i="70" s="1"/>
  <c r="T69" i="51"/>
  <c r="U69" i="51" s="1"/>
  <c r="T73" i="53"/>
  <c r="U73" i="53" s="1"/>
  <c r="T73" i="52"/>
  <c r="U73" i="52" s="1"/>
  <c r="T73" i="50"/>
  <c r="U73" i="50" s="1"/>
  <c r="T73" i="49"/>
  <c r="U73" i="49" s="1"/>
  <c r="T73" i="42"/>
  <c r="U73" i="42" s="1"/>
  <c r="T73" i="41"/>
  <c r="U73" i="41" s="1"/>
  <c r="T73" i="43"/>
  <c r="U73" i="43" s="1"/>
  <c r="T44" i="38"/>
  <c r="U44" i="38" s="1"/>
  <c r="T44" i="34"/>
  <c r="U44" i="34" s="1"/>
  <c r="T44" i="37"/>
  <c r="U44" i="37" s="1"/>
  <c r="T44" i="33"/>
  <c r="U44" i="33" s="1"/>
  <c r="T44" i="39"/>
  <c r="U44" i="39" s="1"/>
  <c r="T44" i="32"/>
  <c r="U44" i="32" s="1"/>
  <c r="T73" i="19"/>
  <c r="U73" i="19" s="1"/>
  <c r="T73" i="21"/>
  <c r="U73" i="21" s="1"/>
  <c r="T73" i="17"/>
  <c r="U73" i="17" s="1"/>
  <c r="T73" i="20"/>
  <c r="U73" i="20" s="1"/>
  <c r="T73" i="2"/>
  <c r="U73" i="2" s="1"/>
  <c r="T73" i="18"/>
  <c r="U73" i="18" s="1"/>
  <c r="C61" i="48"/>
  <c r="Q52" i="74"/>
  <c r="Q52" i="73"/>
  <c r="Q52" i="71"/>
  <c r="Q52" i="72"/>
  <c r="Q52" i="69"/>
  <c r="Q52" i="70"/>
  <c r="Q52" i="53"/>
  <c r="Q48" i="51"/>
  <c r="Q52" i="52"/>
  <c r="Q54" i="54"/>
  <c r="Q52" i="50"/>
  <c r="Q52" i="49"/>
  <c r="Q52" i="44"/>
  <c r="Q52" i="42"/>
  <c r="Q52" i="43"/>
  <c r="Q52" i="41"/>
  <c r="Q52" i="31"/>
  <c r="Q52" i="30"/>
  <c r="Q52" i="27"/>
  <c r="Q52" i="21"/>
  <c r="Q52" i="18"/>
  <c r="Q52" i="2"/>
  <c r="Q52" i="19"/>
  <c r="Q52" i="29"/>
  <c r="Q52" i="76"/>
  <c r="Q52" i="77"/>
  <c r="Q52" i="20"/>
  <c r="Q52" i="17"/>
  <c r="Q52" i="23"/>
  <c r="Q52" i="26"/>
  <c r="Q52" i="24"/>
  <c r="Q52" i="22"/>
  <c r="Q52" i="25"/>
  <c r="T86" i="74"/>
  <c r="U86" i="74" s="1"/>
  <c r="T86" i="73"/>
  <c r="U86" i="73" s="1"/>
  <c r="T86" i="72"/>
  <c r="U86" i="72" s="1"/>
  <c r="T86" i="71"/>
  <c r="U86" i="71" s="1"/>
  <c r="T86" i="69"/>
  <c r="U86" i="69" s="1"/>
  <c r="T86" i="70"/>
  <c r="U86" i="70" s="1"/>
  <c r="B16" i="48"/>
  <c r="P4" i="74"/>
  <c r="P4" i="73"/>
  <c r="P4" i="72"/>
  <c r="P4" i="71"/>
  <c r="P4" i="69"/>
  <c r="P4" i="70"/>
  <c r="P4" i="52"/>
  <c r="P4" i="54"/>
  <c r="P4" i="53"/>
  <c r="P4" i="51"/>
  <c r="P4" i="49"/>
  <c r="P4" i="50"/>
  <c r="P4" i="42"/>
  <c r="P4" i="44"/>
  <c r="P4" i="43"/>
  <c r="P4" i="41"/>
  <c r="P4" i="37"/>
  <c r="P4" i="34"/>
  <c r="P4" i="38"/>
  <c r="P4" i="33"/>
  <c r="P4" i="40"/>
  <c r="P4" i="32"/>
  <c r="P4" i="39"/>
  <c r="P4" i="35"/>
  <c r="P4" i="30"/>
  <c r="P4" i="29"/>
  <c r="P4" i="76"/>
  <c r="P4" i="31"/>
  <c r="P4" i="77"/>
  <c r="P4" i="27"/>
  <c r="P4" i="21"/>
  <c r="P4" i="19"/>
  <c r="P4" i="20"/>
  <c r="P4" i="18"/>
  <c r="P4" i="2"/>
  <c r="P4" i="17"/>
  <c r="P4" i="22"/>
  <c r="P4" i="23"/>
  <c r="G15" i="48"/>
  <c r="M15" i="48" s="1"/>
  <c r="H15" i="48" s="1"/>
  <c r="T3" i="74"/>
  <c r="U3" i="74" s="1"/>
  <c r="T3" i="73"/>
  <c r="U3" i="73" s="1"/>
  <c r="T3" i="72"/>
  <c r="U3" i="72" s="1"/>
  <c r="T3" i="71"/>
  <c r="U3" i="71" s="1"/>
  <c r="T3" i="70"/>
  <c r="U3" i="70" s="1"/>
  <c r="T3" i="69"/>
  <c r="U3" i="69" s="1"/>
  <c r="T3" i="52"/>
  <c r="U3" i="52" s="1"/>
  <c r="T3" i="54"/>
  <c r="U3" i="54" s="1"/>
  <c r="T3" i="53"/>
  <c r="U3" i="53" s="1"/>
  <c r="T3" i="51"/>
  <c r="U3" i="51" s="1"/>
  <c r="T3" i="49"/>
  <c r="U3" i="49" s="1"/>
  <c r="T3" i="50"/>
  <c r="U3" i="50" s="1"/>
  <c r="T3" i="41"/>
  <c r="U3" i="41" s="1"/>
  <c r="T3" i="42"/>
  <c r="U3" i="42" s="1"/>
  <c r="T3" i="44"/>
  <c r="U3" i="44" s="1"/>
  <c r="T3" i="43"/>
  <c r="U3" i="43" s="1"/>
  <c r="T3" i="39"/>
  <c r="U3" i="39" s="1"/>
  <c r="T3" i="38"/>
  <c r="U3" i="38" s="1"/>
  <c r="T3" i="35"/>
  <c r="U3" i="35" s="1"/>
  <c r="T3" i="40"/>
  <c r="U3" i="40" s="1"/>
  <c r="T3" i="37"/>
  <c r="U3" i="37" s="1"/>
  <c r="T3" i="34"/>
  <c r="U3" i="34" s="1"/>
  <c r="T3" i="33"/>
  <c r="U3" i="33" s="1"/>
  <c r="T3" i="32"/>
  <c r="U3" i="32" s="1"/>
  <c r="T3" i="27"/>
  <c r="U3" i="27" s="1"/>
  <c r="T3" i="20"/>
  <c r="U3" i="20" s="1"/>
  <c r="T3" i="30"/>
  <c r="U3" i="30" s="1"/>
  <c r="T3" i="29"/>
  <c r="U3" i="29" s="1"/>
  <c r="T3" i="76"/>
  <c r="U3" i="76" s="1"/>
  <c r="T3" i="19"/>
  <c r="U3" i="19" s="1"/>
  <c r="T3" i="77"/>
  <c r="U3" i="77" s="1"/>
  <c r="T3" i="18"/>
  <c r="U3" i="18" s="1"/>
  <c r="T3" i="17"/>
  <c r="U3" i="17" s="1"/>
  <c r="T3" i="2"/>
  <c r="U3" i="2" s="1"/>
  <c r="T3" i="31"/>
  <c r="U3" i="31" s="1"/>
  <c r="T3" i="21"/>
  <c r="U3" i="21" s="1"/>
  <c r="T3" i="23"/>
  <c r="U3" i="23" s="1"/>
  <c r="T3" i="22"/>
  <c r="U3" i="22" s="1"/>
  <c r="C18" i="48"/>
  <c r="Q6" i="73"/>
  <c r="Q6" i="74"/>
  <c r="Q6" i="71"/>
  <c r="Q6" i="72"/>
  <c r="Q6" i="69"/>
  <c r="Q6" i="52"/>
  <c r="Q6" i="54"/>
  <c r="Q6" i="53"/>
  <c r="Q6" i="49"/>
  <c r="Q6" i="51"/>
  <c r="Q6" i="70"/>
  <c r="Q6" i="50"/>
  <c r="Q6" i="41"/>
  <c r="Q6" i="42"/>
  <c r="Q6" i="43"/>
  <c r="Q6" i="44"/>
  <c r="Q6" i="39"/>
  <c r="Q6" i="34"/>
  <c r="Q6" i="35"/>
  <c r="Q6" i="38"/>
  <c r="Q6" i="37"/>
  <c r="Q6" i="40"/>
  <c r="Q6" i="33"/>
  <c r="Q6" i="32"/>
  <c r="Q6" i="27"/>
  <c r="Q6" i="30"/>
  <c r="Q6" i="29"/>
  <c r="Q6" i="76"/>
  <c r="Q6" i="31"/>
  <c r="Q6" i="17"/>
  <c r="Q6" i="2"/>
  <c r="Q6" i="77"/>
  <c r="Q6" i="21"/>
  <c r="Q6" i="20"/>
  <c r="Q6" i="19"/>
  <c r="Q6" i="18"/>
  <c r="Q6" i="23"/>
  <c r="Q6" i="22"/>
  <c r="B15" i="48"/>
  <c r="P3" i="74"/>
  <c r="P3" i="73"/>
  <c r="P3" i="72"/>
  <c r="P3" i="71"/>
  <c r="P3" i="69"/>
  <c r="P3" i="70"/>
  <c r="P3" i="52"/>
  <c r="P3" i="54"/>
  <c r="P3" i="53"/>
  <c r="P3" i="51"/>
  <c r="P3" i="50"/>
  <c r="P3" i="49"/>
  <c r="P3" i="42"/>
  <c r="P3" i="43"/>
  <c r="P3" i="41"/>
  <c r="P3" i="44"/>
  <c r="P3" i="37"/>
  <c r="P3" i="34"/>
  <c r="P3" i="32"/>
  <c r="P3" i="40"/>
  <c r="P3" i="33"/>
  <c r="P3" i="39"/>
  <c r="P3" i="38"/>
  <c r="P3" i="35"/>
  <c r="P3" i="30"/>
  <c r="P3" i="29"/>
  <c r="P3" i="76"/>
  <c r="P3" i="31"/>
  <c r="P3" i="77"/>
  <c r="P3" i="19"/>
  <c r="P3" i="27"/>
  <c r="P3" i="20"/>
  <c r="P3" i="21"/>
  <c r="P3" i="17"/>
  <c r="P3" i="2"/>
  <c r="P3" i="18"/>
  <c r="P3" i="22"/>
  <c r="P3" i="23"/>
  <c r="G14" i="48"/>
  <c r="M14" i="48" s="1"/>
  <c r="H14" i="48" s="1"/>
  <c r="T9" i="24"/>
  <c r="U9" i="24" s="1"/>
  <c r="C17" i="48"/>
  <c r="Q5" i="74"/>
  <c r="Q5" i="73"/>
  <c r="Q5" i="71"/>
  <c r="Q5" i="72"/>
  <c r="Q5" i="69"/>
  <c r="Q5" i="70"/>
  <c r="Q5" i="51"/>
  <c r="Q5" i="52"/>
  <c r="Q5" i="50"/>
  <c r="Q5" i="49"/>
  <c r="Q5" i="54"/>
  <c r="Q5" i="53"/>
  <c r="Q5" i="43"/>
  <c r="Q5" i="41"/>
  <c r="Q5" i="42"/>
  <c r="Q5" i="44"/>
  <c r="Q5" i="38"/>
  <c r="Q5" i="32"/>
  <c r="Q5" i="39"/>
  <c r="Q5" i="34"/>
  <c r="Q5" i="35"/>
  <c r="Q5" i="37"/>
  <c r="Q5" i="40"/>
  <c r="Q5" i="33"/>
  <c r="Q5" i="21"/>
  <c r="Q5" i="20"/>
  <c r="Q5" i="27"/>
  <c r="Q5" i="19"/>
  <c r="Q5" i="31"/>
  <c r="Q5" i="30"/>
  <c r="Q5" i="18"/>
  <c r="Q5" i="76"/>
  <c r="Q5" i="77"/>
  <c r="Q5" i="29"/>
  <c r="Q5" i="17"/>
  <c r="Q5" i="2"/>
  <c r="Q5" i="23"/>
  <c r="Q5" i="22"/>
  <c r="G270" i="48"/>
  <c r="M270" i="48" s="1"/>
  <c r="H270" i="48" s="1"/>
  <c r="T48" i="74"/>
  <c r="U48" i="74" s="1"/>
  <c r="T48" i="73"/>
  <c r="U48" i="73" s="1"/>
  <c r="T48" i="72"/>
  <c r="U48" i="72" s="1"/>
  <c r="T48" i="71"/>
  <c r="U48" i="71" s="1"/>
  <c r="T48" i="69"/>
  <c r="U48" i="69" s="1"/>
  <c r="T48" i="53"/>
  <c r="U48" i="53" s="1"/>
  <c r="T50" i="54"/>
  <c r="U50" i="54" s="1"/>
  <c r="T44" i="51"/>
  <c r="U44" i="51" s="1"/>
  <c r="T48" i="70"/>
  <c r="U48" i="70" s="1"/>
  <c r="T48" i="52"/>
  <c r="U48" i="52" s="1"/>
  <c r="T48" i="50"/>
  <c r="U48" i="50" s="1"/>
  <c r="T48" i="49"/>
  <c r="U48" i="49" s="1"/>
  <c r="T48" i="42"/>
  <c r="U48" i="42" s="1"/>
  <c r="T48" i="41"/>
  <c r="U48" i="41" s="1"/>
  <c r="T48" i="44"/>
  <c r="U48" i="44" s="1"/>
  <c r="T48" i="43"/>
  <c r="U48" i="43" s="1"/>
  <c r="T48" i="21"/>
  <c r="U48" i="21" s="1"/>
  <c r="T48" i="20"/>
  <c r="U48" i="20" s="1"/>
  <c r="T48" i="27"/>
  <c r="U48" i="27" s="1"/>
  <c r="T48" i="31"/>
  <c r="U48" i="31" s="1"/>
  <c r="T48" i="30"/>
  <c r="U48" i="30" s="1"/>
  <c r="T48" i="76"/>
  <c r="U48" i="76" s="1"/>
  <c r="T48" i="2"/>
  <c r="U48" i="2" s="1"/>
  <c r="T48" i="18"/>
  <c r="U48" i="18" s="1"/>
  <c r="T48" i="17"/>
  <c r="U48" i="17" s="1"/>
  <c r="T48" i="19"/>
  <c r="U48" i="19" s="1"/>
  <c r="T48" i="77"/>
  <c r="U48" i="77" s="1"/>
  <c r="T48" i="29"/>
  <c r="U48" i="29" s="1"/>
  <c r="T48" i="26"/>
  <c r="U48" i="26" s="1"/>
  <c r="T48" i="23"/>
  <c r="U48" i="23" s="1"/>
  <c r="T48" i="22"/>
  <c r="U48" i="22" s="1"/>
  <c r="T48" i="25"/>
  <c r="U48" i="25" s="1"/>
  <c r="T48" i="24"/>
  <c r="U48" i="24" s="1"/>
  <c r="D22" i="48"/>
  <c r="R10" i="74"/>
  <c r="R10" i="73"/>
  <c r="R10" i="71"/>
  <c r="R10" i="72"/>
  <c r="R10" i="70"/>
  <c r="R10" i="69"/>
  <c r="R10" i="53"/>
  <c r="R10" i="52"/>
  <c r="R10" i="54"/>
  <c r="R10" i="49"/>
  <c r="R10" i="51"/>
  <c r="R10" i="50"/>
  <c r="R10" i="42"/>
  <c r="R10" i="41"/>
  <c r="R10" i="43"/>
  <c r="R10" i="44"/>
  <c r="R10" i="32"/>
  <c r="R10" i="39"/>
  <c r="R10" i="38"/>
  <c r="R10" i="37"/>
  <c r="R10" i="34"/>
  <c r="R10" i="40"/>
  <c r="R10" i="35"/>
  <c r="R10" i="33"/>
  <c r="R10" i="76"/>
  <c r="R10" i="21"/>
  <c r="R10" i="31"/>
  <c r="R10" i="77"/>
  <c r="R10" i="20"/>
  <c r="R10" i="30"/>
  <c r="R10" i="19"/>
  <c r="R10" i="27"/>
  <c r="R10" i="18"/>
  <c r="R10" i="29"/>
  <c r="R10" i="17"/>
  <c r="R10" i="2"/>
  <c r="R10" i="22"/>
  <c r="R10" i="23"/>
  <c r="C23" i="48"/>
  <c r="Q11" i="74"/>
  <c r="Q11" i="73"/>
  <c r="Q11" i="72"/>
  <c r="Q11" i="71"/>
  <c r="Q11" i="69"/>
  <c r="Q11" i="70"/>
  <c r="Q11" i="53"/>
  <c r="Q11" i="52"/>
  <c r="Q11" i="54"/>
  <c r="Q11" i="49"/>
  <c r="Q11" i="51"/>
  <c r="Q11" i="50"/>
  <c r="Q11" i="43"/>
  <c r="Q11" i="42"/>
  <c r="Q11" i="41"/>
  <c r="Q11" i="44"/>
  <c r="Q11" i="35"/>
  <c r="Q11" i="40"/>
  <c r="Q11" i="34"/>
  <c r="Q11" i="32"/>
  <c r="Q11" i="39"/>
  <c r="Q11" i="38"/>
  <c r="Q11" i="37"/>
  <c r="Q11" i="33"/>
  <c r="Q11" i="76"/>
  <c r="Q11" i="21"/>
  <c r="Q11" i="31"/>
  <c r="Q11" i="77"/>
  <c r="Q11" i="20"/>
  <c r="Q11" i="29"/>
  <c r="Q11" i="18"/>
  <c r="Q11" i="17"/>
  <c r="Q11" i="30"/>
  <c r="Q11" i="19"/>
  <c r="Q11" i="2"/>
  <c r="Q11" i="27"/>
  <c r="Q11" i="22"/>
  <c r="Q11" i="23"/>
  <c r="D21" i="48"/>
  <c r="R9" i="74"/>
  <c r="R9" i="73"/>
  <c r="R9" i="72"/>
  <c r="R9" i="71"/>
  <c r="R9" i="69"/>
  <c r="R9" i="70"/>
  <c r="R9" i="53"/>
  <c r="R9" i="52"/>
  <c r="R9" i="54"/>
  <c r="R9" i="49"/>
  <c r="R9" i="51"/>
  <c r="R9" i="50"/>
  <c r="R9" i="42"/>
  <c r="R9" i="41"/>
  <c r="R9" i="44"/>
  <c r="R9" i="43"/>
  <c r="R9" i="39"/>
  <c r="R9" i="37"/>
  <c r="R9" i="33"/>
  <c r="R9" i="35"/>
  <c r="R9" i="38"/>
  <c r="R9" i="34"/>
  <c r="R9" i="40"/>
  <c r="R9" i="32"/>
  <c r="R9" i="30"/>
  <c r="R9" i="29"/>
  <c r="R9" i="27"/>
  <c r="R9" i="76"/>
  <c r="R9" i="77"/>
  <c r="R9" i="21"/>
  <c r="R9" i="2"/>
  <c r="R9" i="18"/>
  <c r="R9" i="20"/>
  <c r="R9" i="19"/>
  <c r="R9" i="31"/>
  <c r="R9" i="17"/>
  <c r="R9" i="23"/>
  <c r="R9" i="22"/>
  <c r="C22" i="48"/>
  <c r="Q10" i="74"/>
  <c r="Q10" i="72"/>
  <c r="Q10" i="73"/>
  <c r="Q10" i="71"/>
  <c r="Q10" i="69"/>
  <c r="Q10" i="70"/>
  <c r="Q10" i="53"/>
  <c r="Q10" i="52"/>
  <c r="Q10" i="54"/>
  <c r="Q10" i="51"/>
  <c r="Q10" i="49"/>
  <c r="Q10" i="50"/>
  <c r="Q10" i="42"/>
  <c r="Q10" i="41"/>
  <c r="Q10" i="44"/>
  <c r="Q10" i="43"/>
  <c r="Q10" i="39"/>
  <c r="Q10" i="38"/>
  <c r="Q10" i="37"/>
  <c r="Q10" i="33"/>
  <c r="Q10" i="35"/>
  <c r="Q10" i="34"/>
  <c r="Q10" i="40"/>
  <c r="Q10" i="32"/>
  <c r="Q10" i="30"/>
  <c r="Q10" i="29"/>
  <c r="Q10" i="27"/>
  <c r="Q10" i="76"/>
  <c r="Q10" i="21"/>
  <c r="Q10" i="19"/>
  <c r="Q10" i="31"/>
  <c r="Q10" i="2"/>
  <c r="Q10" i="20"/>
  <c r="Q10" i="77"/>
  <c r="Q10" i="18"/>
  <c r="Q10" i="17"/>
  <c r="Q10" i="23"/>
  <c r="Q10" i="22"/>
  <c r="T82" i="73"/>
  <c r="U82" i="73" s="1"/>
  <c r="T82" i="71"/>
  <c r="U82" i="71" s="1"/>
  <c r="T82" i="53"/>
  <c r="U82" i="53" s="1"/>
  <c r="T82" i="50"/>
  <c r="U82" i="50" s="1"/>
  <c r="T82" i="42"/>
  <c r="U82" i="42" s="1"/>
  <c r="T53" i="38"/>
  <c r="U53" i="38" s="1"/>
  <c r="T53" i="33"/>
  <c r="U53" i="33" s="1"/>
  <c r="T82" i="17"/>
  <c r="U82" i="17" s="1"/>
  <c r="T82" i="20"/>
  <c r="U82" i="20" s="1"/>
  <c r="P71" i="74"/>
  <c r="P71" i="73"/>
  <c r="P71" i="72"/>
  <c r="P71" i="71"/>
  <c r="P71" i="70"/>
  <c r="P71" i="69"/>
  <c r="P67" i="51"/>
  <c r="P71" i="53"/>
  <c r="P71" i="52"/>
  <c r="P73" i="54"/>
  <c r="P71" i="50"/>
  <c r="P71" i="49"/>
  <c r="P71" i="42"/>
  <c r="P71" i="41"/>
  <c r="P71" i="43"/>
  <c r="P42" i="37"/>
  <c r="P42" i="33"/>
  <c r="P42" i="32"/>
  <c r="P42" i="38"/>
  <c r="P42" i="39"/>
  <c r="P42" i="34"/>
  <c r="P71" i="27"/>
  <c r="P71" i="77"/>
  <c r="P71" i="76"/>
  <c r="P71" i="20"/>
  <c r="P71" i="18"/>
  <c r="P71" i="31"/>
  <c r="P71" i="19"/>
  <c r="P71" i="29"/>
  <c r="P71" i="30"/>
  <c r="P71" i="21"/>
  <c r="P71" i="17"/>
  <c r="P71" i="2"/>
  <c r="B63" i="48"/>
  <c r="P54" i="74"/>
  <c r="P54" i="73"/>
  <c r="P54" i="72"/>
  <c r="P54" i="71"/>
  <c r="P54" i="69"/>
  <c r="P54" i="70"/>
  <c r="P50" i="51"/>
  <c r="P56" i="54"/>
  <c r="P54" i="53"/>
  <c r="P54" i="52"/>
  <c r="P54" i="49"/>
  <c r="P54" i="50"/>
  <c r="P54" i="41"/>
  <c r="P54" i="42"/>
  <c r="P54" i="44"/>
  <c r="P54" i="43"/>
  <c r="P54" i="31"/>
  <c r="P54" i="77"/>
  <c r="P54" i="29"/>
  <c r="P54" i="30"/>
  <c r="P54" i="27"/>
  <c r="P54" i="18"/>
  <c r="P54" i="17"/>
  <c r="P54" i="21"/>
  <c r="P54" i="76"/>
  <c r="P54" i="19"/>
  <c r="P54" i="20"/>
  <c r="P54" i="2"/>
  <c r="P54" i="26"/>
  <c r="P54" i="24"/>
  <c r="P54" i="23"/>
  <c r="P54" i="22"/>
  <c r="P54" i="25"/>
  <c r="R54" i="74"/>
  <c r="R54" i="73"/>
  <c r="R54" i="72"/>
  <c r="R54" i="71"/>
  <c r="R54" i="69"/>
  <c r="R56" i="54"/>
  <c r="R54" i="53"/>
  <c r="R54" i="52"/>
  <c r="R54" i="70"/>
  <c r="R50" i="51"/>
  <c r="R54" i="50"/>
  <c r="R54" i="49"/>
  <c r="R54" i="43"/>
  <c r="R54" i="41"/>
  <c r="R54" i="44"/>
  <c r="R54" i="42"/>
  <c r="R54" i="76"/>
  <c r="R54" i="21"/>
  <c r="R54" i="20"/>
  <c r="R54" i="29"/>
  <c r="R54" i="19"/>
  <c r="R54" i="17"/>
  <c r="R54" i="31"/>
  <c r="R54" i="2"/>
  <c r="R54" i="30"/>
  <c r="R54" i="77"/>
  <c r="R54" i="18"/>
  <c r="R54" i="27"/>
  <c r="R54" i="23"/>
  <c r="R54" i="26"/>
  <c r="R54" i="25"/>
  <c r="R54" i="22"/>
  <c r="R54" i="24"/>
  <c r="C26" i="48"/>
  <c r="Q5" i="26"/>
  <c r="Q5" i="25"/>
  <c r="C25" i="48"/>
  <c r="Q4" i="26"/>
  <c r="Q4" i="25"/>
  <c r="B24" i="48"/>
  <c r="P3" i="26"/>
  <c r="P3" i="25"/>
  <c r="T9" i="26"/>
  <c r="U9" i="26" s="1"/>
  <c r="T9" i="25"/>
  <c r="U9" i="25" s="1"/>
  <c r="R5" i="25"/>
  <c r="R5" i="26"/>
  <c r="G49" i="48"/>
  <c r="M49" i="48" s="1"/>
  <c r="H49" i="48" s="1"/>
  <c r="T28" i="74"/>
  <c r="U28" i="74" s="1"/>
  <c r="T28" i="72"/>
  <c r="U28" i="72" s="1"/>
  <c r="T28" i="73"/>
  <c r="U28" i="73" s="1"/>
  <c r="T28" i="71"/>
  <c r="U28" i="71" s="1"/>
  <c r="T28" i="69"/>
  <c r="U28" i="69" s="1"/>
  <c r="T28" i="51"/>
  <c r="U28" i="51" s="1"/>
  <c r="T28" i="70"/>
  <c r="U28" i="70" s="1"/>
  <c r="T28" i="52"/>
  <c r="U28" i="52" s="1"/>
  <c r="T28" i="49"/>
  <c r="U28" i="49" s="1"/>
  <c r="T28" i="50"/>
  <c r="U28" i="50" s="1"/>
  <c r="T28" i="53"/>
  <c r="U28" i="53" s="1"/>
  <c r="T28" i="43"/>
  <c r="U28" i="43" s="1"/>
  <c r="T28" i="44"/>
  <c r="U28" i="44" s="1"/>
  <c r="T28" i="42"/>
  <c r="U28" i="42" s="1"/>
  <c r="T28" i="41"/>
  <c r="U28" i="41" s="1"/>
  <c r="T28" i="29"/>
  <c r="U28" i="29" s="1"/>
  <c r="T28" i="27"/>
  <c r="U28" i="27" s="1"/>
  <c r="T28" i="30"/>
  <c r="U28" i="30" s="1"/>
  <c r="T28" i="76"/>
  <c r="U28" i="76" s="1"/>
  <c r="T28" i="77"/>
  <c r="U28" i="77" s="1"/>
  <c r="T28" i="18"/>
  <c r="U28" i="18" s="1"/>
  <c r="T28" i="31"/>
  <c r="U28" i="31" s="1"/>
  <c r="T28" i="21"/>
  <c r="U28" i="21" s="1"/>
  <c r="T28" i="17"/>
  <c r="U28" i="17" s="1"/>
  <c r="T28" i="2"/>
  <c r="U28" i="2" s="1"/>
  <c r="T28" i="20"/>
  <c r="U28" i="20" s="1"/>
  <c r="T28" i="19"/>
  <c r="U28" i="19" s="1"/>
  <c r="T28" i="26"/>
  <c r="U28" i="26" s="1"/>
  <c r="T28" i="24"/>
  <c r="U28" i="24" s="1"/>
  <c r="T28" i="23"/>
  <c r="U28" i="23" s="1"/>
  <c r="T28" i="25"/>
  <c r="U28" i="25" s="1"/>
  <c r="T28" i="22"/>
  <c r="U28" i="22" s="1"/>
  <c r="T87" i="74"/>
  <c r="U87" i="74" s="1"/>
  <c r="T87" i="73"/>
  <c r="U87" i="73" s="1"/>
  <c r="T87" i="72"/>
  <c r="U87" i="72" s="1"/>
  <c r="T87" i="71"/>
  <c r="U87" i="71" s="1"/>
  <c r="T87" i="70"/>
  <c r="U87" i="70" s="1"/>
  <c r="T87" i="69"/>
  <c r="U87" i="69" s="1"/>
  <c r="G35" i="48"/>
  <c r="M35" i="48" s="1"/>
  <c r="H35" i="48" s="1"/>
  <c r="T14" i="74"/>
  <c r="U14" i="74" s="1"/>
  <c r="T14" i="73"/>
  <c r="U14" i="73" s="1"/>
  <c r="T14" i="72"/>
  <c r="U14" i="72" s="1"/>
  <c r="T14" i="71"/>
  <c r="U14" i="71" s="1"/>
  <c r="T14" i="70"/>
  <c r="U14" i="70" s="1"/>
  <c r="T14" i="54"/>
  <c r="U14" i="54" s="1"/>
  <c r="T14" i="51"/>
  <c r="U14" i="51" s="1"/>
  <c r="T14" i="49"/>
  <c r="U14" i="49" s="1"/>
  <c r="T14" i="50"/>
  <c r="U14" i="50" s="1"/>
  <c r="T14" i="69"/>
  <c r="U14" i="69" s="1"/>
  <c r="T14" i="53"/>
  <c r="U14" i="53" s="1"/>
  <c r="T14" i="52"/>
  <c r="U14" i="52" s="1"/>
  <c r="T14" i="44"/>
  <c r="U14" i="44" s="1"/>
  <c r="T14" i="40"/>
  <c r="U14" i="40" s="1"/>
  <c r="T14" i="32"/>
  <c r="U14" i="32" s="1"/>
  <c r="T14" i="35"/>
  <c r="U14" i="35" s="1"/>
  <c r="T14" i="39"/>
  <c r="U14" i="39" s="1"/>
  <c r="T14" i="37"/>
  <c r="U14" i="37" s="1"/>
  <c r="T14" i="38"/>
  <c r="U14" i="38" s="1"/>
  <c r="T14" i="33"/>
  <c r="U14" i="33" s="1"/>
  <c r="T14" i="34"/>
  <c r="U14" i="34" s="1"/>
  <c r="T14" i="31"/>
  <c r="U14" i="31" s="1"/>
  <c r="T14" i="77"/>
  <c r="U14" i="77" s="1"/>
  <c r="T14" i="30"/>
  <c r="U14" i="30" s="1"/>
  <c r="T14" i="29"/>
  <c r="U14" i="29" s="1"/>
  <c r="T14" i="20"/>
  <c r="U14" i="20" s="1"/>
  <c r="T14" i="76"/>
  <c r="U14" i="76" s="1"/>
  <c r="T14" i="17"/>
  <c r="U14" i="17" s="1"/>
  <c r="T14" i="2"/>
  <c r="U14" i="2" s="1"/>
  <c r="T14" i="27"/>
  <c r="U14" i="27" s="1"/>
  <c r="T14" i="21"/>
  <c r="U14" i="21" s="1"/>
  <c r="T14" i="19"/>
  <c r="U14" i="19" s="1"/>
  <c r="T14" i="18"/>
  <c r="U14" i="18" s="1"/>
  <c r="T14" i="22"/>
  <c r="U14" i="22" s="1"/>
  <c r="T14" i="23"/>
  <c r="U14" i="23" s="1"/>
  <c r="T14" i="25"/>
  <c r="U14" i="25" s="1"/>
  <c r="T14" i="26"/>
  <c r="U14" i="26" s="1"/>
  <c r="T14" i="24"/>
  <c r="U14" i="24" s="1"/>
  <c r="R53" i="74"/>
  <c r="R53" i="73"/>
  <c r="R53" i="72"/>
  <c r="R53" i="71"/>
  <c r="R53" i="70"/>
  <c r="R53" i="69"/>
  <c r="R55" i="54"/>
  <c r="R53" i="53"/>
  <c r="R49" i="51"/>
  <c r="R53" i="52"/>
  <c r="R53" i="50"/>
  <c r="R53" i="49"/>
  <c r="R53" i="42"/>
  <c r="R53" i="41"/>
  <c r="R53" i="44"/>
  <c r="R53" i="43"/>
  <c r="R53" i="27"/>
  <c r="R53" i="21"/>
  <c r="R53" i="20"/>
  <c r="R53" i="76"/>
  <c r="R53" i="31"/>
  <c r="R53" i="30"/>
  <c r="R53" i="77"/>
  <c r="R53" i="19"/>
  <c r="R53" i="18"/>
  <c r="R53" i="2"/>
  <c r="R53" i="29"/>
  <c r="R53" i="17"/>
  <c r="R53" i="23"/>
  <c r="R53" i="26"/>
  <c r="R53" i="25"/>
  <c r="R53" i="22"/>
  <c r="R53" i="24"/>
  <c r="Q82" i="73"/>
  <c r="Q82" i="71"/>
  <c r="Q82" i="53"/>
  <c r="Q82" i="50"/>
  <c r="Q82" i="42"/>
  <c r="Q53" i="38"/>
  <c r="Q53" i="33"/>
  <c r="Q82" i="20"/>
  <c r="Q82" i="17"/>
  <c r="Q80" i="73"/>
  <c r="Q80" i="71"/>
  <c r="Q80" i="50"/>
  <c r="Q80" i="53"/>
  <c r="Q80" i="42"/>
  <c r="Q80" i="20"/>
  <c r="Q80" i="17"/>
  <c r="B41" i="26"/>
  <c r="P63" i="23"/>
  <c r="P63" i="26"/>
  <c r="G41" i="48"/>
  <c r="M41" i="48" s="1"/>
  <c r="H41" i="48" s="1"/>
  <c r="T20" i="74"/>
  <c r="U20" i="74" s="1"/>
  <c r="T20" i="73"/>
  <c r="U20" i="73" s="1"/>
  <c r="T20" i="72"/>
  <c r="U20" i="72" s="1"/>
  <c r="T20" i="71"/>
  <c r="U20" i="71" s="1"/>
  <c r="T20" i="69"/>
  <c r="U20" i="69" s="1"/>
  <c r="T20" i="70"/>
  <c r="U20" i="70" s="1"/>
  <c r="T20" i="52"/>
  <c r="U20" i="52" s="1"/>
  <c r="T20" i="54"/>
  <c r="U20" i="54" s="1"/>
  <c r="T20" i="51"/>
  <c r="U20" i="51" s="1"/>
  <c r="T20" i="50"/>
  <c r="U20" i="50" s="1"/>
  <c r="T20" i="49"/>
  <c r="U20" i="49" s="1"/>
  <c r="T20" i="53"/>
  <c r="U20" i="53" s="1"/>
  <c r="T20" i="43"/>
  <c r="U20" i="43" s="1"/>
  <c r="T20" i="44"/>
  <c r="U20" i="44" s="1"/>
  <c r="T20" i="41"/>
  <c r="U20" i="41" s="1"/>
  <c r="T20" i="42"/>
  <c r="U20" i="42" s="1"/>
  <c r="T20" i="39"/>
  <c r="U20" i="39" s="1"/>
  <c r="T20" i="38"/>
  <c r="U20" i="38" s="1"/>
  <c r="T20" i="33"/>
  <c r="U20" i="33" s="1"/>
  <c r="T20" i="40"/>
  <c r="U20" i="40" s="1"/>
  <c r="T20" i="34"/>
  <c r="U20" i="34" s="1"/>
  <c r="T20" i="35"/>
  <c r="U20" i="35" s="1"/>
  <c r="T20" i="37"/>
  <c r="U20" i="37" s="1"/>
  <c r="T20" i="32"/>
  <c r="U20" i="32" s="1"/>
  <c r="T20" i="30"/>
  <c r="U20" i="30" s="1"/>
  <c r="T20" i="29"/>
  <c r="U20" i="29" s="1"/>
  <c r="T20" i="27"/>
  <c r="U20" i="27" s="1"/>
  <c r="T20" i="76"/>
  <c r="U20" i="76" s="1"/>
  <c r="T20" i="77"/>
  <c r="U20" i="77" s="1"/>
  <c r="T20" i="20"/>
  <c r="U20" i="20" s="1"/>
  <c r="T20" i="2"/>
  <c r="U20" i="2" s="1"/>
  <c r="T20" i="19"/>
  <c r="U20" i="19" s="1"/>
  <c r="T20" i="17"/>
  <c r="U20" i="17" s="1"/>
  <c r="T20" i="18"/>
  <c r="U20" i="18" s="1"/>
  <c r="T20" i="31"/>
  <c r="U20" i="31" s="1"/>
  <c r="T20" i="21"/>
  <c r="U20" i="21" s="1"/>
  <c r="T20" i="26"/>
  <c r="U20" i="26" s="1"/>
  <c r="T20" i="24"/>
  <c r="U20" i="24" s="1"/>
  <c r="T20" i="22"/>
  <c r="U20" i="22" s="1"/>
  <c r="T20" i="23"/>
  <c r="U20" i="23" s="1"/>
  <c r="T20" i="25"/>
  <c r="U20" i="25" s="1"/>
  <c r="G56" i="48"/>
  <c r="M56" i="48" s="1"/>
  <c r="H56" i="48" s="1"/>
  <c r="T35" i="74"/>
  <c r="U35" i="74" s="1"/>
  <c r="T35" i="73"/>
  <c r="U35" i="73" s="1"/>
  <c r="T35" i="72"/>
  <c r="U35" i="72" s="1"/>
  <c r="T35" i="71"/>
  <c r="U35" i="71" s="1"/>
  <c r="T35" i="69"/>
  <c r="U35" i="69" s="1"/>
  <c r="T35" i="70"/>
  <c r="U35" i="70" s="1"/>
  <c r="T35" i="53"/>
  <c r="U35" i="53" s="1"/>
  <c r="T31" i="51"/>
  <c r="U31" i="51" s="1"/>
  <c r="T35" i="52"/>
  <c r="U35" i="52" s="1"/>
  <c r="T35" i="50"/>
  <c r="U35" i="50" s="1"/>
  <c r="T35" i="49"/>
  <c r="U35" i="49" s="1"/>
  <c r="T35" i="41"/>
  <c r="U35" i="41" s="1"/>
  <c r="T35" i="42"/>
  <c r="U35" i="42" s="1"/>
  <c r="T35" i="43"/>
  <c r="U35" i="43" s="1"/>
  <c r="T35" i="44"/>
  <c r="U35" i="44" s="1"/>
  <c r="T35" i="30"/>
  <c r="U35" i="30" s="1"/>
  <c r="T35" i="27"/>
  <c r="U35" i="27" s="1"/>
  <c r="T35" i="17"/>
  <c r="U35" i="17" s="1"/>
  <c r="T35" i="77"/>
  <c r="U35" i="77" s="1"/>
  <c r="T35" i="19"/>
  <c r="U35" i="19" s="1"/>
  <c r="T35" i="31"/>
  <c r="U35" i="31" s="1"/>
  <c r="T35" i="29"/>
  <c r="U35" i="29" s="1"/>
  <c r="T35" i="76"/>
  <c r="U35" i="76" s="1"/>
  <c r="T35" i="21"/>
  <c r="U35" i="21" s="1"/>
  <c r="T35" i="18"/>
  <c r="U35" i="18" s="1"/>
  <c r="T35" i="2"/>
  <c r="U35" i="2" s="1"/>
  <c r="T35" i="20"/>
  <c r="U35" i="20" s="1"/>
  <c r="T35" i="26"/>
  <c r="U35" i="26" s="1"/>
  <c r="T35" i="23"/>
  <c r="U35" i="23" s="1"/>
  <c r="T35" i="25"/>
  <c r="U35" i="25" s="1"/>
  <c r="T35" i="24"/>
  <c r="U35" i="24" s="1"/>
  <c r="T35" i="22"/>
  <c r="U35" i="22" s="1"/>
  <c r="G264" i="48"/>
  <c r="M264" i="48" s="1"/>
  <c r="H264" i="48" s="1"/>
  <c r="T41" i="74"/>
  <c r="U41" i="74" s="1"/>
  <c r="T41" i="73"/>
  <c r="U41" i="73" s="1"/>
  <c r="T41" i="72"/>
  <c r="U41" i="72" s="1"/>
  <c r="T41" i="71"/>
  <c r="U41" i="71" s="1"/>
  <c r="T41" i="70"/>
  <c r="U41" i="70" s="1"/>
  <c r="T41" i="69"/>
  <c r="U41" i="69" s="1"/>
  <c r="T37" i="51"/>
  <c r="U37" i="51" s="1"/>
  <c r="T43" i="54"/>
  <c r="U43" i="54" s="1"/>
  <c r="T41" i="52"/>
  <c r="U41" i="52" s="1"/>
  <c r="T41" i="50"/>
  <c r="U41" i="50" s="1"/>
  <c r="T41" i="49"/>
  <c r="U41" i="49" s="1"/>
  <c r="T41" i="53"/>
  <c r="U41" i="53" s="1"/>
  <c r="T41" i="43"/>
  <c r="U41" i="43" s="1"/>
  <c r="T41" i="44"/>
  <c r="U41" i="44" s="1"/>
  <c r="T41" i="42"/>
  <c r="U41" i="42" s="1"/>
  <c r="T41" i="41"/>
  <c r="U41" i="41" s="1"/>
  <c r="T41" i="30"/>
  <c r="U41" i="30" s="1"/>
  <c r="T41" i="27"/>
  <c r="U41" i="27" s="1"/>
  <c r="T41" i="76"/>
  <c r="U41" i="76" s="1"/>
  <c r="T41" i="21"/>
  <c r="U41" i="21" s="1"/>
  <c r="T41" i="77"/>
  <c r="U41" i="77" s="1"/>
  <c r="T41" i="2"/>
  <c r="U41" i="2" s="1"/>
  <c r="T41" i="18"/>
  <c r="U41" i="18" s="1"/>
  <c r="T41" i="17"/>
  <c r="U41" i="17" s="1"/>
  <c r="T41" i="29"/>
  <c r="U41" i="29" s="1"/>
  <c r="T41" i="19"/>
  <c r="U41" i="19" s="1"/>
  <c r="T41" i="31"/>
  <c r="U41" i="31" s="1"/>
  <c r="T41" i="20"/>
  <c r="U41" i="20" s="1"/>
  <c r="T41" i="26"/>
  <c r="U41" i="26" s="1"/>
  <c r="T41" i="23"/>
  <c r="U41" i="23" s="1"/>
  <c r="T41" i="24"/>
  <c r="U41" i="24" s="1"/>
  <c r="T41" i="22"/>
  <c r="U41" i="22" s="1"/>
  <c r="T41" i="25"/>
  <c r="U41" i="25" s="1"/>
  <c r="G38" i="48"/>
  <c r="M38" i="48" s="1"/>
  <c r="H38" i="48" s="1"/>
  <c r="T17" i="74"/>
  <c r="U17" i="74" s="1"/>
  <c r="T17" i="73"/>
  <c r="U17" i="73" s="1"/>
  <c r="T17" i="72"/>
  <c r="U17" i="72" s="1"/>
  <c r="T17" i="71"/>
  <c r="U17" i="71" s="1"/>
  <c r="T17" i="69"/>
  <c r="U17" i="69" s="1"/>
  <c r="T17" i="70"/>
  <c r="U17" i="70" s="1"/>
  <c r="T17" i="52"/>
  <c r="U17" i="52" s="1"/>
  <c r="T17" i="54"/>
  <c r="U17" i="54" s="1"/>
  <c r="T17" i="51"/>
  <c r="U17" i="51" s="1"/>
  <c r="T17" i="49"/>
  <c r="U17" i="49" s="1"/>
  <c r="T17" i="53"/>
  <c r="U17" i="53" s="1"/>
  <c r="T17" i="50"/>
  <c r="U17" i="50" s="1"/>
  <c r="T17" i="43"/>
  <c r="U17" i="43" s="1"/>
  <c r="T17" i="42"/>
  <c r="U17" i="42" s="1"/>
  <c r="T17" i="44"/>
  <c r="U17" i="44" s="1"/>
  <c r="T17" i="41"/>
  <c r="U17" i="41" s="1"/>
  <c r="T17" i="38"/>
  <c r="U17" i="38" s="1"/>
  <c r="T17" i="40"/>
  <c r="U17" i="40" s="1"/>
  <c r="T17" i="39"/>
  <c r="U17" i="39" s="1"/>
  <c r="T17" i="34"/>
  <c r="U17" i="34" s="1"/>
  <c r="T17" i="33"/>
  <c r="U17" i="33" s="1"/>
  <c r="T17" i="35"/>
  <c r="U17" i="35" s="1"/>
  <c r="T17" i="37"/>
  <c r="U17" i="37" s="1"/>
  <c r="T17" i="32"/>
  <c r="U17" i="32" s="1"/>
  <c r="T17" i="29"/>
  <c r="U17" i="29" s="1"/>
  <c r="T17" i="76"/>
  <c r="U17" i="76" s="1"/>
  <c r="T17" i="31"/>
  <c r="U17" i="31" s="1"/>
  <c r="T17" i="30"/>
  <c r="U17" i="30" s="1"/>
  <c r="T17" i="77"/>
  <c r="U17" i="77" s="1"/>
  <c r="T17" i="21"/>
  <c r="U17" i="21" s="1"/>
  <c r="T17" i="19"/>
  <c r="U17" i="19" s="1"/>
  <c r="T17" i="2"/>
  <c r="U17" i="2" s="1"/>
  <c r="T17" i="27"/>
  <c r="U17" i="27" s="1"/>
  <c r="T17" i="20"/>
  <c r="U17" i="20" s="1"/>
  <c r="T17" i="17"/>
  <c r="U17" i="17" s="1"/>
  <c r="T17" i="18"/>
  <c r="U17" i="18" s="1"/>
  <c r="T17" i="26"/>
  <c r="U17" i="26" s="1"/>
  <c r="T17" i="22"/>
  <c r="U17" i="22" s="1"/>
  <c r="T17" i="23"/>
  <c r="U17" i="23" s="1"/>
  <c r="T17" i="25"/>
  <c r="U17" i="25" s="1"/>
  <c r="T17" i="24"/>
  <c r="U17" i="24" s="1"/>
  <c r="D86" i="48"/>
  <c r="R70" i="73"/>
  <c r="R70" i="74"/>
  <c r="R70" i="72"/>
  <c r="R70" i="71"/>
  <c r="R70" i="70"/>
  <c r="R72" i="54"/>
  <c r="R70" i="69"/>
  <c r="R70" i="50"/>
  <c r="R66" i="51"/>
  <c r="R70" i="53"/>
  <c r="R70" i="52"/>
  <c r="R70" i="49"/>
  <c r="R70" i="43"/>
  <c r="R70" i="41"/>
  <c r="R70" i="42"/>
  <c r="R41" i="39"/>
  <c r="R41" i="34"/>
  <c r="R41" i="32"/>
  <c r="R41" i="37"/>
  <c r="R41" i="33"/>
  <c r="R41" i="38"/>
  <c r="R70" i="31"/>
  <c r="R70" i="29"/>
  <c r="R70" i="21"/>
  <c r="R70" i="19"/>
  <c r="R70" i="18"/>
  <c r="R70" i="20"/>
  <c r="R70" i="2"/>
  <c r="R70" i="30"/>
  <c r="R70" i="76"/>
  <c r="R70" i="17"/>
  <c r="R70" i="27"/>
  <c r="R70" i="77"/>
  <c r="C85" i="48"/>
  <c r="Q69" i="74"/>
  <c r="Q69" i="73"/>
  <c r="Q69" i="72"/>
  <c r="Q69" i="71"/>
  <c r="Q69" i="70"/>
  <c r="Q69" i="69"/>
  <c r="Q71" i="54"/>
  <c r="Q69" i="53"/>
  <c r="Q69" i="52"/>
  <c r="Q65" i="51"/>
  <c r="Q69" i="49"/>
  <c r="Q69" i="50"/>
  <c r="Q69" i="42"/>
  <c r="Q69" i="43"/>
  <c r="Q69" i="41"/>
  <c r="Q69" i="77"/>
  <c r="Q69" i="76"/>
  <c r="Q69" i="20"/>
  <c r="Q69" i="31"/>
  <c r="Q69" i="29"/>
  <c r="Q69" i="30"/>
  <c r="Q69" i="21"/>
  <c r="Q69" i="19"/>
  <c r="Q69" i="18"/>
  <c r="Q69" i="27"/>
  <c r="Q69" i="17"/>
  <c r="Q69" i="2"/>
  <c r="B85" i="48"/>
  <c r="P69" i="74"/>
  <c r="P69" i="73"/>
  <c r="P69" i="72"/>
  <c r="P69" i="71"/>
  <c r="P69" i="70"/>
  <c r="P71" i="54"/>
  <c r="P65" i="51"/>
  <c r="P69" i="53"/>
  <c r="P69" i="52"/>
  <c r="P69" i="69"/>
  <c r="P69" i="50"/>
  <c r="P69" i="49"/>
  <c r="P69" i="41"/>
  <c r="P69" i="42"/>
  <c r="P69" i="43"/>
  <c r="P69" i="30"/>
  <c r="P69" i="27"/>
  <c r="P69" i="77"/>
  <c r="P69" i="76"/>
  <c r="P69" i="20"/>
  <c r="P69" i="31"/>
  <c r="P69" i="21"/>
  <c r="P69" i="19"/>
  <c r="P69" i="18"/>
  <c r="P69" i="2"/>
  <c r="P69" i="29"/>
  <c r="P69" i="17"/>
  <c r="G80" i="48"/>
  <c r="M80" i="48" s="1"/>
  <c r="H80" i="48" s="1"/>
  <c r="T64" i="74"/>
  <c r="U64" i="74" s="1"/>
  <c r="T64" i="73"/>
  <c r="U64" i="73" s="1"/>
  <c r="T64" i="72"/>
  <c r="U64" i="72" s="1"/>
  <c r="T64" i="71"/>
  <c r="U64" i="71" s="1"/>
  <c r="T64" i="70"/>
  <c r="U64" i="70" s="1"/>
  <c r="T66" i="54"/>
  <c r="U66" i="54" s="1"/>
  <c r="T64" i="69"/>
  <c r="U64" i="69" s="1"/>
  <c r="T60" i="51"/>
  <c r="U60" i="51" s="1"/>
  <c r="T64" i="53"/>
  <c r="U64" i="53" s="1"/>
  <c r="T64" i="52"/>
  <c r="U64" i="52" s="1"/>
  <c r="T64" i="50"/>
  <c r="U64" i="50" s="1"/>
  <c r="T64" i="49"/>
  <c r="U64" i="49" s="1"/>
  <c r="T64" i="42"/>
  <c r="U64" i="42" s="1"/>
  <c r="T64" i="41"/>
  <c r="U64" i="41" s="1"/>
  <c r="T64" i="43"/>
  <c r="U64" i="43" s="1"/>
  <c r="T64" i="31"/>
  <c r="U64" i="31" s="1"/>
  <c r="T64" i="27"/>
  <c r="U64" i="27" s="1"/>
  <c r="T64" i="76"/>
  <c r="U64" i="76" s="1"/>
  <c r="T64" i="19"/>
  <c r="U64" i="19" s="1"/>
  <c r="T64" i="17"/>
  <c r="U64" i="17" s="1"/>
  <c r="T64" i="18"/>
  <c r="U64" i="18" s="1"/>
  <c r="T64" i="30"/>
  <c r="U64" i="30" s="1"/>
  <c r="T64" i="2"/>
  <c r="U64" i="2" s="1"/>
  <c r="T64" i="77"/>
  <c r="U64" i="77" s="1"/>
  <c r="T64" i="29"/>
  <c r="U64" i="29" s="1"/>
  <c r="T64" i="21"/>
  <c r="U64" i="21" s="1"/>
  <c r="T64" i="20"/>
  <c r="U64" i="20" s="1"/>
  <c r="G85" i="48"/>
  <c r="M85" i="48" s="1"/>
  <c r="H85" i="48" s="1"/>
  <c r="T69" i="74"/>
  <c r="U69" i="74" s="1"/>
  <c r="T69" i="73"/>
  <c r="U69" i="73" s="1"/>
  <c r="T69" i="72"/>
  <c r="U69" i="72" s="1"/>
  <c r="T69" i="71"/>
  <c r="U69" i="71" s="1"/>
  <c r="T69" i="69"/>
  <c r="U69" i="69" s="1"/>
  <c r="T69" i="70"/>
  <c r="U69" i="70" s="1"/>
  <c r="T71" i="54"/>
  <c r="U71" i="54" s="1"/>
  <c r="T65" i="51"/>
  <c r="U65" i="51" s="1"/>
  <c r="T69" i="53"/>
  <c r="U69" i="53" s="1"/>
  <c r="T69" i="52"/>
  <c r="U69" i="52" s="1"/>
  <c r="T69" i="49"/>
  <c r="U69" i="49" s="1"/>
  <c r="T69" i="50"/>
  <c r="U69" i="50" s="1"/>
  <c r="T69" i="42"/>
  <c r="U69" i="42" s="1"/>
  <c r="T69" i="41"/>
  <c r="U69" i="41" s="1"/>
  <c r="T69" i="43"/>
  <c r="U69" i="43" s="1"/>
  <c r="T69" i="19"/>
  <c r="U69" i="19" s="1"/>
  <c r="T69" i="30"/>
  <c r="U69" i="30" s="1"/>
  <c r="T69" i="27"/>
  <c r="U69" i="27" s="1"/>
  <c r="T69" i="31"/>
  <c r="U69" i="31" s="1"/>
  <c r="T69" i="77"/>
  <c r="U69" i="77" s="1"/>
  <c r="T69" i="17"/>
  <c r="U69" i="17" s="1"/>
  <c r="T69" i="2"/>
  <c r="U69" i="2" s="1"/>
  <c r="T69" i="29"/>
  <c r="U69" i="29" s="1"/>
  <c r="T69" i="20"/>
  <c r="U69" i="20" s="1"/>
  <c r="T69" i="76"/>
  <c r="U69" i="76" s="1"/>
  <c r="T69" i="21"/>
  <c r="U69" i="21" s="1"/>
  <c r="T69" i="18"/>
  <c r="U69" i="18" s="1"/>
  <c r="D80" i="48"/>
  <c r="R64" i="73"/>
  <c r="R64" i="74"/>
  <c r="R64" i="72"/>
  <c r="R64" i="71"/>
  <c r="R64" i="69"/>
  <c r="R64" i="70"/>
  <c r="R66" i="54"/>
  <c r="R64" i="50"/>
  <c r="R60" i="51"/>
  <c r="R64" i="49"/>
  <c r="R64" i="52"/>
  <c r="R64" i="53"/>
  <c r="R64" i="42"/>
  <c r="R64" i="41"/>
  <c r="R64" i="43"/>
  <c r="R64" i="29"/>
  <c r="R64" i="31"/>
  <c r="R64" i="19"/>
  <c r="R64" i="18"/>
  <c r="R64" i="21"/>
  <c r="R64" i="20"/>
  <c r="R64" i="2"/>
  <c r="R64" i="76"/>
  <c r="R64" i="17"/>
  <c r="R64" i="30"/>
  <c r="R64" i="27"/>
  <c r="R64" i="77"/>
  <c r="D91" i="48"/>
  <c r="R78" i="69"/>
  <c r="R78" i="70"/>
  <c r="R78" i="49"/>
  <c r="R78" i="52"/>
  <c r="R78" i="41"/>
  <c r="R78" i="19"/>
  <c r="R78" i="2"/>
  <c r="D88" i="48"/>
  <c r="R75" i="70"/>
  <c r="R75" i="69"/>
  <c r="R75" i="49"/>
  <c r="R75" i="52"/>
  <c r="R75" i="41"/>
  <c r="R75" i="19"/>
  <c r="R75" i="2"/>
  <c r="B91" i="48"/>
  <c r="P78" i="69"/>
  <c r="P78" i="52"/>
  <c r="P78" i="70"/>
  <c r="P78" i="49"/>
  <c r="P78" i="41"/>
  <c r="P78" i="19"/>
  <c r="P78" i="2"/>
  <c r="B90" i="48"/>
  <c r="P77" i="70"/>
  <c r="P77" i="69"/>
  <c r="P77" i="52"/>
  <c r="P77" i="49"/>
  <c r="P77" i="41"/>
  <c r="P77" i="19"/>
  <c r="P77" i="2"/>
  <c r="B96" i="48"/>
  <c r="P83" i="69"/>
  <c r="P83" i="70"/>
  <c r="P83" i="52"/>
  <c r="P83" i="49"/>
  <c r="P83" i="41"/>
  <c r="P54" i="37"/>
  <c r="P54" i="32"/>
  <c r="P83" i="19"/>
  <c r="P83" i="2"/>
  <c r="C90" i="48"/>
  <c r="Q77" i="69"/>
  <c r="Q77" i="70"/>
  <c r="Q77" i="52"/>
  <c r="Q77" i="49"/>
  <c r="Q77" i="41"/>
  <c r="Q77" i="19"/>
  <c r="Q77" i="2"/>
  <c r="G95" i="48"/>
  <c r="M95" i="48" s="1"/>
  <c r="H95" i="48" s="1"/>
  <c r="T82" i="70"/>
  <c r="U82" i="70" s="1"/>
  <c r="T82" i="69"/>
  <c r="U82" i="69" s="1"/>
  <c r="T82" i="52"/>
  <c r="U82" i="52" s="1"/>
  <c r="T82" i="49"/>
  <c r="U82" i="49" s="1"/>
  <c r="T82" i="41"/>
  <c r="U82" i="41" s="1"/>
  <c r="T53" i="37"/>
  <c r="U53" i="37" s="1"/>
  <c r="T53" i="32"/>
  <c r="U53" i="32" s="1"/>
  <c r="T82" i="19"/>
  <c r="U82" i="19" s="1"/>
  <c r="T82" i="2"/>
  <c r="U82" i="2" s="1"/>
  <c r="C89" i="48"/>
  <c r="Q76" i="69"/>
  <c r="Q76" i="70"/>
  <c r="Q76" i="52"/>
  <c r="Q76" i="49"/>
  <c r="Q76" i="41"/>
  <c r="Q76" i="2"/>
  <c r="Q76" i="19"/>
  <c r="G96" i="48"/>
  <c r="M96" i="48" s="1"/>
  <c r="H96" i="48" s="1"/>
  <c r="T83" i="69"/>
  <c r="U83" i="69" s="1"/>
  <c r="T83" i="70"/>
  <c r="U83" i="70" s="1"/>
  <c r="T83" i="52"/>
  <c r="U83" i="52" s="1"/>
  <c r="T83" i="49"/>
  <c r="U83" i="49" s="1"/>
  <c r="T83" i="41"/>
  <c r="U83" i="41" s="1"/>
  <c r="T54" i="37"/>
  <c r="U54" i="37" s="1"/>
  <c r="T54" i="32"/>
  <c r="U54" i="32" s="1"/>
  <c r="T83" i="19"/>
  <c r="U83" i="19" s="1"/>
  <c r="T83" i="2"/>
  <c r="U83" i="2" s="1"/>
  <c r="G99" i="48"/>
  <c r="M99" i="48" s="1"/>
  <c r="H99" i="48" s="1"/>
  <c r="T77" i="76"/>
  <c r="U77" i="76" s="1"/>
  <c r="T77" i="77"/>
  <c r="U77" i="77" s="1"/>
  <c r="B105" i="48"/>
  <c r="P83" i="77"/>
  <c r="P83" i="76"/>
  <c r="B104" i="48"/>
  <c r="P82" i="77"/>
  <c r="P82" i="76"/>
  <c r="D99" i="48"/>
  <c r="R77" i="76"/>
  <c r="R77" i="77"/>
  <c r="C105" i="48"/>
  <c r="Q83" i="77"/>
  <c r="Q83" i="76"/>
  <c r="D102" i="48"/>
  <c r="R80" i="76"/>
  <c r="R80" i="77"/>
  <c r="C102" i="48"/>
  <c r="Q80" i="77"/>
  <c r="Q80" i="76"/>
  <c r="C112" i="48"/>
  <c r="Q80" i="30"/>
  <c r="Q80" i="27"/>
  <c r="G110" i="48"/>
  <c r="M110" i="48" s="1"/>
  <c r="H110" i="48" s="1"/>
  <c r="T83" i="71"/>
  <c r="U83" i="71" s="1"/>
  <c r="T83" i="73"/>
  <c r="U83" i="73" s="1"/>
  <c r="T83" i="50"/>
  <c r="U83" i="50" s="1"/>
  <c r="T83" i="53"/>
  <c r="U83" i="53" s="1"/>
  <c r="T83" i="42"/>
  <c r="U83" i="42" s="1"/>
  <c r="T54" i="38"/>
  <c r="U54" i="38" s="1"/>
  <c r="T54" i="33"/>
  <c r="U54" i="33" s="1"/>
  <c r="T83" i="20"/>
  <c r="U83" i="20" s="1"/>
  <c r="T83" i="17"/>
  <c r="U83" i="17" s="1"/>
  <c r="G114" i="48"/>
  <c r="T82" i="30"/>
  <c r="U82" i="30" s="1"/>
  <c r="T82" i="27"/>
  <c r="U82" i="27" s="1"/>
  <c r="G112" i="48"/>
  <c r="T80" i="27"/>
  <c r="U80" i="27" s="1"/>
  <c r="T80" i="30"/>
  <c r="U80" i="30" s="1"/>
  <c r="D113" i="48"/>
  <c r="R81" i="30"/>
  <c r="R81" i="27"/>
  <c r="D112" i="48"/>
  <c r="R80" i="27"/>
  <c r="R80" i="30"/>
  <c r="B110" i="48"/>
  <c r="P83" i="73"/>
  <c r="P83" i="71"/>
  <c r="P83" i="53"/>
  <c r="P83" i="50"/>
  <c r="P83" i="42"/>
  <c r="P54" i="38"/>
  <c r="P54" i="33"/>
  <c r="P83" i="20"/>
  <c r="P83" i="17"/>
  <c r="D115" i="48"/>
  <c r="R83" i="30"/>
  <c r="R83" i="27"/>
  <c r="B113" i="48"/>
  <c r="P81" i="30"/>
  <c r="P81" i="27"/>
  <c r="P73" i="27"/>
  <c r="P73" i="77"/>
  <c r="P73" i="76"/>
  <c r="P73" i="29"/>
  <c r="P73" i="30"/>
  <c r="P73" i="31"/>
  <c r="D74" i="48"/>
  <c r="R60" i="74"/>
  <c r="R60" i="73"/>
  <c r="R60" i="72"/>
  <c r="R60" i="71"/>
  <c r="R60" i="69"/>
  <c r="R60" i="70"/>
  <c r="R60" i="30"/>
  <c r="R60" i="31"/>
  <c r="R60" i="77"/>
  <c r="R60" i="20"/>
  <c r="R60" i="19"/>
  <c r="R60" i="21"/>
  <c r="R60" i="26"/>
  <c r="R60" i="23"/>
  <c r="T30" i="38"/>
  <c r="U30" i="38" s="1"/>
  <c r="T30" i="37"/>
  <c r="U30" i="37" s="1"/>
  <c r="T30" i="39"/>
  <c r="U30" i="39" s="1"/>
  <c r="T30" i="40"/>
  <c r="U30" i="40" s="1"/>
  <c r="Q8" i="26"/>
  <c r="Q8" i="25"/>
  <c r="T61" i="73"/>
  <c r="U61" i="73" s="1"/>
  <c r="T61" i="74"/>
  <c r="U61" i="74" s="1"/>
  <c r="T61" i="72"/>
  <c r="U61" i="72" s="1"/>
  <c r="T61" i="71"/>
  <c r="U61" i="71" s="1"/>
  <c r="T61" i="69"/>
  <c r="U61" i="69" s="1"/>
  <c r="T61" i="70"/>
  <c r="U61" i="70" s="1"/>
  <c r="T61" i="31"/>
  <c r="U61" i="31" s="1"/>
  <c r="T61" i="19"/>
  <c r="U61" i="19" s="1"/>
  <c r="T61" i="77"/>
  <c r="U61" i="77" s="1"/>
  <c r="T61" i="20"/>
  <c r="U61" i="20" s="1"/>
  <c r="T61" i="30"/>
  <c r="U61" i="30" s="1"/>
  <c r="T61" i="21"/>
  <c r="U61" i="21" s="1"/>
  <c r="T61" i="23"/>
  <c r="U61" i="23" s="1"/>
  <c r="T61" i="26"/>
  <c r="U61" i="26" s="1"/>
  <c r="T63" i="26"/>
  <c r="U63" i="26" s="1"/>
  <c r="T63" i="23"/>
  <c r="U63" i="23" s="1"/>
  <c r="Q53" i="74"/>
  <c r="Q53" i="73"/>
  <c r="Q53" i="71"/>
  <c r="Q53" i="72"/>
  <c r="Q53" i="69"/>
  <c r="Q55" i="54"/>
  <c r="Q53" i="53"/>
  <c r="Q49" i="51"/>
  <c r="Q53" i="52"/>
  <c r="Q53" i="50"/>
  <c r="Q53" i="49"/>
  <c r="Q53" i="70"/>
  <c r="Q53" i="44"/>
  <c r="Q53" i="42"/>
  <c r="Q53" i="43"/>
  <c r="Q53" i="41"/>
  <c r="Q53" i="31"/>
  <c r="Q53" i="30"/>
  <c r="Q53" i="27"/>
  <c r="Q53" i="21"/>
  <c r="Q53" i="20"/>
  <c r="Q53" i="76"/>
  <c r="Q53" i="19"/>
  <c r="Q53" i="29"/>
  <c r="Q53" i="77"/>
  <c r="Q53" i="18"/>
  <c r="Q53" i="2"/>
  <c r="Q53" i="17"/>
  <c r="Q53" i="23"/>
  <c r="Q53" i="24"/>
  <c r="Q53" i="22"/>
  <c r="Q53" i="25"/>
  <c r="Q53" i="26"/>
  <c r="C13" i="48"/>
  <c r="Q8" i="24"/>
  <c r="R73" i="31"/>
  <c r="R73" i="29"/>
  <c r="R73" i="76"/>
  <c r="R73" i="30"/>
  <c r="R73" i="77"/>
  <c r="R73" i="27"/>
  <c r="P57" i="74"/>
  <c r="P57" i="73"/>
  <c r="P57" i="71"/>
  <c r="P57" i="72"/>
  <c r="P57" i="69"/>
  <c r="P57" i="70"/>
  <c r="P53" i="51"/>
  <c r="P59" i="54"/>
  <c r="P57" i="53"/>
  <c r="P57" i="52"/>
  <c r="P57" i="49"/>
  <c r="P57" i="50"/>
  <c r="P57" i="42"/>
  <c r="P57" i="41"/>
  <c r="P57" i="44"/>
  <c r="P57" i="43"/>
  <c r="P57" i="31"/>
  <c r="P57" i="27"/>
  <c r="P57" i="30"/>
  <c r="P57" i="76"/>
  <c r="P57" i="21"/>
  <c r="P57" i="20"/>
  <c r="P57" i="77"/>
  <c r="P57" i="19"/>
  <c r="P57" i="29"/>
  <c r="P57" i="18"/>
  <c r="P57" i="17"/>
  <c r="P57" i="2"/>
  <c r="P57" i="23"/>
  <c r="P57" i="24"/>
  <c r="P57" i="26"/>
  <c r="P57" i="22"/>
  <c r="P57" i="25"/>
  <c r="R59" i="74"/>
  <c r="R59" i="73"/>
  <c r="R59" i="72"/>
  <c r="R59" i="71"/>
  <c r="R59" i="69"/>
  <c r="R59" i="70"/>
  <c r="R59" i="19"/>
  <c r="R59" i="21"/>
  <c r="R59" i="20"/>
  <c r="P27" i="33"/>
  <c r="P27" i="35"/>
  <c r="P27" i="34"/>
  <c r="P27" i="32"/>
  <c r="R30" i="34"/>
  <c r="R30" i="32"/>
  <c r="R30" i="35"/>
  <c r="R30" i="33"/>
  <c r="Q31" i="38"/>
  <c r="Q31" i="39"/>
  <c r="Q31" i="40"/>
  <c r="Q31" i="37"/>
  <c r="T71" i="74"/>
  <c r="U71" i="74" s="1"/>
  <c r="T71" i="73"/>
  <c r="U71" i="73" s="1"/>
  <c r="T71" i="72"/>
  <c r="U71" i="72" s="1"/>
  <c r="T71" i="71"/>
  <c r="U71" i="71" s="1"/>
  <c r="T71" i="69"/>
  <c r="U71" i="69" s="1"/>
  <c r="T73" i="54"/>
  <c r="U73" i="54" s="1"/>
  <c r="T71" i="70"/>
  <c r="U71" i="70" s="1"/>
  <c r="T67" i="51"/>
  <c r="U67" i="51" s="1"/>
  <c r="T71" i="53"/>
  <c r="U71" i="53" s="1"/>
  <c r="T71" i="52"/>
  <c r="U71" i="52" s="1"/>
  <c r="T71" i="49"/>
  <c r="U71" i="49" s="1"/>
  <c r="T71" i="50"/>
  <c r="U71" i="50" s="1"/>
  <c r="T71" i="42"/>
  <c r="U71" i="42" s="1"/>
  <c r="T71" i="41"/>
  <c r="U71" i="41" s="1"/>
  <c r="T71" i="43"/>
  <c r="U71" i="43" s="1"/>
  <c r="T42" i="38"/>
  <c r="U42" i="38" s="1"/>
  <c r="T42" i="39"/>
  <c r="U42" i="39" s="1"/>
  <c r="T42" i="37"/>
  <c r="U42" i="37" s="1"/>
  <c r="T42" i="33"/>
  <c r="U42" i="33" s="1"/>
  <c r="T42" i="34"/>
  <c r="U42" i="34" s="1"/>
  <c r="T42" i="32"/>
  <c r="U42" i="32" s="1"/>
  <c r="T71" i="30"/>
  <c r="U71" i="30" s="1"/>
  <c r="T71" i="19"/>
  <c r="U71" i="19" s="1"/>
  <c r="T71" i="27"/>
  <c r="U71" i="27" s="1"/>
  <c r="T71" i="31"/>
  <c r="U71" i="31" s="1"/>
  <c r="T71" i="77"/>
  <c r="U71" i="77" s="1"/>
  <c r="T71" i="17"/>
  <c r="U71" i="17" s="1"/>
  <c r="T71" i="2"/>
  <c r="U71" i="2" s="1"/>
  <c r="T71" i="29"/>
  <c r="U71" i="29" s="1"/>
  <c r="T71" i="20"/>
  <c r="U71" i="20" s="1"/>
  <c r="T71" i="18"/>
  <c r="U71" i="18" s="1"/>
  <c r="T71" i="76"/>
  <c r="U71" i="76" s="1"/>
  <c r="T71" i="21"/>
  <c r="U71" i="21" s="1"/>
  <c r="R58" i="72"/>
  <c r="R58" i="71"/>
  <c r="R58" i="69"/>
  <c r="R59" i="23"/>
  <c r="D11" i="48"/>
  <c r="R6" i="24"/>
  <c r="G11" i="48"/>
  <c r="M11" i="48" s="1"/>
  <c r="H11" i="48" s="1"/>
  <c r="T6" i="24"/>
  <c r="U6" i="24" s="1"/>
  <c r="B11" i="48"/>
  <c r="P6" i="24"/>
  <c r="Q8" i="74"/>
  <c r="Q8" i="73"/>
  <c r="Q8" i="72"/>
  <c r="Q8" i="71"/>
  <c r="Q8" i="69"/>
  <c r="Q8" i="70"/>
  <c r="Q8" i="54"/>
  <c r="Q8" i="50"/>
  <c r="Q8" i="49"/>
  <c r="Q8" i="53"/>
  <c r="Q8" i="52"/>
  <c r="Q8" i="41"/>
  <c r="Q8" i="51"/>
  <c r="Q8" i="43"/>
  <c r="Q8" i="44"/>
  <c r="Q8" i="42"/>
  <c r="Q8" i="40"/>
  <c r="Q8" i="35"/>
  <c r="Q8" i="38"/>
  <c r="Q8" i="34"/>
  <c r="Q8" i="32"/>
  <c r="Q8" i="39"/>
  <c r="Q8" i="37"/>
  <c r="Q8" i="33"/>
  <c r="Q8" i="31"/>
  <c r="Q8" i="77"/>
  <c r="Q8" i="21"/>
  <c r="Q8" i="20"/>
  <c r="Q8" i="29"/>
  <c r="Q8" i="18"/>
  <c r="Q8" i="2"/>
  <c r="Q8" i="27"/>
  <c r="Q8" i="76"/>
  <c r="Q8" i="17"/>
  <c r="Q8" i="30"/>
  <c r="Q8" i="19"/>
  <c r="Q8" i="23"/>
  <c r="Q8" i="22"/>
  <c r="T61" i="54"/>
  <c r="U61" i="54" s="1"/>
  <c r="T55" i="51"/>
  <c r="U55" i="51" s="1"/>
  <c r="T59" i="53"/>
  <c r="U59" i="53" s="1"/>
  <c r="T59" i="52"/>
  <c r="U59" i="52" s="1"/>
  <c r="T59" i="49"/>
  <c r="U59" i="49" s="1"/>
  <c r="T59" i="50"/>
  <c r="U59" i="50" s="1"/>
  <c r="T59" i="44"/>
  <c r="U59" i="44" s="1"/>
  <c r="T59" i="42"/>
  <c r="U59" i="42" s="1"/>
  <c r="T59" i="41"/>
  <c r="U59" i="41" s="1"/>
  <c r="T59" i="43"/>
  <c r="U59" i="43" s="1"/>
  <c r="T59" i="27"/>
  <c r="U59" i="27" s="1"/>
  <c r="T59" i="76"/>
  <c r="U59" i="76" s="1"/>
  <c r="T59" i="18"/>
  <c r="U59" i="18" s="1"/>
  <c r="T59" i="17"/>
  <c r="U59" i="17" s="1"/>
  <c r="T59" i="2"/>
  <c r="U59" i="2" s="1"/>
  <c r="T59" i="29"/>
  <c r="U59" i="29" s="1"/>
  <c r="T59" i="25"/>
  <c r="U59" i="25" s="1"/>
  <c r="T59" i="24"/>
  <c r="U59" i="24" s="1"/>
  <c r="T42" i="74"/>
  <c r="U42" i="74" s="1"/>
  <c r="T42" i="73"/>
  <c r="U42" i="73" s="1"/>
  <c r="T42" i="72"/>
  <c r="U42" i="72" s="1"/>
  <c r="T42" i="71"/>
  <c r="U42" i="71" s="1"/>
  <c r="T42" i="70"/>
  <c r="U42" i="70" s="1"/>
  <c r="T42" i="69"/>
  <c r="U42" i="69" s="1"/>
  <c r="T42" i="52"/>
  <c r="U42" i="52" s="1"/>
  <c r="T42" i="53"/>
  <c r="U42" i="53" s="1"/>
  <c r="T38" i="51"/>
  <c r="U38" i="51" s="1"/>
  <c r="T42" i="49"/>
  <c r="U42" i="49" s="1"/>
  <c r="T42" i="50"/>
  <c r="U42" i="50" s="1"/>
  <c r="T44" i="54"/>
  <c r="U44" i="54" s="1"/>
  <c r="T42" i="42"/>
  <c r="U42" i="42" s="1"/>
  <c r="T42" i="44"/>
  <c r="U42" i="44" s="1"/>
  <c r="T42" i="41"/>
  <c r="U42" i="41" s="1"/>
  <c r="T42" i="43"/>
  <c r="U42" i="43" s="1"/>
  <c r="T42" i="76"/>
  <c r="U42" i="76" s="1"/>
  <c r="T42" i="31"/>
  <c r="U42" i="31" s="1"/>
  <c r="T42" i="77"/>
  <c r="U42" i="77" s="1"/>
  <c r="T42" i="29"/>
  <c r="U42" i="29" s="1"/>
  <c r="T42" i="19"/>
  <c r="U42" i="19" s="1"/>
  <c r="T42" i="20"/>
  <c r="U42" i="20" s="1"/>
  <c r="T42" i="17"/>
  <c r="U42" i="17" s="1"/>
  <c r="T42" i="21"/>
  <c r="U42" i="21" s="1"/>
  <c r="T42" i="30"/>
  <c r="U42" i="30" s="1"/>
  <c r="T42" i="27"/>
  <c r="U42" i="27" s="1"/>
  <c r="T42" i="18"/>
  <c r="U42" i="18" s="1"/>
  <c r="T42" i="2"/>
  <c r="U42" i="2" s="1"/>
  <c r="T42" i="23"/>
  <c r="U42" i="23" s="1"/>
  <c r="T42" i="26"/>
  <c r="U42" i="26" s="1"/>
  <c r="T42" i="25"/>
  <c r="U42" i="25" s="1"/>
  <c r="T42" i="22"/>
  <c r="U42" i="22" s="1"/>
  <c r="T42" i="24"/>
  <c r="U42" i="24" s="1"/>
  <c r="Q80" i="69"/>
  <c r="Q80" i="70"/>
  <c r="Q80" i="52"/>
  <c r="Q80" i="49"/>
  <c r="Q80" i="41"/>
  <c r="Q80" i="19"/>
  <c r="Q80" i="2"/>
  <c r="R80" i="69"/>
  <c r="R80" i="70"/>
  <c r="R80" i="52"/>
  <c r="R80" i="49"/>
  <c r="R80" i="41"/>
  <c r="R80" i="19"/>
  <c r="R80" i="2"/>
  <c r="T27" i="33"/>
  <c r="U27" i="33" s="1"/>
  <c r="T27" i="35"/>
  <c r="U27" i="35" s="1"/>
  <c r="T27" i="34"/>
  <c r="U27" i="34" s="1"/>
  <c r="T27" i="32"/>
  <c r="U27" i="32" s="1"/>
  <c r="T50" i="74"/>
  <c r="U50" i="74" s="1"/>
  <c r="T50" i="73"/>
  <c r="U50" i="73" s="1"/>
  <c r="T50" i="72"/>
  <c r="U50" i="72" s="1"/>
  <c r="T50" i="71"/>
  <c r="U50" i="71" s="1"/>
  <c r="T50" i="70"/>
  <c r="U50" i="70" s="1"/>
  <c r="T50" i="69"/>
  <c r="U50" i="69" s="1"/>
  <c r="T50" i="53"/>
  <c r="U50" i="53" s="1"/>
  <c r="T46" i="51"/>
  <c r="U46" i="51" s="1"/>
  <c r="T52" i="54"/>
  <c r="U52" i="54" s="1"/>
  <c r="T50" i="52"/>
  <c r="U50" i="52" s="1"/>
  <c r="T50" i="50"/>
  <c r="U50" i="50" s="1"/>
  <c r="T50" i="49"/>
  <c r="U50" i="49" s="1"/>
  <c r="T50" i="42"/>
  <c r="U50" i="42" s="1"/>
  <c r="T50" i="41"/>
  <c r="U50" i="41" s="1"/>
  <c r="T50" i="44"/>
  <c r="U50" i="44" s="1"/>
  <c r="T50" i="43"/>
  <c r="U50" i="43" s="1"/>
  <c r="T50" i="27"/>
  <c r="U50" i="27" s="1"/>
  <c r="T50" i="20"/>
  <c r="U50" i="20" s="1"/>
  <c r="T50" i="29"/>
  <c r="U50" i="29" s="1"/>
  <c r="T50" i="76"/>
  <c r="U50" i="76" s="1"/>
  <c r="T50" i="19"/>
  <c r="U50" i="19" s="1"/>
  <c r="T50" i="30"/>
  <c r="U50" i="30" s="1"/>
  <c r="T50" i="77"/>
  <c r="U50" i="77" s="1"/>
  <c r="T50" i="18"/>
  <c r="U50" i="18" s="1"/>
  <c r="T50" i="2"/>
  <c r="U50" i="2" s="1"/>
  <c r="T50" i="21"/>
  <c r="U50" i="21" s="1"/>
  <c r="T50" i="17"/>
  <c r="U50" i="17" s="1"/>
  <c r="T50" i="31"/>
  <c r="U50" i="31" s="1"/>
  <c r="T50" i="26"/>
  <c r="U50" i="26" s="1"/>
  <c r="T50" i="23"/>
  <c r="U50" i="23" s="1"/>
  <c r="T50" i="22"/>
  <c r="U50" i="22" s="1"/>
  <c r="T50" i="25"/>
  <c r="U50" i="25" s="1"/>
  <c r="T50" i="24"/>
  <c r="U50" i="24" s="1"/>
  <c r="G45" i="48"/>
  <c r="M45" i="48" s="1"/>
  <c r="H45" i="48" s="1"/>
  <c r="T24" i="74"/>
  <c r="U24" i="74" s="1"/>
  <c r="T24" i="73"/>
  <c r="U24" i="73" s="1"/>
  <c r="T24" i="72"/>
  <c r="U24" i="72" s="1"/>
  <c r="T24" i="71"/>
  <c r="U24" i="71" s="1"/>
  <c r="T24" i="69"/>
  <c r="U24" i="69" s="1"/>
  <c r="T24" i="51"/>
  <c r="U24" i="51" s="1"/>
  <c r="T24" i="52"/>
  <c r="U24" i="52" s="1"/>
  <c r="T24" i="70"/>
  <c r="U24" i="70" s="1"/>
  <c r="T24" i="50"/>
  <c r="U24" i="50" s="1"/>
  <c r="T24" i="49"/>
  <c r="U24" i="49" s="1"/>
  <c r="T24" i="53"/>
  <c r="U24" i="53" s="1"/>
  <c r="T24" i="44"/>
  <c r="U24" i="44" s="1"/>
  <c r="T24" i="41"/>
  <c r="U24" i="41" s="1"/>
  <c r="T24" i="43"/>
  <c r="U24" i="43" s="1"/>
  <c r="T24" i="42"/>
  <c r="U24" i="42" s="1"/>
  <c r="T24" i="39"/>
  <c r="U24" i="39" s="1"/>
  <c r="T24" i="34"/>
  <c r="U24" i="34" s="1"/>
  <c r="T24" i="38"/>
  <c r="U24" i="38" s="1"/>
  <c r="T24" i="40"/>
  <c r="U24" i="40" s="1"/>
  <c r="T24" i="32"/>
  <c r="U24" i="32" s="1"/>
  <c r="T24" i="33"/>
  <c r="U24" i="33" s="1"/>
  <c r="T24" i="35"/>
  <c r="U24" i="35" s="1"/>
  <c r="T24" i="37"/>
  <c r="U24" i="37" s="1"/>
  <c r="T24" i="27"/>
  <c r="U24" i="27" s="1"/>
  <c r="T24" i="21"/>
  <c r="U24" i="21" s="1"/>
  <c r="T24" i="76"/>
  <c r="U24" i="76" s="1"/>
  <c r="T24" i="20"/>
  <c r="U24" i="20" s="1"/>
  <c r="T24" i="77"/>
  <c r="U24" i="77" s="1"/>
  <c r="T24" i="19"/>
  <c r="U24" i="19" s="1"/>
  <c r="T24" i="2"/>
  <c r="U24" i="2" s="1"/>
  <c r="T24" i="30"/>
  <c r="U24" i="30" s="1"/>
  <c r="T24" i="18"/>
  <c r="U24" i="18" s="1"/>
  <c r="T24" i="17"/>
  <c r="U24" i="17" s="1"/>
  <c r="T24" i="31"/>
  <c r="U24" i="31" s="1"/>
  <c r="T24" i="29"/>
  <c r="U24" i="29" s="1"/>
  <c r="T24" i="26"/>
  <c r="U24" i="26" s="1"/>
  <c r="T24" i="24"/>
  <c r="U24" i="24" s="1"/>
  <c r="T24" i="22"/>
  <c r="U24" i="22" s="1"/>
  <c r="T24" i="23"/>
  <c r="U24" i="23" s="1"/>
  <c r="T24" i="25"/>
  <c r="U24" i="25" s="1"/>
  <c r="R81" i="73"/>
  <c r="R81" i="71"/>
  <c r="R81" i="53"/>
  <c r="R81" i="50"/>
  <c r="R81" i="42"/>
  <c r="R81" i="17"/>
  <c r="R81" i="20"/>
  <c r="P13" i="41"/>
  <c r="P13" i="43"/>
  <c r="P13" i="42"/>
  <c r="T52" i="74"/>
  <c r="U52" i="74" s="1"/>
  <c r="T52" i="73"/>
  <c r="U52" i="73" s="1"/>
  <c r="T52" i="72"/>
  <c r="U52" i="72" s="1"/>
  <c r="T52" i="71"/>
  <c r="U52" i="71" s="1"/>
  <c r="T52" i="70"/>
  <c r="U52" i="70" s="1"/>
  <c r="T52" i="69"/>
  <c r="U52" i="69" s="1"/>
  <c r="T52" i="52"/>
  <c r="U52" i="52" s="1"/>
  <c r="T54" i="54"/>
  <c r="U54" i="54" s="1"/>
  <c r="T52" i="50"/>
  <c r="U52" i="50" s="1"/>
  <c r="T52" i="49"/>
  <c r="U52" i="49" s="1"/>
  <c r="T52" i="53"/>
  <c r="U52" i="53" s="1"/>
  <c r="T48" i="51"/>
  <c r="U48" i="51" s="1"/>
  <c r="T52" i="43"/>
  <c r="U52" i="43" s="1"/>
  <c r="T52" i="41"/>
  <c r="U52" i="41" s="1"/>
  <c r="T52" i="42"/>
  <c r="U52" i="42" s="1"/>
  <c r="T52" i="44"/>
  <c r="U52" i="44" s="1"/>
  <c r="T52" i="76"/>
  <c r="U52" i="76" s="1"/>
  <c r="T52" i="20"/>
  <c r="U52" i="20" s="1"/>
  <c r="T52" i="77"/>
  <c r="U52" i="77" s="1"/>
  <c r="T52" i="29"/>
  <c r="U52" i="29" s="1"/>
  <c r="T52" i="19"/>
  <c r="U52" i="19" s="1"/>
  <c r="T52" i="21"/>
  <c r="U52" i="21" s="1"/>
  <c r="T52" i="18"/>
  <c r="U52" i="18" s="1"/>
  <c r="T52" i="2"/>
  <c r="U52" i="2" s="1"/>
  <c r="T52" i="31"/>
  <c r="U52" i="31" s="1"/>
  <c r="T52" i="17"/>
  <c r="U52" i="17" s="1"/>
  <c r="T52" i="30"/>
  <c r="U52" i="30" s="1"/>
  <c r="T52" i="27"/>
  <c r="U52" i="27" s="1"/>
  <c r="T52" i="26"/>
  <c r="U52" i="26" s="1"/>
  <c r="T52" i="23"/>
  <c r="U52" i="23" s="1"/>
  <c r="T52" i="22"/>
  <c r="U52" i="22" s="1"/>
  <c r="T52" i="24"/>
  <c r="U52" i="24" s="1"/>
  <c r="T52" i="25"/>
  <c r="U52" i="25" s="1"/>
  <c r="R7" i="74"/>
  <c r="R7" i="73"/>
  <c r="R7" i="72"/>
  <c r="R7" i="71"/>
  <c r="R7" i="69"/>
  <c r="R7" i="70"/>
  <c r="R7" i="54"/>
  <c r="R7" i="53"/>
  <c r="R7" i="52"/>
  <c r="R7" i="50"/>
  <c r="R7" i="49"/>
  <c r="R7" i="51"/>
  <c r="R7" i="43"/>
  <c r="R7" i="42"/>
  <c r="R7" i="44"/>
  <c r="R7" i="41"/>
  <c r="R7" i="38"/>
  <c r="R7" i="39"/>
  <c r="R7" i="37"/>
  <c r="R7" i="34"/>
  <c r="R7" i="32"/>
  <c r="R7" i="40"/>
  <c r="R7" i="35"/>
  <c r="R7" i="33"/>
  <c r="R7" i="31"/>
  <c r="R7" i="77"/>
  <c r="R7" i="20"/>
  <c r="R7" i="21"/>
  <c r="R7" i="19"/>
  <c r="R7" i="18"/>
  <c r="R7" i="30"/>
  <c r="R7" i="76"/>
  <c r="R7" i="17"/>
  <c r="R7" i="27"/>
  <c r="R7" i="2"/>
  <c r="R7" i="29"/>
  <c r="R7" i="23"/>
  <c r="R7" i="22"/>
  <c r="C16" i="48"/>
  <c r="Q4" i="74"/>
  <c r="Q4" i="73"/>
  <c r="Q4" i="72"/>
  <c r="Q4" i="71"/>
  <c r="Q4" i="69"/>
  <c r="Q4" i="70"/>
  <c r="Q4" i="54"/>
  <c r="Q4" i="53"/>
  <c r="Q4" i="50"/>
  <c r="Q4" i="49"/>
  <c r="Q4" i="52"/>
  <c r="Q4" i="51"/>
  <c r="Q4" i="43"/>
  <c r="Q4" i="44"/>
  <c r="Q4" i="41"/>
  <c r="Q4" i="42"/>
  <c r="Q4" i="40"/>
  <c r="Q4" i="39"/>
  <c r="Q4" i="34"/>
  <c r="Q4" i="38"/>
  <c r="Q4" i="33"/>
  <c r="Q4" i="32"/>
  <c r="Q4" i="35"/>
  <c r="Q4" i="37"/>
  <c r="Q4" i="31"/>
  <c r="Q4" i="77"/>
  <c r="Q4" i="21"/>
  <c r="Q4" i="30"/>
  <c r="Q4" i="18"/>
  <c r="Q4" i="2"/>
  <c r="Q4" i="76"/>
  <c r="Q4" i="29"/>
  <c r="Q4" i="20"/>
  <c r="Q4" i="17"/>
  <c r="Q4" i="27"/>
  <c r="Q4" i="19"/>
  <c r="Q4" i="23"/>
  <c r="Q4" i="22"/>
  <c r="D18" i="48"/>
  <c r="R6" i="74"/>
  <c r="R6" i="73"/>
  <c r="R6" i="72"/>
  <c r="R6" i="71"/>
  <c r="R6" i="69"/>
  <c r="R6" i="70"/>
  <c r="R6" i="52"/>
  <c r="R6" i="54"/>
  <c r="R6" i="53"/>
  <c r="R6" i="49"/>
  <c r="R6" i="51"/>
  <c r="R6" i="50"/>
  <c r="R6" i="42"/>
  <c r="R6" i="41"/>
  <c r="R6" i="44"/>
  <c r="R6" i="43"/>
  <c r="R6" i="37"/>
  <c r="R6" i="40"/>
  <c r="R6" i="38"/>
  <c r="R6" i="33"/>
  <c r="R6" i="32"/>
  <c r="R6" i="39"/>
  <c r="R6" i="34"/>
  <c r="R6" i="35"/>
  <c r="R6" i="30"/>
  <c r="R6" i="29"/>
  <c r="R6" i="76"/>
  <c r="R6" i="31"/>
  <c r="R6" i="77"/>
  <c r="R6" i="18"/>
  <c r="R6" i="27"/>
  <c r="R6" i="21"/>
  <c r="R6" i="20"/>
  <c r="R6" i="19"/>
  <c r="R6" i="17"/>
  <c r="R6" i="2"/>
  <c r="R6" i="22"/>
  <c r="R6" i="23"/>
  <c r="Q3" i="74"/>
  <c r="Q3" i="72"/>
  <c r="Q3" i="73"/>
  <c r="Q3" i="71"/>
  <c r="G23" i="48"/>
  <c r="M23" i="48" s="1"/>
  <c r="H23" i="48" s="1"/>
  <c r="T11" i="74"/>
  <c r="U11" i="74" s="1"/>
  <c r="T11" i="73"/>
  <c r="U11" i="73" s="1"/>
  <c r="T11" i="72"/>
  <c r="U11" i="72" s="1"/>
  <c r="T11" i="71"/>
  <c r="U11" i="71" s="1"/>
  <c r="T11" i="69"/>
  <c r="U11" i="69" s="1"/>
  <c r="T11" i="70"/>
  <c r="U11" i="70" s="1"/>
  <c r="T11" i="53"/>
  <c r="U11" i="53" s="1"/>
  <c r="T11" i="52"/>
  <c r="U11" i="52" s="1"/>
  <c r="T11" i="54"/>
  <c r="U11" i="54" s="1"/>
  <c r="T11" i="51"/>
  <c r="U11" i="51" s="1"/>
  <c r="T11" i="49"/>
  <c r="U11" i="49" s="1"/>
  <c r="T11" i="50"/>
  <c r="U11" i="50" s="1"/>
  <c r="T11" i="43"/>
  <c r="U11" i="43" s="1"/>
  <c r="T11" i="42"/>
  <c r="U11" i="42" s="1"/>
  <c r="T11" i="41"/>
  <c r="U11" i="41" s="1"/>
  <c r="T11" i="44"/>
  <c r="U11" i="44" s="1"/>
  <c r="T11" i="39"/>
  <c r="U11" i="39" s="1"/>
  <c r="T11" i="38"/>
  <c r="U11" i="38" s="1"/>
  <c r="T11" i="37"/>
  <c r="U11" i="37" s="1"/>
  <c r="T11" i="33"/>
  <c r="U11" i="33" s="1"/>
  <c r="T11" i="34"/>
  <c r="U11" i="34" s="1"/>
  <c r="T11" i="35"/>
  <c r="U11" i="35" s="1"/>
  <c r="T11" i="40"/>
  <c r="U11" i="40" s="1"/>
  <c r="T11" i="32"/>
  <c r="U11" i="32" s="1"/>
  <c r="T11" i="29"/>
  <c r="U11" i="29" s="1"/>
  <c r="T11" i="27"/>
  <c r="U11" i="27" s="1"/>
  <c r="T11" i="76"/>
  <c r="U11" i="76" s="1"/>
  <c r="T11" i="21"/>
  <c r="U11" i="21" s="1"/>
  <c r="T11" i="19"/>
  <c r="U11" i="19" s="1"/>
  <c r="T11" i="77"/>
  <c r="U11" i="77" s="1"/>
  <c r="T11" i="31"/>
  <c r="U11" i="31" s="1"/>
  <c r="T11" i="30"/>
  <c r="U11" i="30" s="1"/>
  <c r="T11" i="20"/>
  <c r="U11" i="20" s="1"/>
  <c r="T11" i="18"/>
  <c r="U11" i="18" s="1"/>
  <c r="T11" i="17"/>
  <c r="U11" i="17" s="1"/>
  <c r="T11" i="2"/>
  <c r="U11" i="2" s="1"/>
  <c r="T11" i="23"/>
  <c r="U11" i="23" s="1"/>
  <c r="T11" i="22"/>
  <c r="U11" i="22" s="1"/>
  <c r="Q71" i="74"/>
  <c r="Q71" i="73"/>
  <c r="Q71" i="71"/>
  <c r="Q71" i="72"/>
  <c r="Q71" i="69"/>
  <c r="Q73" i="54"/>
  <c r="Q71" i="70"/>
  <c r="Q71" i="53"/>
  <c r="Q71" i="52"/>
  <c r="Q71" i="50"/>
  <c r="Q67" i="51"/>
  <c r="Q71" i="49"/>
  <c r="Q71" i="43"/>
  <c r="Q71" i="41"/>
  <c r="Q71" i="42"/>
  <c r="Q42" i="39"/>
  <c r="Q42" i="34"/>
  <c r="Q42" i="32"/>
  <c r="Q42" i="38"/>
  <c r="Q42" i="37"/>
  <c r="Q42" i="33"/>
  <c r="Q71" i="77"/>
  <c r="Q71" i="76"/>
  <c r="Q71" i="20"/>
  <c r="Q71" i="31"/>
  <c r="Q71" i="29"/>
  <c r="Q71" i="21"/>
  <c r="Q71" i="19"/>
  <c r="Q71" i="18"/>
  <c r="Q71" i="27"/>
  <c r="Q71" i="30"/>
  <c r="Q71" i="17"/>
  <c r="Q71" i="2"/>
  <c r="T28" i="35"/>
  <c r="U28" i="35" s="1"/>
  <c r="T28" i="34"/>
  <c r="U28" i="34" s="1"/>
  <c r="T28" i="33"/>
  <c r="U28" i="33" s="1"/>
  <c r="T28" i="32"/>
  <c r="U28" i="32" s="1"/>
  <c r="Q9" i="26"/>
  <c r="Q9" i="25"/>
  <c r="G28" i="48"/>
  <c r="M28" i="48" s="1"/>
  <c r="H28" i="48" s="1"/>
  <c r="T7" i="25"/>
  <c r="U7" i="25" s="1"/>
  <c r="T7" i="26"/>
  <c r="U7" i="26" s="1"/>
  <c r="D27" i="48"/>
  <c r="R6" i="26"/>
  <c r="R6" i="25"/>
  <c r="C24" i="48"/>
  <c r="Q3" i="26"/>
  <c r="Q3" i="25"/>
  <c r="C28" i="48"/>
  <c r="Q7" i="26"/>
  <c r="Q7" i="25"/>
  <c r="D24" i="48"/>
  <c r="R3" i="26"/>
  <c r="R3" i="25"/>
  <c r="B27" i="48"/>
  <c r="P6" i="26"/>
  <c r="P6" i="25"/>
  <c r="G34" i="48"/>
  <c r="M34" i="48" s="1"/>
  <c r="H34" i="48" s="1"/>
  <c r="T13" i="74"/>
  <c r="U13" i="74" s="1"/>
  <c r="T13" i="73"/>
  <c r="U13" i="73" s="1"/>
  <c r="T13" i="72"/>
  <c r="U13" i="72" s="1"/>
  <c r="T13" i="71"/>
  <c r="U13" i="71" s="1"/>
  <c r="T13" i="70"/>
  <c r="U13" i="70" s="1"/>
  <c r="T13" i="69"/>
  <c r="U13" i="69" s="1"/>
  <c r="T13" i="53"/>
  <c r="U13" i="53" s="1"/>
  <c r="T13" i="52"/>
  <c r="U13" i="52" s="1"/>
  <c r="T13" i="54"/>
  <c r="U13" i="54" s="1"/>
  <c r="T13" i="51"/>
  <c r="U13" i="51" s="1"/>
  <c r="T13" i="49"/>
  <c r="U13" i="49" s="1"/>
  <c r="T13" i="50"/>
  <c r="U13" i="50" s="1"/>
  <c r="T13" i="44"/>
  <c r="U13" i="44" s="1"/>
  <c r="T13" i="37"/>
  <c r="U13" i="37" s="1"/>
  <c r="T13" i="34"/>
  <c r="U13" i="34" s="1"/>
  <c r="T13" i="32"/>
  <c r="U13" i="32" s="1"/>
  <c r="T13" i="35"/>
  <c r="U13" i="35" s="1"/>
  <c r="T13" i="38"/>
  <c r="U13" i="38" s="1"/>
  <c r="T13" i="40"/>
  <c r="U13" i="40" s="1"/>
  <c r="T13" i="39"/>
  <c r="U13" i="39" s="1"/>
  <c r="T13" i="33"/>
  <c r="U13" i="33" s="1"/>
  <c r="T13" i="76"/>
  <c r="U13" i="76" s="1"/>
  <c r="T13" i="21"/>
  <c r="U13" i="21" s="1"/>
  <c r="T13" i="31"/>
  <c r="U13" i="31" s="1"/>
  <c r="T13" i="77"/>
  <c r="U13" i="77" s="1"/>
  <c r="T13" i="20"/>
  <c r="U13" i="20" s="1"/>
  <c r="T13" i="30"/>
  <c r="U13" i="30" s="1"/>
  <c r="T13" i="18"/>
  <c r="U13" i="18" s="1"/>
  <c r="T13" i="19"/>
  <c r="U13" i="19" s="1"/>
  <c r="T13" i="17"/>
  <c r="U13" i="17" s="1"/>
  <c r="T13" i="27"/>
  <c r="U13" i="27" s="1"/>
  <c r="T13" i="29"/>
  <c r="U13" i="29" s="1"/>
  <c r="T13" i="2"/>
  <c r="U13" i="2" s="1"/>
  <c r="T13" i="26"/>
  <c r="U13" i="26" s="1"/>
  <c r="T13" i="24"/>
  <c r="U13" i="24" s="1"/>
  <c r="T13" i="23"/>
  <c r="U13" i="23" s="1"/>
  <c r="T13" i="25"/>
  <c r="U13" i="25" s="1"/>
  <c r="T13" i="22"/>
  <c r="U13" i="22" s="1"/>
  <c r="T31" i="73"/>
  <c r="U31" i="73" s="1"/>
  <c r="T31" i="74"/>
  <c r="U31" i="74" s="1"/>
  <c r="T31" i="72"/>
  <c r="U31" i="72" s="1"/>
  <c r="T31" i="71"/>
  <c r="U31" i="71" s="1"/>
  <c r="T31" i="69"/>
  <c r="U31" i="69" s="1"/>
  <c r="T31" i="70"/>
  <c r="U31" i="70" s="1"/>
  <c r="T31" i="53"/>
  <c r="U31" i="53" s="1"/>
  <c r="T31" i="52"/>
  <c r="U31" i="52" s="1"/>
  <c r="T31" i="50"/>
  <c r="U31" i="50" s="1"/>
  <c r="T31" i="49"/>
  <c r="U31" i="49" s="1"/>
  <c r="T31" i="43"/>
  <c r="U31" i="43" s="1"/>
  <c r="T31" i="41"/>
  <c r="U31" i="41" s="1"/>
  <c r="T31" i="42"/>
  <c r="U31" i="42" s="1"/>
  <c r="T31" i="44"/>
  <c r="U31" i="44" s="1"/>
  <c r="T31" i="29"/>
  <c r="U31" i="29" s="1"/>
  <c r="T31" i="27"/>
  <c r="U31" i="27" s="1"/>
  <c r="T31" i="21"/>
  <c r="U31" i="21" s="1"/>
  <c r="T31" i="20"/>
  <c r="U31" i="20" s="1"/>
  <c r="T31" i="18"/>
  <c r="U31" i="18" s="1"/>
  <c r="T31" i="2"/>
  <c r="U31" i="2" s="1"/>
  <c r="T31" i="77"/>
  <c r="U31" i="77" s="1"/>
  <c r="T31" i="19"/>
  <c r="U31" i="19" s="1"/>
  <c r="T31" i="31"/>
  <c r="U31" i="31" s="1"/>
  <c r="T31" i="30"/>
  <c r="U31" i="30" s="1"/>
  <c r="T31" i="76"/>
  <c r="U31" i="76" s="1"/>
  <c r="T31" i="17"/>
  <c r="U31" i="17" s="1"/>
  <c r="T31" i="26"/>
  <c r="U31" i="26" s="1"/>
  <c r="T31" i="23"/>
  <c r="U31" i="23" s="1"/>
  <c r="T31" i="25"/>
  <c r="U31" i="25" s="1"/>
  <c r="T31" i="22"/>
  <c r="U31" i="22" s="1"/>
  <c r="T31" i="24"/>
  <c r="U31" i="24" s="1"/>
  <c r="T15" i="74"/>
  <c r="U15" i="74" s="1"/>
  <c r="T15" i="73"/>
  <c r="U15" i="73" s="1"/>
  <c r="T15" i="72"/>
  <c r="U15" i="72" s="1"/>
  <c r="T15" i="71"/>
  <c r="U15" i="71" s="1"/>
  <c r="T15" i="70"/>
  <c r="U15" i="70" s="1"/>
  <c r="T15" i="51"/>
  <c r="U15" i="51" s="1"/>
  <c r="T15" i="69"/>
  <c r="U15" i="69" s="1"/>
  <c r="T15" i="53"/>
  <c r="U15" i="53" s="1"/>
  <c r="T15" i="52"/>
  <c r="U15" i="52" s="1"/>
  <c r="T15" i="50"/>
  <c r="U15" i="50" s="1"/>
  <c r="T15" i="54"/>
  <c r="U15" i="54" s="1"/>
  <c r="T15" i="49"/>
  <c r="U15" i="49" s="1"/>
  <c r="T15" i="41"/>
  <c r="U15" i="41" s="1"/>
  <c r="T15" i="42"/>
  <c r="U15" i="42" s="1"/>
  <c r="T15" i="44"/>
  <c r="U15" i="44" s="1"/>
  <c r="T15" i="43"/>
  <c r="U15" i="43" s="1"/>
  <c r="T15" i="33"/>
  <c r="U15" i="33" s="1"/>
  <c r="T15" i="32"/>
  <c r="U15" i="32" s="1"/>
  <c r="T15" i="39"/>
  <c r="U15" i="39" s="1"/>
  <c r="T15" i="37"/>
  <c r="U15" i="37" s="1"/>
  <c r="T15" i="34"/>
  <c r="U15" i="34" s="1"/>
  <c r="T15" i="38"/>
  <c r="U15" i="38" s="1"/>
  <c r="T15" i="40"/>
  <c r="U15" i="40" s="1"/>
  <c r="T15" i="35"/>
  <c r="U15" i="35" s="1"/>
  <c r="T15" i="30"/>
  <c r="U15" i="30" s="1"/>
  <c r="T15" i="27"/>
  <c r="U15" i="27" s="1"/>
  <c r="T15" i="21"/>
  <c r="U15" i="21" s="1"/>
  <c r="T15" i="29"/>
  <c r="U15" i="29" s="1"/>
  <c r="T15" i="20"/>
  <c r="U15" i="20" s="1"/>
  <c r="T15" i="17"/>
  <c r="U15" i="17" s="1"/>
  <c r="T15" i="2"/>
  <c r="U15" i="2" s="1"/>
  <c r="T15" i="19"/>
  <c r="U15" i="19" s="1"/>
  <c r="T15" i="77"/>
  <c r="U15" i="77" s="1"/>
  <c r="T15" i="31"/>
  <c r="U15" i="31" s="1"/>
  <c r="T15" i="76"/>
  <c r="U15" i="76" s="1"/>
  <c r="T15" i="18"/>
  <c r="U15" i="18" s="1"/>
  <c r="T15" i="26"/>
  <c r="U15" i="26" s="1"/>
  <c r="T15" i="24"/>
  <c r="U15" i="24" s="1"/>
  <c r="T15" i="23"/>
  <c r="U15" i="23" s="1"/>
  <c r="T15" i="25"/>
  <c r="U15" i="25" s="1"/>
  <c r="T15" i="22"/>
  <c r="U15" i="22" s="1"/>
  <c r="G40" i="48"/>
  <c r="M40" i="48" s="1"/>
  <c r="H40" i="48" s="1"/>
  <c r="T19" i="74"/>
  <c r="U19" i="74" s="1"/>
  <c r="T19" i="73"/>
  <c r="U19" i="73" s="1"/>
  <c r="T19" i="72"/>
  <c r="U19" i="72" s="1"/>
  <c r="T19" i="71"/>
  <c r="U19" i="71" s="1"/>
  <c r="T19" i="69"/>
  <c r="U19" i="69" s="1"/>
  <c r="T19" i="70"/>
  <c r="U19" i="70" s="1"/>
  <c r="T19" i="53"/>
  <c r="U19" i="53" s="1"/>
  <c r="T19" i="51"/>
  <c r="U19" i="51" s="1"/>
  <c r="T19" i="52"/>
  <c r="U19" i="52" s="1"/>
  <c r="T19" i="50"/>
  <c r="U19" i="50" s="1"/>
  <c r="T19" i="54"/>
  <c r="U19" i="54" s="1"/>
  <c r="T19" i="49"/>
  <c r="U19" i="49" s="1"/>
  <c r="T19" i="41"/>
  <c r="U19" i="41" s="1"/>
  <c r="T19" i="43"/>
  <c r="U19" i="43" s="1"/>
  <c r="T19" i="42"/>
  <c r="U19" i="42" s="1"/>
  <c r="T19" i="44"/>
  <c r="U19" i="44" s="1"/>
  <c r="T19" i="37"/>
  <c r="U19" i="37" s="1"/>
  <c r="T19" i="34"/>
  <c r="U19" i="34" s="1"/>
  <c r="T19" i="32"/>
  <c r="U19" i="32" s="1"/>
  <c r="T19" i="39"/>
  <c r="U19" i="39" s="1"/>
  <c r="T19" i="38"/>
  <c r="U19" i="38" s="1"/>
  <c r="T19" i="40"/>
  <c r="U19" i="40" s="1"/>
  <c r="T19" i="33"/>
  <c r="U19" i="33" s="1"/>
  <c r="T19" i="35"/>
  <c r="U19" i="35" s="1"/>
  <c r="T19" i="29"/>
  <c r="U19" i="29" s="1"/>
  <c r="T19" i="27"/>
  <c r="U19" i="27" s="1"/>
  <c r="T19" i="20"/>
  <c r="U19" i="20" s="1"/>
  <c r="T19" i="18"/>
  <c r="U19" i="18" s="1"/>
  <c r="T19" i="2"/>
  <c r="U19" i="2" s="1"/>
  <c r="T19" i="17"/>
  <c r="U19" i="17" s="1"/>
  <c r="T19" i="77"/>
  <c r="U19" i="77" s="1"/>
  <c r="T19" i="19"/>
  <c r="U19" i="19" s="1"/>
  <c r="T19" i="31"/>
  <c r="U19" i="31" s="1"/>
  <c r="T19" i="30"/>
  <c r="U19" i="30" s="1"/>
  <c r="T19" i="76"/>
  <c r="U19" i="76" s="1"/>
  <c r="T19" i="21"/>
  <c r="U19" i="21" s="1"/>
  <c r="T19" i="26"/>
  <c r="U19" i="26" s="1"/>
  <c r="T19" i="23"/>
  <c r="U19" i="23" s="1"/>
  <c r="T19" i="25"/>
  <c r="U19" i="25" s="1"/>
  <c r="T19" i="24"/>
  <c r="U19" i="24" s="1"/>
  <c r="T19" i="22"/>
  <c r="U19" i="22" s="1"/>
  <c r="P81" i="69"/>
  <c r="P81" i="70"/>
  <c r="P81" i="52"/>
  <c r="P81" i="49"/>
  <c r="P81" i="41"/>
  <c r="P81" i="19"/>
  <c r="P81" i="2"/>
  <c r="C74" i="48"/>
  <c r="Q60" i="73"/>
  <c r="Q60" i="74"/>
  <c r="Q60" i="72"/>
  <c r="Q60" i="71"/>
  <c r="Q60" i="70"/>
  <c r="Q60" i="69"/>
  <c r="Q60" i="30"/>
  <c r="Q60" i="77"/>
  <c r="Q60" i="21"/>
  <c r="Q60" i="31"/>
  <c r="Q60" i="19"/>
  <c r="Q60" i="20"/>
  <c r="Q60" i="26"/>
  <c r="Q60" i="23"/>
  <c r="T8" i="26"/>
  <c r="U8" i="26" s="1"/>
  <c r="T8" i="25"/>
  <c r="U8" i="25" s="1"/>
  <c r="G57" i="48"/>
  <c r="M57" i="48" s="1"/>
  <c r="H57" i="48" s="1"/>
  <c r="T36" i="74"/>
  <c r="U36" i="74" s="1"/>
  <c r="T36" i="73"/>
  <c r="U36" i="73" s="1"/>
  <c r="T36" i="72"/>
  <c r="U36" i="72" s="1"/>
  <c r="T36" i="71"/>
  <c r="U36" i="71" s="1"/>
  <c r="T36" i="70"/>
  <c r="U36" i="70" s="1"/>
  <c r="T36" i="69"/>
  <c r="U36" i="69" s="1"/>
  <c r="T32" i="51"/>
  <c r="U32" i="51" s="1"/>
  <c r="T36" i="52"/>
  <c r="U36" i="52" s="1"/>
  <c r="T36" i="49"/>
  <c r="U36" i="49" s="1"/>
  <c r="T36" i="50"/>
  <c r="U36" i="50" s="1"/>
  <c r="T36" i="53"/>
  <c r="U36" i="53" s="1"/>
  <c r="T36" i="44"/>
  <c r="U36" i="44" s="1"/>
  <c r="T36" i="41"/>
  <c r="U36" i="41" s="1"/>
  <c r="T36" i="42"/>
  <c r="U36" i="42" s="1"/>
  <c r="T36" i="43"/>
  <c r="U36" i="43" s="1"/>
  <c r="T36" i="27"/>
  <c r="U36" i="27" s="1"/>
  <c r="T36" i="20"/>
  <c r="U36" i="20" s="1"/>
  <c r="T36" i="29"/>
  <c r="U36" i="29" s="1"/>
  <c r="T36" i="76"/>
  <c r="U36" i="76" s="1"/>
  <c r="T36" i="19"/>
  <c r="U36" i="19" s="1"/>
  <c r="T36" i="77"/>
  <c r="U36" i="77" s="1"/>
  <c r="T36" i="18"/>
  <c r="U36" i="18" s="1"/>
  <c r="T36" i="2"/>
  <c r="U36" i="2" s="1"/>
  <c r="T36" i="31"/>
  <c r="U36" i="31" s="1"/>
  <c r="T36" i="21"/>
  <c r="U36" i="21" s="1"/>
  <c r="T36" i="30"/>
  <c r="U36" i="30" s="1"/>
  <c r="T36" i="17"/>
  <c r="U36" i="17" s="1"/>
  <c r="T36" i="26"/>
  <c r="U36" i="26" s="1"/>
  <c r="T36" i="24"/>
  <c r="U36" i="24" s="1"/>
  <c r="T36" i="22"/>
  <c r="U36" i="22" s="1"/>
  <c r="T36" i="25"/>
  <c r="U36" i="25" s="1"/>
  <c r="T36" i="23"/>
  <c r="U36" i="23" s="1"/>
  <c r="B81" i="48"/>
  <c r="P65" i="74"/>
  <c r="P65" i="73"/>
  <c r="P65" i="72"/>
  <c r="P65" i="71"/>
  <c r="P65" i="69"/>
  <c r="P65" i="70"/>
  <c r="P67" i="54"/>
  <c r="P61" i="51"/>
  <c r="P65" i="53"/>
  <c r="P65" i="52"/>
  <c r="P65" i="50"/>
  <c r="P65" i="49"/>
  <c r="P65" i="41"/>
  <c r="P65" i="43"/>
  <c r="P65" i="42"/>
  <c r="P65" i="27"/>
  <c r="P65" i="30"/>
  <c r="P65" i="77"/>
  <c r="P65" i="76"/>
  <c r="P65" i="21"/>
  <c r="P65" i="20"/>
  <c r="P65" i="19"/>
  <c r="P65" i="18"/>
  <c r="P65" i="2"/>
  <c r="P65" i="29"/>
  <c r="P65" i="31"/>
  <c r="P65" i="17"/>
  <c r="D85" i="48"/>
  <c r="R69" i="73"/>
  <c r="R69" i="74"/>
  <c r="R69" i="72"/>
  <c r="R69" i="71"/>
  <c r="R69" i="70"/>
  <c r="R69" i="69"/>
  <c r="R71" i="54"/>
  <c r="R69" i="50"/>
  <c r="R65" i="51"/>
  <c r="R69" i="53"/>
  <c r="R69" i="49"/>
  <c r="R69" i="52"/>
  <c r="R69" i="43"/>
  <c r="R69" i="41"/>
  <c r="R69" i="42"/>
  <c r="R69" i="31"/>
  <c r="R69" i="29"/>
  <c r="R69" i="21"/>
  <c r="R69" i="19"/>
  <c r="R69" i="18"/>
  <c r="R69" i="27"/>
  <c r="R69" i="2"/>
  <c r="R69" i="30"/>
  <c r="R69" i="77"/>
  <c r="R69" i="17"/>
  <c r="R69" i="20"/>
  <c r="R69" i="76"/>
  <c r="G81" i="48"/>
  <c r="M81" i="48" s="1"/>
  <c r="H81" i="48" s="1"/>
  <c r="T65" i="74"/>
  <c r="U65" i="74" s="1"/>
  <c r="T65" i="73"/>
  <c r="U65" i="73" s="1"/>
  <c r="T65" i="72"/>
  <c r="U65" i="72" s="1"/>
  <c r="T65" i="71"/>
  <c r="U65" i="71" s="1"/>
  <c r="T65" i="70"/>
  <c r="U65" i="70" s="1"/>
  <c r="T67" i="54"/>
  <c r="U67" i="54" s="1"/>
  <c r="T65" i="69"/>
  <c r="U65" i="69" s="1"/>
  <c r="T61" i="51"/>
  <c r="U61" i="51" s="1"/>
  <c r="T65" i="53"/>
  <c r="U65" i="53" s="1"/>
  <c r="T65" i="52"/>
  <c r="U65" i="52" s="1"/>
  <c r="T65" i="49"/>
  <c r="U65" i="49" s="1"/>
  <c r="T65" i="50"/>
  <c r="U65" i="50" s="1"/>
  <c r="T65" i="43"/>
  <c r="U65" i="43" s="1"/>
  <c r="T65" i="41"/>
  <c r="U65" i="41" s="1"/>
  <c r="T65" i="42"/>
  <c r="U65" i="42" s="1"/>
  <c r="T65" i="27"/>
  <c r="U65" i="27" s="1"/>
  <c r="T65" i="21"/>
  <c r="U65" i="21" s="1"/>
  <c r="T65" i="31"/>
  <c r="U65" i="31" s="1"/>
  <c r="T65" i="77"/>
  <c r="U65" i="77" s="1"/>
  <c r="T65" i="17"/>
  <c r="U65" i="17" s="1"/>
  <c r="T65" i="2"/>
  <c r="U65" i="2" s="1"/>
  <c r="T65" i="29"/>
  <c r="U65" i="29" s="1"/>
  <c r="T65" i="20"/>
  <c r="U65" i="20" s="1"/>
  <c r="T65" i="19"/>
  <c r="U65" i="19" s="1"/>
  <c r="T65" i="76"/>
  <c r="U65" i="76" s="1"/>
  <c r="T65" i="30"/>
  <c r="U65" i="30" s="1"/>
  <c r="T65" i="18"/>
  <c r="U65" i="18" s="1"/>
  <c r="D83" i="48"/>
  <c r="R67" i="73"/>
  <c r="R67" i="74"/>
  <c r="R67" i="71"/>
  <c r="R67" i="72"/>
  <c r="R67" i="70"/>
  <c r="R69" i="54"/>
  <c r="R67" i="69"/>
  <c r="R67" i="50"/>
  <c r="R63" i="51"/>
  <c r="R67" i="52"/>
  <c r="R67" i="49"/>
  <c r="R67" i="53"/>
  <c r="R67" i="42"/>
  <c r="R67" i="43"/>
  <c r="R67" i="41"/>
  <c r="R67" i="31"/>
  <c r="R67" i="29"/>
  <c r="R67" i="19"/>
  <c r="R67" i="18"/>
  <c r="R67" i="27"/>
  <c r="R67" i="2"/>
  <c r="R67" i="77"/>
  <c r="R67" i="21"/>
  <c r="R67" i="17"/>
  <c r="R67" i="20"/>
  <c r="R67" i="30"/>
  <c r="R67" i="76"/>
  <c r="C83" i="48"/>
  <c r="Q67" i="74"/>
  <c r="Q67" i="73"/>
  <c r="Q67" i="72"/>
  <c r="Q67" i="71"/>
  <c r="Q67" i="69"/>
  <c r="Q69" i="54"/>
  <c r="Q67" i="53"/>
  <c r="Q67" i="52"/>
  <c r="Q67" i="50"/>
  <c r="Q67" i="70"/>
  <c r="Q67" i="49"/>
  <c r="Q63" i="51"/>
  <c r="Q67" i="42"/>
  <c r="Q67" i="43"/>
  <c r="Q67" i="41"/>
  <c r="Q67" i="77"/>
  <c r="Q67" i="76"/>
  <c r="Q67" i="20"/>
  <c r="Q67" i="31"/>
  <c r="Q67" i="29"/>
  <c r="Q67" i="30"/>
  <c r="Q67" i="19"/>
  <c r="Q67" i="27"/>
  <c r="Q67" i="21"/>
  <c r="Q67" i="18"/>
  <c r="Q67" i="17"/>
  <c r="Q67" i="2"/>
  <c r="C80" i="48"/>
  <c r="Q64" i="74"/>
  <c r="Q64" i="73"/>
  <c r="Q64" i="72"/>
  <c r="Q64" i="71"/>
  <c r="Q64" i="70"/>
  <c r="Q66" i="54"/>
  <c r="Q64" i="53"/>
  <c r="Q64" i="52"/>
  <c r="Q64" i="69"/>
  <c r="Q64" i="50"/>
  <c r="Q60" i="51"/>
  <c r="Q64" i="49"/>
  <c r="Q64" i="43"/>
  <c r="Q64" i="41"/>
  <c r="Q64" i="42"/>
  <c r="Q64" i="30"/>
  <c r="Q64" i="77"/>
  <c r="Q64" i="76"/>
  <c r="Q64" i="21"/>
  <c r="Q64" i="20"/>
  <c r="Q64" i="29"/>
  <c r="Q64" i="31"/>
  <c r="Q64" i="27"/>
  <c r="Q64" i="19"/>
  <c r="Q64" i="2"/>
  <c r="Q64" i="17"/>
  <c r="Q64" i="18"/>
  <c r="B83" i="48"/>
  <c r="P67" i="74"/>
  <c r="P67" i="73"/>
  <c r="P67" i="72"/>
  <c r="P67" i="71"/>
  <c r="P67" i="70"/>
  <c r="P67" i="69"/>
  <c r="P63" i="51"/>
  <c r="P67" i="53"/>
  <c r="P67" i="52"/>
  <c r="P69" i="54"/>
  <c r="P67" i="50"/>
  <c r="P67" i="49"/>
  <c r="P67" i="43"/>
  <c r="P67" i="41"/>
  <c r="P67" i="42"/>
  <c r="P67" i="30"/>
  <c r="P67" i="27"/>
  <c r="P67" i="21"/>
  <c r="P67" i="77"/>
  <c r="P67" i="76"/>
  <c r="P67" i="20"/>
  <c r="P67" i="18"/>
  <c r="P67" i="31"/>
  <c r="P67" i="19"/>
  <c r="P67" i="29"/>
  <c r="P67" i="17"/>
  <c r="P67" i="2"/>
  <c r="D79" i="48"/>
  <c r="R63" i="74"/>
  <c r="R63" i="73"/>
  <c r="R63" i="71"/>
  <c r="R63" i="72"/>
  <c r="R63" i="70"/>
  <c r="R65" i="54"/>
  <c r="R63" i="69"/>
  <c r="R63" i="50"/>
  <c r="R59" i="51"/>
  <c r="R63" i="52"/>
  <c r="R63" i="49"/>
  <c r="R63" i="53"/>
  <c r="R63" i="43"/>
  <c r="R63" i="41"/>
  <c r="R63" i="42"/>
  <c r="R63" i="29"/>
  <c r="R63" i="19"/>
  <c r="R63" i="18"/>
  <c r="R63" i="30"/>
  <c r="R63" i="27"/>
  <c r="R63" i="2"/>
  <c r="R63" i="77"/>
  <c r="R63" i="17"/>
  <c r="R63" i="21"/>
  <c r="R63" i="20"/>
  <c r="R63" i="31"/>
  <c r="R63" i="76"/>
  <c r="G83" i="48"/>
  <c r="M83" i="48" s="1"/>
  <c r="H83" i="48" s="1"/>
  <c r="T67" i="74"/>
  <c r="U67" i="74" s="1"/>
  <c r="T67" i="73"/>
  <c r="U67" i="73" s="1"/>
  <c r="T67" i="72"/>
  <c r="U67" i="72" s="1"/>
  <c r="T67" i="71"/>
  <c r="U67" i="71" s="1"/>
  <c r="T67" i="69"/>
  <c r="U67" i="69" s="1"/>
  <c r="T69" i="54"/>
  <c r="U69" i="54" s="1"/>
  <c r="T67" i="70"/>
  <c r="U67" i="70" s="1"/>
  <c r="T63" i="51"/>
  <c r="U63" i="51" s="1"/>
  <c r="T67" i="53"/>
  <c r="U67" i="53" s="1"/>
  <c r="T67" i="52"/>
  <c r="U67" i="52" s="1"/>
  <c r="T67" i="49"/>
  <c r="U67" i="49" s="1"/>
  <c r="T67" i="50"/>
  <c r="U67" i="50" s="1"/>
  <c r="T67" i="43"/>
  <c r="U67" i="43" s="1"/>
  <c r="T67" i="41"/>
  <c r="U67" i="41" s="1"/>
  <c r="T67" i="42"/>
  <c r="U67" i="42" s="1"/>
  <c r="T67" i="21"/>
  <c r="U67" i="21" s="1"/>
  <c r="T67" i="19"/>
  <c r="U67" i="19" s="1"/>
  <c r="T67" i="30"/>
  <c r="U67" i="30" s="1"/>
  <c r="T67" i="27"/>
  <c r="U67" i="27" s="1"/>
  <c r="T67" i="31"/>
  <c r="U67" i="31" s="1"/>
  <c r="T67" i="77"/>
  <c r="U67" i="77" s="1"/>
  <c r="T67" i="17"/>
  <c r="U67" i="17" s="1"/>
  <c r="T67" i="76"/>
  <c r="U67" i="76" s="1"/>
  <c r="T67" i="29"/>
  <c r="U67" i="29" s="1"/>
  <c r="T67" i="20"/>
  <c r="U67" i="20" s="1"/>
  <c r="T67" i="18"/>
  <c r="U67" i="18" s="1"/>
  <c r="T67" i="2"/>
  <c r="U67" i="2" s="1"/>
  <c r="D95" i="48"/>
  <c r="R82" i="70"/>
  <c r="R82" i="69"/>
  <c r="R82" i="49"/>
  <c r="R82" i="52"/>
  <c r="R82" i="41"/>
  <c r="R53" i="32"/>
  <c r="R53" i="37"/>
  <c r="R82" i="19"/>
  <c r="R82" i="2"/>
  <c r="B89" i="48"/>
  <c r="P76" i="69"/>
  <c r="P76" i="70"/>
  <c r="P76" i="52"/>
  <c r="P76" i="49"/>
  <c r="P76" i="41"/>
  <c r="P76" i="2"/>
  <c r="P76" i="19"/>
  <c r="D96" i="48"/>
  <c r="R83" i="69"/>
  <c r="R83" i="70"/>
  <c r="R83" i="49"/>
  <c r="R83" i="52"/>
  <c r="R83" i="41"/>
  <c r="R54" i="32"/>
  <c r="R54" i="37"/>
  <c r="R83" i="19"/>
  <c r="R83" i="2"/>
  <c r="C88" i="48"/>
  <c r="Q75" i="69"/>
  <c r="Q75" i="70"/>
  <c r="Q75" i="52"/>
  <c r="Q75" i="49"/>
  <c r="Q75" i="41"/>
  <c r="Q75" i="19"/>
  <c r="Q75" i="2"/>
  <c r="G91" i="48"/>
  <c r="M91" i="48" s="1"/>
  <c r="H91" i="48" s="1"/>
  <c r="T78" i="70"/>
  <c r="U78" i="70" s="1"/>
  <c r="T78" i="69"/>
  <c r="U78" i="69" s="1"/>
  <c r="T78" i="52"/>
  <c r="U78" i="52" s="1"/>
  <c r="T78" i="49"/>
  <c r="U78" i="49" s="1"/>
  <c r="T78" i="41"/>
  <c r="U78" i="41" s="1"/>
  <c r="T78" i="19"/>
  <c r="U78" i="19" s="1"/>
  <c r="T78" i="2"/>
  <c r="U78" i="2" s="1"/>
  <c r="C96" i="48"/>
  <c r="Q83" i="52"/>
  <c r="Q83" i="69"/>
  <c r="Q83" i="70"/>
  <c r="Q83" i="49"/>
  <c r="Q83" i="41"/>
  <c r="Q54" i="32"/>
  <c r="Q54" i="37"/>
  <c r="Q83" i="19"/>
  <c r="Q83" i="2"/>
  <c r="G92" i="48"/>
  <c r="M92" i="48" s="1"/>
  <c r="H92" i="48" s="1"/>
  <c r="T79" i="70"/>
  <c r="U79" i="70" s="1"/>
  <c r="T79" i="69"/>
  <c r="U79" i="69" s="1"/>
  <c r="T79" i="52"/>
  <c r="U79" i="52" s="1"/>
  <c r="T79" i="49"/>
  <c r="U79" i="49" s="1"/>
  <c r="T79" i="41"/>
  <c r="U79" i="41" s="1"/>
  <c r="T79" i="19"/>
  <c r="U79" i="19" s="1"/>
  <c r="T79" i="2"/>
  <c r="U79" i="2" s="1"/>
  <c r="C104" i="48"/>
  <c r="Q82" i="77"/>
  <c r="Q82" i="76"/>
  <c r="C101" i="48"/>
  <c r="Q79" i="77"/>
  <c r="Q79" i="76"/>
  <c r="B98" i="48"/>
  <c r="P76" i="76"/>
  <c r="P76" i="77"/>
  <c r="C97" i="48"/>
  <c r="Q75" i="77"/>
  <c r="Q75" i="76"/>
  <c r="D103" i="48"/>
  <c r="R81" i="76"/>
  <c r="R81" i="77"/>
  <c r="B97" i="48"/>
  <c r="P75" i="77"/>
  <c r="P75" i="76"/>
  <c r="D105" i="48"/>
  <c r="R83" i="76"/>
  <c r="R83" i="77"/>
  <c r="C99" i="48"/>
  <c r="Q77" i="77"/>
  <c r="Q77" i="76"/>
  <c r="G97" i="48"/>
  <c r="M97" i="48" s="1"/>
  <c r="H97" i="48" s="1"/>
  <c r="T75" i="77"/>
  <c r="U75" i="77" s="1"/>
  <c r="T75" i="76"/>
  <c r="U75" i="76" s="1"/>
  <c r="D97" i="48"/>
  <c r="R75" i="76"/>
  <c r="R75" i="77"/>
  <c r="D106" i="48"/>
  <c r="R79" i="73"/>
  <c r="R79" i="71"/>
  <c r="R79" i="53"/>
  <c r="R79" i="50"/>
  <c r="R79" i="42"/>
  <c r="R79" i="20"/>
  <c r="R79" i="17"/>
  <c r="G106" i="48"/>
  <c r="M106" i="48" s="1"/>
  <c r="T79" i="73"/>
  <c r="U79" i="73" s="1"/>
  <c r="T79" i="71"/>
  <c r="U79" i="71" s="1"/>
  <c r="T79" i="53"/>
  <c r="U79" i="53" s="1"/>
  <c r="T79" i="50"/>
  <c r="U79" i="50" s="1"/>
  <c r="T79" i="42"/>
  <c r="U79" i="42" s="1"/>
  <c r="T79" i="20"/>
  <c r="U79" i="20" s="1"/>
  <c r="T79" i="17"/>
  <c r="U79" i="17" s="1"/>
  <c r="C115" i="48"/>
  <c r="Q83" i="27"/>
  <c r="Q83" i="30"/>
  <c r="D111" i="48"/>
  <c r="R79" i="30"/>
  <c r="R79" i="27"/>
  <c r="C106" i="48"/>
  <c r="Q79" i="73"/>
  <c r="Q79" i="71"/>
  <c r="Q79" i="53"/>
  <c r="Q79" i="50"/>
  <c r="Q79" i="42"/>
  <c r="Q79" i="20"/>
  <c r="Q79" i="17"/>
  <c r="D114" i="48"/>
  <c r="R82" i="27"/>
  <c r="R82" i="30"/>
  <c r="J238" i="75"/>
  <c r="K136" i="67"/>
  <c r="L2" i="70"/>
  <c r="B110" i="15"/>
  <c r="N10" i="26"/>
  <c r="N11" i="71"/>
  <c r="I9" i="65"/>
  <c r="N10" i="20"/>
  <c r="J9" i="55"/>
  <c r="N10" i="17"/>
  <c r="N10" i="76"/>
  <c r="J9" i="56"/>
  <c r="N11" i="37"/>
  <c r="N11" i="53"/>
  <c r="I9" i="59"/>
  <c r="N10" i="19"/>
  <c r="N11" i="69"/>
  <c r="N11" i="73"/>
  <c r="N10" i="21"/>
  <c r="N8" i="44"/>
  <c r="N8" i="33"/>
  <c r="N8" i="52"/>
  <c r="I1" i="57"/>
  <c r="N3" i="74"/>
  <c r="N3" i="70"/>
  <c r="I2" i="75"/>
  <c r="I10" i="64"/>
  <c r="I10" i="61"/>
  <c r="I10" i="59"/>
  <c r="B86" i="15"/>
  <c r="L2" i="72"/>
  <c r="CC7" i="48"/>
  <c r="N11" i="70"/>
  <c r="N11" i="32"/>
  <c r="I9" i="62"/>
  <c r="N10" i="25"/>
  <c r="N11" i="52"/>
  <c r="I9" i="66"/>
  <c r="N10" i="18"/>
  <c r="N11" i="42"/>
  <c r="J9" i="67"/>
  <c r="N10" i="31"/>
  <c r="N8" i="37"/>
  <c r="N8" i="74"/>
  <c r="N8" i="43"/>
  <c r="I1" i="58"/>
  <c r="N3" i="71"/>
  <c r="I1" i="59"/>
  <c r="K1" i="48"/>
  <c r="J10" i="67"/>
  <c r="I10" i="66"/>
  <c r="F20" i="3"/>
  <c r="B93" i="15"/>
  <c r="L2" i="43"/>
  <c r="H3" i="56"/>
  <c r="N4" i="18"/>
  <c r="E8" i="59"/>
  <c r="I7" i="69"/>
  <c r="H21" i="70"/>
  <c r="N5" i="74"/>
  <c r="C18" i="22"/>
  <c r="H21" i="71"/>
  <c r="I3" i="59"/>
  <c r="C18" i="21"/>
  <c r="C24" i="2"/>
  <c r="C19" i="55"/>
  <c r="B40" i="18"/>
  <c r="L8" i="10"/>
  <c r="N5" i="35"/>
  <c r="I3" i="57"/>
  <c r="P100" i="41"/>
  <c r="P100" i="43"/>
  <c r="P100" i="42"/>
  <c r="P100" i="76"/>
  <c r="I30" i="76" s="1"/>
  <c r="P82" i="23"/>
  <c r="I30" i="23" s="1"/>
  <c r="P82" i="26"/>
  <c r="I30" i="26" s="1"/>
  <c r="P100" i="2"/>
  <c r="I30" i="2" s="1"/>
  <c r="P100" i="17"/>
  <c r="I30" i="17" s="1"/>
  <c r="P100" i="18"/>
  <c r="P100" i="19"/>
  <c r="P100" i="20"/>
  <c r="I30" i="20" s="1"/>
  <c r="P100" i="21"/>
  <c r="I30" i="21" s="1"/>
  <c r="P100" i="27"/>
  <c r="P100" i="29"/>
  <c r="P100" i="77"/>
  <c r="P100" i="30"/>
  <c r="P100" i="31"/>
  <c r="P82" i="25"/>
  <c r="I30" i="25" s="1"/>
  <c r="P82" i="24"/>
  <c r="D36" i="30"/>
  <c r="D36" i="76"/>
  <c r="D36" i="21"/>
  <c r="D36" i="17"/>
  <c r="D36" i="31"/>
  <c r="D36" i="27"/>
  <c r="D36" i="18"/>
  <c r="D36" i="29"/>
  <c r="D36" i="19"/>
  <c r="D36" i="77"/>
  <c r="D36" i="20"/>
  <c r="D36" i="2"/>
  <c r="D36" i="23"/>
  <c r="D36" i="26"/>
  <c r="D36" i="25"/>
  <c r="D36" i="24"/>
  <c r="D36" i="22"/>
  <c r="D39" i="77"/>
  <c r="D41" i="30"/>
  <c r="D34" i="41"/>
  <c r="D35" i="77"/>
  <c r="D35" i="20"/>
  <c r="D35" i="2"/>
  <c r="D35" i="27"/>
  <c r="D35" i="29"/>
  <c r="D35" i="19"/>
  <c r="D35" i="30"/>
  <c r="D35" i="76"/>
  <c r="D35" i="21"/>
  <c r="D35" i="17"/>
  <c r="D35" i="31"/>
  <c r="D35" i="18"/>
  <c r="D35" i="23"/>
  <c r="D35" i="26"/>
  <c r="D35" i="25"/>
  <c r="D35" i="24"/>
  <c r="D35" i="22"/>
  <c r="L2" i="37"/>
  <c r="B22" i="15"/>
  <c r="N28" i="77"/>
  <c r="N28" i="21"/>
  <c r="N28" i="17"/>
  <c r="N28" i="25"/>
  <c r="N28" i="30"/>
  <c r="N28" i="23"/>
  <c r="N28" i="29"/>
  <c r="N28" i="20"/>
  <c r="N28" i="2"/>
  <c r="N28" i="76"/>
  <c r="N28" i="24"/>
  <c r="N28" i="31"/>
  <c r="N28" i="27"/>
  <c r="N28" i="19"/>
  <c r="N28" i="26"/>
  <c r="N28" i="18"/>
  <c r="N28" i="22"/>
  <c r="H111" i="31"/>
  <c r="H109" i="43"/>
  <c r="H111" i="42"/>
  <c r="H112" i="41"/>
  <c r="H111" i="30"/>
  <c r="H111" i="76"/>
  <c r="H111" i="18"/>
  <c r="H111" i="23"/>
  <c r="H112" i="26"/>
  <c r="H111" i="77"/>
  <c r="H111" i="21"/>
  <c r="H111" i="17"/>
  <c r="H112" i="25"/>
  <c r="H111" i="27"/>
  <c r="H111" i="29"/>
  <c r="H111" i="20"/>
  <c r="H111" i="2"/>
  <c r="H111" i="24"/>
  <c r="H111" i="19"/>
  <c r="H112" i="22"/>
  <c r="D104" i="31"/>
  <c r="D104" i="27"/>
  <c r="D104" i="19"/>
  <c r="D105" i="26"/>
  <c r="D102" i="43"/>
  <c r="D104" i="42"/>
  <c r="D104" i="30"/>
  <c r="D104" i="76"/>
  <c r="D104" i="18"/>
  <c r="D104" i="23"/>
  <c r="D104" i="20"/>
  <c r="D104" i="24"/>
  <c r="D105" i="41"/>
  <c r="D104" i="77"/>
  <c r="D104" i="21"/>
  <c r="D104" i="17"/>
  <c r="D105" i="25"/>
  <c r="D104" i="29"/>
  <c r="D104" i="2"/>
  <c r="D105" i="22"/>
  <c r="P98" i="43"/>
  <c r="P98" i="42"/>
  <c r="P98" i="41"/>
  <c r="P98" i="76"/>
  <c r="C31" i="76" s="1"/>
  <c r="P80" i="26"/>
  <c r="P98" i="17"/>
  <c r="P98" i="19"/>
  <c r="P98" i="21"/>
  <c r="P98" i="29"/>
  <c r="P98" i="30"/>
  <c r="P80" i="25"/>
  <c r="P80" i="23"/>
  <c r="P98" i="2"/>
  <c r="P98" i="18"/>
  <c r="P98" i="20"/>
  <c r="P98" i="27"/>
  <c r="P98" i="77"/>
  <c r="P98" i="31"/>
  <c r="P80" i="24"/>
  <c r="B21" i="70"/>
  <c r="H21" i="72"/>
  <c r="N4" i="2"/>
  <c r="N4" i="20"/>
  <c r="I3" i="64"/>
  <c r="I3" i="14"/>
  <c r="CC3" i="48"/>
  <c r="I7" i="25"/>
  <c r="H105" i="31"/>
  <c r="H105" i="27"/>
  <c r="H105" i="19"/>
  <c r="H106" i="26"/>
  <c r="H105" i="24"/>
  <c r="H103" i="43"/>
  <c r="H105" i="42"/>
  <c r="H105" i="30"/>
  <c r="H105" i="76"/>
  <c r="H105" i="18"/>
  <c r="H105" i="23"/>
  <c r="H105" i="29"/>
  <c r="H105" i="2"/>
  <c r="H106" i="41"/>
  <c r="H105" i="77"/>
  <c r="H105" i="21"/>
  <c r="H105" i="17"/>
  <c r="H106" i="25"/>
  <c r="H105" i="20"/>
  <c r="H106" i="22"/>
  <c r="D38" i="17"/>
  <c r="D38" i="30"/>
  <c r="D38" i="20"/>
  <c r="D38" i="27"/>
  <c r="D40" i="77"/>
  <c r="D42" i="30"/>
  <c r="P101" i="41"/>
  <c r="P101" i="43"/>
  <c r="P101" i="42"/>
  <c r="P101" i="76"/>
  <c r="P83" i="26"/>
  <c r="P101" i="17"/>
  <c r="C31" i="17" s="1"/>
  <c r="P101" i="19"/>
  <c r="C31" i="19" s="1"/>
  <c r="P101" i="21"/>
  <c r="P101" i="29"/>
  <c r="P101" i="30"/>
  <c r="P83" i="25"/>
  <c r="P83" i="23"/>
  <c r="P101" i="2"/>
  <c r="P101" i="18"/>
  <c r="P101" i="20"/>
  <c r="P101" i="27"/>
  <c r="P101" i="77"/>
  <c r="P101" i="31"/>
  <c r="P83" i="24"/>
  <c r="B36" i="15"/>
  <c r="B100" i="31"/>
  <c r="B100" i="77"/>
  <c r="B100" i="21"/>
  <c r="B100" i="17"/>
  <c r="B101" i="25"/>
  <c r="B100" i="29"/>
  <c r="B100" i="20"/>
  <c r="B100" i="2"/>
  <c r="B100" i="24"/>
  <c r="B100" i="30"/>
  <c r="B101" i="41"/>
  <c r="B100" i="27"/>
  <c r="B100" i="19"/>
  <c r="B101" i="26"/>
  <c r="B98" i="43"/>
  <c r="B100" i="42"/>
  <c r="B100" i="76"/>
  <c r="B100" i="18"/>
  <c r="B100" i="23"/>
  <c r="B101" i="22"/>
  <c r="P99" i="41"/>
  <c r="P99" i="43"/>
  <c r="P99" i="42"/>
  <c r="P99" i="76"/>
  <c r="P81" i="23"/>
  <c r="C31" i="23" s="1"/>
  <c r="P81" i="26"/>
  <c r="P99" i="2"/>
  <c r="P99" i="17"/>
  <c r="P99" i="18"/>
  <c r="P99" i="19"/>
  <c r="P99" i="20"/>
  <c r="P99" i="21"/>
  <c r="P99" i="27"/>
  <c r="P99" i="29"/>
  <c r="P99" i="77"/>
  <c r="P99" i="30"/>
  <c r="P99" i="31"/>
  <c r="P81" i="25"/>
  <c r="C31" i="25" s="1"/>
  <c r="P81" i="24"/>
  <c r="D34" i="22"/>
  <c r="D34" i="29"/>
  <c r="D34" i="19"/>
  <c r="D34" i="77"/>
  <c r="D34" i="20"/>
  <c r="D34" i="2"/>
  <c r="D34" i="30"/>
  <c r="D34" i="76"/>
  <c r="D34" i="21"/>
  <c r="D34" i="17"/>
  <c r="D34" i="31"/>
  <c r="D34" i="27"/>
  <c r="D34" i="18"/>
  <c r="D34" i="26"/>
  <c r="D34" i="25"/>
  <c r="D34" i="23"/>
  <c r="D34" i="24"/>
  <c r="B21" i="69"/>
  <c r="I7" i="72"/>
  <c r="N4" i="30"/>
  <c r="N5" i="41"/>
  <c r="N4" i="21"/>
  <c r="N5" i="71"/>
  <c r="I3" i="66"/>
  <c r="N113" i="42"/>
  <c r="N113" i="77"/>
  <c r="N113" i="21"/>
  <c r="N113" i="17"/>
  <c r="N114" i="25"/>
  <c r="N114" i="41"/>
  <c r="I183" i="41"/>
  <c r="N113" i="29"/>
  <c r="N113" i="20"/>
  <c r="N113" i="2"/>
  <c r="N113" i="24"/>
  <c r="N113" i="30"/>
  <c r="N113" i="76"/>
  <c r="N114" i="23"/>
  <c r="N113" i="31"/>
  <c r="N113" i="27"/>
  <c r="N113" i="19"/>
  <c r="N114" i="26"/>
  <c r="N113" i="43"/>
  <c r="N113" i="18"/>
  <c r="N114" i="22"/>
  <c r="D39" i="17"/>
  <c r="D39" i="30"/>
  <c r="D39" i="20"/>
  <c r="D39" i="27"/>
  <c r="D33" i="22"/>
  <c r="B40" i="73"/>
  <c r="B40" i="69"/>
  <c r="B40" i="74"/>
  <c r="B40" i="72"/>
  <c r="B40" i="70"/>
  <c r="B40" i="71"/>
  <c r="D33" i="41"/>
  <c r="D33" i="31"/>
  <c r="D33" i="27"/>
  <c r="D33" i="18"/>
  <c r="D33" i="30"/>
  <c r="D33" i="76"/>
  <c r="D33" i="21"/>
  <c r="D33" i="17"/>
  <c r="D33" i="29"/>
  <c r="D33" i="19"/>
  <c r="D33" i="77"/>
  <c r="D33" i="20"/>
  <c r="D33" i="2"/>
  <c r="D33" i="26"/>
  <c r="D33" i="25"/>
  <c r="D33" i="23"/>
  <c r="D33" i="24"/>
  <c r="I7" i="70"/>
  <c r="B39" i="23"/>
  <c r="J104" i="31"/>
  <c r="J102" i="43"/>
  <c r="J104" i="42"/>
  <c r="J104" i="30"/>
  <c r="J104" i="76"/>
  <c r="J104" i="18"/>
  <c r="J104" i="23"/>
  <c r="J105" i="41"/>
  <c r="J104" i="77"/>
  <c r="J104" i="21"/>
  <c r="J104" i="17"/>
  <c r="J105" i="25"/>
  <c r="J104" i="19"/>
  <c r="J104" i="29"/>
  <c r="J104" i="20"/>
  <c r="J104" i="2"/>
  <c r="J104" i="24"/>
  <c r="J104" i="27"/>
  <c r="J105" i="26"/>
  <c r="J105" i="22"/>
  <c r="D28" i="22"/>
  <c r="D28" i="29"/>
  <c r="D28" i="76"/>
  <c r="D28" i="19"/>
  <c r="D28" i="21"/>
  <c r="D28" i="31"/>
  <c r="D103" i="31"/>
  <c r="D28" i="77"/>
  <c r="D28" i="20"/>
  <c r="D28" i="30"/>
  <c r="D28" i="17"/>
  <c r="D28" i="27"/>
  <c r="D28" i="18"/>
  <c r="D28" i="2"/>
  <c r="D28" i="23"/>
  <c r="D28" i="26"/>
  <c r="D28" i="25"/>
  <c r="D103" i="29"/>
  <c r="D103" i="20"/>
  <c r="D103" i="2"/>
  <c r="D103" i="24"/>
  <c r="D104" i="41"/>
  <c r="D103" i="27"/>
  <c r="D103" i="19"/>
  <c r="D104" i="26"/>
  <c r="D101" i="43"/>
  <c r="D103" i="42"/>
  <c r="D103" i="30"/>
  <c r="D103" i="76"/>
  <c r="D103" i="18"/>
  <c r="D103" i="23"/>
  <c r="D103" i="77"/>
  <c r="D103" i="21"/>
  <c r="D103" i="17"/>
  <c r="D104" i="25"/>
  <c r="D104" i="22"/>
  <c r="D28" i="24"/>
  <c r="G105" i="31"/>
  <c r="G105" i="29"/>
  <c r="G105" i="20"/>
  <c r="G105" i="2"/>
  <c r="G105" i="24"/>
  <c r="G105" i="27"/>
  <c r="G105" i="19"/>
  <c r="G106" i="26"/>
  <c r="G105" i="21"/>
  <c r="G105" i="17"/>
  <c r="G106" i="25"/>
  <c r="G103" i="43"/>
  <c r="G105" i="42"/>
  <c r="G105" i="30"/>
  <c r="G105" i="76"/>
  <c r="G105" i="18"/>
  <c r="G105" i="23"/>
  <c r="G106" i="41"/>
  <c r="G105" i="77"/>
  <c r="G106" i="22"/>
  <c r="D105" i="31"/>
  <c r="D106" i="41"/>
  <c r="D105" i="77"/>
  <c r="D105" i="21"/>
  <c r="D105" i="17"/>
  <c r="D106" i="25"/>
  <c r="D105" i="18"/>
  <c r="D105" i="23"/>
  <c r="D105" i="29"/>
  <c r="D105" i="20"/>
  <c r="D105" i="2"/>
  <c r="D105" i="24"/>
  <c r="D105" i="27"/>
  <c r="D105" i="19"/>
  <c r="D106" i="26"/>
  <c r="D103" i="43"/>
  <c r="D105" i="42"/>
  <c r="D105" i="30"/>
  <c r="D105" i="76"/>
  <c r="D106" i="22"/>
  <c r="C18" i="49"/>
  <c r="C18" i="51"/>
  <c r="C18" i="50"/>
  <c r="H21" i="73"/>
  <c r="N5" i="33"/>
  <c r="N5" i="42"/>
  <c r="N4" i="26"/>
  <c r="N5" i="72"/>
  <c r="B333" i="48"/>
  <c r="M282" i="48"/>
  <c r="H282" i="48" s="1"/>
  <c r="M241" i="48"/>
  <c r="H241" i="48" s="1"/>
  <c r="Q3" i="49"/>
  <c r="Q3" i="54"/>
  <c r="Q3" i="70"/>
  <c r="Q3" i="53"/>
  <c r="Q3" i="52"/>
  <c r="Q3" i="51"/>
  <c r="Q3" i="50"/>
  <c r="Q3" i="69"/>
  <c r="Q3" i="41"/>
  <c r="Q3" i="44"/>
  <c r="Q3" i="42"/>
  <c r="Q3" i="43"/>
  <c r="Q3" i="39"/>
  <c r="Q3" i="33"/>
  <c r="Q3" i="37"/>
  <c r="Q3" i="35"/>
  <c r="Q3" i="38"/>
  <c r="Q3" i="40"/>
  <c r="Q3" i="34"/>
  <c r="Q3" i="32"/>
  <c r="Q3" i="30"/>
  <c r="Q3" i="31"/>
  <c r="M288" i="48"/>
  <c r="H288" i="48" s="1"/>
  <c r="M261" i="48"/>
  <c r="H261" i="48" s="1"/>
  <c r="M254" i="48"/>
  <c r="H254" i="48" s="1"/>
  <c r="M248" i="48"/>
  <c r="H248" i="48" s="1"/>
  <c r="M292" i="48"/>
  <c r="H292" i="48" s="1"/>
  <c r="M258" i="48"/>
  <c r="H258" i="48" s="1"/>
  <c r="M67" i="48"/>
  <c r="H67" i="48" s="1"/>
  <c r="F114" i="48"/>
  <c r="L114" i="48" s="1"/>
  <c r="M298" i="48"/>
  <c r="H298" i="48" s="1"/>
  <c r="M252" i="48"/>
  <c r="H252" i="48" s="1"/>
  <c r="M238" i="48"/>
  <c r="H238" i="48" s="1"/>
  <c r="M296" i="48"/>
  <c r="H296" i="48" s="1"/>
  <c r="M236" i="48"/>
  <c r="H236" i="48" s="1"/>
  <c r="M256" i="48"/>
  <c r="H256" i="48" s="1"/>
  <c r="F94" i="48"/>
  <c r="L94" i="48" s="1"/>
  <c r="C15" i="48"/>
  <c r="Q3" i="19"/>
  <c r="Q3" i="76"/>
  <c r="Q3" i="21"/>
  <c r="Q3" i="18"/>
  <c r="Q3" i="27"/>
  <c r="Q3" i="20"/>
  <c r="Q3" i="17"/>
  <c r="Q3" i="77"/>
  <c r="Q3" i="29"/>
  <c r="Q3" i="2"/>
  <c r="Q3" i="23"/>
  <c r="Q3" i="22"/>
  <c r="B14" i="48"/>
  <c r="P9" i="24"/>
  <c r="L116" i="48"/>
  <c r="F112" i="48"/>
  <c r="L112" i="48" s="1"/>
  <c r="F93" i="48"/>
  <c r="L93" i="48" s="1"/>
  <c r="P59" i="22"/>
  <c r="Q59" i="22"/>
  <c r="T59" i="22"/>
  <c r="U59" i="22" s="1"/>
  <c r="D109" i="48"/>
  <c r="G108" i="48"/>
  <c r="M108" i="48" s="1"/>
  <c r="H108" i="48" s="1"/>
  <c r="G46" i="48"/>
  <c r="M46" i="48" s="1"/>
  <c r="H46" i="48" s="1"/>
  <c r="C108" i="48"/>
  <c r="G107" i="48"/>
  <c r="M107" i="48" s="1"/>
  <c r="H107" i="48" s="1"/>
  <c r="G44" i="48"/>
  <c r="M44" i="48" s="1"/>
  <c r="H44" i="48" s="1"/>
  <c r="D108" i="48"/>
  <c r="C109" i="48"/>
  <c r="C107" i="48"/>
  <c r="B108" i="48"/>
  <c r="G109" i="48"/>
  <c r="M109" i="48" s="1"/>
  <c r="H109" i="48" s="1"/>
  <c r="G36" i="48"/>
  <c r="M36" i="48" s="1"/>
  <c r="H36" i="48" s="1"/>
  <c r="G53" i="48"/>
  <c r="M53" i="48" s="1"/>
  <c r="H53" i="48" s="1"/>
  <c r="G50" i="48"/>
  <c r="M50" i="48" s="1"/>
  <c r="H50" i="48" s="1"/>
  <c r="G51" i="48"/>
  <c r="M51" i="48" s="1"/>
  <c r="H51" i="48" s="1"/>
  <c r="G47" i="48"/>
  <c r="M47" i="48" s="1"/>
  <c r="H47" i="48" s="1"/>
  <c r="G52" i="48"/>
  <c r="M52" i="48" s="1"/>
  <c r="H52" i="48" s="1"/>
  <c r="L84" i="48"/>
  <c r="L65" i="48"/>
  <c r="L75" i="48"/>
  <c r="B70" i="48"/>
  <c r="D23" i="64"/>
  <c r="D22" i="62"/>
  <c r="D30" i="57"/>
  <c r="D124" i="48"/>
  <c r="G160" i="48"/>
  <c r="M160" i="48" s="1"/>
  <c r="H160" i="48" s="1"/>
  <c r="D27" i="57"/>
  <c r="D30" i="59"/>
  <c r="D27" i="14"/>
  <c r="D26" i="64"/>
  <c r="D30" i="58"/>
  <c r="D27" i="59"/>
  <c r="D206" i="48"/>
  <c r="F14" i="16"/>
  <c r="G14" i="16" s="1"/>
  <c r="D94" i="48"/>
  <c r="G29" i="48"/>
  <c r="M29" i="48" s="1"/>
  <c r="H29" i="48" s="1"/>
  <c r="I44" i="72"/>
  <c r="I39" i="43"/>
  <c r="C76" i="48"/>
  <c r="B68" i="48"/>
  <c r="B94" i="48"/>
  <c r="G259" i="48"/>
  <c r="M259" i="48" s="1"/>
  <c r="H259" i="48" s="1"/>
  <c r="D28" i="58"/>
  <c r="C87" i="48"/>
  <c r="D65" i="48"/>
  <c r="G155" i="48"/>
  <c r="M155" i="48" s="1"/>
  <c r="H155" i="48" s="1"/>
  <c r="B25" i="57"/>
  <c r="B15" i="16"/>
  <c r="D62" i="48"/>
  <c r="B41" i="23"/>
  <c r="D61" i="48"/>
  <c r="D28" i="57"/>
  <c r="D207" i="48"/>
  <c r="H40" i="26"/>
  <c r="H40" i="23"/>
  <c r="F25" i="75"/>
  <c r="G25" i="75" s="1"/>
  <c r="G274" i="48"/>
  <c r="M274" i="48" s="1"/>
  <c r="H274" i="48" s="1"/>
  <c r="D24" i="64"/>
  <c r="G239" i="48"/>
  <c r="M239" i="48" s="1"/>
  <c r="H239" i="48" s="1"/>
  <c r="D22" i="64"/>
  <c r="C31" i="14"/>
  <c r="G119" i="48"/>
  <c r="M119" i="48" s="1"/>
  <c r="H119" i="48" s="1"/>
  <c r="F48" i="16"/>
  <c r="G48" i="16" s="1"/>
  <c r="G211" i="48"/>
  <c r="M211" i="48" s="1"/>
  <c r="H211" i="48" s="1"/>
  <c r="B119" i="48"/>
  <c r="G124" i="48"/>
  <c r="M124" i="48" s="1"/>
  <c r="H124" i="48" s="1"/>
  <c r="D28" i="59"/>
  <c r="D50" i="16"/>
  <c r="B25" i="58"/>
  <c r="F12" i="75"/>
  <c r="G12" i="75" s="1"/>
  <c r="B204" i="48"/>
  <c r="B20" i="62"/>
  <c r="D24" i="61"/>
  <c r="G294" i="48"/>
  <c r="M294" i="48" s="1"/>
  <c r="H294" i="48" s="1"/>
  <c r="C21" i="66"/>
  <c r="G224" i="48"/>
  <c r="M224" i="48" s="1"/>
  <c r="H224" i="48" s="1"/>
  <c r="B21" i="64"/>
  <c r="C30" i="48"/>
  <c r="B61" i="48"/>
  <c r="D30" i="14"/>
  <c r="G245" i="48"/>
  <c r="M245" i="48" s="1"/>
  <c r="H245" i="48" s="1"/>
  <c r="B77" i="48"/>
  <c r="G231" i="48"/>
  <c r="M231" i="48" s="1"/>
  <c r="H231" i="48" s="1"/>
  <c r="B25" i="59"/>
  <c r="B25" i="14"/>
  <c r="G240" i="48"/>
  <c r="M240" i="48" s="1"/>
  <c r="H240" i="48" s="1"/>
  <c r="F20" i="75"/>
  <c r="G20" i="75" s="1"/>
  <c r="G165" i="48"/>
  <c r="M165" i="48" s="1"/>
  <c r="H165" i="48" s="1"/>
  <c r="C15" i="16"/>
  <c r="G235" i="48"/>
  <c r="M235" i="48" s="1"/>
  <c r="H235" i="48" s="1"/>
  <c r="F31" i="75"/>
  <c r="G31" i="75" s="1"/>
  <c r="G271" i="48"/>
  <c r="M271" i="48" s="1"/>
  <c r="H271" i="48" s="1"/>
  <c r="B87" i="48"/>
  <c r="F4" i="16"/>
  <c r="G4" i="16" s="1"/>
  <c r="D63" i="48"/>
  <c r="C123" i="48"/>
  <c r="D51" i="16"/>
  <c r="B22" i="64"/>
  <c r="H41" i="26"/>
  <c r="C63" i="48"/>
  <c r="G94" i="48"/>
  <c r="I34" i="39"/>
  <c r="I30" i="51"/>
  <c r="D26" i="59"/>
  <c r="H39" i="43"/>
  <c r="G198" i="48"/>
  <c r="M198" i="48" s="1"/>
  <c r="H198" i="48" s="1"/>
  <c r="I41" i="21"/>
  <c r="I30" i="54"/>
  <c r="I34" i="34"/>
  <c r="G290" i="48"/>
  <c r="M290" i="48" s="1"/>
  <c r="H290" i="48" s="1"/>
  <c r="D26" i="57"/>
  <c r="C31" i="57"/>
  <c r="D117" i="48"/>
  <c r="I41" i="18"/>
  <c r="G220" i="48"/>
  <c r="M220" i="48" s="1"/>
  <c r="H220" i="48" s="1"/>
  <c r="I44" i="74"/>
  <c r="G291" i="48"/>
  <c r="M291" i="48" s="1"/>
  <c r="H291" i="48" s="1"/>
  <c r="G266" i="48"/>
  <c r="F37" i="16"/>
  <c r="G37" i="16" s="1"/>
  <c r="F24" i="75"/>
  <c r="G24" i="75" s="1"/>
  <c r="C29" i="58"/>
  <c r="G68" i="48"/>
  <c r="M68" i="48" s="1"/>
  <c r="H68" i="48" s="1"/>
  <c r="D67" i="48"/>
  <c r="C208" i="48"/>
  <c r="B74" i="48"/>
  <c r="F23" i="16"/>
  <c r="G23" i="16" s="1"/>
  <c r="C21" i="62"/>
  <c r="H41" i="23"/>
  <c r="C25" i="64"/>
  <c r="G247" i="48"/>
  <c r="M247" i="48" s="1"/>
  <c r="H247" i="48" s="1"/>
  <c r="D211" i="48"/>
  <c r="C120" i="48"/>
  <c r="I41" i="26"/>
  <c r="C25" i="61"/>
  <c r="C94" i="48"/>
  <c r="D27" i="64"/>
  <c r="D122" i="48"/>
  <c r="D31" i="58"/>
  <c r="D77" i="48"/>
  <c r="D31" i="59"/>
  <c r="C23" i="64"/>
  <c r="I41" i="23"/>
  <c r="D70" i="48"/>
  <c r="C27" i="57"/>
  <c r="G194" i="48"/>
  <c r="M194" i="48" s="1"/>
  <c r="H194" i="48" s="1"/>
  <c r="C73" i="48"/>
  <c r="D32" i="14"/>
  <c r="H34" i="34"/>
  <c r="B4" i="16"/>
  <c r="G286" i="48"/>
  <c r="M286" i="48" s="1"/>
  <c r="H286" i="48" s="1"/>
  <c r="G64" i="48"/>
  <c r="M64" i="48" s="1"/>
  <c r="H64" i="48" s="1"/>
  <c r="D119" i="48"/>
  <c r="F22" i="75"/>
  <c r="G22" i="75" s="1"/>
  <c r="D22" i="66"/>
  <c r="G232" i="48"/>
  <c r="M232" i="48" s="1"/>
  <c r="H232" i="48" s="1"/>
  <c r="C28" i="59"/>
  <c r="F11" i="75"/>
  <c r="G11" i="75" s="1"/>
  <c r="H34" i="39"/>
  <c r="G205" i="48"/>
  <c r="M205" i="48" s="1"/>
  <c r="H205" i="48" s="1"/>
  <c r="B32" i="57"/>
  <c r="B27" i="64"/>
  <c r="F26" i="75"/>
  <c r="G26" i="75" s="1"/>
  <c r="C51" i="16"/>
  <c r="D21" i="66"/>
  <c r="F32" i="75"/>
  <c r="G32" i="75" s="1"/>
  <c r="H30" i="54"/>
  <c r="F46" i="16"/>
  <c r="G46" i="16" s="1"/>
  <c r="H41" i="21"/>
  <c r="G120" i="48"/>
  <c r="M120" i="48" s="1"/>
  <c r="H120" i="48" s="1"/>
  <c r="G75" i="48"/>
  <c r="C50" i="16"/>
  <c r="C28" i="58"/>
  <c r="G213" i="48"/>
  <c r="M213" i="48" s="1"/>
  <c r="H213" i="48" s="1"/>
  <c r="B124" i="48"/>
  <c r="G277" i="48"/>
  <c r="C44" i="74"/>
  <c r="C214" i="48"/>
  <c r="C26" i="58"/>
  <c r="I41" i="29"/>
  <c r="C26" i="57"/>
  <c r="D116" i="48"/>
  <c r="G225" i="48"/>
  <c r="M225" i="48" s="1"/>
  <c r="H225" i="48" s="1"/>
  <c r="B66" i="48"/>
  <c r="D121" i="48"/>
  <c r="G199" i="48"/>
  <c r="M199" i="48" s="1"/>
  <c r="H199" i="48" s="1"/>
  <c r="G27" i="16"/>
  <c r="F35" i="75"/>
  <c r="G35" i="75" s="1"/>
  <c r="G243" i="48"/>
  <c r="M243" i="48" s="1"/>
  <c r="H243" i="48" s="1"/>
  <c r="C26" i="14"/>
  <c r="M30" i="48"/>
  <c r="H30" i="48" s="1"/>
  <c r="B72" i="48"/>
  <c r="C122" i="48"/>
  <c r="G202" i="48"/>
  <c r="M202" i="48" s="1"/>
  <c r="H202" i="48" s="1"/>
  <c r="B34" i="39"/>
  <c r="B30" i="54"/>
  <c r="B30" i="51"/>
  <c r="B39" i="43"/>
  <c r="B44" i="72"/>
  <c r="B125" i="48"/>
  <c r="B210" i="48"/>
  <c r="G66" i="48"/>
  <c r="M66" i="48" s="1"/>
  <c r="H66" i="48" s="1"/>
  <c r="B22" i="66"/>
  <c r="G122" i="48"/>
  <c r="M122" i="48" s="1"/>
  <c r="H122" i="48" s="1"/>
  <c r="G242" i="48"/>
  <c r="M242" i="48" s="1"/>
  <c r="H242" i="48" s="1"/>
  <c r="B41" i="21"/>
  <c r="B44" i="74"/>
  <c r="C3" i="16"/>
  <c r="B120" i="48"/>
  <c r="B34" i="34"/>
  <c r="F50" i="16"/>
  <c r="G50" i="16" s="1"/>
  <c r="G233" i="48"/>
  <c r="M233" i="48" s="1"/>
  <c r="H233" i="48" s="1"/>
  <c r="F8" i="75"/>
  <c r="G8" i="75" s="1"/>
  <c r="G227" i="48"/>
  <c r="M227" i="48" s="1"/>
  <c r="H227" i="48" s="1"/>
  <c r="D125" i="48"/>
  <c r="G285" i="48"/>
  <c r="M285" i="48" s="1"/>
  <c r="H285" i="48" s="1"/>
  <c r="F39" i="16"/>
  <c r="G39" i="16" s="1"/>
  <c r="G116" i="48"/>
  <c r="D66" i="48"/>
  <c r="B50" i="16"/>
  <c r="B296" i="48"/>
  <c r="C33" i="57"/>
  <c r="C33" i="14"/>
  <c r="G289" i="48"/>
  <c r="M289" i="48" s="1"/>
  <c r="H289" i="48" s="1"/>
  <c r="G228" i="48"/>
  <c r="M228" i="48" s="1"/>
  <c r="H228" i="48" s="1"/>
  <c r="F20" i="16"/>
  <c r="G20" i="16" s="1"/>
  <c r="G251" i="48"/>
  <c r="M251" i="48" s="1"/>
  <c r="H251" i="48" s="1"/>
  <c r="C216" i="48"/>
  <c r="C206" i="48"/>
  <c r="C27" i="58"/>
  <c r="G234" i="48"/>
  <c r="M234" i="48" s="1"/>
  <c r="H234" i="48" s="1"/>
  <c r="F9" i="75"/>
  <c r="G9" i="75" s="1"/>
  <c r="G176" i="48"/>
  <c r="M176" i="48" s="1"/>
  <c r="H176" i="48" s="1"/>
  <c r="B117" i="48"/>
  <c r="C27" i="59"/>
  <c r="B206" i="48"/>
  <c r="G260" i="48"/>
  <c r="M260" i="48" s="1"/>
  <c r="H260" i="48" s="1"/>
  <c r="B41" i="18"/>
  <c r="F43" i="16"/>
  <c r="G43" i="16" s="1"/>
  <c r="G61" i="48"/>
  <c r="M61" i="48" s="1"/>
  <c r="H61" i="48" s="1"/>
  <c r="G265" i="48"/>
  <c r="M265" i="48" s="1"/>
  <c r="H265" i="48" s="1"/>
  <c r="F15" i="16"/>
  <c r="G15" i="16" s="1"/>
  <c r="G71" i="48"/>
  <c r="M71" i="48" s="1"/>
  <c r="H71" i="48" s="1"/>
  <c r="C62" i="48"/>
  <c r="H30" i="51"/>
  <c r="H41" i="18"/>
  <c r="D87" i="48"/>
  <c r="B31" i="58"/>
  <c r="C68" i="48"/>
  <c r="H44" i="72"/>
  <c r="C117" i="48"/>
  <c r="F49" i="16"/>
  <c r="G49" i="16" s="1"/>
  <c r="G295" i="48"/>
  <c r="M295" i="48" s="1"/>
  <c r="H295" i="48" s="1"/>
  <c r="F30" i="75"/>
  <c r="G30" i="75" s="1"/>
  <c r="G255" i="48"/>
  <c r="M255" i="48" s="1"/>
  <c r="H255" i="48" s="1"/>
  <c r="F38" i="16"/>
  <c r="G38" i="16" s="1"/>
  <c r="G284" i="48"/>
  <c r="M284" i="48" s="1"/>
  <c r="H284" i="48" s="1"/>
  <c r="G297" i="48"/>
  <c r="M297" i="48" s="1"/>
  <c r="H297" i="48" s="1"/>
  <c r="F51" i="16"/>
  <c r="G51" i="16" s="1"/>
  <c r="G121" i="48"/>
  <c r="M121" i="48" s="1"/>
  <c r="H121" i="48" s="1"/>
  <c r="F5" i="75"/>
  <c r="G5" i="75" s="1"/>
  <c r="G249" i="48"/>
  <c r="M249" i="48" s="1"/>
  <c r="H249" i="48" s="1"/>
  <c r="G123" i="48"/>
  <c r="M123" i="48" s="1"/>
  <c r="H123" i="48" s="1"/>
  <c r="G272" i="48"/>
  <c r="M272" i="48" s="1"/>
  <c r="H272" i="48" s="1"/>
  <c r="F25" i="16"/>
  <c r="G25" i="16" s="1"/>
  <c r="B21" i="66"/>
  <c r="B213" i="48"/>
  <c r="B207" i="48"/>
  <c r="B28" i="59"/>
  <c r="B28" i="58"/>
  <c r="B28" i="14"/>
  <c r="B28" i="57"/>
  <c r="G93" i="48"/>
  <c r="G62" i="48"/>
  <c r="M62" i="48" s="1"/>
  <c r="H62" i="48" s="1"/>
  <c r="D216" i="48"/>
  <c r="D33" i="57"/>
  <c r="D33" i="14"/>
  <c r="F28" i="75"/>
  <c r="G28" i="75" s="1"/>
  <c r="G237" i="48"/>
  <c r="M237" i="48" s="1"/>
  <c r="H237" i="48" s="1"/>
  <c r="F18" i="16"/>
  <c r="G18" i="16" s="1"/>
  <c r="B122" i="48"/>
  <c r="C66" i="48"/>
  <c r="G226" i="48"/>
  <c r="M226" i="48" s="1"/>
  <c r="H226" i="48" s="1"/>
  <c r="D93" i="48"/>
  <c r="G70" i="48"/>
  <c r="M70" i="48" s="1"/>
  <c r="H70" i="48" s="1"/>
  <c r="C125" i="48"/>
  <c r="C29" i="59"/>
  <c r="G246" i="48"/>
  <c r="M246" i="48" s="1"/>
  <c r="H246" i="48" s="1"/>
  <c r="C29" i="57"/>
  <c r="C22" i="64"/>
  <c r="F36" i="16"/>
  <c r="G36" i="16" s="1"/>
  <c r="K30" i="54"/>
  <c r="L30" i="54" s="1"/>
  <c r="C28" i="14"/>
  <c r="F52" i="16"/>
  <c r="G52" i="16" s="1"/>
  <c r="C29" i="14"/>
  <c r="B20" i="66"/>
  <c r="I41" i="31"/>
  <c r="G293" i="48"/>
  <c r="M293" i="48" s="1"/>
  <c r="H293" i="48" s="1"/>
  <c r="F47" i="16"/>
  <c r="G47" i="16" s="1"/>
  <c r="B3" i="16"/>
  <c r="B64" i="48"/>
  <c r="D26" i="14"/>
  <c r="D26" i="58"/>
  <c r="G250" i="48"/>
  <c r="M250" i="48" s="1"/>
  <c r="H250" i="48" s="1"/>
  <c r="F6" i="75"/>
  <c r="G6" i="75" s="1"/>
  <c r="B26" i="57"/>
  <c r="B26" i="59"/>
  <c r="B26" i="14"/>
  <c r="B14" i="16"/>
  <c r="D84" i="48"/>
  <c r="D73" i="48"/>
  <c r="B205" i="48"/>
  <c r="C24" i="64"/>
  <c r="F42" i="16"/>
  <c r="G42" i="16" s="1"/>
  <c r="B40" i="26"/>
  <c r="C26" i="59"/>
  <c r="G117" i="48"/>
  <c r="M117" i="48" s="1"/>
  <c r="H117" i="48" s="1"/>
  <c r="C207" i="48"/>
  <c r="G184" i="48"/>
  <c r="M184" i="48" s="1"/>
  <c r="H184" i="48" s="1"/>
  <c r="G269" i="48"/>
  <c r="M269" i="48" s="1"/>
  <c r="H269" i="48" s="1"/>
  <c r="F22" i="16"/>
  <c r="G22" i="16" s="1"/>
  <c r="D21" i="64"/>
  <c r="G173" i="48"/>
  <c r="M173" i="48" s="1"/>
  <c r="H173" i="48" s="1"/>
  <c r="B73" i="48"/>
  <c r="D3" i="16"/>
  <c r="C20" i="48"/>
  <c r="F21" i="16"/>
  <c r="G21" i="16" s="1"/>
  <c r="G268" i="48"/>
  <c r="M268" i="48" s="1"/>
  <c r="H268" i="48" s="1"/>
  <c r="F27" i="75"/>
  <c r="G27" i="75" s="1"/>
  <c r="G253" i="48"/>
  <c r="M253" i="48" s="1"/>
  <c r="H253" i="48" s="1"/>
  <c r="G65" i="48"/>
  <c r="G125" i="48"/>
  <c r="M125" i="48" s="1"/>
  <c r="H125" i="48" s="1"/>
  <c r="L72" i="48"/>
  <c r="G77" i="48"/>
  <c r="M77" i="48" s="1"/>
  <c r="H77" i="48" s="1"/>
  <c r="B297" i="48"/>
  <c r="B27" i="14"/>
  <c r="G244" i="48"/>
  <c r="M244" i="48" s="1"/>
  <c r="H244" i="48" s="1"/>
  <c r="B32" i="14"/>
  <c r="B31" i="59"/>
  <c r="C21" i="64"/>
  <c r="C93" i="48"/>
  <c r="G223" i="48"/>
  <c r="M223" i="48" s="1"/>
  <c r="H223" i="48" s="1"/>
  <c r="F3" i="75"/>
  <c r="G3" i="75" s="1"/>
  <c r="G230" i="48"/>
  <c r="M230" i="48" s="1"/>
  <c r="H230" i="48" s="1"/>
  <c r="I40" i="23"/>
  <c r="G126" i="48"/>
  <c r="M126" i="48" s="1"/>
  <c r="H126" i="48" s="1"/>
  <c r="C26" i="61"/>
  <c r="C32" i="14"/>
  <c r="G287" i="48"/>
  <c r="M287" i="48" s="1"/>
  <c r="H287" i="48" s="1"/>
  <c r="G74" i="48"/>
  <c r="C26" i="64"/>
  <c r="C30" i="59"/>
  <c r="C22" i="62"/>
  <c r="C30" i="58"/>
  <c r="C24" i="61"/>
  <c r="C30" i="57"/>
  <c r="D31" i="57"/>
  <c r="D25" i="61"/>
  <c r="D31" i="14"/>
  <c r="D210" i="48"/>
  <c r="D212" i="48"/>
  <c r="D20" i="66"/>
  <c r="C71" i="48"/>
  <c r="D76" i="48"/>
  <c r="G208" i="48"/>
  <c r="M208" i="48" s="1"/>
  <c r="H208" i="48" s="1"/>
  <c r="D25" i="57"/>
  <c r="D25" i="14"/>
  <c r="D71" i="48"/>
  <c r="C25" i="58"/>
  <c r="C84" i="48"/>
  <c r="C20" i="62"/>
  <c r="B30" i="48"/>
  <c r="D123" i="48"/>
  <c r="C119" i="48"/>
  <c r="G204" i="48"/>
  <c r="M204" i="48" s="1"/>
  <c r="H204" i="48" s="1"/>
  <c r="B27" i="59"/>
  <c r="B27" i="57"/>
  <c r="B23" i="64"/>
  <c r="G87" i="48"/>
  <c r="M87" i="48" s="1"/>
  <c r="H87" i="48" s="1"/>
  <c r="D29" i="14"/>
  <c r="D29" i="59"/>
  <c r="D21" i="62"/>
  <c r="D29" i="57"/>
  <c r="D208" i="48"/>
  <c r="D23" i="61"/>
  <c r="D25" i="64"/>
  <c r="D29" i="58"/>
  <c r="C70" i="48"/>
  <c r="C31" i="59"/>
  <c r="C27" i="64"/>
  <c r="C32" i="57"/>
  <c r="B71" i="48"/>
  <c r="G210" i="48"/>
  <c r="M210" i="48" s="1"/>
  <c r="H210" i="48" s="1"/>
  <c r="D204" i="48"/>
  <c r="I40" i="26"/>
  <c r="D25" i="58"/>
  <c r="B121" i="48"/>
  <c r="C30" i="14"/>
  <c r="C10" i="16"/>
  <c r="G73" i="48"/>
  <c r="M73" i="48" s="1"/>
  <c r="H73" i="48" s="1"/>
  <c r="C25" i="14"/>
  <c r="B62" i="48"/>
  <c r="G206" i="48"/>
  <c r="M206" i="48" s="1"/>
  <c r="H206" i="48" s="1"/>
  <c r="B33" i="57"/>
  <c r="B216" i="48"/>
  <c r="B33" i="14"/>
  <c r="B26" i="61"/>
  <c r="B208" i="48"/>
  <c r="B29" i="59"/>
  <c r="B23" i="61"/>
  <c r="B29" i="14"/>
  <c r="B21" i="62"/>
  <c r="B29" i="58"/>
  <c r="B29" i="57"/>
  <c r="B25" i="64"/>
  <c r="B29" i="48"/>
  <c r="C67" i="48"/>
  <c r="C4" i="16"/>
  <c r="C212" i="48"/>
  <c r="C20" i="66"/>
  <c r="C204" i="48"/>
  <c r="D25" i="59"/>
  <c r="D20" i="62"/>
  <c r="C25" i="57"/>
  <c r="C211" i="48"/>
  <c r="C25" i="59"/>
  <c r="D10" i="16"/>
  <c r="B31" i="57"/>
  <c r="B31" i="14"/>
  <c r="C29" i="48"/>
  <c r="B30" i="14"/>
  <c r="B26" i="64"/>
  <c r="B22" i="62"/>
  <c r="B30" i="57"/>
  <c r="B209" i="48"/>
  <c r="B30" i="59"/>
  <c r="B30" i="58"/>
  <c r="B24" i="61"/>
  <c r="B123" i="48"/>
  <c r="D13" i="48"/>
  <c r="C265" i="48"/>
  <c r="C18" i="16"/>
  <c r="B18" i="16"/>
  <c r="B265" i="48"/>
  <c r="D18" i="16"/>
  <c r="D265" i="48"/>
  <c r="L266" i="48"/>
  <c r="L74" i="48"/>
  <c r="P82" i="22"/>
  <c r="I30" i="22" s="1"/>
  <c r="R84" i="10"/>
  <c r="L3" i="54"/>
  <c r="R50" i="10"/>
  <c r="R29" i="10"/>
  <c r="L3" i="51"/>
  <c r="L3" i="34"/>
  <c r="R63" i="10"/>
  <c r="R77" i="10"/>
  <c r="R22" i="10"/>
  <c r="R90" i="10"/>
  <c r="L3" i="39"/>
  <c r="R15" i="10"/>
  <c r="R35" i="10"/>
  <c r="B174" i="43"/>
  <c r="B191" i="42"/>
  <c r="I2" i="66"/>
  <c r="I2" i="59"/>
  <c r="CC2" i="48"/>
  <c r="P3" i="3"/>
  <c r="I2" i="65"/>
  <c r="I2" i="62"/>
  <c r="I2" i="57"/>
  <c r="J2" i="56"/>
  <c r="N4" i="74"/>
  <c r="N4" i="73"/>
  <c r="N4" i="71"/>
  <c r="J2" i="67"/>
  <c r="I2" i="61"/>
  <c r="I2" i="14"/>
  <c r="I2" i="58"/>
  <c r="N4" i="69"/>
  <c r="N4" i="39"/>
  <c r="N4" i="32"/>
  <c r="N3" i="31"/>
  <c r="N3" i="29"/>
  <c r="I2" i="64"/>
  <c r="I2" i="60"/>
  <c r="N4" i="42"/>
  <c r="N4" i="41"/>
  <c r="N3" i="27"/>
  <c r="I3" i="16"/>
  <c r="N4" i="44"/>
  <c r="N4" i="33"/>
  <c r="N3" i="25"/>
  <c r="N3" i="24"/>
  <c r="N3" i="21"/>
  <c r="N3" i="19"/>
  <c r="N4" i="34"/>
  <c r="N4" i="49"/>
  <c r="N4" i="53"/>
  <c r="N3" i="76"/>
  <c r="N4" i="72"/>
  <c r="N4" i="37"/>
  <c r="N3" i="30"/>
  <c r="N3" i="23"/>
  <c r="N2" i="15"/>
  <c r="N4" i="52"/>
  <c r="N4" i="70"/>
  <c r="N4" i="43"/>
  <c r="N4" i="40"/>
  <c r="N3" i="26"/>
  <c r="N3" i="20"/>
  <c r="N3" i="18"/>
  <c r="J2" i="55"/>
  <c r="N4" i="50"/>
  <c r="I3" i="75"/>
  <c r="N3" i="17"/>
  <c r="N3" i="2"/>
  <c r="N4" i="35"/>
  <c r="N4" i="54"/>
  <c r="N4" i="38"/>
  <c r="N3" i="22"/>
  <c r="T3" i="10"/>
  <c r="N4" i="51"/>
  <c r="N3" i="77"/>
  <c r="F33" i="16"/>
  <c r="F54" i="16"/>
  <c r="G10" i="9"/>
  <c r="H10" i="48" s="1"/>
  <c r="B44" i="26"/>
  <c r="B44" i="23"/>
  <c r="L2" i="35"/>
  <c r="L3" i="74"/>
  <c r="B46" i="74"/>
  <c r="I7" i="41"/>
  <c r="F70" i="10"/>
  <c r="L2" i="44"/>
  <c r="B79" i="15"/>
  <c r="B69" i="10"/>
  <c r="L38" i="3"/>
  <c r="G1" i="64"/>
  <c r="F129" i="15"/>
  <c r="F128" i="15"/>
  <c r="E8" i="58"/>
  <c r="E7" i="57"/>
  <c r="E7" i="14"/>
  <c r="E6" i="57"/>
  <c r="E6" i="14"/>
  <c r="B404" i="11"/>
  <c r="C124" i="11"/>
  <c r="B8" i="15"/>
  <c r="B7" i="10"/>
  <c r="R97" i="10"/>
  <c r="B50" i="24"/>
  <c r="L2" i="39"/>
  <c r="E6" i="64"/>
  <c r="B21" i="10"/>
  <c r="I7" i="74"/>
  <c r="B17" i="67"/>
  <c r="B21" i="74"/>
  <c r="H21" i="69"/>
  <c r="B36" i="39"/>
  <c r="E6" i="62"/>
  <c r="B49" i="10"/>
  <c r="N4" i="24"/>
  <c r="J3" i="67"/>
  <c r="N5" i="40"/>
  <c r="N5" i="73"/>
  <c r="N4" i="19"/>
  <c r="J3" i="56"/>
  <c r="N5" i="70"/>
  <c r="I3" i="60"/>
  <c r="I7" i="22"/>
  <c r="I7" i="24"/>
  <c r="I7" i="17"/>
  <c r="B403" i="11"/>
  <c r="C10" i="8"/>
  <c r="N10" i="9" s="1"/>
  <c r="E7" i="62"/>
  <c r="E9" i="61"/>
  <c r="F127" i="15"/>
  <c r="E38" i="3"/>
  <c r="G1" i="14"/>
  <c r="E9" i="14"/>
  <c r="J126" i="15"/>
  <c r="G1" i="62"/>
  <c r="F46" i="3"/>
  <c r="G1" i="61"/>
  <c r="J127" i="15"/>
  <c r="H3" i="55"/>
  <c r="L2" i="26"/>
  <c r="B126" i="15"/>
  <c r="F2" i="3"/>
  <c r="H1" i="55"/>
  <c r="Q88" i="10"/>
  <c r="Q94" i="10"/>
  <c r="K81" i="10"/>
  <c r="K67" i="10"/>
  <c r="K54" i="10"/>
  <c r="K33" i="10"/>
  <c r="Q6" i="10"/>
  <c r="K26" i="10"/>
  <c r="E19" i="10"/>
  <c r="E39" i="10"/>
  <c r="E74" i="10"/>
  <c r="Q39" i="10"/>
  <c r="E6" i="10"/>
  <c r="Q19" i="10"/>
  <c r="K101" i="10"/>
  <c r="K94" i="10"/>
  <c r="E81" i="10"/>
  <c r="E67" i="10"/>
  <c r="Q54" i="10"/>
  <c r="Q33" i="10"/>
  <c r="K6" i="10"/>
  <c r="Q26" i="10"/>
  <c r="E33" i="10"/>
  <c r="E60" i="10"/>
  <c r="E47" i="10"/>
  <c r="Q12" i="10"/>
  <c r="E54" i="10"/>
  <c r="K19" i="10"/>
  <c r="K88" i="10"/>
  <c r="K12" i="10"/>
  <c r="Q67" i="10"/>
  <c r="E26" i="10"/>
  <c r="K39" i="10"/>
  <c r="Q81" i="10"/>
  <c r="I10" i="60"/>
  <c r="I10" i="58"/>
  <c r="P10" i="3"/>
  <c r="E7" i="64"/>
  <c r="B33" i="54"/>
  <c r="B37" i="34"/>
  <c r="B46" i="21"/>
  <c r="B33" i="51"/>
  <c r="B46" i="31"/>
  <c r="B44" i="29"/>
  <c r="B44" i="18"/>
  <c r="B42" i="43"/>
  <c r="N7" i="77"/>
  <c r="N8" i="38"/>
  <c r="N8" i="51"/>
  <c r="N8" i="73"/>
  <c r="I4" i="65"/>
  <c r="I4" i="57"/>
  <c r="J4" i="56"/>
  <c r="N7" i="30"/>
  <c r="N7" i="22"/>
  <c r="N7" i="19"/>
  <c r="G1" i="16"/>
  <c r="N8" i="35"/>
  <c r="N8" i="49"/>
  <c r="N8" i="54"/>
  <c r="I4" i="64"/>
  <c r="I4" i="60"/>
  <c r="N7" i="29"/>
  <c r="N7" i="24"/>
  <c r="N7" i="18"/>
  <c r="N8" i="42"/>
  <c r="N8" i="72"/>
  <c r="CC4" i="48"/>
  <c r="N7" i="20"/>
  <c r="N8" i="40"/>
  <c r="N8" i="69"/>
  <c r="N7" i="31"/>
  <c r="N7" i="17"/>
  <c r="J4" i="67"/>
  <c r="I4" i="14"/>
  <c r="P5" i="3"/>
  <c r="J4" i="55"/>
  <c r="N8" i="34"/>
  <c r="I4" i="58"/>
  <c r="N7" i="21"/>
  <c r="I4" i="66"/>
  <c r="I4" i="62"/>
  <c r="I4" i="59"/>
  <c r="N7" i="27"/>
  <c r="N7" i="26"/>
  <c r="N7" i="25"/>
  <c r="T6" i="10"/>
  <c r="N4" i="15"/>
  <c r="I4" i="61"/>
  <c r="N7" i="23"/>
  <c r="N7" i="2"/>
  <c r="N8" i="53"/>
  <c r="K9" i="11"/>
  <c r="B72" i="15"/>
  <c r="B76" i="10"/>
  <c r="M48" i="3"/>
  <c r="B2" i="67"/>
  <c r="J294" i="16"/>
  <c r="I175" i="43"/>
  <c r="J130" i="16"/>
  <c r="H200" i="56"/>
  <c r="I193" i="42"/>
  <c r="H198" i="55"/>
  <c r="I1" i="61"/>
  <c r="N3" i="73"/>
  <c r="I1" i="66"/>
  <c r="CC1" i="48"/>
  <c r="P2" i="3"/>
  <c r="N3" i="42"/>
  <c r="N3" i="41"/>
  <c r="N2" i="26"/>
  <c r="N2" i="24"/>
  <c r="I1" i="65"/>
  <c r="N3" i="38"/>
  <c r="N3" i="32"/>
  <c r="N2" i="31"/>
  <c r="N2" i="29"/>
  <c r="N3" i="43"/>
  <c r="N3" i="40"/>
  <c r="N2" i="22"/>
  <c r="N2" i="19"/>
  <c r="T2" i="10"/>
  <c r="J1" i="55"/>
  <c r="N3" i="50"/>
  <c r="N2" i="20"/>
  <c r="N3" i="51"/>
  <c r="N3" i="69"/>
  <c r="N3" i="37"/>
  <c r="N2" i="27"/>
  <c r="N2" i="25"/>
  <c r="N2" i="21"/>
  <c r="N2" i="18"/>
  <c r="N3" i="35"/>
  <c r="N1" i="15"/>
  <c r="N3" i="52"/>
  <c r="N2" i="17"/>
  <c r="N3" i="34"/>
  <c r="N3" i="54"/>
  <c r="N3" i="39"/>
  <c r="N2" i="30"/>
  <c r="N2" i="23"/>
  <c r="N3" i="33"/>
  <c r="N3" i="53"/>
  <c r="N2" i="2"/>
  <c r="N3" i="49"/>
  <c r="N3" i="44"/>
  <c r="B1" i="15"/>
  <c r="B1" i="10"/>
  <c r="G1" i="65"/>
  <c r="M20" i="3"/>
  <c r="N11" i="49"/>
  <c r="N11" i="33"/>
  <c r="N11" i="51"/>
  <c r="L2" i="31"/>
  <c r="P83" i="22"/>
  <c r="I5" i="77"/>
  <c r="I5" i="70"/>
  <c r="I5" i="69"/>
  <c r="I5" i="43"/>
  <c r="I5" i="40"/>
  <c r="I5" i="37"/>
  <c r="I5" i="33"/>
  <c r="I5" i="25"/>
  <c r="I5" i="71"/>
  <c r="I5" i="44"/>
  <c r="I5" i="39"/>
  <c r="I5" i="30"/>
  <c r="I5" i="73"/>
  <c r="I5" i="38"/>
  <c r="I5" i="32"/>
  <c r="I5" i="27"/>
  <c r="I5" i="26"/>
  <c r="I5" i="21"/>
  <c r="I5" i="19"/>
  <c r="I5" i="51"/>
  <c r="I5" i="17"/>
  <c r="I5" i="34"/>
  <c r="I5" i="49"/>
  <c r="I5" i="50"/>
  <c r="I5" i="74"/>
  <c r="I5" i="72"/>
  <c r="I5" i="42"/>
  <c r="I5" i="29"/>
  <c r="I5" i="20"/>
  <c r="I5" i="18"/>
  <c r="I5" i="2"/>
  <c r="I5" i="35"/>
  <c r="I5" i="53"/>
  <c r="I5" i="31"/>
  <c r="I5" i="23"/>
  <c r="B16" i="11"/>
  <c r="I5" i="54"/>
  <c r="I5" i="41"/>
  <c r="I5" i="52"/>
  <c r="I5" i="24"/>
  <c r="I5" i="22"/>
  <c r="K6" i="32"/>
  <c r="K6" i="52"/>
  <c r="K6" i="37"/>
  <c r="K6" i="19"/>
  <c r="K6" i="49"/>
  <c r="K6" i="41"/>
  <c r="K6" i="2"/>
  <c r="I7" i="38"/>
  <c r="I7" i="40"/>
  <c r="I7" i="50"/>
  <c r="I7" i="2"/>
  <c r="I7" i="51"/>
  <c r="I7" i="49"/>
  <c r="I7" i="52"/>
  <c r="I7" i="35"/>
  <c r="I7" i="53"/>
  <c r="I7" i="32"/>
  <c r="I7" i="34"/>
  <c r="B29" i="61"/>
  <c r="B38" i="57"/>
  <c r="B26" i="65"/>
  <c r="B41" i="43"/>
  <c r="B43" i="29"/>
  <c r="B43" i="18"/>
  <c r="B45" i="31"/>
  <c r="B45" i="21"/>
  <c r="M50" i="3"/>
  <c r="B26" i="67"/>
  <c r="B6" i="48"/>
  <c r="C107" i="11"/>
  <c r="E5" i="61"/>
  <c r="E7" i="59"/>
  <c r="P80" i="22"/>
  <c r="G16" i="11"/>
  <c r="I7" i="43"/>
  <c r="I7" i="27"/>
  <c r="I7" i="76"/>
  <c r="E2" i="60"/>
  <c r="E2" i="62"/>
  <c r="E49" i="3"/>
  <c r="E34" i="3"/>
  <c r="E15" i="3"/>
  <c r="F2" i="55"/>
  <c r="E2" i="57"/>
  <c r="L41" i="3"/>
  <c r="L24" i="3"/>
  <c r="E59" i="3"/>
  <c r="L34" i="3"/>
  <c r="E41" i="3"/>
  <c r="E5" i="3"/>
  <c r="F2" i="56"/>
  <c r="E2" i="59"/>
  <c r="E2" i="61"/>
  <c r="L5" i="3"/>
  <c r="E2" i="14"/>
  <c r="E2" i="66"/>
  <c r="E2" i="65"/>
  <c r="E2" i="64"/>
  <c r="L15" i="3"/>
  <c r="E24" i="3"/>
  <c r="E2" i="58"/>
  <c r="B128" i="15"/>
  <c r="G1" i="59"/>
  <c r="K29" i="3"/>
  <c r="E11" i="3"/>
  <c r="D29" i="3"/>
  <c r="L11" i="3"/>
  <c r="G1" i="58"/>
  <c r="B45" i="26"/>
  <c r="B45" i="23"/>
  <c r="I3" i="62"/>
  <c r="T1" i="10"/>
  <c r="N5" i="44"/>
  <c r="N4" i="27"/>
  <c r="N5" i="37"/>
  <c r="N4" i="25"/>
  <c r="N5" i="39"/>
  <c r="N5" i="34"/>
  <c r="N5" i="54"/>
  <c r="N5" i="52"/>
  <c r="N4" i="77"/>
  <c r="N5" i="53"/>
  <c r="P4" i="3"/>
  <c r="N5" i="32"/>
  <c r="N5" i="49"/>
  <c r="N5" i="51"/>
  <c r="I4" i="75"/>
  <c r="N4" i="29"/>
  <c r="N4" i="23"/>
  <c r="J3" i="55"/>
  <c r="N4" i="76"/>
  <c r="N4" i="17"/>
  <c r="N5" i="50"/>
  <c r="N3" i="15"/>
  <c r="B405" i="11"/>
  <c r="C123" i="11"/>
  <c r="E25" i="3"/>
  <c r="F5" i="56"/>
  <c r="E3" i="65"/>
  <c r="E4" i="64"/>
  <c r="E42" i="3"/>
  <c r="L25" i="3"/>
  <c r="L16" i="3"/>
  <c r="E5" i="59"/>
  <c r="E3" i="62"/>
  <c r="E3" i="61"/>
  <c r="E60" i="3"/>
  <c r="L35" i="3"/>
  <c r="L6" i="3"/>
  <c r="I7" i="73"/>
  <c r="E5" i="58"/>
  <c r="E3" i="57"/>
  <c r="L42" i="3"/>
  <c r="E35" i="3"/>
  <c r="E16" i="3"/>
  <c r="E3" i="14"/>
  <c r="E6" i="3"/>
  <c r="E5" i="60"/>
  <c r="I7" i="71"/>
  <c r="E4" i="66"/>
  <c r="E50" i="3"/>
  <c r="F5" i="55"/>
  <c r="B55" i="77"/>
  <c r="B43" i="31"/>
  <c r="B55" i="19"/>
  <c r="B43" i="21"/>
  <c r="B55" i="20"/>
  <c r="L3" i="72"/>
  <c r="B56" i="42"/>
  <c r="B44" i="43"/>
  <c r="E7" i="58"/>
  <c r="E5" i="62"/>
  <c r="F36" i="75"/>
  <c r="G1" i="57"/>
  <c r="B36" i="14"/>
  <c r="I5" i="76"/>
  <c r="P81" i="22"/>
  <c r="B21" i="73"/>
  <c r="H21" i="74"/>
  <c r="B21" i="71"/>
  <c r="B32" i="51"/>
  <c r="E7" i="61"/>
  <c r="N4" i="22"/>
  <c r="N5" i="43"/>
  <c r="N5" i="38"/>
  <c r="N5" i="69"/>
  <c r="K7" i="11"/>
  <c r="N4" i="31"/>
  <c r="I4" i="16"/>
  <c r="I3" i="58"/>
  <c r="I3" i="61"/>
  <c r="I7" i="18"/>
  <c r="I7" i="42"/>
  <c r="I7" i="44"/>
  <c r="I7" i="29"/>
  <c r="A2" i="8"/>
  <c r="B22" i="11"/>
  <c r="N98" i="15"/>
  <c r="N118" i="15"/>
  <c r="N134" i="15"/>
  <c r="C3" i="48"/>
  <c r="C111" i="11"/>
  <c r="I6" i="41"/>
  <c r="I6" i="32"/>
  <c r="I6" i="52"/>
  <c r="D16" i="11"/>
  <c r="I6" i="19"/>
  <c r="I6" i="37"/>
  <c r="I6" i="2"/>
  <c r="I6" i="49"/>
  <c r="B127" i="15"/>
  <c r="H1" i="56"/>
  <c r="L2" i="3"/>
  <c r="F84" i="10"/>
  <c r="F90" i="10"/>
  <c r="L3" i="37"/>
  <c r="L3" i="52"/>
  <c r="F77" i="10"/>
  <c r="F50" i="10"/>
  <c r="F15" i="10"/>
  <c r="F22" i="10"/>
  <c r="L3" i="32"/>
  <c r="L3" i="49"/>
  <c r="F63" i="10"/>
  <c r="E9" i="64"/>
  <c r="E10" i="57"/>
  <c r="C6" i="48"/>
  <c r="C114" i="11"/>
  <c r="B89" i="10"/>
  <c r="B14" i="10"/>
  <c r="B83" i="10"/>
  <c r="B28" i="10"/>
  <c r="J128" i="15"/>
  <c r="E5" i="65"/>
  <c r="E9" i="57"/>
  <c r="E10" i="61"/>
  <c r="E10" i="14"/>
  <c r="B398" i="11"/>
  <c r="T12" i="10"/>
  <c r="B200" i="10"/>
  <c r="K17" i="11"/>
  <c r="N7" i="38"/>
  <c r="N7" i="72"/>
  <c r="I8" i="57"/>
  <c r="B10" i="9"/>
  <c r="C10" i="48" s="1"/>
  <c r="B10" i="8"/>
  <c r="M10" i="9" s="1"/>
  <c r="B44" i="15"/>
  <c r="L2" i="21"/>
  <c r="I11" i="77"/>
  <c r="I11" i="20"/>
  <c r="I11" i="19"/>
  <c r="I11" i="30"/>
  <c r="I11" i="21"/>
  <c r="I11" i="26"/>
  <c r="I11" i="23"/>
  <c r="I11" i="31"/>
  <c r="C24" i="42"/>
  <c r="C18" i="44"/>
  <c r="C24" i="43"/>
  <c r="C18" i="53"/>
  <c r="C18" i="43"/>
  <c r="C18" i="54"/>
  <c r="C18" i="52"/>
  <c r="C18" i="42"/>
  <c r="C24" i="41"/>
  <c r="C18" i="41"/>
  <c r="C18" i="39"/>
  <c r="C18" i="34"/>
  <c r="C31" i="72"/>
  <c r="C23" i="72"/>
  <c r="C31" i="71"/>
  <c r="C23" i="71"/>
  <c r="C31" i="69"/>
  <c r="C23" i="69"/>
  <c r="C31" i="74"/>
  <c r="C23" i="74"/>
  <c r="C31" i="73"/>
  <c r="C23" i="73"/>
  <c r="C18" i="32"/>
  <c r="C18" i="40"/>
  <c r="I31" i="71"/>
  <c r="I23" i="74"/>
  <c r="I31" i="73"/>
  <c r="C18" i="38"/>
  <c r="C18" i="33"/>
  <c r="C18" i="35"/>
  <c r="C18" i="37"/>
  <c r="I31" i="72"/>
  <c r="I23" i="72"/>
  <c r="I23" i="71"/>
  <c r="I31" i="69"/>
  <c r="I23" i="69"/>
  <c r="I31" i="74"/>
  <c r="I23" i="73"/>
  <c r="I23" i="70"/>
  <c r="I31" i="70"/>
  <c r="C23" i="70"/>
  <c r="C31" i="70"/>
  <c r="C24" i="27"/>
  <c r="C24" i="77"/>
  <c r="C24" i="31"/>
  <c r="C24" i="30"/>
  <c r="C24" i="76"/>
  <c r="C18" i="76"/>
  <c r="C18" i="27"/>
  <c r="C18" i="77"/>
  <c r="C18" i="31"/>
  <c r="C24" i="29"/>
  <c r="C18" i="29"/>
  <c r="C18" i="30"/>
  <c r="C18" i="19"/>
  <c r="C24" i="24"/>
  <c r="C24" i="26"/>
  <c r="C24" i="23"/>
  <c r="C18" i="17"/>
  <c r="C24" i="21"/>
  <c r="C18" i="24"/>
  <c r="C24" i="20"/>
  <c r="C24" i="22"/>
  <c r="C18" i="26"/>
  <c r="C24" i="19"/>
  <c r="C18" i="25"/>
  <c r="C18" i="23"/>
  <c r="C24" i="18"/>
  <c r="I4" i="76"/>
  <c r="K100" i="10"/>
  <c r="I4" i="77"/>
  <c r="E32" i="10"/>
  <c r="I4" i="70"/>
  <c r="E38" i="10"/>
  <c r="Q100" i="10"/>
  <c r="K109" i="10"/>
  <c r="I4" i="73"/>
  <c r="I4" i="69"/>
  <c r="Q109" i="10"/>
  <c r="I4" i="71"/>
  <c r="I4" i="54"/>
  <c r="K93" i="10"/>
  <c r="I4" i="42"/>
  <c r="I4" i="41"/>
  <c r="I4" i="33"/>
  <c r="I4" i="30"/>
  <c r="I4" i="24"/>
  <c r="I4" i="21"/>
  <c r="I4" i="19"/>
  <c r="E80" i="10"/>
  <c r="E66" i="10"/>
  <c r="Q53" i="10"/>
  <c r="Q32" i="10"/>
  <c r="K5" i="10"/>
  <c r="Q25" i="10"/>
  <c r="I4" i="74"/>
  <c r="Q87" i="10"/>
  <c r="I4" i="44"/>
  <c r="I4" i="31"/>
  <c r="I4" i="26"/>
  <c r="I4" i="20"/>
  <c r="I4" i="18"/>
  <c r="E73" i="10"/>
  <c r="E59" i="10"/>
  <c r="E46" i="10"/>
  <c r="Q38" i="10"/>
  <c r="Q11" i="10"/>
  <c r="E5" i="10"/>
  <c r="Q18" i="10"/>
  <c r="I4" i="72"/>
  <c r="Q93" i="10"/>
  <c r="I4" i="39"/>
  <c r="I4" i="37"/>
  <c r="I4" i="32"/>
  <c r="I4" i="29"/>
  <c r="I4" i="27"/>
  <c r="I4" i="25"/>
  <c r="I4" i="22"/>
  <c r="I4" i="2"/>
  <c r="K80" i="10"/>
  <c r="K66" i="10"/>
  <c r="K53" i="10"/>
  <c r="K32" i="10"/>
  <c r="Q5" i="10"/>
  <c r="K25" i="10"/>
  <c r="E18" i="10"/>
  <c r="I4" i="49"/>
  <c r="E53" i="10"/>
  <c r="K18" i="10"/>
  <c r="I4" i="35"/>
  <c r="I4" i="52"/>
  <c r="K87" i="10"/>
  <c r="I4" i="43"/>
  <c r="I4" i="40"/>
  <c r="I4" i="38"/>
  <c r="I4" i="17"/>
  <c r="K38" i="10"/>
  <c r="I4" i="34"/>
  <c r="I4" i="50"/>
  <c r="E25" i="10"/>
  <c r="I4" i="51"/>
  <c r="Q80" i="10"/>
  <c r="K11" i="10"/>
  <c r="I4" i="53"/>
  <c r="I4" i="23"/>
  <c r="Q66" i="10"/>
  <c r="E36" i="10"/>
  <c r="Q107" i="10"/>
  <c r="Q98" i="10"/>
  <c r="K107" i="10"/>
  <c r="E30" i="10"/>
  <c r="K98" i="10"/>
  <c r="K85" i="10"/>
  <c r="K78" i="10"/>
  <c r="K64" i="10"/>
  <c r="K51" i="10"/>
  <c r="K30" i="10"/>
  <c r="Q3" i="10"/>
  <c r="K23" i="10"/>
  <c r="E16" i="10"/>
  <c r="Q91" i="10"/>
  <c r="E78" i="10"/>
  <c r="E64" i="10"/>
  <c r="Q51" i="10"/>
  <c r="Q30" i="10"/>
  <c r="K3" i="10"/>
  <c r="Q23" i="10"/>
  <c r="Q85" i="10"/>
  <c r="Q78" i="10"/>
  <c r="Q64" i="10"/>
  <c r="E51" i="10"/>
  <c r="K36" i="10"/>
  <c r="K9" i="10"/>
  <c r="E23" i="10"/>
  <c r="K16" i="10"/>
  <c r="E57" i="10"/>
  <c r="E3" i="10"/>
  <c r="Q9" i="10"/>
  <c r="E44" i="10"/>
  <c r="Q16" i="10"/>
  <c r="E71" i="10"/>
  <c r="K91" i="10"/>
  <c r="Q36" i="10"/>
  <c r="B29" i="51"/>
  <c r="B43" i="74"/>
  <c r="B38" i="43"/>
  <c r="B29" i="54"/>
  <c r="B39" i="26"/>
  <c r="B43" i="72"/>
  <c r="B33" i="34"/>
  <c r="B33" i="39"/>
  <c r="B40" i="21"/>
  <c r="B40" i="31"/>
  <c r="G13" i="15"/>
  <c r="K13" i="15"/>
  <c r="B19" i="71"/>
  <c r="B19" i="69"/>
  <c r="B19" i="73"/>
  <c r="B19" i="72"/>
  <c r="B19" i="74"/>
  <c r="B19" i="70"/>
  <c r="B18" i="72"/>
  <c r="B18" i="71"/>
  <c r="B18" i="69"/>
  <c r="B18" i="74"/>
  <c r="B18" i="73"/>
  <c r="B18" i="70"/>
  <c r="C32" i="71"/>
  <c r="C32" i="69"/>
  <c r="C24" i="69"/>
  <c r="C24" i="74"/>
  <c r="C24" i="73"/>
  <c r="I32" i="72"/>
  <c r="I24" i="72"/>
  <c r="I32" i="71"/>
  <c r="I24" i="71"/>
  <c r="I32" i="69"/>
  <c r="I24" i="69"/>
  <c r="I32" i="74"/>
  <c r="I24" i="74"/>
  <c r="I32" i="73"/>
  <c r="I24" i="73"/>
  <c r="C32" i="72"/>
  <c r="C24" i="72"/>
  <c r="C24" i="71"/>
  <c r="C32" i="74"/>
  <c r="C32" i="73"/>
  <c r="I32" i="70"/>
  <c r="C32" i="70"/>
  <c r="I24" i="70"/>
  <c r="C24" i="70"/>
  <c r="B39" i="71"/>
  <c r="B39" i="73"/>
  <c r="B39" i="72"/>
  <c r="B39" i="69"/>
  <c r="B39" i="74"/>
  <c r="B39" i="70"/>
  <c r="F121" i="15"/>
  <c r="B35" i="16"/>
  <c r="L97" i="10"/>
  <c r="L3" i="71"/>
  <c r="L3" i="73"/>
  <c r="L84" i="10"/>
  <c r="L90" i="10"/>
  <c r="L3" i="38"/>
  <c r="L50" i="10"/>
  <c r="L22" i="10"/>
  <c r="L106" i="10"/>
  <c r="L3" i="33"/>
  <c r="L77" i="10"/>
  <c r="L3" i="53"/>
  <c r="L29" i="10"/>
  <c r="L15" i="10"/>
  <c r="L3" i="50"/>
  <c r="L2" i="42"/>
  <c r="L2" i="20"/>
  <c r="L63" i="10"/>
  <c r="L35" i="10"/>
  <c r="L2" i="30"/>
  <c r="B33" i="72"/>
  <c r="B25" i="72"/>
  <c r="B33" i="71"/>
  <c r="B25" i="71"/>
  <c r="B33" i="69"/>
  <c r="B25" i="69"/>
  <c r="B33" i="74"/>
  <c r="B25" i="74"/>
  <c r="B33" i="73"/>
  <c r="B25" i="73"/>
  <c r="H33" i="72"/>
  <c r="H25" i="72"/>
  <c r="H25" i="71"/>
  <c r="H33" i="69"/>
  <c r="H25" i="69"/>
  <c r="H33" i="74"/>
  <c r="H25" i="73"/>
  <c r="H33" i="71"/>
  <c r="H25" i="74"/>
  <c r="H33" i="73"/>
  <c r="B25" i="70"/>
  <c r="H25" i="70"/>
  <c r="B33" i="70"/>
  <c r="H33" i="70"/>
  <c r="C18" i="18"/>
  <c r="B27" i="67"/>
  <c r="B18" i="67"/>
  <c r="B20" i="64"/>
  <c r="B19" i="62"/>
  <c r="B24" i="58"/>
  <c r="B24" i="59"/>
  <c r="B24" i="57"/>
  <c r="B19" i="65"/>
  <c r="B21" i="61"/>
  <c r="B23" i="60"/>
  <c r="B19" i="66"/>
  <c r="B24" i="14"/>
  <c r="B410" i="11"/>
  <c r="N21" i="11"/>
  <c r="K5" i="70"/>
  <c r="K5" i="38"/>
  <c r="K5" i="17"/>
  <c r="K5" i="21"/>
  <c r="K5" i="54"/>
  <c r="K5" i="27"/>
  <c r="K5" i="49"/>
  <c r="K5" i="40"/>
  <c r="K5" i="34"/>
  <c r="K5" i="37"/>
  <c r="K5" i="41"/>
  <c r="K5" i="52"/>
  <c r="K5" i="24"/>
  <c r="K5" i="69"/>
  <c r="K5" i="35"/>
  <c r="K5" i="20"/>
  <c r="K5" i="50"/>
  <c r="K5" i="42"/>
  <c r="K5" i="74"/>
  <c r="K5" i="43"/>
  <c r="K5" i="23"/>
  <c r="K5" i="51"/>
  <c r="K5" i="31"/>
  <c r="K5" i="77"/>
  <c r="K5" i="26"/>
  <c r="K5" i="29"/>
  <c r="K5" i="53"/>
  <c r="K5" i="30"/>
  <c r="K5" i="76"/>
  <c r="K5" i="73"/>
  <c r="K5" i="39"/>
  <c r="K5" i="2"/>
  <c r="K5" i="72"/>
  <c r="K5" i="25"/>
  <c r="K5" i="71"/>
  <c r="K5" i="19"/>
  <c r="K5" i="18"/>
  <c r="K5" i="33"/>
  <c r="K5" i="32"/>
  <c r="K5" i="44"/>
  <c r="K5" i="22"/>
  <c r="F122" i="15"/>
  <c r="J122" i="15"/>
  <c r="B38" i="72"/>
  <c r="B38" i="71"/>
  <c r="B38" i="69"/>
  <c r="B38" i="74"/>
  <c r="B38" i="73"/>
  <c r="B38" i="70"/>
  <c r="H433" i="11"/>
  <c r="J298" i="11"/>
  <c r="L2" i="9"/>
  <c r="H2" i="8"/>
  <c r="C126" i="11"/>
  <c r="C1" i="12"/>
  <c r="E152" i="11"/>
  <c r="F219" i="10"/>
  <c r="C24" i="25"/>
  <c r="C18" i="2"/>
  <c r="N10" i="35"/>
  <c r="N10" i="54"/>
  <c r="N9" i="18"/>
  <c r="N9" i="24"/>
  <c r="N9" i="26"/>
  <c r="N9" i="31"/>
  <c r="J6" i="67"/>
  <c r="I6" i="62"/>
  <c r="I6" i="64"/>
  <c r="I8" i="16"/>
  <c r="N10" i="40"/>
  <c r="N10" i="69"/>
  <c r="N9" i="19"/>
  <c r="N9" i="22"/>
  <c r="N9" i="27"/>
  <c r="I6" i="14"/>
  <c r="I6" i="59"/>
  <c r="J6" i="56"/>
  <c r="N10" i="50"/>
  <c r="N9" i="17"/>
  <c r="N9" i="21"/>
  <c r="N9" i="23"/>
  <c r="N9" i="30"/>
  <c r="I6" i="57"/>
  <c r="I6" i="60"/>
  <c r="I6" i="58"/>
  <c r="N9" i="25"/>
  <c r="I6" i="61"/>
  <c r="K11" i="11"/>
  <c r="N10" i="44"/>
  <c r="N9" i="29"/>
  <c r="I6" i="65"/>
  <c r="T8" i="10"/>
  <c r="N9" i="20"/>
  <c r="N9" i="2"/>
  <c r="N6" i="15"/>
  <c r="N10" i="41"/>
  <c r="N10" i="71"/>
  <c r="N10" i="38"/>
  <c r="N10" i="73"/>
  <c r="N10" i="39"/>
  <c r="N10" i="74"/>
  <c r="N10" i="70"/>
  <c r="N10" i="52"/>
  <c r="N10" i="53"/>
  <c r="I6" i="66"/>
  <c r="N9" i="77"/>
  <c r="N10" i="42"/>
  <c r="N10" i="72"/>
  <c r="N10" i="43"/>
  <c r="N10" i="32"/>
  <c r="N10" i="37"/>
  <c r="N10" i="33"/>
  <c r="N10" i="34"/>
  <c r="CC6" i="48"/>
  <c r="N10" i="51"/>
  <c r="N9" i="76"/>
  <c r="I8" i="75"/>
  <c r="N10" i="49"/>
  <c r="J6" i="55"/>
  <c r="B56" i="77"/>
  <c r="B44" i="31"/>
  <c r="B44" i="21"/>
  <c r="B56" i="20"/>
  <c r="B56" i="19"/>
  <c r="G2" i="60"/>
  <c r="G2" i="59"/>
  <c r="M15" i="3"/>
  <c r="F24" i="3"/>
  <c r="G2" i="58"/>
  <c r="G4" i="60"/>
  <c r="G4" i="58"/>
  <c r="G2" i="57"/>
  <c r="F49" i="3"/>
  <c r="M24" i="3"/>
  <c r="L2" i="27"/>
  <c r="G2" i="14"/>
  <c r="G2" i="66"/>
  <c r="G2" i="65"/>
  <c r="G2" i="61"/>
  <c r="F59" i="3"/>
  <c r="F41" i="3"/>
  <c r="L2" i="18"/>
  <c r="G4" i="59"/>
  <c r="G2" i="62"/>
  <c r="M41" i="3"/>
  <c r="M34" i="3"/>
  <c r="F15" i="3"/>
  <c r="L2" i="32"/>
  <c r="L2" i="29"/>
  <c r="F34" i="3"/>
  <c r="L2" i="2"/>
  <c r="L2" i="34"/>
  <c r="L2" i="53"/>
  <c r="L2" i="33"/>
  <c r="G2" i="64"/>
  <c r="L2" i="51"/>
  <c r="L2" i="17"/>
  <c r="L2" i="54"/>
  <c r="L2" i="49"/>
  <c r="L2" i="50"/>
  <c r="L2" i="52"/>
  <c r="B121" i="15"/>
  <c r="J129" i="15"/>
  <c r="B2" i="16"/>
  <c r="L46" i="3"/>
  <c r="H1" i="67"/>
  <c r="I11" i="75"/>
  <c r="I36" i="16"/>
  <c r="J16" i="67"/>
  <c r="J14" i="56"/>
  <c r="J14" i="55"/>
  <c r="I11" i="16"/>
  <c r="B17" i="72"/>
  <c r="B17" i="71"/>
  <c r="B17" i="69"/>
  <c r="B17" i="74"/>
  <c r="B17" i="73"/>
  <c r="B17" i="70"/>
  <c r="L2" i="77"/>
  <c r="L267" i="48"/>
  <c r="G72" i="48"/>
  <c r="G84" i="48"/>
  <c r="F10" i="16"/>
  <c r="G10" i="16" s="1"/>
  <c r="C75" i="48"/>
  <c r="D72" i="48"/>
  <c r="C65" i="48"/>
  <c r="D267" i="48"/>
  <c r="D20" i="16"/>
  <c r="C266" i="48"/>
  <c r="C19" i="16"/>
  <c r="D75" i="48"/>
  <c r="B20" i="48"/>
  <c r="B10" i="16"/>
  <c r="B84" i="48"/>
  <c r="C72" i="48"/>
  <c r="B41" i="29"/>
  <c r="B41" i="31"/>
  <c r="B116" i="48"/>
  <c r="B57" i="42"/>
  <c r="B49" i="31"/>
  <c r="B59" i="77"/>
  <c r="B45" i="43"/>
  <c r="B59" i="30"/>
  <c r="B47" i="29"/>
  <c r="B54" i="76"/>
  <c r="B54" i="27"/>
  <c r="B51" i="24"/>
  <c r="B75" i="48"/>
  <c r="H41" i="29"/>
  <c r="H41" i="31"/>
  <c r="C116" i="48"/>
  <c r="G33" i="16" l="1"/>
  <c r="M277" i="48"/>
  <c r="H277" i="48" s="1"/>
  <c r="R8" i="65"/>
  <c r="R6" i="66"/>
  <c r="R10" i="58"/>
  <c r="R7" i="62"/>
  <c r="R15" i="57"/>
  <c r="R72" i="67"/>
  <c r="R13" i="14"/>
  <c r="R13" i="64"/>
  <c r="R51" i="56"/>
  <c r="R34" i="55"/>
  <c r="R10" i="59"/>
  <c r="R9" i="61"/>
  <c r="U60" i="39"/>
  <c r="U70" i="24"/>
  <c r="H106" i="48"/>
  <c r="U90" i="74"/>
  <c r="U60" i="35"/>
  <c r="U60" i="32"/>
  <c r="U60" i="33"/>
  <c r="U60" i="34"/>
  <c r="U60" i="40"/>
  <c r="U60" i="37"/>
  <c r="U60" i="38"/>
  <c r="U70" i="44"/>
  <c r="U90" i="41"/>
  <c r="U90" i="42"/>
  <c r="U90" i="43"/>
  <c r="U90" i="49"/>
  <c r="U90" i="50"/>
  <c r="U86" i="51"/>
  <c r="U90" i="52"/>
  <c r="U90" i="53"/>
  <c r="U70" i="25"/>
  <c r="U70" i="23"/>
  <c r="U70" i="26"/>
  <c r="U90" i="2"/>
  <c r="U90" i="17"/>
  <c r="U90" i="18"/>
  <c r="U90" i="19"/>
  <c r="U90" i="20"/>
  <c r="U90" i="21"/>
  <c r="U90" i="76"/>
  <c r="U90" i="27"/>
  <c r="U90" i="29"/>
  <c r="U90" i="77"/>
  <c r="U90" i="30"/>
  <c r="U90" i="31"/>
  <c r="U92" i="54"/>
  <c r="U90" i="71"/>
  <c r="U90" i="72"/>
  <c r="U90" i="70"/>
  <c r="U90" i="73"/>
  <c r="U90" i="69"/>
  <c r="M267" i="48"/>
  <c r="H267" i="48" s="1"/>
  <c r="M112" i="48"/>
  <c r="H112" i="48" s="1"/>
  <c r="M114" i="48"/>
  <c r="U7" i="22"/>
  <c r="U9" i="22"/>
  <c r="U8" i="22"/>
  <c r="C31" i="26"/>
  <c r="C31" i="29"/>
  <c r="C31" i="2"/>
  <c r="M94" i="48"/>
  <c r="H94" i="48" s="1"/>
  <c r="M116" i="48"/>
  <c r="H116" i="48" s="1"/>
  <c r="M93" i="48"/>
  <c r="H93" i="48" s="1"/>
  <c r="M84" i="48"/>
  <c r="H84" i="48" s="1"/>
  <c r="M75" i="48"/>
  <c r="H75" i="48" s="1"/>
  <c r="M65" i="48"/>
  <c r="H65" i="48" s="1"/>
  <c r="M266" i="48"/>
  <c r="H266" i="48" s="1"/>
  <c r="M74" i="48"/>
  <c r="H74" i="48" s="1"/>
  <c r="G36" i="75"/>
  <c r="G54" i="16"/>
  <c r="M72" i="48"/>
  <c r="H72" i="48" s="1"/>
  <c r="C31" i="22"/>
  <c r="M6" i="48" l="1"/>
  <c r="U70" i="22"/>
  <c r="M321" i="48"/>
  <c r="G322" i="48" s="1"/>
</calcChain>
</file>

<file path=xl/sharedStrings.xml><?xml version="1.0" encoding="utf-8"?>
<sst xmlns="http://schemas.openxmlformats.org/spreadsheetml/2006/main" count="3987" uniqueCount="1571">
  <si>
    <t>Držáky čela vnitřního výsuvu D, hedvábně bílé</t>
  </si>
  <si>
    <t>Držáky čela vnitřního výsuvu D, černé</t>
  </si>
  <si>
    <t>Přední díl vnitřní zásuvky, šedý</t>
  </si>
  <si>
    <t>Přední díl vnitřní zásuvky, hedvábně bílý</t>
  </si>
  <si>
    <t>Přední díl vnitřní zásuvky, černý Terra</t>
  </si>
  <si>
    <t>Úchytka pro vnirřní zásuvku, bílošedá</t>
  </si>
  <si>
    <t>Úchytka pro vnirřní zásuvku, hedvábně bílá</t>
  </si>
  <si>
    <t>Úchytka pro vnirřní zásuvku, černá</t>
  </si>
  <si>
    <t>Úchytka a unašeč pro vnirřní zásuvku, bílošedá</t>
  </si>
  <si>
    <t>Úchytka a unašeč pro vnirřní zásuvku, hedvábně bílá</t>
  </si>
  <si>
    <t>Podélný reling vlevo/vpravo, 650mm, šedý</t>
  </si>
  <si>
    <t>Podélný reling vlevo/vpravo, 650mm, hedvábně bílý</t>
  </si>
  <si>
    <t>Podélný reling vlevo/vpravo, 650mm, černý Terra</t>
  </si>
  <si>
    <t>ZRG.587RSIC</t>
  </si>
  <si>
    <t>Ostatní</t>
  </si>
  <si>
    <t>OL Ost</t>
  </si>
  <si>
    <t>Držák nožů</t>
  </si>
  <si>
    <t>ZSI.500KI4</t>
  </si>
  <si>
    <t>Příčný dělící prvek 88mm</t>
  </si>
  <si>
    <t>Miska 88x88mm</t>
  </si>
  <si>
    <t>Miska 88x176mm</t>
  </si>
  <si>
    <t>Miska 88x264mm</t>
  </si>
  <si>
    <t>Miska 88x352mm</t>
  </si>
  <si>
    <t>Příčka ke zkrácení, KB 300mm, šedá</t>
  </si>
  <si>
    <t>Příčka ke zkrácení, KB 300mm, hedvábně bílá</t>
  </si>
  <si>
    <t>Příčka ke zkrácení, KB 300mm, černá Terra</t>
  </si>
  <si>
    <t>Příčka ke zkrácení, KB 600mm, šedá</t>
  </si>
  <si>
    <t>Příčka ke zkrácení, KB 600mm, hedvábně bílá</t>
  </si>
  <si>
    <t>Příčka ke zkrácení, KB 600mm, černá Terra</t>
  </si>
  <si>
    <t>Příčka ke zkrácení, KB 900mm, šedá</t>
  </si>
  <si>
    <t>Příčka ke zkrácení, KB 900mm, hedvábně bílá</t>
  </si>
  <si>
    <t>Příčka ke zkrácení, KB 900mm, černá Terra</t>
  </si>
  <si>
    <t>Koncovka pro příčku, pro reling, D, bílošedá</t>
  </si>
  <si>
    <t>Koncovka pro příčku, pro reling, D, hedvábně bílá</t>
  </si>
  <si>
    <t>Koncovka pro příčku, pro reling, D, černá</t>
  </si>
  <si>
    <t>Koncovka pro příčku, pro reling, C, bílošedá</t>
  </si>
  <si>
    <t>Koncovka pro příčku, pro reling, C, hedvábně bílá</t>
  </si>
  <si>
    <t>Koncovka pro příčku, pro reling, C, černá</t>
  </si>
  <si>
    <t>Z40C0002Z</t>
  </si>
  <si>
    <t>Sada držáků, pro vlastní zásuvný prvek</t>
  </si>
  <si>
    <t>Vyberte způsob montáže čelního kování</t>
  </si>
  <si>
    <t>Vyberte barvu povrchové úpravy</t>
  </si>
  <si>
    <t xml:space="preserve">Zadáte-li slevu s mínusovým znamínkem, zobrazí se ceny o tuto hodnotu vyšší </t>
  </si>
  <si>
    <t>Kliknutím na označení vyberte požadovaný výsuv</t>
  </si>
  <si>
    <t>Příčka ke zkrácení, KB 1200mm, šedá</t>
  </si>
  <si>
    <t>Příčka ke zkrácení, KB 1200mm, hedvábně bílá</t>
  </si>
  <si>
    <t>Příčka ke zkrácení, KB 1200mm, černá Terra</t>
  </si>
  <si>
    <t>Z40L177A</t>
  </si>
  <si>
    <t>Z40L477A</t>
  </si>
  <si>
    <t>Z40L777A</t>
  </si>
  <si>
    <t>Z40L1077A</t>
  </si>
  <si>
    <t>Koncovka pro příčku, pro mezistěnu, bílošedá</t>
  </si>
  <si>
    <t>Z40D0002Z</t>
  </si>
  <si>
    <t>Sada držáků zásuvného prvku D, bílošedá</t>
  </si>
  <si>
    <t>Sada držáků zásuvného prvku D, černá</t>
  </si>
  <si>
    <t>Podélné dělení, šedé</t>
  </si>
  <si>
    <t>Z43L100S</t>
  </si>
  <si>
    <t>Podélné dělení, hedvábně bílé</t>
  </si>
  <si>
    <t>Podélné dělení, černé Terra</t>
  </si>
  <si>
    <t>Koncovka pro příčku, pro mezistěnu, hedvábně bílá</t>
  </si>
  <si>
    <t>Koncovka pro příčku, pro mezistěnu, černá</t>
  </si>
  <si>
    <t>ZRG.1104Q</t>
  </si>
  <si>
    <t>ZRU.01E0</t>
  </si>
  <si>
    <t>Koncovka pro příčný reling, bílošedá</t>
  </si>
  <si>
    <t>Koncovka pro příčný reling, hedvábně bílá</t>
  </si>
  <si>
    <t>Koncovka pro příčný reling, černá</t>
  </si>
  <si>
    <t>Podélné dělení pro reling, bílošedé</t>
  </si>
  <si>
    <t>ZRU.11F0</t>
  </si>
  <si>
    <t>Podélné dělení pro reling, hedvábně bílé</t>
  </si>
  <si>
    <t>Podélné dělení pro reling, černé</t>
  </si>
  <si>
    <t>Z48.30B0I6</t>
  </si>
  <si>
    <t>Držák s řezákem na alufolie</t>
  </si>
  <si>
    <t>Držák s řezákem na potravinové folie</t>
  </si>
  <si>
    <t>Příčný dělící prvek 176mm</t>
  </si>
  <si>
    <t>Z10D01E0.01</t>
  </si>
  <si>
    <t>Z10D01EA.01</t>
  </si>
  <si>
    <t>Z10D0311</t>
  </si>
  <si>
    <t>Z10D7201.01</t>
  </si>
  <si>
    <t>Držák napájecího zdroje - montáž do dna</t>
  </si>
  <si>
    <t>Držák napájecího zdroje - montáž na stěnu</t>
  </si>
  <si>
    <t>Synchronizační kabel 50cm</t>
  </si>
  <si>
    <t>Z10K050S</t>
  </si>
  <si>
    <t>COMBOX</t>
  </si>
  <si>
    <t>Z10ZC00A</t>
  </si>
  <si>
    <t>ZSF.345E.D1</t>
  </si>
  <si>
    <t>AD M30G</t>
  </si>
  <si>
    <t>AD M30M</t>
  </si>
  <si>
    <t>AD M30R</t>
  </si>
  <si>
    <t>AD D32G</t>
  </si>
  <si>
    <t>AD D32M</t>
  </si>
  <si>
    <t>AD D32R</t>
  </si>
  <si>
    <t>Sady misek</t>
  </si>
  <si>
    <t>275 - 1200 mm</t>
  </si>
  <si>
    <t>Informace k objednávání</t>
  </si>
  <si>
    <r>
      <t xml:space="preserve">  X</t>
    </r>
    <r>
      <rPr>
        <b/>
        <sz val="8"/>
        <color indexed="10"/>
        <rFont val="Arial"/>
        <family val="2"/>
        <charset val="238"/>
      </rPr>
      <t>1</t>
    </r>
    <r>
      <rPr>
        <b/>
        <sz val="10"/>
        <color indexed="10"/>
        <rFont val="Arial"/>
        <family val="2"/>
        <charset val="238"/>
      </rPr>
      <t>, X</t>
    </r>
    <r>
      <rPr>
        <b/>
        <sz val="8"/>
        <color indexed="10"/>
        <rFont val="Arial"/>
        <family val="2"/>
        <charset val="238"/>
      </rPr>
      <t>2</t>
    </r>
    <r>
      <rPr>
        <b/>
        <sz val="10"/>
        <color indexed="10"/>
        <rFont val="Arial"/>
        <family val="2"/>
        <charset val="238"/>
      </rPr>
      <t xml:space="preserve"> = 108 mm</t>
    </r>
  </si>
  <si>
    <t xml:space="preserve">         Y = 108 mm</t>
  </si>
  <si>
    <t>275 - 1200</t>
  </si>
  <si>
    <t>Sady rozdělovníků</t>
  </si>
  <si>
    <t>400 - 1200</t>
  </si>
  <si>
    <t>300 - 600</t>
  </si>
  <si>
    <t>Příčné dělení</t>
  </si>
  <si>
    <t>Držáky talířů</t>
  </si>
  <si>
    <t>Mezistěny</t>
  </si>
  <si>
    <t>Držáky na kořenky</t>
  </si>
  <si>
    <t>600 - 1200</t>
  </si>
  <si>
    <t>400, 450</t>
  </si>
  <si>
    <t>400 - 600</t>
  </si>
  <si>
    <t>300 - 1200</t>
  </si>
  <si>
    <t>pro zásuvky</t>
  </si>
  <si>
    <t>pro čelní výsuvy</t>
  </si>
  <si>
    <t>Příčný reling nelze kombinovat s mezistěnou</t>
  </si>
  <si>
    <t>Zóny DYNAMIC SPACE</t>
  </si>
  <si>
    <t>ORGA-LINE</t>
  </si>
  <si>
    <t>3c</t>
  </si>
  <si>
    <t>Vaření / pečení</t>
  </si>
  <si>
    <t>400 - 1200 mm</t>
  </si>
  <si>
    <t>3d</t>
  </si>
  <si>
    <t>Doporučený počet kusů:</t>
  </si>
  <si>
    <t>KB 600 - 750</t>
  </si>
  <si>
    <t>KB 400 - 550</t>
  </si>
  <si>
    <t>KB 800 - 950</t>
  </si>
  <si>
    <t>KB 1000 - 1200</t>
  </si>
  <si>
    <t>400 - 600 mm</t>
  </si>
  <si>
    <t>300 mm</t>
  </si>
  <si>
    <t>300, 400 a 450 mm</t>
  </si>
  <si>
    <t>300 - 600 mm</t>
  </si>
  <si>
    <t>Vhodné pro</t>
  </si>
  <si>
    <t>SPACE-CORNER</t>
  </si>
  <si>
    <t>2a</t>
  </si>
  <si>
    <t>2b</t>
  </si>
  <si>
    <t>2c</t>
  </si>
  <si>
    <t>Příčný reling ke zkrácení</t>
  </si>
  <si>
    <t>Délka relingu</t>
  </si>
  <si>
    <t>Přířezy relingu</t>
  </si>
  <si>
    <t>X = LW - 63</t>
  </si>
  <si>
    <t>1104 mm</t>
  </si>
  <si>
    <t>Koncovka pro reling</t>
  </si>
  <si>
    <t>Podélné dělení pro reling</t>
  </si>
  <si>
    <t>OL Mi</t>
  </si>
  <si>
    <t>OL Ro</t>
  </si>
  <si>
    <t>OL P1</t>
  </si>
  <si>
    <t>OL P2</t>
  </si>
  <si>
    <t>OL Ta</t>
  </si>
  <si>
    <t>OL VMP</t>
  </si>
  <si>
    <t>OL KMP</t>
  </si>
  <si>
    <t>OL VM</t>
  </si>
  <si>
    <t>OL Ko</t>
  </si>
  <si>
    <t>OL Va</t>
  </si>
  <si>
    <t>OL Me</t>
  </si>
  <si>
    <t>OL Rel</t>
  </si>
  <si>
    <t>Acess</t>
  </si>
  <si>
    <t>Z40L0002</t>
  </si>
  <si>
    <t>Stabilizace čel</t>
  </si>
  <si>
    <t>Podložka CLIP na vruty</t>
  </si>
  <si>
    <t>Podložka CLIP EXPANDO</t>
  </si>
  <si>
    <t>Podložka CLIP s excentrem</t>
  </si>
  <si>
    <t>Podložka CLIP s excentrem, EXPANDO</t>
  </si>
  <si>
    <t>Podložka CLIP top přímá</t>
  </si>
  <si>
    <t>Podložka CLIP top přímá, EXPANDO</t>
  </si>
  <si>
    <t>BLUMOTION v křížovém adaptéru</t>
  </si>
  <si>
    <t>175H3100</t>
  </si>
  <si>
    <t>71T753EN</t>
  </si>
  <si>
    <t>174E6100.01</t>
  </si>
  <si>
    <t>177H3100E</t>
  </si>
  <si>
    <t>CLIP top 155° s nulovým přesahem</t>
  </si>
  <si>
    <t>CLIP top 155° s nulovým přesahem, EXPANDO</t>
  </si>
  <si>
    <t>CLIP top 155° s nulovým přesahem, bez pružiny</t>
  </si>
  <si>
    <t>ZRR.5200</t>
  </si>
  <si>
    <t>Z30D000S</t>
  </si>
  <si>
    <t>Bočnice K 500mm, šedé</t>
  </si>
  <si>
    <t>Bočnice K 500mm, hedvábně bílé</t>
  </si>
  <si>
    <t>Bočnice K 500mm, černé Terra</t>
  </si>
  <si>
    <t xml:space="preserve">Barva: </t>
  </si>
  <si>
    <t xml:space="preserve">Cena:  </t>
  </si>
  <si>
    <t xml:space="preserve">Sklo:  </t>
  </si>
  <si>
    <t xml:space="preserve">   Relingy</t>
  </si>
  <si>
    <t xml:space="preserve">   Držáky zadní stěny</t>
  </si>
  <si>
    <t xml:space="preserve">   Čelní kování</t>
  </si>
  <si>
    <t xml:space="preserve">   Vnitřní výsuvy</t>
  </si>
  <si>
    <t xml:space="preserve">   Zásuvné prvky</t>
  </si>
  <si>
    <t xml:space="preserve">   SPACE CORNER</t>
  </si>
  <si>
    <t xml:space="preserve">   Dřezový výsuv, odpadky</t>
  </si>
  <si>
    <t xml:space="preserve">   ORGA-LINE sady misek</t>
  </si>
  <si>
    <t xml:space="preserve">   ORGA-LINE sady rozdělovníků</t>
  </si>
  <si>
    <t xml:space="preserve">   ORGA-LINE sady Kombi</t>
  </si>
  <si>
    <t xml:space="preserve">   ORGA-LINE doplňky</t>
  </si>
  <si>
    <t xml:space="preserve">   ORGA-LINE příčné dělení</t>
  </si>
  <si>
    <t xml:space="preserve">   ORGA-LINE mezistěny</t>
  </si>
  <si>
    <t xml:space="preserve">   ORGA-LINE vana na lahve</t>
  </si>
  <si>
    <t xml:space="preserve">   ORGA-LINE pomůcky do kuchyně</t>
  </si>
  <si>
    <t xml:space="preserve">   SERVO-DRIVE</t>
  </si>
  <si>
    <t xml:space="preserve">   Ostatní</t>
  </si>
  <si>
    <t xml:space="preserve">   Závěsy</t>
  </si>
  <si>
    <t xml:space="preserve">Čelní kování:  </t>
  </si>
  <si>
    <t>Příčný reling vnitřní zásuvky, šedý</t>
  </si>
  <si>
    <t>Příčný reling vnitřní zásuvky, hedvábně bílý</t>
  </si>
  <si>
    <t>Příčný reling vnitřní zásuvky, černý Terra</t>
  </si>
  <si>
    <t>Variabilní držák relingu, vlevo/vpravo, černý Terra</t>
  </si>
  <si>
    <t>Sada držáků zásuvného prvku D, hedvábně bílá</t>
  </si>
  <si>
    <t>Sada držáků zásuvného prvku C, bílošedá</t>
  </si>
  <si>
    <t>Sada držáků zásuvného prvku C, hedvábně bílá</t>
  </si>
  <si>
    <t>Sada držáků zásuvného prvku C, černá</t>
  </si>
  <si>
    <t>Z36C0080</t>
  </si>
  <si>
    <t>Kovový zásuvný prvek C, 500mm, šedý</t>
  </si>
  <si>
    <t>Kovový zásuvný prvek C, 500mm, hedvábně bílý</t>
  </si>
  <si>
    <t>Kovový zásuvný prvek C, 500mm, černý Terra</t>
  </si>
  <si>
    <t>Z37A467C</t>
  </si>
  <si>
    <t>Zásuvný prvek C, 500mm, čiré sko</t>
  </si>
  <si>
    <t>Zásuvný prvek C, 500mm, saténované sko</t>
  </si>
  <si>
    <t>Z37R467C</t>
  </si>
  <si>
    <t>AD D45G</t>
  </si>
  <si>
    <t>AD M45M</t>
  </si>
  <si>
    <t>AD M45R</t>
  </si>
  <si>
    <t>AD D45M</t>
  </si>
  <si>
    <t>AD D45R</t>
  </si>
  <si>
    <t>SPACE-TOWER, sestava 5xD</t>
  </si>
  <si>
    <t>SPACE-TOWER, sestava 4xD + 1xM</t>
  </si>
  <si>
    <t>596 mm</t>
  </si>
  <si>
    <t>496 mm</t>
  </si>
  <si>
    <t>1500 mm</t>
  </si>
  <si>
    <t>1380 mm</t>
  </si>
  <si>
    <t>4a</t>
  </si>
  <si>
    <t>4b</t>
  </si>
  <si>
    <t>5b</t>
  </si>
  <si>
    <t>Samostatné sady</t>
  </si>
  <si>
    <t>Misky</t>
  </si>
  <si>
    <t>Příčné dělící prvky</t>
  </si>
  <si>
    <t>Pomůcky do kuchyně</t>
  </si>
  <si>
    <t>Cenová hladina</t>
  </si>
  <si>
    <t>Základní ceny</t>
  </si>
  <si>
    <t>Nákupní ceny</t>
  </si>
  <si>
    <t>Se slevou</t>
  </si>
  <si>
    <t>Zadejte výši slevy</t>
  </si>
  <si>
    <t>Ceny s volitelnou slevou</t>
  </si>
  <si>
    <t>Ceny se slevou od prodejce</t>
  </si>
  <si>
    <t>Nastavit</t>
  </si>
  <si>
    <t>Cena kování</t>
  </si>
  <si>
    <t>Název</t>
  </si>
  <si>
    <t>Číslo artiklu</t>
  </si>
  <si>
    <t>Ks</t>
  </si>
  <si>
    <t>Jednotková cena</t>
  </si>
  <si>
    <t>Celkem</t>
  </si>
  <si>
    <t>Změna</t>
  </si>
  <si>
    <t>Cena celkem bez DPH</t>
  </si>
  <si>
    <t>Kč</t>
  </si>
  <si>
    <t>Šířka korpusu</t>
  </si>
  <si>
    <t>450 mm</t>
  </si>
  <si>
    <t>600 mm</t>
  </si>
  <si>
    <t>450, 600 mm</t>
  </si>
  <si>
    <t>AD M45G</t>
  </si>
  <si>
    <t>Doporučená hodnota</t>
  </si>
  <si>
    <t>na vruty</t>
  </si>
  <si>
    <t>Nápověda</t>
  </si>
  <si>
    <t>Odkazy</t>
  </si>
  <si>
    <t>Objednávka</t>
  </si>
  <si>
    <t>Doplňky</t>
  </si>
  <si>
    <t>Soupis kování</t>
  </si>
  <si>
    <t>Základní údaje</t>
  </si>
  <si>
    <t>Zpět</t>
  </si>
  <si>
    <t>do</t>
  </si>
  <si>
    <t>pro úzké korpusy</t>
  </si>
  <si>
    <t>sestava</t>
  </si>
  <si>
    <t>kusy</t>
  </si>
  <si>
    <t>celkem</t>
  </si>
  <si>
    <t>AC 310G</t>
  </si>
  <si>
    <t>Výpočet hmotnosti</t>
  </si>
  <si>
    <t>od</t>
  </si>
  <si>
    <t>Verze</t>
  </si>
  <si>
    <t>Platnost ceníku od</t>
  </si>
  <si>
    <t>Sleva</t>
  </si>
  <si>
    <t>Prodejce</t>
  </si>
  <si>
    <t>Sleva od prodejce</t>
  </si>
  <si>
    <t>Ceník</t>
  </si>
  <si>
    <t>AD 342R</t>
  </si>
  <si>
    <t>označení:</t>
  </si>
  <si>
    <t>bočnice:</t>
  </si>
  <si>
    <t>potřebný prostor:</t>
  </si>
  <si>
    <t>Věnujte pozornost pokynům - zde</t>
  </si>
  <si>
    <t>Minimální rozměry přířezu dna</t>
  </si>
  <si>
    <t>Firma Blum ani prodejci neručí za jejich správnost.</t>
  </si>
  <si>
    <t>Formulář pro identifikační údaje</t>
  </si>
  <si>
    <t>Odběratel</t>
  </si>
  <si>
    <t>Adresa</t>
  </si>
  <si>
    <t>Dodací adresa</t>
  </si>
  <si>
    <t>IČO, DIČ</t>
  </si>
  <si>
    <t>Telefon, fax, e-mail</t>
  </si>
  <si>
    <t>Číslo objednávky</t>
  </si>
  <si>
    <t>Zakázka</t>
  </si>
  <si>
    <t>Poznámka</t>
  </si>
  <si>
    <t>Zde můžete vložit vlastní položky (následujících 10 řádků, zobrazí se v objednávce)</t>
  </si>
  <si>
    <t>Vytvořit objednávku</t>
  </si>
  <si>
    <r>
      <t>Chcete-li objednávku uložit nebo odeslat jako přílohu,</t>
    </r>
    <r>
      <rPr>
        <sz val="9"/>
        <color indexed="8"/>
        <rFont val="Arial"/>
        <family val="2"/>
        <charset val="238"/>
      </rPr>
      <t xml:space="preserve"> vytvořte nový soubor kliknutím na odkaz</t>
    </r>
  </si>
  <si>
    <t>Před prvním spuštěním</t>
  </si>
  <si>
    <t xml:space="preserve">Přejděte na </t>
  </si>
  <si>
    <t>Identifikační údaje se budou zobrazovat v objednávkách</t>
  </si>
  <si>
    <t>Na úvodní obrazovce vyberte, jaké ceny se budou zobrazovat:</t>
  </si>
  <si>
    <t>Základní (ceníkové) ceny bez slevy</t>
  </si>
  <si>
    <t>Legenda</t>
  </si>
  <si>
    <t>Změna zobrazovaných hodnot</t>
  </si>
  <si>
    <t>Upozornění</t>
  </si>
  <si>
    <t>Informace a vysvětlivky</t>
  </si>
  <si>
    <t>Tip</t>
  </si>
  <si>
    <t>Odkazy na brožury, montážní návody a instrukážní videa</t>
  </si>
  <si>
    <t>Soubory PDF</t>
  </si>
  <si>
    <t>AD 635G</t>
  </si>
  <si>
    <t>AM 530S</t>
  </si>
  <si>
    <t>AM 630S</t>
  </si>
  <si>
    <t>AD 535R</t>
  </si>
  <si>
    <t>AD 635R</t>
  </si>
  <si>
    <t>ZST.500BA</t>
  </si>
  <si>
    <t>Mezistěnu nelze použít pro vnitřní výsuv</t>
  </si>
  <si>
    <t>AD 535SG</t>
  </si>
  <si>
    <t>AD 535SM</t>
  </si>
  <si>
    <t>AC 535SR</t>
  </si>
  <si>
    <t>AD 635SG</t>
  </si>
  <si>
    <t>Držáky zadní stěny M SPACE-CORNER, šedé</t>
  </si>
  <si>
    <t>Držáky zadní stěny M SPACE-CORNER, hedv.bílé</t>
  </si>
  <si>
    <t>Držáky zadní stěny M SPACE-CORNER, černé Terra</t>
  </si>
  <si>
    <t>Držáky zadní stěny D SPACE-CORNER, šedé</t>
  </si>
  <si>
    <t>Držáky zadní stěny D SPACE-CORNER, hedv.bílé</t>
  </si>
  <si>
    <t>Držáky zadní stěny D SPACE-CORNER, černé Terra</t>
  </si>
  <si>
    <t>AD 535SR</t>
  </si>
  <si>
    <t>AD 635SR</t>
  </si>
  <si>
    <t>AM 630</t>
  </si>
  <si>
    <t>Po úpravě objenávky odfiltrujte pomocí filtru ve sloupci "Ks" prázné řádky.</t>
  </si>
  <si>
    <t>Údaje pro objednávku, zadání slevy od prodejce</t>
  </si>
  <si>
    <t>jazyk</t>
  </si>
  <si>
    <t>Tato aplikace slouží k snadnějšímu objednávání kování.</t>
  </si>
  <si>
    <t>228 mm</t>
  </si>
  <si>
    <t>M</t>
  </si>
  <si>
    <t>Zásuvka</t>
  </si>
  <si>
    <t>Vnitřní zásuvka</t>
  </si>
  <si>
    <t>Čelní výsuv</t>
  </si>
  <si>
    <t>Vnitřní výsuv</t>
  </si>
  <si>
    <t>Dřezová zásuvka</t>
  </si>
  <si>
    <t>Dřezový výsuv</t>
  </si>
  <si>
    <t>Příčný reling ke zkrácení, šedý</t>
  </si>
  <si>
    <t>Příčný reling ke zkrácení, hedvábně bílý</t>
  </si>
  <si>
    <t>Příčný reling ke zkrácení, černý Terra</t>
  </si>
  <si>
    <t>podélný reling</t>
  </si>
  <si>
    <t>zásuvný prvek sklo</t>
  </si>
  <si>
    <t>kovový zásuvný prvek</t>
  </si>
  <si>
    <t>AD 310R</t>
  </si>
  <si>
    <t>AD 31VG</t>
  </si>
  <si>
    <t>AD 31VR</t>
  </si>
  <si>
    <t>AN 300</t>
  </si>
  <si>
    <t>N</t>
  </si>
  <si>
    <t>82,5 mm</t>
  </si>
  <si>
    <t>98,5 mm</t>
  </si>
  <si>
    <t>AM 300</t>
  </si>
  <si>
    <t>AK 300</t>
  </si>
  <si>
    <t>K</t>
  </si>
  <si>
    <t>Úvod</t>
  </si>
  <si>
    <t>AM 30V</t>
  </si>
  <si>
    <t>AK 30V</t>
  </si>
  <si>
    <t>106 mm</t>
  </si>
  <si>
    <t>136,5 mm</t>
  </si>
  <si>
    <t>AC 310M</t>
  </si>
  <si>
    <t>AC 310R</t>
  </si>
  <si>
    <t>AC 31VR</t>
  </si>
  <si>
    <t>196 mm</t>
  </si>
  <si>
    <t>Zásuvky</t>
  </si>
  <si>
    <t>Vnitřní zásuvky</t>
  </si>
  <si>
    <t>Čelní výsuvy</t>
  </si>
  <si>
    <t>Vnitřní výsuvy</t>
  </si>
  <si>
    <t>Dřezové zásuvky</t>
  </si>
  <si>
    <t>Dřezové výsuvy</t>
  </si>
  <si>
    <t>s nehybnými čely</t>
  </si>
  <si>
    <t>AD 31VM</t>
  </si>
  <si>
    <t>AC 31VM</t>
  </si>
  <si>
    <t>AD 535M</t>
  </si>
  <si>
    <t>AD 535G</t>
  </si>
  <si>
    <t>AC 535R</t>
  </si>
  <si>
    <t>se SYNCROMOTION</t>
  </si>
  <si>
    <t>označení</t>
  </si>
  <si>
    <t>bočnice</t>
  </si>
  <si>
    <t>potřebný prostor</t>
  </si>
  <si>
    <t>AM 340</t>
  </si>
  <si>
    <t>AD 342M</t>
  </si>
  <si>
    <t>AC 342R</t>
  </si>
  <si>
    <t>Přehled</t>
  </si>
  <si>
    <t>Vybrané zásuvky</t>
  </si>
  <si>
    <t>AM 530</t>
  </si>
  <si>
    <t>AD 342G</t>
  </si>
  <si>
    <t>šedá</t>
  </si>
  <si>
    <t>hedvábně bílá</t>
  </si>
  <si>
    <t>černá Terra</t>
  </si>
  <si>
    <t>čiré</t>
  </si>
  <si>
    <t>saténované</t>
  </si>
  <si>
    <t>barva</t>
  </si>
  <si>
    <t>sklo</t>
  </si>
  <si>
    <t>čelní kování</t>
  </si>
  <si>
    <t>Výběr zásuvek a výsuvů</t>
  </si>
  <si>
    <t>Vítejte v aplikaci BOXPLAN</t>
  </si>
  <si>
    <t>List</t>
  </si>
  <si>
    <t>IDNr.</t>
  </si>
  <si>
    <t>Vana na láhve, 500mm</t>
  </si>
  <si>
    <t>Mezistěna, 500mm, šedá</t>
  </si>
  <si>
    <t>Mezistěna, 500mm, hedvábně bílá</t>
  </si>
  <si>
    <t>Mezistěna, 500mm, černá Terra</t>
  </si>
  <si>
    <t>Koncovka pro příčku</t>
  </si>
  <si>
    <t>pro reling</t>
  </si>
  <si>
    <t>pro mezistěnu</t>
  </si>
  <si>
    <t>Držák s řezákem alufolie</t>
  </si>
  <si>
    <t>Držák na kořenky</t>
  </si>
  <si>
    <t>Přířezy příčky</t>
  </si>
  <si>
    <t>Délky příček</t>
  </si>
  <si>
    <t xml:space="preserve"> *</t>
  </si>
  <si>
    <t>KB 300 = 177,0 mm</t>
  </si>
  <si>
    <t>KB 600 = 477,0 mm</t>
  </si>
  <si>
    <t>KB 1200 = 1077,0 mm</t>
  </si>
  <si>
    <t>KB 900 = 777,0 mm</t>
  </si>
  <si>
    <t>Základní prvek</t>
  </si>
  <si>
    <t>600 - 1200 mm</t>
  </si>
  <si>
    <t>Příčky</t>
  </si>
  <si>
    <t>Zpět na</t>
  </si>
  <si>
    <t>Pokračovat na</t>
  </si>
  <si>
    <t>Zásuvky a výsuvy</t>
  </si>
  <si>
    <t>Souhrn</t>
  </si>
  <si>
    <t>Výběr doplňků</t>
  </si>
  <si>
    <t>Výběr ORGA-LINE</t>
  </si>
  <si>
    <t>Volitelně</t>
  </si>
  <si>
    <t>Přířezy prvků</t>
  </si>
  <si>
    <t>Přední díl</t>
  </si>
  <si>
    <t>Příčný reling</t>
  </si>
  <si>
    <t>Pro každý výsuv je započítán jeden přední díl a jeden příčný reling</t>
  </si>
  <si>
    <t>Potřebný počet předních dílů a relingů upravte v objednávce</t>
  </si>
  <si>
    <t>Pro každý výsuv je započítán jeden přední díl</t>
  </si>
  <si>
    <t>Potřebný počet předních dílů upravte v objednávce</t>
  </si>
  <si>
    <t>AC 31VG</t>
  </si>
  <si>
    <t>M 650 mm</t>
  </si>
  <si>
    <t>SYNCROMOTION</t>
  </si>
  <si>
    <t>Zásoby</t>
  </si>
  <si>
    <t>Vyplňte identifikační údaje a výši slevy od prodejce</t>
  </si>
  <si>
    <t>Po vyplnění se vraťte na úvod a subor uložte nebo zavřete s potvrzením změn</t>
  </si>
  <si>
    <t>Ukládání</t>
  </si>
  <si>
    <t>Mytí</t>
  </si>
  <si>
    <t>Příprava</t>
  </si>
  <si>
    <t>Vaření</t>
  </si>
  <si>
    <t>ZN</t>
  </si>
  <si>
    <t>Čelní kování INSERTA</t>
  </si>
  <si>
    <t>Z37R467D</t>
  </si>
  <si>
    <t>SEIW</t>
  </si>
  <si>
    <t>Z36D0080</t>
  </si>
  <si>
    <t>Podélný reling vlevo/vpravo, 500mm, hedvábně bílý</t>
  </si>
  <si>
    <t>ZRG.437RSIC</t>
  </si>
  <si>
    <t>65 kg</t>
  </si>
  <si>
    <t>30 kg</t>
  </si>
  <si>
    <t>INSERTA</t>
  </si>
  <si>
    <t>Vana na láhve</t>
  </si>
  <si>
    <t>Podélné dělení</t>
  </si>
  <si>
    <t>Počet</t>
  </si>
  <si>
    <t>Z = 177</t>
  </si>
  <si>
    <t>Y = LW - 320</t>
  </si>
  <si>
    <t>X = LW - 91</t>
  </si>
  <si>
    <t>Mezistěna</t>
  </si>
  <si>
    <t>3b</t>
  </si>
  <si>
    <t>3a</t>
  </si>
  <si>
    <t>1d</t>
  </si>
  <si>
    <t>1c</t>
  </si>
  <si>
    <t>1b</t>
  </si>
  <si>
    <t>Příčka ke zkrácení</t>
  </si>
  <si>
    <t>1a</t>
  </si>
  <si>
    <t>Z37A467D</t>
  </si>
  <si>
    <t>AD 310M</t>
  </si>
  <si>
    <t>AD 310G</t>
  </si>
  <si>
    <t>Barva</t>
  </si>
  <si>
    <t>Zpět na úvod</t>
  </si>
  <si>
    <t>TERS</t>
  </si>
  <si>
    <t>platnost ceníku od:</t>
  </si>
  <si>
    <t>Z30N000S.04</t>
  </si>
  <si>
    <t>Z30M000S.04</t>
  </si>
  <si>
    <t>Z30D000SL</t>
  </si>
  <si>
    <t>Čelní kování na vruty</t>
  </si>
  <si>
    <t>BL</t>
  </si>
  <si>
    <t>KL</t>
  </si>
  <si>
    <t>SA</t>
  </si>
  <si>
    <t xml:space="preserve">Z33M00E0A6 </t>
  </si>
  <si>
    <t>Z33M00E0A6</t>
  </si>
  <si>
    <t>R737</t>
  </si>
  <si>
    <t>Z30M000S.45</t>
  </si>
  <si>
    <t>NI</t>
  </si>
  <si>
    <t>Z30D000SL45</t>
  </si>
  <si>
    <t>SW/G</t>
  </si>
  <si>
    <t>TS/G</t>
  </si>
  <si>
    <t>IG/G</t>
  </si>
  <si>
    <t>Adaptér příčky dřezového výsuvu</t>
  </si>
  <si>
    <t>Z30N0002.6Z</t>
  </si>
  <si>
    <t>Z30M383S0W</t>
  </si>
  <si>
    <t>WAWG</t>
  </si>
  <si>
    <t>Z30M433S0W</t>
  </si>
  <si>
    <t>Z30M483S0W</t>
  </si>
  <si>
    <t>Z30M533S0W</t>
  </si>
  <si>
    <t>Z30M733S0W</t>
  </si>
  <si>
    <t>Z30M833S0W</t>
  </si>
  <si>
    <t xml:space="preserve">Z46L470S   </t>
  </si>
  <si>
    <t xml:space="preserve">Z46L470S  </t>
  </si>
  <si>
    <t xml:space="preserve">Z31L1036A  </t>
  </si>
  <si>
    <t xml:space="preserve">ZRG.1046Z </t>
  </si>
  <si>
    <t>ZIF.80M5</t>
  </si>
  <si>
    <t>S</t>
  </si>
  <si>
    <t>ZIF.80M7</t>
  </si>
  <si>
    <t>ZSI.500BI3</t>
  </si>
  <si>
    <t>ZSI.500BI3E</t>
  </si>
  <si>
    <t>ZSI.500FI3</t>
  </si>
  <si>
    <t>ZSI.500MI3</t>
  </si>
  <si>
    <t>ZSI.60VEI6</t>
  </si>
  <si>
    <t>ZSI.90VEI6</t>
  </si>
  <si>
    <t>ZSI.12VEI6</t>
  </si>
  <si>
    <t>ZSI.60VUI6</t>
  </si>
  <si>
    <t>ZSI.90VUI6</t>
  </si>
  <si>
    <t>ZSI.12VUI6</t>
  </si>
  <si>
    <t>Držák talířů</t>
  </si>
  <si>
    <t>ZSZ.02M0</t>
  </si>
  <si>
    <t>ZFZ.30G0I</t>
  </si>
  <si>
    <t>ZFZ.40G0I</t>
  </si>
  <si>
    <t>ZFZ.45G0I</t>
  </si>
  <si>
    <t>ZSZ.01F0</t>
  </si>
  <si>
    <t>STW/G</t>
  </si>
  <si>
    <t>ZSZ.02F0</t>
  </si>
  <si>
    <t>ST/O</t>
  </si>
  <si>
    <t>Sada pomůcek do kuchyně</t>
  </si>
  <si>
    <t>ZOU.30U1I</t>
  </si>
  <si>
    <t>ZSI.010SI</t>
  </si>
  <si>
    <t>ZSI.020SI</t>
  </si>
  <si>
    <t>ZSI.030SI</t>
  </si>
  <si>
    <t>ZSI.040SI</t>
  </si>
  <si>
    <t>ZSI.010Q</t>
  </si>
  <si>
    <t>ZSI.020Q</t>
  </si>
  <si>
    <t>Distanční doraz Blum, 5mm</t>
  </si>
  <si>
    <t>993.0530</t>
  </si>
  <si>
    <t>Distanční doraz Blum, 8mm</t>
  </si>
  <si>
    <t>993.0830.01</t>
  </si>
  <si>
    <t>Pohonná servo jednotka</t>
  </si>
  <si>
    <t>Držák nosníku, vlys naležato</t>
  </si>
  <si>
    <t>Držák nosníku, vlys nastojato</t>
  </si>
  <si>
    <t>Držák servo jednotky jednoduchý</t>
  </si>
  <si>
    <t>Držák servo jednotky zdvojený</t>
  </si>
  <si>
    <t>Držák kabelu s Klebesockel</t>
  </si>
  <si>
    <t>Z10K0009</t>
  </si>
  <si>
    <t>NA</t>
  </si>
  <si>
    <t>Synchronizační kabel 8cm</t>
  </si>
  <si>
    <t xml:space="preserve">Z10K008S </t>
  </si>
  <si>
    <t>W</t>
  </si>
  <si>
    <t>Synchronizační kabel 120cm</t>
  </si>
  <si>
    <t>Z10K120S</t>
  </si>
  <si>
    <t>Synchronizační kabel 160cm</t>
  </si>
  <si>
    <t>Z10K160S</t>
  </si>
  <si>
    <t>Elektrokabel, délka 8m + 5 krytek</t>
  </si>
  <si>
    <t>Z10K800AE</t>
  </si>
  <si>
    <t>Napájecí kabel se zástrčkou, 2m</t>
  </si>
  <si>
    <t xml:space="preserve">Z10M200E </t>
  </si>
  <si>
    <t>Z10NG000</t>
  </si>
  <si>
    <t>Z10NG120</t>
  </si>
  <si>
    <t>WGR</t>
  </si>
  <si>
    <t>Propojovací svorka s hroty + krytka</t>
  </si>
  <si>
    <t>Z10V100E.01</t>
  </si>
  <si>
    <t xml:space="preserve">Z10T650AA </t>
  </si>
  <si>
    <t>Alu</t>
  </si>
  <si>
    <t xml:space="preserve">Z10T670AA </t>
  </si>
  <si>
    <t>Z10T700AA</t>
  </si>
  <si>
    <t xml:space="preserve">Z10T750AA </t>
  </si>
  <si>
    <t xml:space="preserve">Z10T800AA  </t>
  </si>
  <si>
    <t>Nosník 1170mm, bez kabelu</t>
  </si>
  <si>
    <t>Z10T1170A</t>
  </si>
  <si>
    <t xml:space="preserve">Mechanizmus vyhazovače </t>
  </si>
  <si>
    <t>Z10A3H00</t>
  </si>
  <si>
    <t>Horizontální nosník</t>
  </si>
  <si>
    <t>Z10T1143B</t>
  </si>
  <si>
    <t>Adaptér + držák horizont. nosníku</t>
  </si>
  <si>
    <t>Z10D5210</t>
  </si>
  <si>
    <t>SD uno - sada pro výsuv na odpad</t>
  </si>
  <si>
    <t>Držák servo jednotky horní</t>
  </si>
  <si>
    <t>Z10D6252</t>
  </si>
  <si>
    <t>Z96.10E1</t>
  </si>
  <si>
    <t>Tlumící čočka k zavrtání</t>
  </si>
  <si>
    <t>993.706</t>
  </si>
  <si>
    <t>R906</t>
  </si>
  <si>
    <t>71T7500N</t>
  </si>
  <si>
    <t>70T7500NTL</t>
  </si>
  <si>
    <t>173L6100</t>
  </si>
  <si>
    <t>173H7100</t>
  </si>
  <si>
    <t>174H7100E</t>
  </si>
  <si>
    <t>175H5400</t>
  </si>
  <si>
    <t>177H5400E</t>
  </si>
  <si>
    <t>973A7000</t>
  </si>
  <si>
    <t>971A0500</t>
  </si>
  <si>
    <t>Držáky zadní stěny N, hedvábně bílé</t>
  </si>
  <si>
    <t>Držáky zadní stěny N, šedé</t>
  </si>
  <si>
    <t>Držáky zadní stěny N, černé Terra</t>
  </si>
  <si>
    <t>Držáky zadní stěny M, hedvábně bílé</t>
  </si>
  <si>
    <t>Bočnice N 500mm, hedvábně bílé</t>
  </si>
  <si>
    <t>Bočnice N 500mm, šedé</t>
  </si>
  <si>
    <t>Bočnice N 500mm, černé Terra</t>
  </si>
  <si>
    <t>Bočnice M 500mm, hedvábně bílé</t>
  </si>
  <si>
    <t>Bočnice M 500mm, šedé</t>
  </si>
  <si>
    <t>Bočnice M 500mm, černé Terra</t>
  </si>
  <si>
    <t>Bočnice M 650mm, hedvábně bílé</t>
  </si>
  <si>
    <t>Bočnice M 650mm, šedé</t>
  </si>
  <si>
    <t>Bočnice M 650mm, černé Terra</t>
  </si>
  <si>
    <t>Bočnice M 400mm, šedé</t>
  </si>
  <si>
    <t>Bočnice M 400mm, hedvábně bílé</t>
  </si>
  <si>
    <t>Bočnice M 400mm, černé Terra</t>
  </si>
  <si>
    <t>Bočnice M 450mm, hedvábně bílé</t>
  </si>
  <si>
    <t>Bočnice M 450mm, šedé</t>
  </si>
  <si>
    <t>Bočnice M 450mm, černé Terra</t>
  </si>
  <si>
    <t>Držáky zadní stěny M, šedé</t>
  </si>
  <si>
    <t>Držáky zadní stěny M, černé Terra</t>
  </si>
  <si>
    <t>Držáky zadní stěny K, hedvábně bílé</t>
  </si>
  <si>
    <t>Držáky zadní stěny K, šedé</t>
  </si>
  <si>
    <t>Držáky zadní stěny K, černé Terra</t>
  </si>
  <si>
    <t>Z30K000S</t>
  </si>
  <si>
    <t>Držáky zadní stěny B, hedvábně bílé</t>
  </si>
  <si>
    <t>Držáky zadní stěny B, šedé</t>
  </si>
  <si>
    <t>Držáky zadní stěny B, černé Terra</t>
  </si>
  <si>
    <t>Z30B000S.04</t>
  </si>
  <si>
    <t>Z30C000S</t>
  </si>
  <si>
    <t>Držáky zadní stěny D, hedvábně bílé</t>
  </si>
  <si>
    <t>Držáky zadní stěny D, šedé</t>
  </si>
  <si>
    <t>Držáky zadní stěny D, černé Terra</t>
  </si>
  <si>
    <t>Sada kování SYNCROMOTION, M, hedvábně bílá</t>
  </si>
  <si>
    <t>Z33D00E0A6</t>
  </si>
  <si>
    <t>Sada kování SYNCROMOTION, M, šedá</t>
  </si>
  <si>
    <t>Sada kování SYNCROMOTION, D, hedvábně bílá</t>
  </si>
  <si>
    <t>Sada kování SYNCROMOTION, D, šedá</t>
  </si>
  <si>
    <t>ZSF.340E.M1</t>
  </si>
  <si>
    <t>ST/6</t>
  </si>
  <si>
    <t>Sada kování SPACE CORNER, M, hedvábně bílá</t>
  </si>
  <si>
    <t>Sada kování SPACE CORNER, M, černá Terra</t>
  </si>
  <si>
    <t>Sada kování SPACE CORNER, D, hedvábně bílá</t>
  </si>
  <si>
    <t>Sada kování SPACE CORNER, D, černá Terra</t>
  </si>
  <si>
    <t>STTS</t>
  </si>
  <si>
    <t>Cena držáků zásuvného prvku není zahrnuta do cen jednotlivých výsuvů</t>
  </si>
  <si>
    <t>Cena úchytek není zahrnuta do cen jednotlivých výsuvů</t>
  </si>
  <si>
    <t>SERVO-DRIVE</t>
  </si>
  <si>
    <t xml:space="preserve">Nosník, 670mm, s předmont. kabelem </t>
  </si>
  <si>
    <t xml:space="preserve">Nosník, 650mm, s předmont. kabelem </t>
  </si>
  <si>
    <t xml:space="preserve">Nosník, 700mm, s předmont. kabelem </t>
  </si>
  <si>
    <t xml:space="preserve">Nosník, 750mm, s předmont. kabelem </t>
  </si>
  <si>
    <t xml:space="preserve">Nosník, 800mm, s předmont. kabelem </t>
  </si>
  <si>
    <t>5a</t>
  </si>
  <si>
    <t>3a,3b,4</t>
  </si>
  <si>
    <t>Závěsy pro potravinové skříně</t>
  </si>
  <si>
    <t>Jídelní příbory</t>
  </si>
  <si>
    <t>Drobné předměty</t>
  </si>
  <si>
    <t>Pracovní příbory, náčiní, nože</t>
  </si>
  <si>
    <t>Řezáky na fólie</t>
  </si>
  <si>
    <t>Pracovní náčiní</t>
  </si>
  <si>
    <t>Plastové dózy</t>
  </si>
  <si>
    <t>Misky a mísy, elektrospotřebiče</t>
  </si>
  <si>
    <t>Hrnce, poklice</t>
  </si>
  <si>
    <t xml:space="preserve">Ukládání potravin </t>
  </si>
  <si>
    <t>Misky a mísy</t>
  </si>
  <si>
    <t>Hrnce, poklice, náčiní</t>
  </si>
  <si>
    <t>Načatá balení potravin</t>
  </si>
  <si>
    <t>Ukládání talířů</t>
  </si>
  <si>
    <t>Odpadkové koše, mycí prostředky</t>
  </si>
  <si>
    <t>Láhve, načatá balení potravin</t>
  </si>
  <si>
    <t>Koření, načatá balení potravin</t>
  </si>
  <si>
    <t>Koření</t>
  </si>
  <si>
    <t>Láhve, prkýnka na krájení</t>
  </si>
  <si>
    <t>Láhve (oleje, octy)</t>
  </si>
  <si>
    <t>Formy, plechy na pečení</t>
  </si>
  <si>
    <t xml:space="preserve">         Space tower</t>
  </si>
  <si>
    <t>Nahoru</t>
  </si>
  <si>
    <t>Podélný reling vlevo/vpravo, 500mm, šedý</t>
  </si>
  <si>
    <t>Podélný reling vlevo/vpravo, 500mm, černý Terra</t>
  </si>
  <si>
    <t>Zásuvný prvek D, 500mm, čiré sko</t>
  </si>
  <si>
    <t>Zásuvný prvek D, 500mm, saténované sko</t>
  </si>
  <si>
    <t>Zásuvný prvek D, 650mm, čiré sko</t>
  </si>
  <si>
    <t>Zásuvný prvek D, 650mm, saténované sko</t>
  </si>
  <si>
    <t>Kovový zásuvný prvek D, 500mm, šedý</t>
  </si>
  <si>
    <t>Kovový zásuvný prvek D, 500mm, hedvábně bílý</t>
  </si>
  <si>
    <t>Z37A617D</t>
  </si>
  <si>
    <t>Z37R617D</t>
  </si>
  <si>
    <t>Kovový zásuvný prvek D, 500mm, černý Terra</t>
  </si>
  <si>
    <t>Kovový zásuvný prvek D, 650mm, šedý</t>
  </si>
  <si>
    <t>Kovový zásuvný prvek D, 650mm, hedvábně bílý</t>
  </si>
  <si>
    <t>Kovový zásuvný prvek D, 650mm, černý Terra</t>
  </si>
  <si>
    <t>WA/G</t>
  </si>
  <si>
    <t>Sada pro zavěšené odp. koše LW 410-414mm, šedá</t>
  </si>
  <si>
    <t>Sada pro zavěšené odp. koše LW 416-420mm, šedá</t>
  </si>
  <si>
    <t>Z30M389S0W</t>
  </si>
  <si>
    <t>Sada pro zavěšené odp. koše LW 460-464mm, šedá</t>
  </si>
  <si>
    <t>Sada pro zavěšené odp. koše LW 466-470mm, šedá</t>
  </si>
  <si>
    <t>Z30M439S0W</t>
  </si>
  <si>
    <t>Z30M489S0W</t>
  </si>
  <si>
    <t>Sada pro zavěšené odp. koše LW 510-514mm, šedá</t>
  </si>
  <si>
    <t>Sada pro zavěšené odp. koše LW 516-520mm, šedá</t>
  </si>
  <si>
    <t>Z30M539S0W</t>
  </si>
  <si>
    <t>Sada pro zavěšené odp. koše LW 560-564mm, šedá</t>
  </si>
  <si>
    <t>Sada pro zavěšené odp. koše LW 566-570mm, šedá</t>
  </si>
  <si>
    <t>Sada pro zavěšené odp. koše LW 760-764mm, šedá</t>
  </si>
  <si>
    <t>Sada pro zavěšené odp. koše LW 860-864mm, šedá</t>
  </si>
  <si>
    <t>Z30M839S0W</t>
  </si>
  <si>
    <t>Sada pro zavěšené odp. koše LW 866-870mm, šedá</t>
  </si>
  <si>
    <t>Variabilní držák relingu, vlevo/vpravo, hedvábně bílý</t>
  </si>
  <si>
    <t>Variabilní držák relingu, vlevo/vpravo, šedý</t>
  </si>
  <si>
    <t>Držáky zadní stěny C, šedé</t>
  </si>
  <si>
    <t>Držáky zadní stěny C, hedvábně bílé</t>
  </si>
  <si>
    <t>Držáky zadní stěny C, černé Terra</t>
  </si>
  <si>
    <t>ZIF.71M0</t>
  </si>
  <si>
    <t xml:space="preserve">S </t>
  </si>
  <si>
    <t>ZIF.71K0</t>
  </si>
  <si>
    <t>Držáky čela vnitřní zásuvky M, bílošedé</t>
  </si>
  <si>
    <t>Držáky čela vnitřní zásuvky M, hedvábně bílé</t>
  </si>
  <si>
    <t>Držáky čela vnitřní zásuvky M, černé</t>
  </si>
  <si>
    <t>Držáky čela vnitřní zásuvky K, bílošedé</t>
  </si>
  <si>
    <t>Držáky čela vnitřní zásuvky K, hedvábně bílé</t>
  </si>
  <si>
    <t>Držáky čela vnitřní zásuvky K, černé</t>
  </si>
  <si>
    <t>Držáky čela vnitřního výsuvu C, bílošedé</t>
  </si>
  <si>
    <t>Držáky čela vnitřního výsuvu C, hedvábně bílé</t>
  </si>
  <si>
    <t>Držáky čela vnitřního výsuvu C, černé</t>
  </si>
  <si>
    <t>ZIF.74C0</t>
  </si>
  <si>
    <t>ZIF.74D0</t>
  </si>
  <si>
    <t>Držáky čela vnitřního výsuvu D bílošedé</t>
  </si>
  <si>
    <t xml:space="preserve"> Výběr doplňků</t>
  </si>
  <si>
    <t>Výběr SERVO-DRIVE</t>
  </si>
  <si>
    <t>SD</t>
  </si>
  <si>
    <t>BOXPLAN antaro</t>
  </si>
  <si>
    <t>sklo:</t>
  </si>
  <si>
    <t>AC 310VG</t>
  </si>
  <si>
    <t>130,5 mm</t>
  </si>
  <si>
    <t>Sada kování SPACE CORNER, M, šedá</t>
  </si>
  <si>
    <t>Sada kování SPACE CORNER, D, šedá</t>
  </si>
  <si>
    <t>378N5002SA</t>
  </si>
  <si>
    <t>378M5002SA</t>
  </si>
  <si>
    <t>378K5002SA</t>
  </si>
  <si>
    <t>378M6502SA</t>
  </si>
  <si>
    <t>378M4002SA</t>
  </si>
  <si>
    <t>378M4502SA</t>
  </si>
  <si>
    <t>TIP-ON, prodloužená délka, šedý</t>
  </si>
  <si>
    <t>956A1004</t>
  </si>
  <si>
    <t>TIP-ON, prodloužená délka, hedv.bílý</t>
  </si>
  <si>
    <t>TIP-ON, prodloužená délka, Terra černý</t>
  </si>
  <si>
    <t>PG</t>
  </si>
  <si>
    <t>SW</t>
  </si>
  <si>
    <t>TS</t>
  </si>
  <si>
    <t>TIP-ON přímý adaptér, prodl.délka, šedý</t>
  </si>
  <si>
    <t>956A1201</t>
  </si>
  <si>
    <t>TIP-ON přímý adaptér, prodl.délka, hedv. bílý</t>
  </si>
  <si>
    <t>TIP-ON přímý adaptér, prodl.délka, Terra černý</t>
  </si>
  <si>
    <t>TIP-ON křížový adaptér, šedý</t>
  </si>
  <si>
    <t>956A1501</t>
  </si>
  <si>
    <t>CLIP top 125° s nulovým přesahem</t>
  </si>
  <si>
    <t>71T7500D</t>
  </si>
  <si>
    <t>ZC7T0350</t>
  </si>
  <si>
    <t>OG-M</t>
  </si>
  <si>
    <t>SD uno - pro zavěšené odpad.koše, KB 600mm</t>
  </si>
  <si>
    <t>Z10T543WEE</t>
  </si>
  <si>
    <t>SERVO-DRIVE flex - jednotka (sada)</t>
  </si>
  <si>
    <t>Z10C500A</t>
  </si>
  <si>
    <t>R736</t>
  </si>
  <si>
    <t>SERVO-DRIVE flex - bezdrátový přijímač</t>
  </si>
  <si>
    <t>Z10C5007</t>
  </si>
  <si>
    <t>Spínač SERVO-DRIVE, světle šedý</t>
  </si>
  <si>
    <t>21P5020</t>
  </si>
  <si>
    <t>HGR</t>
  </si>
  <si>
    <t>Spínač SERVO-DRIVE, hedvábně bílý</t>
  </si>
  <si>
    <t>INGL</t>
  </si>
  <si>
    <t>ZSI.500FI1</t>
  </si>
  <si>
    <t>BLUMOTION pro nasazení na závěs 155° a 125°</t>
  </si>
  <si>
    <t>378M5004SG</t>
  </si>
  <si>
    <t>6a</t>
  </si>
  <si>
    <t>6b</t>
  </si>
  <si>
    <t xml:space="preserve">   Korpusové lišty TIP-ON BLUMOTION</t>
  </si>
  <si>
    <t>Korp. lišty TIP-ON BLUMOTION, 500mm, 30 kg</t>
  </si>
  <si>
    <t>Korp. lišty TIP-ON BLUMOTION, 500mm, 65 kg</t>
  </si>
  <si>
    <t>Korp. lišty TIP-ON BLUMOTION, 450mm, 30 kg</t>
  </si>
  <si>
    <t>Korp. lišty TIP-ON BLUMOTION, 400mm, 30 kg</t>
  </si>
  <si>
    <t>578.5001B</t>
  </si>
  <si>
    <t>576.5001B</t>
  </si>
  <si>
    <t>576.6501B</t>
  </si>
  <si>
    <t>578.4001M</t>
  </si>
  <si>
    <t>578.4501M</t>
  </si>
  <si>
    <t>578.5001M</t>
  </si>
  <si>
    <t>576.5001M</t>
  </si>
  <si>
    <t>ZSF.35A2</t>
  </si>
  <si>
    <t>ZSF.39A2</t>
  </si>
  <si>
    <t>BLUMOTION</t>
  </si>
  <si>
    <t>TIP-ON BLUMOTION</t>
  </si>
  <si>
    <t xml:space="preserve">   TIP-ON BLUMOTION</t>
  </si>
  <si>
    <t>Sada jednotek TIP-ON BLUMOTION, L1</t>
  </si>
  <si>
    <t>Sada jednotek TIP-ON BLUMOTION, L3</t>
  </si>
  <si>
    <t>Sada jednotek TIP-ON BLUMOTION, L5</t>
  </si>
  <si>
    <t>T60B3330</t>
  </si>
  <si>
    <t>T60B3530</t>
  </si>
  <si>
    <t>T60B3560</t>
  </si>
  <si>
    <t>R735</t>
  </si>
  <si>
    <t>Synchronizační adaptér</t>
  </si>
  <si>
    <t>Hřídel synchronizace</t>
  </si>
  <si>
    <t>Jednodílná synchronizace</t>
  </si>
  <si>
    <t>Držák hřídele synchronizace</t>
  </si>
  <si>
    <t>Podpěrný úhelník pro dno</t>
  </si>
  <si>
    <t>T60.000D</t>
  </si>
  <si>
    <t>T60.1125W</t>
  </si>
  <si>
    <t>T60.300D</t>
  </si>
  <si>
    <t>T60B000H</t>
  </si>
  <si>
    <t>GR</t>
  </si>
  <si>
    <t>Z96.2011</t>
  </si>
  <si>
    <t>AD 310S</t>
  </si>
  <si>
    <t>AD 31VS</t>
  </si>
  <si>
    <t>AC 310S</t>
  </si>
  <si>
    <t>AC 31VS</t>
  </si>
  <si>
    <t>AD 535SS</t>
  </si>
  <si>
    <t>AD 535S</t>
  </si>
  <si>
    <t>AD 342S</t>
  </si>
  <si>
    <t>AD D32S</t>
  </si>
  <si>
    <t>AD M30S</t>
  </si>
  <si>
    <t>AD M45S</t>
  </si>
  <si>
    <t>AM 300M</t>
  </si>
  <si>
    <t>AM 600M</t>
  </si>
  <si>
    <t>AK 300M</t>
  </si>
  <si>
    <t>AK 600M</t>
  </si>
  <si>
    <t>AM 30VM</t>
  </si>
  <si>
    <t>AM 60VM</t>
  </si>
  <si>
    <t>AK 30VM</t>
  </si>
  <si>
    <t>AK 60VM</t>
  </si>
  <si>
    <t>AD 635SS</t>
  </si>
  <si>
    <t>AD 635S</t>
  </si>
  <si>
    <t>6c</t>
  </si>
  <si>
    <t xml:space="preserve"> </t>
  </si>
  <si>
    <t>270 mm</t>
  </si>
  <si>
    <t>350 mm</t>
  </si>
  <si>
    <t>400 mm</t>
  </si>
  <si>
    <t>500 mm</t>
  </si>
  <si>
    <t>550 mm</t>
  </si>
  <si>
    <t>650 mm</t>
  </si>
  <si>
    <t>Jmenovitá délka</t>
  </si>
  <si>
    <t>AM 300B</t>
  </si>
  <si>
    <t>AM 650B</t>
  </si>
  <si>
    <t>AM 650M</t>
  </si>
  <si>
    <t>AN 300B</t>
  </si>
  <si>
    <t>AN 300M</t>
  </si>
  <si>
    <t>AK 300B</t>
  </si>
  <si>
    <t>AK 650B</t>
  </si>
  <si>
    <t>AK 650M</t>
  </si>
  <si>
    <t>AM 30VB</t>
  </si>
  <si>
    <t>AM 65VB</t>
  </si>
  <si>
    <t>AM 65VM</t>
  </si>
  <si>
    <t>AK 30VB</t>
  </si>
  <si>
    <t>AK 65VB</t>
  </si>
  <si>
    <t>AK 65VM</t>
  </si>
  <si>
    <t>AD310BS</t>
  </si>
  <si>
    <t>AD610BS</t>
  </si>
  <si>
    <t>AD310MS</t>
  </si>
  <si>
    <t>AD610MS</t>
  </si>
  <si>
    <t>AD310BG</t>
  </si>
  <si>
    <t>AD610BG</t>
  </si>
  <si>
    <t>AD310MG</t>
  </si>
  <si>
    <t>AD610MG</t>
  </si>
  <si>
    <t>AD310BR</t>
  </si>
  <si>
    <t>AD610BR</t>
  </si>
  <si>
    <t>AD310MR</t>
  </si>
  <si>
    <t>AD610MR</t>
  </si>
  <si>
    <t>AD31VBG</t>
  </si>
  <si>
    <t>AD61VBG</t>
  </si>
  <si>
    <t>AD31VMG</t>
  </si>
  <si>
    <t>AD61VMG</t>
  </si>
  <si>
    <t>AD31VBS</t>
  </si>
  <si>
    <t>AD61VBS</t>
  </si>
  <si>
    <t>AD31VMS</t>
  </si>
  <si>
    <t>AD61VMS</t>
  </si>
  <si>
    <t>AD31VBR</t>
  </si>
  <si>
    <t>AD61VBR</t>
  </si>
  <si>
    <t>AD31VMR</t>
  </si>
  <si>
    <t>AD61VMR</t>
  </si>
  <si>
    <t>Výběr sady jednotek</t>
  </si>
  <si>
    <t>Zadejte počty skříní podle šířky korpusu a délky výsuvů</t>
  </si>
  <si>
    <t>Poté zadejte požadované složení korpusových lišt</t>
  </si>
  <si>
    <t>Zadejte počet korpusových lišt, pokud chcete jiné, než přednastavené složení</t>
  </si>
  <si>
    <t>Sada jednotek TIP-ON BLUMOTION</t>
  </si>
  <si>
    <t>Jednotka</t>
  </si>
  <si>
    <t>Počet jednotek L neodpovídá počtu korpusových lišt</t>
  </si>
  <si>
    <t>Využití pro</t>
  </si>
  <si>
    <t>Doporučené hodnoty hmotnosti</t>
  </si>
  <si>
    <t>Celková hmotnost výsuvu (hmotnost výsuvu včetně náplně)</t>
  </si>
  <si>
    <t>a sada unašečů TIP-ON BLUMOTION</t>
  </si>
  <si>
    <t>S0 a S1 pouze pro jmenovitou délku 270 a 300 mm</t>
  </si>
  <si>
    <t>Pro výsuvy délky 270 a 300 mm vyberte jednotky S0 nebo S1</t>
  </si>
  <si>
    <t>Počet jednotek S neodpovídá počtu korpusových lišt</t>
  </si>
  <si>
    <t>Zadejte počty 30kg korpusových lišt, 65kg lišty se dopočítají</t>
  </si>
  <si>
    <t xml:space="preserve">       BLUMOTION</t>
  </si>
  <si>
    <t>4 ks*</t>
  </si>
  <si>
    <t>1 ks*</t>
  </si>
  <si>
    <t xml:space="preserve">        TIP-ON BLUMOTION</t>
  </si>
  <si>
    <t>Počet skříní</t>
  </si>
  <si>
    <t>Korpusové lišty</t>
  </si>
  <si>
    <t>Nastavené počty korpusových lišt</t>
  </si>
  <si>
    <t>AM630S</t>
  </si>
  <si>
    <t>AC31VBR</t>
  </si>
  <si>
    <t>AC61VBR</t>
  </si>
  <si>
    <t>AC31VMR</t>
  </si>
  <si>
    <t>AC61VMR</t>
  </si>
  <si>
    <t>AC31VBS</t>
  </si>
  <si>
    <t>AC61VBS</t>
  </si>
  <si>
    <t>AC31VMS</t>
  </si>
  <si>
    <t>AC61VMS</t>
  </si>
  <si>
    <t>AC31VBG</t>
  </si>
  <si>
    <t>AC61VBG</t>
  </si>
  <si>
    <t>AC31VMG</t>
  </si>
  <si>
    <t>AC61VMG</t>
  </si>
  <si>
    <t>AC310BR</t>
  </si>
  <si>
    <t>AC610BR</t>
  </si>
  <si>
    <t>AC310MR</t>
  </si>
  <si>
    <t>AC610MR</t>
  </si>
  <si>
    <t>AC310BS</t>
  </si>
  <si>
    <t>AC610BS</t>
  </si>
  <si>
    <t>AC310MS</t>
  </si>
  <si>
    <t>AC610MS</t>
  </si>
  <si>
    <t>AC310BG</t>
  </si>
  <si>
    <t>AC610BG</t>
  </si>
  <si>
    <t>AC310MG</t>
  </si>
  <si>
    <t>AC610MG</t>
  </si>
  <si>
    <t>AM340B</t>
  </si>
  <si>
    <t>AD342BG</t>
  </si>
  <si>
    <t>AD642BG</t>
  </si>
  <si>
    <t>AD342MG</t>
  </si>
  <si>
    <t>AD642MG</t>
  </si>
  <si>
    <t>AD342BR</t>
  </si>
  <si>
    <t>AD642BR</t>
  </si>
  <si>
    <t>AD342MR</t>
  </si>
  <si>
    <t>AD642MR</t>
  </si>
  <si>
    <t>AD342BS</t>
  </si>
  <si>
    <t>AD642BS</t>
  </si>
  <si>
    <t>AD342MS</t>
  </si>
  <si>
    <t>AD642MS</t>
  </si>
  <si>
    <t>ADM30BG</t>
  </si>
  <si>
    <t>ADM30BS</t>
  </si>
  <si>
    <t>ADM30BR</t>
  </si>
  <si>
    <t xml:space="preserve">Synchronizace je přidána automaticky. </t>
  </si>
  <si>
    <t>Pozor! Pro každý výsuv je započítána jedna hřídel. Počet hřídelí upravte v objednávce!</t>
  </si>
  <si>
    <t>S0</t>
  </si>
  <si>
    <t>S1</t>
  </si>
  <si>
    <t>L1</t>
  </si>
  <si>
    <t>L3</t>
  </si>
  <si>
    <t>L5</t>
  </si>
  <si>
    <t>Pro korpusy šířky ≥ 750 mm použijte podpěru dna a podpěru synchronizační hřídele.</t>
  </si>
  <si>
    <t>Podpěry přidejte v sekci "Výběr doplňků"</t>
  </si>
  <si>
    <t>AD653SG</t>
  </si>
  <si>
    <t>AD653SS</t>
  </si>
  <si>
    <t>AD653SR</t>
  </si>
  <si>
    <t>AD635S</t>
  </si>
  <si>
    <t>AD635R</t>
  </si>
  <si>
    <t>ADM65BS</t>
  </si>
  <si>
    <t>ADM65BG</t>
  </si>
  <si>
    <t>ADD30BR</t>
  </si>
  <si>
    <t>ADM65BR</t>
  </si>
  <si>
    <t>ADD30BG</t>
  </si>
  <si>
    <t>ADD30BS</t>
  </si>
  <si>
    <t>AM 600B</t>
  </si>
  <si>
    <t>AK 600B</t>
  </si>
  <si>
    <t>AM 60VB</t>
  </si>
  <si>
    <t>AK 60VB</t>
  </si>
  <si>
    <t>AD 61VBS</t>
  </si>
  <si>
    <t>ADD32BG</t>
  </si>
  <si>
    <t>ADD32BS</t>
  </si>
  <si>
    <t>ADD32BR</t>
  </si>
  <si>
    <t>ADM60BG</t>
  </si>
  <si>
    <t>ADM60BS</t>
  </si>
  <si>
    <t>ADM60BR</t>
  </si>
  <si>
    <t>ADD62BG</t>
  </si>
  <si>
    <t>ADD62BS</t>
  </si>
  <si>
    <t>ADD62BR</t>
  </si>
  <si>
    <t>DM45BG</t>
  </si>
  <si>
    <t>DM60BG</t>
  </si>
  <si>
    <t>DM45MG</t>
  </si>
  <si>
    <t>DM60MG</t>
  </si>
  <si>
    <t>DM45BS</t>
  </si>
  <si>
    <t>DM60BS</t>
  </si>
  <si>
    <t>DM45MS</t>
  </si>
  <si>
    <t>DM60MS</t>
  </si>
  <si>
    <t>DM45BR</t>
  </si>
  <si>
    <t>DM60BR</t>
  </si>
  <si>
    <t>DM60MR</t>
  </si>
  <si>
    <t>DM45MR</t>
  </si>
  <si>
    <t>DD45BG</t>
  </si>
  <si>
    <t>DD60BG</t>
  </si>
  <si>
    <t>DD45BS</t>
  </si>
  <si>
    <t>DD60BS</t>
  </si>
  <si>
    <t>DD32BR</t>
  </si>
  <si>
    <t>DD45MG</t>
  </si>
  <si>
    <t>DD60MG</t>
  </si>
  <si>
    <t>DD45MS</t>
  </si>
  <si>
    <t>DD60MS</t>
  </si>
  <si>
    <t>DD32MR</t>
  </si>
  <si>
    <t>DD62MR</t>
  </si>
  <si>
    <t>DD62BR</t>
  </si>
  <si>
    <t>270 - 300 mm</t>
  </si>
  <si>
    <t>T60L7140</t>
  </si>
  <si>
    <t>≤ 20 kg</t>
  </si>
  <si>
    <t>350 - 650 mm</t>
  </si>
  <si>
    <t>T60L7340</t>
  </si>
  <si>
    <t>T60L7540</t>
  </si>
  <si>
    <t>5 - 40 kg</t>
  </si>
  <si>
    <t>T60L7570</t>
  </si>
  <si>
    <t>25 - 70 kg</t>
  </si>
  <si>
    <t>T60L7040</t>
  </si>
  <si>
    <t>10-20 kg</t>
  </si>
  <si>
    <t>≤ 10 kg</t>
  </si>
  <si>
    <t>Bočnice N 400mm, šedé</t>
  </si>
  <si>
    <t>Bočnice N 400mm, hedvábně bílé</t>
  </si>
  <si>
    <t>Bočnice N 400mm, černé Terra</t>
  </si>
  <si>
    <t>Bočnice N 450mm, šedé</t>
  </si>
  <si>
    <t>Bočnice N 450mm, hedvábně bílé</t>
  </si>
  <si>
    <t>Bočnice N 450mm, černé Terra</t>
  </si>
  <si>
    <t>378N4002SA</t>
  </si>
  <si>
    <t>378N4502SA</t>
  </si>
  <si>
    <t>Bočnice N 550mm, šedé</t>
  </si>
  <si>
    <t>Bočnice N 550mm, hedvábně bílé</t>
  </si>
  <si>
    <t>Bočnice N 550mm, černé Terra</t>
  </si>
  <si>
    <t>378N5502SA</t>
  </si>
  <si>
    <t>Bočnice M 270mm, šedé</t>
  </si>
  <si>
    <t>Bočnice M 270mm, hedvábně bílé</t>
  </si>
  <si>
    <t>Bočnice M 270mm, černé Terra</t>
  </si>
  <si>
    <t>378M2702SA</t>
  </si>
  <si>
    <t>Bočnice M 300mm, šedé</t>
  </si>
  <si>
    <t>Bočnice M 300mm, hedvábně bílé</t>
  </si>
  <si>
    <t>Bočnice M 300mm, černé Terra</t>
  </si>
  <si>
    <t>378M3002SA</t>
  </si>
  <si>
    <t>Bočnice M 350mm, šedé</t>
  </si>
  <si>
    <t>Bočnice M 350mm, hedvábně bílé</t>
  </si>
  <si>
    <t>Bočnice M 350mm, černé Terra</t>
  </si>
  <si>
    <t>378M3502SA</t>
  </si>
  <si>
    <t>Bočnice M 550mm, šedé</t>
  </si>
  <si>
    <t>Bočnice M 550mm, hedvábně bílé</t>
  </si>
  <si>
    <t>Bočnice M 550mm, černé Terra</t>
  </si>
  <si>
    <t>378M5502SA</t>
  </si>
  <si>
    <t>Bočnice M 600mm, šedé</t>
  </si>
  <si>
    <t>Bočnice M 600mm, hedvábně bílé</t>
  </si>
  <si>
    <t>Bočnice M 600mm, černé Terra</t>
  </si>
  <si>
    <t>378M6002SA</t>
  </si>
  <si>
    <t>Bočnice K 270mm, šedé</t>
  </si>
  <si>
    <t>Bočnice K 270mm, hedvábně bílé</t>
  </si>
  <si>
    <t>Bočnice K 270mm, černé Terra</t>
  </si>
  <si>
    <t>Bočnice K 300mm, šedé</t>
  </si>
  <si>
    <t>Bočnice K 300mm, hedvábně bílé</t>
  </si>
  <si>
    <t>Bočnice K 300mm, černé Terra</t>
  </si>
  <si>
    <t>Bočnice K 350mm, šedé</t>
  </si>
  <si>
    <t>Bočnice K 350mm, hedvábně bílé</t>
  </si>
  <si>
    <t>Bočnice K 350mm, černé Terra</t>
  </si>
  <si>
    <t>Bočnice K 400mm, šedé</t>
  </si>
  <si>
    <t>Bočnice K 400mm, hedvábně bílé</t>
  </si>
  <si>
    <t>Bočnice K 400mm, černé Terra</t>
  </si>
  <si>
    <t>Bočnice K 450mm, šedé</t>
  </si>
  <si>
    <t>Bočnice K 450mm, hedvábně bílé</t>
  </si>
  <si>
    <t>Bočnice K 450mm, černé Terra</t>
  </si>
  <si>
    <t>378K2702SA</t>
  </si>
  <si>
    <t>378K3002SA</t>
  </si>
  <si>
    <t>378K3502SA</t>
  </si>
  <si>
    <t>378K4002SA</t>
  </si>
  <si>
    <t>378K4502SA</t>
  </si>
  <si>
    <t>Bočnice K 550mm, šedé</t>
  </si>
  <si>
    <t>Bočnice K 550mm, hedvábně bílé</t>
  </si>
  <si>
    <t>Bočnice K 550mm, černé Terra</t>
  </si>
  <si>
    <t>378K5502SA</t>
  </si>
  <si>
    <t>578.2701B</t>
  </si>
  <si>
    <t>578.3001B</t>
  </si>
  <si>
    <t>578.3501B</t>
  </si>
  <si>
    <t>578.4501B</t>
  </si>
  <si>
    <t>578.4001B</t>
  </si>
  <si>
    <t>576.4501B</t>
  </si>
  <si>
    <t>578.5501B</t>
  </si>
  <si>
    <t>576.5501B</t>
  </si>
  <si>
    <t>578.6001B</t>
  </si>
  <si>
    <t>576.6001B</t>
  </si>
  <si>
    <t>578.2701M</t>
  </si>
  <si>
    <t>578.3001M</t>
  </si>
  <si>
    <t>578.3501M</t>
  </si>
  <si>
    <t>Korp. lišty TIP-ON BLUMOTION, 270mm, 30 kg</t>
  </si>
  <si>
    <t>Korp. lišty TIP-ON BLUMOTION, 300mm, 30 kg</t>
  </si>
  <si>
    <t>Korp. lišty TIP-ON BLUMOTION, 350mm, 30 kg</t>
  </si>
  <si>
    <t>Korp. lišty TIP-ON BLUMOTION, 450mm, 65 kg</t>
  </si>
  <si>
    <t>Korp. lišty TIP-ON BLUMOTION, 550mm, 30 kg</t>
  </si>
  <si>
    <t>Korp. lišty TIP-ON BLUMOTION, 550mm, 65 kg</t>
  </si>
  <si>
    <t>Korp. lišty TIP-ON BLUMOTION, 600mm, 30 kg</t>
  </si>
  <si>
    <t>Korp. lišty TIP-ON BLUMOTION, 600mm, 65 kg</t>
  </si>
  <si>
    <t>578.5501M</t>
  </si>
  <si>
    <t>576.5501M</t>
  </si>
  <si>
    <t>578.6001M</t>
  </si>
  <si>
    <t>576.6001M</t>
  </si>
  <si>
    <t>Korp. lišty TIP-ON BLUMOTION, 650mm, 65 kg</t>
  </si>
  <si>
    <t>576.6501M</t>
  </si>
  <si>
    <t>Sada jednotek TIP-ON BLUMOTION, S1</t>
  </si>
  <si>
    <t>T60B3030</t>
  </si>
  <si>
    <t>T60B3130</t>
  </si>
  <si>
    <t>Sada jednotek TIP-ON BLUMOTION, S0</t>
  </si>
  <si>
    <t>Podélný reling vlevo/vpravo, 270mm, šedý</t>
  </si>
  <si>
    <t>Podélný reling vlevo/vpravo, 270mm, hedvábně bílý</t>
  </si>
  <si>
    <t>Podélný reling vlevo/vpravo, 270mm, černý Terra</t>
  </si>
  <si>
    <t>ZRG.207RSIC</t>
  </si>
  <si>
    <t>Podélný reling vlevo/vpravo, 300mm, šedý</t>
  </si>
  <si>
    <t>Podélný reling vlevo/vpravo, 300mm, hedvábně bílý</t>
  </si>
  <si>
    <t>Podélný reling vlevo/vpravo, 300mm, černý Terra</t>
  </si>
  <si>
    <t>ZRG.237RSIC</t>
  </si>
  <si>
    <t>Podélný reling vlevo/vpravo, 350mm, šedý</t>
  </si>
  <si>
    <t>Podélný reling vlevo/vpravo, 350mm, hedvábně bílý</t>
  </si>
  <si>
    <t>Podélný reling vlevo/vpravo, 350mm, černý Terra</t>
  </si>
  <si>
    <t>ZRG.287RSIC</t>
  </si>
  <si>
    <t>Podélný reling vlevo/vpravo, 400mm, šedý</t>
  </si>
  <si>
    <t>Podélný reling vlevo/vpravo, 400mm, hedvábně bílý</t>
  </si>
  <si>
    <t>Podélný reling vlevo/vpravo, 400mm, černý Terra</t>
  </si>
  <si>
    <t>Podélný reling vlevo/vpravo, 450mm, šedý</t>
  </si>
  <si>
    <t>Podélný reling vlevo/vpravo, 450mm, hedvábně bílý</t>
  </si>
  <si>
    <t>Podélný reling vlevo/vpravo, 450mm, černý Terra</t>
  </si>
  <si>
    <t>ZRG.337RSIC</t>
  </si>
  <si>
    <t>ZRG.387RSIC</t>
  </si>
  <si>
    <t>Podélný reling vlevo/vpravo, 550mm, šedý</t>
  </si>
  <si>
    <t>Podélný reling vlevo/vpravo, 550mm, hedvábně bílý</t>
  </si>
  <si>
    <t>Podélný reling vlevo/vpravo, 550mm, černý Terra</t>
  </si>
  <si>
    <t>Podélný reling vlevo/vpravo, 600mm, šedý</t>
  </si>
  <si>
    <t>Podélný reling vlevo/vpravo, 600mm, hedvábně bílý</t>
  </si>
  <si>
    <t>Podélný reling vlevo/vpravo, 600mm, černý Terra</t>
  </si>
  <si>
    <t>ZRG.487RSIC</t>
  </si>
  <si>
    <t>ZRG.537RSIC</t>
  </si>
  <si>
    <t>Zásuvný prvek D, 270mm, čiré sko</t>
  </si>
  <si>
    <t>Zásuvný prvek D, 270mm, saténované sko</t>
  </si>
  <si>
    <t>Z37R237D</t>
  </si>
  <si>
    <t>Zásuvný prvek D, 300mm, čiré sko</t>
  </si>
  <si>
    <t>Zásuvný prvek D, 300mm, saténované sko</t>
  </si>
  <si>
    <t>Z37R267D</t>
  </si>
  <si>
    <t>Zásuvný prvek D, 350mm, čiré sko</t>
  </si>
  <si>
    <t>Zásuvný prvek D, 350mm, saténované sko</t>
  </si>
  <si>
    <t>Z37R317D</t>
  </si>
  <si>
    <t>Zásuvný prvek D, 400mm, čiré sko</t>
  </si>
  <si>
    <t>Zásuvný prvek D, 400mm, saténované sko</t>
  </si>
  <si>
    <t>Zásuvný prvek D, 450mm, čiré sko</t>
  </si>
  <si>
    <t>Zásuvný prvek D, 450mm, saténované sko</t>
  </si>
  <si>
    <t>Z37R367D</t>
  </si>
  <si>
    <t>Z37R417D</t>
  </si>
  <si>
    <t>Zásuvný prvek D, 550mm, čiré sko</t>
  </si>
  <si>
    <t>Zásuvný prvek D, 550mm, saténované sko</t>
  </si>
  <si>
    <t>Zásuvný prvek D, 600mm, čiré sko</t>
  </si>
  <si>
    <t>Zásuvný prvek D, 600mm, saténované sko</t>
  </si>
  <si>
    <t>Z37R517D</t>
  </si>
  <si>
    <t>Z37R567D</t>
  </si>
  <si>
    <t>Zásuvný prvek C, 270mm, čiré sko</t>
  </si>
  <si>
    <t>Zásuvný prvek C, 270mm, saténované sko</t>
  </si>
  <si>
    <t>Zásuvný prvek C 300mm, čiré sko</t>
  </si>
  <si>
    <t>Zásuvný prvek C, 300mm, saténované sko</t>
  </si>
  <si>
    <t>Zásuvný prvek C, 350mm, čiré sko</t>
  </si>
  <si>
    <t>Zásuvný prvek C, 350mm, saténované sko</t>
  </si>
  <si>
    <t>Zásuvný prvek C, 400mm, čiré sko</t>
  </si>
  <si>
    <t>Zásuvný prvek C, 400mm, saténované sko</t>
  </si>
  <si>
    <t>Zásuvný prvek C, 450mm, čiré sko</t>
  </si>
  <si>
    <t>Zásuvný prvek C, 450mm, saténované sko</t>
  </si>
  <si>
    <t>Z37R237C</t>
  </si>
  <si>
    <t>Z37R267C</t>
  </si>
  <si>
    <t>Z37R317C</t>
  </si>
  <si>
    <t>Z37R367C</t>
  </si>
  <si>
    <t>Z37R417C</t>
  </si>
  <si>
    <t>Zásuvný prvek C, 550mm, čiré sko</t>
  </si>
  <si>
    <t>Zásuvný prvek C, 550mm, saténované sko</t>
  </si>
  <si>
    <t>Zásuvný prvek C, 600mm, čiré sko</t>
  </si>
  <si>
    <t>Zásuvný prvek C, 650mm, čiré sko</t>
  </si>
  <si>
    <t>Zásuvný prvek C, 650mm, saténované sko</t>
  </si>
  <si>
    <t>Zásuvný prvek C, 600mm, saténované sko</t>
  </si>
  <si>
    <t>Z37R517C</t>
  </si>
  <si>
    <t>Z37R567C</t>
  </si>
  <si>
    <t>Z37R617C</t>
  </si>
  <si>
    <t>Kovový zásuvný prvek D, 450mm, šedý</t>
  </si>
  <si>
    <t>Kovový zásuvný prvek D, 450mm, hedvábně bílý</t>
  </si>
  <si>
    <t>Kovový zásuvný prvek D, 450mm, černý Terra</t>
  </si>
  <si>
    <t>Kovový zásuvný prvek D, 550mm, šedý</t>
  </si>
  <si>
    <t>Kovový zásuvný prvek D, 550mm, hedvábně bílý</t>
  </si>
  <si>
    <t>Kovový zásuvný prvek D, 550mm, černý Terra</t>
  </si>
  <si>
    <t>Z37A417D</t>
  </si>
  <si>
    <t>Z37A517D</t>
  </si>
  <si>
    <t>Kovový zásuvný prvek C, 450mm, šedý</t>
  </si>
  <si>
    <t>Kovový zásuvný prvek C, 450mm, hedvábně bílý</t>
  </si>
  <si>
    <t>Kovový zásuvný prvek C, 450mm, černý Terra</t>
  </si>
  <si>
    <t>Z37A417C</t>
  </si>
  <si>
    <t>Kovový zásuvný prvek C, 550mm, šedý</t>
  </si>
  <si>
    <t>Kovový zásuvný prvek C, 550mm, hedvábně bílý</t>
  </si>
  <si>
    <t>Kovový zásuvný prvek C, 550mm, černý Terra</t>
  </si>
  <si>
    <t>Z37A517C</t>
  </si>
  <si>
    <t>Kovový zásuvný prvek C, 650mm, šedý</t>
  </si>
  <si>
    <t>Kovový zásuvný prvek C, 650mm, hedvábně bílý</t>
  </si>
  <si>
    <t>Kovový zásuvný prvek C, 650mm, černý Terra</t>
  </si>
  <si>
    <t>Z37A617C</t>
  </si>
  <si>
    <t xml:space="preserve">   Korpusové lišty BLUMOTION</t>
  </si>
  <si>
    <t>Korpusové lišty 270mm, BLUMOTION, 30kg</t>
  </si>
  <si>
    <t>Korpusové lišty 300mm, BLUMOTION, 30kg</t>
  </si>
  <si>
    <t>Korpusové lišty 350mm, BLUMOTION, 30kg</t>
  </si>
  <si>
    <t>Korpusové lišty 400mm, BLUMOTION, 30kg</t>
  </si>
  <si>
    <t>Korpusové lišty 450mm, BLUMOTION, 30kg</t>
  </si>
  <si>
    <t>Korpusové lišty 450mm, BLUMOTION, 65kg</t>
  </si>
  <si>
    <t>Korpusové lišty 500mm, BLUMOTION, 30kg</t>
  </si>
  <si>
    <t>Korpusové lišty 500mm, BLUMOTION, 65kg</t>
  </si>
  <si>
    <t>Korpusové lišty 550mm, BLUMOTION, 30kg</t>
  </si>
  <si>
    <t>Korpusové lišty 550mm, BLUMOTION, 65kg</t>
  </si>
  <si>
    <t>Korpusové lišty 600mm, BLUMOTION, 30kg</t>
  </si>
  <si>
    <t>Korpusové lišty 600mm, BLUMOTION, 65kg</t>
  </si>
  <si>
    <t>Korpusové lišty 650mm, BLUMOTION, 65kg</t>
  </si>
  <si>
    <t>Bočnice K 600mm, šedé</t>
  </si>
  <si>
    <t>Bočnice K 600mm, hedvábně bílé</t>
  </si>
  <si>
    <t>Bočnice K 600mm, černé Terra</t>
  </si>
  <si>
    <t>Bočnice K 650mm, šedé</t>
  </si>
  <si>
    <t>Bočnice K 650mm, hedvábně bílé</t>
  </si>
  <si>
    <t>Bočnice K 650mm, černé Terra</t>
  </si>
  <si>
    <t>378K6002SA</t>
  </si>
  <si>
    <t>378K6502SA</t>
  </si>
  <si>
    <t>Do objednávky budou přidány prvky pro 450mm, které je potřeba na danou délku zkrátit.</t>
  </si>
  <si>
    <t>Není-li možné minimální rozměry dodržet, nelze použít výsuvy s TIP-ON BLUMOTION</t>
  </si>
  <si>
    <t>Kovové zásuvné prvky pro NL 270 až 400mm se nevyrábí.</t>
  </si>
  <si>
    <t>Bočnice dřezové, 500 mm, šedé</t>
  </si>
  <si>
    <t>Bočnice dřezové, 500 mm, hedvábně bílé</t>
  </si>
  <si>
    <t>Bočnice dřezové, 500 mm, černé Terra</t>
  </si>
  <si>
    <t>Počty zásuvek →</t>
  </si>
  <si>
    <t>Počty skříní →</t>
  </si>
  <si>
    <t>Jednotky TIP-ON BLUMOTION jsou přidány automaticky</t>
  </si>
  <si>
    <t>Podpěry jsou přidány automaticky</t>
  </si>
  <si>
    <t>Z10A3000.03</t>
  </si>
  <si>
    <t>Úchytka pro vnitřní zásuvky</t>
  </si>
  <si>
    <t>Sada BI1, 500 mm</t>
  </si>
  <si>
    <t>Sada BI2, 500 mm</t>
  </si>
  <si>
    <t>Sada BI3, 500 mm</t>
  </si>
  <si>
    <t>Sada BI1, 450 mm</t>
  </si>
  <si>
    <t>Sada BI1, 550 mm</t>
  </si>
  <si>
    <t>Sada BI1, 600 mm</t>
  </si>
  <si>
    <t>Sada BI1, 650 mm</t>
  </si>
  <si>
    <t>Sada BI2, 450 mm</t>
  </si>
  <si>
    <t>Sada BI2, 550 mm</t>
  </si>
  <si>
    <t>Sada BI2, 600 mm</t>
  </si>
  <si>
    <t>Sada BI2, 650 mm</t>
  </si>
  <si>
    <t>ZSI.450BI3E</t>
  </si>
  <si>
    <t>Sada BI3, 450 mm</t>
  </si>
  <si>
    <t>Sada BI3, 550 mm</t>
  </si>
  <si>
    <t>Sada BI3, 600 mm</t>
  </si>
  <si>
    <t>Sada BI3, 650 mm</t>
  </si>
  <si>
    <t>ZSI.550BI3</t>
  </si>
  <si>
    <t>ZSI.600BI3</t>
  </si>
  <si>
    <t>ZSI.650BI3</t>
  </si>
  <si>
    <t>ZSI.60VEI4</t>
  </si>
  <si>
    <t>ZSI.60VEI7</t>
  </si>
  <si>
    <t>Sada pro korpus KB 600mm, NL 450mm</t>
  </si>
  <si>
    <t>Sada pro korpus KB 600mm, NL 500mm</t>
  </si>
  <si>
    <t>Sada pro korpus KB 600mm, NL 550mm</t>
  </si>
  <si>
    <t>Sada pro korpus KB 900mm, NL 450mm</t>
  </si>
  <si>
    <t>Sada pro korpus KB 900mm, NL 500mm</t>
  </si>
  <si>
    <t>ZSI.90VEI4</t>
  </si>
  <si>
    <t>ZSI.90VEI7</t>
  </si>
  <si>
    <t>Sada pro korpus KB 1200mm, NL 450mm</t>
  </si>
  <si>
    <t>Sada pro korpus KB 1200mm, NL 500mm</t>
  </si>
  <si>
    <t>ZSI.12VEI4</t>
  </si>
  <si>
    <t>ZSI.12VEI7</t>
  </si>
  <si>
    <t>Sada pro korpus KB 1200mm, NL 550mm</t>
  </si>
  <si>
    <t>Sada pro SPACE CORNER, NL 650mm</t>
  </si>
  <si>
    <t>Sada FI1, 450mm</t>
  </si>
  <si>
    <t>Sada FI1, 500mm</t>
  </si>
  <si>
    <t>Sada FI1, 550mm</t>
  </si>
  <si>
    <t>Sada FI1, 600mm</t>
  </si>
  <si>
    <t>Sada FI1, 650mm</t>
  </si>
  <si>
    <t>ZSI.550FI1</t>
  </si>
  <si>
    <t>ZSI.600FI1</t>
  </si>
  <si>
    <t>ZSI.650FI1</t>
  </si>
  <si>
    <t>Sada FI2, 500mm</t>
  </si>
  <si>
    <t>Sada FI3, 500mm</t>
  </si>
  <si>
    <t>Sada FI2, 450mm</t>
  </si>
  <si>
    <t>Sada FI2, 550mm</t>
  </si>
  <si>
    <t>Sada FI2, 600mm</t>
  </si>
  <si>
    <t>Sada FI2, 650mm</t>
  </si>
  <si>
    <t>Sada FI3, 450mm</t>
  </si>
  <si>
    <t>ZSI.450FI3</t>
  </si>
  <si>
    <t>Sada FI3, 550mm</t>
  </si>
  <si>
    <t>Sada FI3, 600mm</t>
  </si>
  <si>
    <t>Sada FI3, 650mm</t>
  </si>
  <si>
    <t>ZSI.550FI3</t>
  </si>
  <si>
    <t>ZSI.600FI3</t>
  </si>
  <si>
    <t>ZSI.650FI3</t>
  </si>
  <si>
    <t>Sada pro korpus KB 900mm, NL 500 mm</t>
  </si>
  <si>
    <t>ZSI.60VUI4</t>
  </si>
  <si>
    <t>ZSI.60VUI7</t>
  </si>
  <si>
    <t>ZSI.90VUI4</t>
  </si>
  <si>
    <t>Sada pro korpus KB 900mm, NL 450 mm</t>
  </si>
  <si>
    <t>ZSI.90VUI7</t>
  </si>
  <si>
    <t>Sada pro korpus KB 900mm, NL 550 mm</t>
  </si>
  <si>
    <t>ZSI.12VUI4</t>
  </si>
  <si>
    <t>ZSI.12VUI7</t>
  </si>
  <si>
    <t>Sada pro SPACE CORNER, NL 600mm</t>
  </si>
  <si>
    <t>ZSI.450FI1</t>
  </si>
  <si>
    <t>ZSI.450BI1N</t>
  </si>
  <si>
    <t>ZSI.500BI1N</t>
  </si>
  <si>
    <t>ZSI.550BI1N</t>
  </si>
  <si>
    <t>ZSI.600BI1N</t>
  </si>
  <si>
    <t>ZSI.650BI1N</t>
  </si>
  <si>
    <t>ZSI.450BI2N</t>
  </si>
  <si>
    <t>ZSI.500BI2N</t>
  </si>
  <si>
    <t>ZSI.550BI2N</t>
  </si>
  <si>
    <t>ZSI.600BI2N</t>
  </si>
  <si>
    <t>ZSI.650BI2N</t>
  </si>
  <si>
    <t>ZSI.450BI3N</t>
  </si>
  <si>
    <t>ZSI.500KI2N</t>
  </si>
  <si>
    <t>ZSI.500KI3N</t>
  </si>
  <si>
    <t>ZSI.450FI2N</t>
  </si>
  <si>
    <t>ZSI.500FI2N</t>
  </si>
  <si>
    <t>ZSI.550FI2N</t>
  </si>
  <si>
    <t>ZSI.600FI2N</t>
  </si>
  <si>
    <t>ZSI.650FI2N</t>
  </si>
  <si>
    <t>Sada KI2, 500mm</t>
  </si>
  <si>
    <t>Sada KI3, 500mm</t>
  </si>
  <si>
    <t>Sada KI4, 500mm</t>
  </si>
  <si>
    <t>Sada MI3, 500mm</t>
  </si>
  <si>
    <t>Sada KI2, 450mm</t>
  </si>
  <si>
    <t>ZSI.450KI2N</t>
  </si>
  <si>
    <t>Sada KI2, 550mm</t>
  </si>
  <si>
    <t>Sada KI2, 600mm</t>
  </si>
  <si>
    <t>Sada KI2, 650mm</t>
  </si>
  <si>
    <t>ZSI.550KI2N</t>
  </si>
  <si>
    <t>ZSI.600KI2N</t>
  </si>
  <si>
    <t>ZSI.650KI2N</t>
  </si>
  <si>
    <t>Sada KI3, 450mm</t>
  </si>
  <si>
    <t>ZSI.450KI3N</t>
  </si>
  <si>
    <t>Sada KI3, 550mm</t>
  </si>
  <si>
    <t>Sada KI3, 600mm</t>
  </si>
  <si>
    <t>Sada KI3, 650mm</t>
  </si>
  <si>
    <t>ZSI.550KI3N</t>
  </si>
  <si>
    <t>ZSI.600KI3N</t>
  </si>
  <si>
    <t>ZSI.650KI3N</t>
  </si>
  <si>
    <t>Sada KI4, 450mm</t>
  </si>
  <si>
    <t>ZSI.450KI4N</t>
  </si>
  <si>
    <t>ZSI.550KI4</t>
  </si>
  <si>
    <t>ZSI.600KI4</t>
  </si>
  <si>
    <t>ZSI.650KI4</t>
  </si>
  <si>
    <t>Sada KI4, 550mm</t>
  </si>
  <si>
    <t>Sada KI4, 600mm</t>
  </si>
  <si>
    <t>Sada KI4, 650mm</t>
  </si>
  <si>
    <t>Sada MI3, 450mm</t>
  </si>
  <si>
    <t>ZSI.450MI2</t>
  </si>
  <si>
    <t>Sada MI3, 550mm</t>
  </si>
  <si>
    <t>Sada MI3, 600mm</t>
  </si>
  <si>
    <t>Sada MI3, 650mm</t>
  </si>
  <si>
    <t>ZSI.550MI3</t>
  </si>
  <si>
    <t>ZSI.600MI3</t>
  </si>
  <si>
    <t>ZSI.650MI3</t>
  </si>
  <si>
    <t>Mezistěna, 550mm, šedá</t>
  </si>
  <si>
    <t>Mezistěna, 450mm, šedá</t>
  </si>
  <si>
    <t>Mezistěna, 450mm, hedvábně bílá</t>
  </si>
  <si>
    <t>Mezistěna, 450mm, černá Terra</t>
  </si>
  <si>
    <t xml:space="preserve">Z46L420S   </t>
  </si>
  <si>
    <t xml:space="preserve">Z46L420S  </t>
  </si>
  <si>
    <t>!</t>
  </si>
  <si>
    <t>Mezistěna, 550mm, hedvábně bílá</t>
  </si>
  <si>
    <t>Mezistěna, 550mm, černá Terra</t>
  </si>
  <si>
    <t>Mezistěna, 600mm, šedá</t>
  </si>
  <si>
    <t>Mezistěna, 600mm, hedvábně bílá</t>
  </si>
  <si>
    <t>Mezistěna, 600mm, černá Terra</t>
  </si>
  <si>
    <t>Mezistěna, 650mm, šedá</t>
  </si>
  <si>
    <t>Mezistěna, 650mm, hedvábně bílá</t>
  </si>
  <si>
    <t>Mezistěna, 650mm, černá Terra</t>
  </si>
  <si>
    <t>Dostupnost</t>
  </si>
  <si>
    <t>Sada</t>
  </si>
  <si>
    <t>Sada pro korpus</t>
  </si>
  <si>
    <t>Sada pro SPACE CORNER</t>
  </si>
  <si>
    <t>Sada pro korpus KB 900mm, NL 550mm</t>
  </si>
  <si>
    <t>ZSI.xxxBI1N</t>
  </si>
  <si>
    <t>ZSI.xxxBI2N</t>
  </si>
  <si>
    <t>ZSI.xxxBI3</t>
  </si>
  <si>
    <t>ZSI.60VEIx</t>
  </si>
  <si>
    <t>ZSI.90VEIx</t>
  </si>
  <si>
    <t>ZSI.12VEIx</t>
  </si>
  <si>
    <t>ZSI.xxxBI3E</t>
  </si>
  <si>
    <t>ZSI.xxxKI4</t>
  </si>
  <si>
    <t>ZSI.xxxFI1</t>
  </si>
  <si>
    <t>ZSI.xxxFI2N</t>
  </si>
  <si>
    <t>ZSI.xxxFI3</t>
  </si>
  <si>
    <t>ZSI.60VUIx</t>
  </si>
  <si>
    <t>ZSI.90VUIx</t>
  </si>
  <si>
    <t>ZSI.12VUIx</t>
  </si>
  <si>
    <t>ZSI.xxxKI2N</t>
  </si>
  <si>
    <t>ZSI.xxxKI3N</t>
  </si>
  <si>
    <t>ZSI.xxxMI3</t>
  </si>
  <si>
    <t xml:space="preserve">Z46L520S   </t>
  </si>
  <si>
    <t xml:space="preserve">Z46L520S  </t>
  </si>
  <si>
    <t xml:space="preserve">Z46L570S   </t>
  </si>
  <si>
    <t xml:space="preserve">Z46L570S  </t>
  </si>
  <si>
    <t xml:space="preserve">Z46L620S   </t>
  </si>
  <si>
    <t xml:space="preserve">Z46L620S  </t>
  </si>
  <si>
    <t>Sada pro korpus KB 600 mm</t>
  </si>
  <si>
    <t>Sada pro korpus KB 900 mm</t>
  </si>
  <si>
    <t>Sada pro korpus KB 1200 mm</t>
  </si>
  <si>
    <t>Stojánek na kořenky, KB 300mm</t>
  </si>
  <si>
    <t>Stojánek na kořenky, KB 400mm</t>
  </si>
  <si>
    <t>Stojánek na kořenky, KB 450mm</t>
  </si>
  <si>
    <t>Bočnice N 400mm, nerez (Inox)</t>
  </si>
  <si>
    <t>378N4002IA</t>
  </si>
  <si>
    <t>Bočnice N 450mm, nerez (Inox)</t>
  </si>
  <si>
    <t>378N4502IA</t>
  </si>
  <si>
    <t>Bočnice N 500mm, nerez (Inox)</t>
  </si>
  <si>
    <t>378N5002IA</t>
  </si>
  <si>
    <t>Bočnice N 550mm, nerez (Inox)</t>
  </si>
  <si>
    <t>378N5502IA</t>
  </si>
  <si>
    <t>Bočnice M 270mm, nerez (Inox)</t>
  </si>
  <si>
    <t>378M2702IA</t>
  </si>
  <si>
    <t>Bočnice M 300mm, nerez (Inox)</t>
  </si>
  <si>
    <t>378M3002IA</t>
  </si>
  <si>
    <t>Bočnice M 350mm, nerez (Inox)</t>
  </si>
  <si>
    <t>378M3502IA</t>
  </si>
  <si>
    <t>Bočnice M 400mm, nerez (Inox)</t>
  </si>
  <si>
    <t>378M4002IA</t>
  </si>
  <si>
    <t>Bočnice M 450mm, nerez (Inox)</t>
  </si>
  <si>
    <t>378M4502IA</t>
  </si>
  <si>
    <t>Bočnice M 500mm, nerez (Inox)</t>
  </si>
  <si>
    <t>378M5002IA</t>
  </si>
  <si>
    <t>Bočnice M 550mm, nerez (Inox)</t>
  </si>
  <si>
    <t>378M5502IA</t>
  </si>
  <si>
    <t>Bočnice M 600mm, nerez (Inox)</t>
  </si>
  <si>
    <t>378M6002IA</t>
  </si>
  <si>
    <t>Bočnice M 650mm, nerez (Inox)</t>
  </si>
  <si>
    <t>378M6502IA</t>
  </si>
  <si>
    <t>nerez (Inox)</t>
  </si>
  <si>
    <t>Nerez (Inox) není běžně skladem.</t>
  </si>
  <si>
    <t>Dostupnost ověřte u svého dodavatele.</t>
  </si>
  <si>
    <t>Držáky zadní stěny N, poniklované</t>
  </si>
  <si>
    <t>Držáky zadní stěny M, poniklované</t>
  </si>
  <si>
    <t>Držáky zadní stěny B, poniklované</t>
  </si>
  <si>
    <t>Držáky zadní stěny C, poniklované</t>
  </si>
  <si>
    <t>Držáky zadní stěny D, poniklované</t>
  </si>
  <si>
    <t>Variabilní držák relingu, vlevo/vpravo, poniklovaný</t>
  </si>
  <si>
    <t>Držáky čela vnitřní zásuvky M, prachově šedé</t>
  </si>
  <si>
    <t>Držáky čela vnitřního výsuvu C, prachově šedé</t>
  </si>
  <si>
    <t>Držáky čela vnitřního výsuvu D, prachově šedé</t>
  </si>
  <si>
    <t>Přední díl vnitřní zásuvky, niklovaný matný</t>
  </si>
  <si>
    <t>NI-M</t>
  </si>
  <si>
    <t>Příčný reling vnitřní zásuvky, niklovaný matný</t>
  </si>
  <si>
    <t>Úchytka a unašeč pro vnirřní zásuvku, černá</t>
  </si>
  <si>
    <t>Úchytka pro vnirřní zásuvku, prachově šedá</t>
  </si>
  <si>
    <t>Úchytka a unašeč pro vnirřní zásuvku, prach.šedá</t>
  </si>
  <si>
    <t>Podélný reling vlevo/vpravo, 300mm, nerez (Inox)</t>
  </si>
  <si>
    <t>ZRG.237RIIC</t>
  </si>
  <si>
    <t>Podélný reling vlevo/vpravo, 270mm, nerez (Inox)</t>
  </si>
  <si>
    <t>ZRG.207RIIC</t>
  </si>
  <si>
    <t>ZRG.287RIIC</t>
  </si>
  <si>
    <t>Podélný reling vlevo/vpravo, 350mm, nerez (Inox)</t>
  </si>
  <si>
    <t>Podélný reling vlevo/vpravo, 400mm, nerez (Inox)</t>
  </si>
  <si>
    <t>ZRG.337RIIC</t>
  </si>
  <si>
    <t>Podélný reling vlevo/vpravo, 450mm, nerez (Inox)</t>
  </si>
  <si>
    <t>ZRG.387RIIC</t>
  </si>
  <si>
    <t>Podélný reling vlevo/vpravo, 500mm, nerez (Inox)</t>
  </si>
  <si>
    <t>ZRG.437RIIC</t>
  </si>
  <si>
    <t>Podélný reling vlevo/vpravo, 550mm, nerez (Inox)</t>
  </si>
  <si>
    <t>ZRG.487RIIC</t>
  </si>
  <si>
    <t>Podélný reling vlevo/vpravo, 600mm, nerez (Inox)</t>
  </si>
  <si>
    <t>ZRG.537RIIC</t>
  </si>
  <si>
    <t>Podélný reling vlevo/vpravo, 650mm, nerez (Inox)</t>
  </si>
  <si>
    <t>ZRG.587RIIC</t>
  </si>
  <si>
    <t>Bočnice dřezové, 500 mm, nerez (Inox)</t>
  </si>
  <si>
    <t>378M5004IG</t>
  </si>
  <si>
    <t>Sada kování SPACE CORNER, M, nikl</t>
  </si>
  <si>
    <t>ST/NI</t>
  </si>
  <si>
    <t>Sada kování SPACE CORNER, D, nikl</t>
  </si>
  <si>
    <t>Držáky zadní stěny M SPACE-CORNER, nikl</t>
  </si>
  <si>
    <t>Držáky zadní stěny D SPACE-CORNER, nikl</t>
  </si>
  <si>
    <t>Sada držáků zásuvného prvku C, prachově šedá</t>
  </si>
  <si>
    <t>Sada držáků zásuvného prvku D, prachově šedá</t>
  </si>
  <si>
    <t>Příčka ke zkrácení, KB 300mm, niklovaná matná</t>
  </si>
  <si>
    <t>Příčka ke zkrácení, KB 600mm, niklovaná matná</t>
  </si>
  <si>
    <t>Příčka ke zkrácení, KB 900mm, niklovaná matná</t>
  </si>
  <si>
    <t>Příčka ke zkrácení, KB 1200mm, niklovaná matná</t>
  </si>
  <si>
    <t>Koncovka pro příčku, pro reling, D, prachově šedá</t>
  </si>
  <si>
    <t>Koncovka pro příčku, pro reling, C, prachově šedá</t>
  </si>
  <si>
    <t>Koncovka pro příčku, pro mezistěnu, prachově šedá</t>
  </si>
  <si>
    <t>Podélné dělení, niklované matné</t>
  </si>
  <si>
    <t>Příčný reling ke zkrácení, niklovaný matný</t>
  </si>
  <si>
    <t>Koncovka pro příčný reling, prachově šedá</t>
  </si>
  <si>
    <t>Podélné dělení pro reling, prachově šedé</t>
  </si>
  <si>
    <t>Mezistěna, 450mm, nerez (Inox)</t>
  </si>
  <si>
    <t>Z46L420I</t>
  </si>
  <si>
    <t>Mezistěna, 500mm, nerez (Inox)</t>
  </si>
  <si>
    <t>Z46L470I</t>
  </si>
  <si>
    <t>Mezistěna, 550mm, nerez (Inox)</t>
  </si>
  <si>
    <t xml:space="preserve">Z46L520I  </t>
  </si>
  <si>
    <t>Mezistěna, 600mm, nerez (Inox)</t>
  </si>
  <si>
    <t>Z46L570I</t>
  </si>
  <si>
    <t>Mezistěna, 650mm, nerez (Inox)</t>
  </si>
  <si>
    <t>Z46L620I</t>
  </si>
  <si>
    <t>NI-L</t>
  </si>
  <si>
    <t>TIP-ON přímý adaptér, prodl.délka, poniklovaný</t>
  </si>
  <si>
    <r>
      <rPr>
        <sz val="10"/>
        <color indexed="8"/>
        <rFont val="Calibri"/>
        <family val="2"/>
      </rPr>
      <t>←</t>
    </r>
    <r>
      <rPr>
        <sz val="10"/>
        <color indexed="8"/>
        <rFont val="Arial"/>
        <family val="2"/>
        <charset val="238"/>
      </rPr>
      <t>barva</t>
    </r>
  </si>
  <si>
    <t>Kování naplánované na tomto listu se neprojeví v objednávce</t>
  </si>
  <si>
    <t>Zásuvky K se v provedení nerez (Inox) nevyrábí</t>
  </si>
  <si>
    <t>Kovové zásuvné prvky pro nerez (Inox) se nevyrábí</t>
  </si>
  <si>
    <t>Boční stabilizace, 500 mm</t>
  </si>
  <si>
    <t>15 - 40 kg</t>
  </si>
  <si>
    <t>Boční stabilizace, 450 mm</t>
  </si>
  <si>
    <t>ZST.450BA</t>
  </si>
  <si>
    <t>Boční stabilizace, 550 mm</t>
  </si>
  <si>
    <t>Boční stabilizace, 600 mm</t>
  </si>
  <si>
    <t>Boční stabilizace, 650 mm</t>
  </si>
  <si>
    <t>ZST.550BA</t>
  </si>
  <si>
    <t>ZST.600BA</t>
  </si>
  <si>
    <t>ZST.650BA</t>
  </si>
  <si>
    <t>Napájecí zdroj 24W</t>
  </si>
  <si>
    <t>Z10NE030E</t>
  </si>
  <si>
    <t>Z10NA30EE</t>
  </si>
  <si>
    <t>2.0.2</t>
  </si>
  <si>
    <t>IN033B</t>
  </si>
  <si>
    <t>IN033C</t>
  </si>
  <si>
    <t>IN034B</t>
  </si>
  <si>
    <t>IN034C</t>
  </si>
  <si>
    <t>IN035B</t>
  </si>
  <si>
    <t>IN035C</t>
  </si>
  <si>
    <t>IN036B</t>
  </si>
  <si>
    <t>IN020C</t>
  </si>
  <si>
    <t>IN021B</t>
  </si>
  <si>
    <t>IN021C</t>
  </si>
  <si>
    <t>IN021N</t>
  </si>
  <si>
    <t>IN022B</t>
  </si>
  <si>
    <t>IN022C</t>
  </si>
  <si>
    <t>IN022N</t>
  </si>
  <si>
    <t>IN023B</t>
  </si>
  <si>
    <t>IN023C</t>
  </si>
  <si>
    <t>IN023N</t>
  </si>
  <si>
    <t>IN024B</t>
  </si>
  <si>
    <t>IN024C</t>
  </si>
  <si>
    <t>IN025B</t>
  </si>
  <si>
    <t>IN025C</t>
  </si>
  <si>
    <t>IN025N</t>
  </si>
  <si>
    <t>IN026B</t>
  </si>
  <si>
    <t>IN026C</t>
  </si>
  <si>
    <t>IN026N</t>
  </si>
  <si>
    <t>IN027B</t>
  </si>
  <si>
    <t>IN027C</t>
  </si>
  <si>
    <t>IN028B</t>
  </si>
  <si>
    <t>IN028C</t>
  </si>
  <si>
    <t>IN103B</t>
  </si>
  <si>
    <t>IN103C</t>
  </si>
  <si>
    <t>IN103N</t>
  </si>
  <si>
    <t>IN102C</t>
  </si>
  <si>
    <t>IN102N</t>
  </si>
  <si>
    <t>IN101C</t>
  </si>
  <si>
    <t>IN101N</t>
  </si>
  <si>
    <t>-</t>
  </si>
  <si>
    <t>IN114BB</t>
  </si>
  <si>
    <t>IN114CB</t>
  </si>
  <si>
    <t>IN114NB</t>
  </si>
  <si>
    <t>IN115B</t>
  </si>
  <si>
    <t>IN115C</t>
  </si>
  <si>
    <t>IN115N</t>
  </si>
  <si>
    <t>IN609B</t>
  </si>
  <si>
    <t>IN609C</t>
  </si>
  <si>
    <t>IN610B</t>
  </si>
  <si>
    <t>IN610C</t>
  </si>
  <si>
    <t>IN700MB</t>
  </si>
  <si>
    <t>IN102SB</t>
  </si>
  <si>
    <t>IN102SC</t>
  </si>
  <si>
    <t>IN102SN</t>
  </si>
  <si>
    <t>IN104B</t>
  </si>
  <si>
    <t>IN104C</t>
  </si>
  <si>
    <t>IN104N</t>
  </si>
  <si>
    <t>IN450B</t>
  </si>
  <si>
    <t>IN550B</t>
  </si>
  <si>
    <t>IN550C</t>
  </si>
  <si>
    <t>IN551B</t>
  </si>
  <si>
    <t>IN551C</t>
  </si>
  <si>
    <t>IN551N</t>
  </si>
  <si>
    <t>IN552B</t>
  </si>
  <si>
    <t>IN552C</t>
  </si>
  <si>
    <t>IN552N</t>
  </si>
  <si>
    <t>IN560C</t>
  </si>
  <si>
    <t>IN560N</t>
  </si>
  <si>
    <t>IN561C</t>
  </si>
  <si>
    <t>IN563B</t>
  </si>
  <si>
    <t xml:space="preserve"> Démos trade s.r.o.</t>
  </si>
  <si>
    <t xml:space="preserve"> Dolné Rudiny 8516/41C</t>
  </si>
  <si>
    <t xml:space="preserve"> 010 01 Žilina</t>
  </si>
  <si>
    <t xml:space="preserve">  +421 412 850 040 </t>
  </si>
  <si>
    <t xml:space="preserve"> dispecing.zilina@demos-trade.com </t>
  </si>
  <si>
    <t>IN036C</t>
  </si>
  <si>
    <t>IN102B</t>
  </si>
  <si>
    <t>IN450C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</si>
</sst>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164" formatCode="0.0"/>
    <numFmt numFmtId="165" formatCode="#,##0.00\ _K_č"/>
    <numFmt numFmtId="166" formatCode="###0.00"/>
    <numFmt numFmtId="167" formatCode="_-* #,##0.00\ [$€-1]_-;\-* #,##0.00\ [$€-1]_-;_-* &quot;-&quot;??\ [$€-1]_-;_-@_-"/>
  </numFmts>
  <fonts count="106" x14ac:knownFonts="1">
    <font>
      <sz val="11"/>
      <color theme="1"/>
      <name val="Calibri"/>
      <family val="2"/>
      <scheme val="minor"/>
    </font>
    <font>
      <sz val="14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name val="Verdana"/>
      <family val="2"/>
      <charset val="238"/>
    </font>
    <font>
      <b/>
      <sz val="9"/>
      <name val="Arial"/>
      <family val="2"/>
      <charset val="238"/>
    </font>
    <font>
      <sz val="9"/>
      <color indexed="55"/>
      <name val="Arial CE"/>
      <family val="2"/>
      <charset val="238"/>
    </font>
    <font>
      <b/>
      <sz val="9"/>
      <color indexed="22"/>
      <name val="Arial CE"/>
      <charset val="238"/>
    </font>
    <font>
      <sz val="9"/>
      <color indexed="8"/>
      <name val="Arial CE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CE"/>
      <family val="2"/>
      <charset val="238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55"/>
      <name val="Arial CE"/>
      <family val="2"/>
      <charset val="238"/>
    </font>
    <font>
      <b/>
      <sz val="10"/>
      <color indexed="22"/>
      <name val="Arial CE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Verdana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30"/>
      <name val="Calibri"/>
      <family val="2"/>
    </font>
    <font>
      <b/>
      <sz val="11"/>
      <name val="Calibri"/>
      <family val="2"/>
      <charset val="238"/>
    </font>
    <font>
      <u/>
      <sz val="10"/>
      <color indexed="8"/>
      <name val="Arial"/>
      <family val="2"/>
      <charset val="238"/>
    </font>
    <font>
      <u/>
      <sz val="10"/>
      <color indexed="30"/>
      <name val="Arial"/>
      <family val="2"/>
      <charset val="238"/>
    </font>
    <font>
      <sz val="10"/>
      <color indexed="30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"/>
      <name val="Arial"/>
      <family val="2"/>
      <charset val="238"/>
    </font>
    <font>
      <u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</font>
    <font>
      <sz val="9"/>
      <color indexed="8"/>
      <name val="Arial"/>
      <family val="2"/>
      <charset val="238"/>
    </font>
    <font>
      <sz val="9"/>
      <name val="Arial CE"/>
      <charset val="238"/>
    </font>
    <font>
      <sz val="8"/>
      <color indexed="8"/>
      <name val="Arial"/>
      <family val="2"/>
      <charset val="238"/>
    </font>
    <font>
      <sz val="9"/>
      <color indexed="22"/>
      <name val="Arial CE"/>
      <charset val="238"/>
    </font>
    <font>
      <sz val="8"/>
      <color indexed="9"/>
      <name val="Verdana"/>
      <family val="2"/>
      <charset val="238"/>
    </font>
    <font>
      <sz val="8"/>
      <name val="Verdana"/>
      <family val="2"/>
      <charset val="238"/>
    </font>
    <font>
      <sz val="9"/>
      <color indexed="2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22"/>
      <name val="Arial"/>
      <family val="2"/>
      <charset val="238"/>
    </font>
    <font>
      <sz val="10"/>
      <color indexed="10"/>
      <name val="Arial"/>
      <family val="2"/>
      <charset val="238"/>
    </font>
    <font>
      <sz val="16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9"/>
      <color indexed="3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FF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Calibri"/>
      <family val="2"/>
    </font>
    <font>
      <b/>
      <sz val="10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6"/>
      <color theme="0"/>
      <name val="Arial"/>
      <family val="2"/>
      <charset val="238"/>
    </font>
    <font>
      <sz val="9"/>
      <color indexed="55"/>
      <name val="Arial CE"/>
      <charset val="238"/>
    </font>
    <font>
      <sz val="10"/>
      <color rgb="FFFFFFFF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b/>
      <sz val="10"/>
      <color theme="0" tint="-0.249977111117893"/>
      <name val="Arial CE"/>
      <charset val="238"/>
    </font>
    <font>
      <b/>
      <sz val="10"/>
      <color theme="0" tint="-0.249977111117893"/>
      <name val="Arial CE"/>
      <family val="2"/>
      <charset val="238"/>
    </font>
    <font>
      <sz val="10"/>
      <color theme="0" tint="-0.249977111117893"/>
      <name val="Arial CE"/>
      <family val="2"/>
      <charset val="238"/>
    </font>
    <font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color rgb="FF000000"/>
      <name val="Tahoma"/>
      <family val="2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57"/>
      </patternFill>
    </fill>
    <fill>
      <patternFill patternType="solid">
        <fgColor indexed="3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EAEAEA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C0C0C0"/>
      </bottom>
      <diagonal/>
    </border>
    <border>
      <left/>
      <right style="medium">
        <color rgb="FFFFFFFF"/>
      </right>
      <top/>
      <bottom style="medium">
        <color rgb="FFC0C0C0"/>
      </bottom>
      <diagonal/>
    </border>
    <border>
      <left style="medium">
        <color rgb="FFFFFFFF"/>
      </left>
      <right/>
      <top/>
      <bottom style="medium">
        <color rgb="FFC0C0C0"/>
      </bottom>
      <diagonal/>
    </border>
    <border>
      <left/>
      <right style="thin">
        <color indexed="64"/>
      </right>
      <top style="medium">
        <color rgb="FFC0C0C0"/>
      </top>
      <bottom/>
      <diagonal/>
    </border>
    <border>
      <left style="thin">
        <color indexed="64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FFFFFF"/>
      </right>
      <top style="medium">
        <color rgb="FFC0C0C0"/>
      </top>
      <bottom/>
      <diagonal/>
    </border>
    <border>
      <left style="medium">
        <color rgb="FFFFFFFF"/>
      </left>
      <right/>
      <top style="medium">
        <color rgb="FFC0C0C0"/>
      </top>
      <bottom/>
      <diagonal/>
    </border>
    <border>
      <left/>
      <right style="medium">
        <color rgb="FFFFFFFF"/>
      </right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/>
      <bottom style="thin">
        <color auto="1"/>
      </bottom>
      <diagonal/>
    </border>
    <border>
      <left style="medium">
        <color rgb="FFFFFFFF"/>
      </left>
      <right/>
      <top/>
      <bottom style="thin">
        <color auto="1"/>
      </bottom>
      <diagonal/>
    </border>
    <border>
      <left/>
      <right style="medium">
        <color rgb="FFFFFFFF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/>
      <top style="thin">
        <color auto="1"/>
      </top>
      <bottom style="thin">
        <color auto="1"/>
      </bottom>
      <diagonal/>
    </border>
    <border>
      <left/>
      <right style="medium">
        <color rgb="FFFFFFFF"/>
      </right>
      <top style="thin">
        <color auto="1"/>
      </top>
      <bottom/>
      <diagonal/>
    </border>
    <border>
      <left style="medium">
        <color rgb="FFFFFFFF"/>
      </left>
      <right style="medium">
        <color rgb="FFFFFFFF"/>
      </right>
      <top style="thin">
        <color auto="1"/>
      </top>
      <bottom/>
      <diagonal/>
    </border>
    <border>
      <left style="medium">
        <color rgb="FFFFFFFF"/>
      </left>
      <right/>
      <top style="thin">
        <color auto="1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auto="1"/>
      </top>
      <bottom style="thin">
        <color indexed="64"/>
      </bottom>
      <diagonal/>
    </border>
    <border>
      <left/>
      <right style="medium">
        <color rgb="FFFFFFFF"/>
      </right>
      <top style="thin">
        <color auto="1"/>
      </top>
      <bottom style="thin">
        <color indexed="64"/>
      </bottom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rgb="FFFFFFFF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44" fontId="52" fillId="0" borderId="0" applyFont="0" applyFill="0" applyBorder="0" applyAlignment="0" applyProtection="0"/>
    <xf numFmtId="0" fontId="76" fillId="0" borderId="0"/>
    <xf numFmtId="0" fontId="15" fillId="0" borderId="0"/>
    <xf numFmtId="0" fontId="73" fillId="0" borderId="0"/>
    <xf numFmtId="0" fontId="36" fillId="0" borderId="0"/>
    <xf numFmtId="0" fontId="8" fillId="0" borderId="0"/>
  </cellStyleXfs>
  <cellXfs count="642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6" fillId="0" borderId="0" xfId="0" applyFont="1" applyFill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horizontal="center"/>
      <protection locked="0" hidden="1"/>
    </xf>
    <xf numFmtId="0" fontId="7" fillId="0" borderId="0" xfId="0" applyFont="1" applyAlignment="1">
      <alignment horizontal="right"/>
    </xf>
    <xf numFmtId="0" fontId="10" fillId="0" borderId="3" xfId="0" applyFont="1" applyBorder="1" applyProtection="1"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12" fillId="5" borderId="3" xfId="0" applyFont="1" applyFill="1" applyBorder="1" applyAlignment="1" applyProtection="1">
      <alignment horizontal="left" vertical="center"/>
      <protection hidden="1"/>
    </xf>
    <xf numFmtId="0" fontId="13" fillId="0" borderId="3" xfId="0" applyFont="1" applyFill="1" applyBorder="1" applyAlignment="1" applyProtection="1">
      <protection hidden="1"/>
    </xf>
    <xf numFmtId="2" fontId="14" fillId="0" borderId="1" xfId="0" applyNumberFormat="1" applyFont="1" applyFill="1" applyBorder="1" applyAlignment="1" applyProtection="1">
      <alignment horizontal="center"/>
      <protection hidden="1"/>
    </xf>
    <xf numFmtId="14" fontId="11" fillId="0" borderId="5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11" fillId="0" borderId="0" xfId="0" applyNumberFormat="1" applyFont="1" applyBorder="1" applyAlignment="1" applyProtection="1">
      <alignment horizontal="center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Protection="1">
      <protection hidden="1"/>
    </xf>
    <xf numFmtId="0" fontId="0" fillId="0" borderId="0" xfId="0" applyBorder="1"/>
    <xf numFmtId="0" fontId="15" fillId="0" borderId="0" xfId="0" applyFont="1" applyFill="1" applyBorder="1" applyProtection="1">
      <protection hidden="1"/>
    </xf>
    <xf numFmtId="0" fontId="2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Protection="1">
      <protection hidden="1"/>
    </xf>
    <xf numFmtId="14" fontId="8" fillId="0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Protection="1">
      <protection hidden="1"/>
    </xf>
    <xf numFmtId="0" fontId="25" fillId="5" borderId="3" xfId="0" applyFont="1" applyFill="1" applyBorder="1" applyAlignment="1" applyProtection="1">
      <alignment horizontal="left" vertical="center"/>
      <protection hidden="1"/>
    </xf>
    <xf numFmtId="0" fontId="29" fillId="5" borderId="3" xfId="0" applyFont="1" applyFill="1" applyBorder="1" applyAlignment="1" applyProtection="1">
      <alignment horizontal="left" vertical="center"/>
      <protection hidden="1"/>
    </xf>
    <xf numFmtId="0" fontId="8" fillId="0" borderId="3" xfId="0" applyFont="1" applyBorder="1" applyProtection="1">
      <protection hidden="1"/>
    </xf>
    <xf numFmtId="2" fontId="27" fillId="0" borderId="3" xfId="0" applyNumberFormat="1" applyFont="1" applyFill="1" applyBorder="1" applyAlignment="1" applyProtection="1">
      <alignment horizontal="center"/>
      <protection hidden="1"/>
    </xf>
    <xf numFmtId="11" fontId="25" fillId="5" borderId="3" xfId="0" applyNumberFormat="1" applyFont="1" applyFill="1" applyBorder="1" applyAlignment="1" applyProtection="1">
      <alignment horizontal="left" vertical="center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Border="1"/>
    <xf numFmtId="0" fontId="3" fillId="0" borderId="8" xfId="0" applyFont="1" applyBorder="1"/>
    <xf numFmtId="0" fontId="8" fillId="0" borderId="0" xfId="0" applyFont="1" applyFill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Protection="1"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9" fillId="0" borderId="6" xfId="0" applyFont="1" applyBorder="1" applyProtection="1">
      <protection hidden="1"/>
    </xf>
    <xf numFmtId="0" fontId="11" fillId="0" borderId="6" xfId="0" applyFont="1" applyFill="1" applyBorder="1" applyProtection="1">
      <protection hidden="1"/>
    </xf>
    <xf numFmtId="1" fontId="17" fillId="0" borderId="0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1" fontId="14" fillId="0" borderId="0" xfId="0" applyNumberFormat="1" applyFont="1" applyFill="1" applyBorder="1" applyAlignment="1" applyProtection="1">
      <alignment horizontal="center"/>
      <protection hidden="1"/>
    </xf>
    <xf numFmtId="2" fontId="14" fillId="0" borderId="0" xfId="0" applyNumberFormat="1" applyFont="1" applyFill="1" applyBorder="1" applyAlignment="1" applyProtection="1">
      <alignment horizontal="center"/>
      <protection hidden="1"/>
    </xf>
    <xf numFmtId="2" fontId="21" fillId="0" borderId="0" xfId="0" applyNumberFormat="1" applyFont="1" applyFill="1" applyBorder="1" applyAlignment="1" applyProtection="1">
      <alignment horizontal="center"/>
      <protection hidden="1"/>
    </xf>
    <xf numFmtId="2" fontId="17" fillId="0" borderId="0" xfId="0" applyNumberFormat="1" applyFont="1" applyFill="1" applyBorder="1" applyAlignment="1" applyProtection="1">
      <alignment horizontal="center"/>
      <protection hidden="1"/>
    </xf>
    <xf numFmtId="0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0" xfId="0" applyFont="1" applyFill="1" applyBorder="1" applyProtection="1">
      <protection hidden="1"/>
    </xf>
    <xf numFmtId="0" fontId="12" fillId="5" borderId="0" xfId="0" applyFont="1" applyFill="1" applyBorder="1" applyAlignment="1" applyProtection="1">
      <alignment horizontal="left" vertical="center"/>
      <protection hidden="1"/>
    </xf>
    <xf numFmtId="0" fontId="13" fillId="0" borderId="0" xfId="0" applyFont="1" applyFill="1" applyBorder="1" applyAlignment="1" applyProtection="1">
      <protection hidden="1"/>
    </xf>
    <xf numFmtId="2" fontId="17" fillId="0" borderId="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Border="1" applyProtection="1"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wrapText="1"/>
      <protection hidden="1"/>
    </xf>
    <xf numFmtId="0" fontId="13" fillId="0" borderId="0" xfId="0" applyFont="1" applyFill="1" applyBorder="1" applyProtection="1">
      <protection hidden="1"/>
    </xf>
    <xf numFmtId="2" fontId="19" fillId="0" borderId="0" xfId="0" applyNumberFormat="1" applyFont="1" applyFill="1" applyBorder="1" applyAlignment="1" applyProtection="1">
      <alignment horizontal="center"/>
      <protection hidden="1"/>
    </xf>
    <xf numFmtId="2" fontId="14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11" fillId="0" borderId="9" xfId="0" applyFont="1" applyFill="1" applyBorder="1" applyProtection="1">
      <protection hidden="1"/>
    </xf>
    <xf numFmtId="0" fontId="12" fillId="5" borderId="9" xfId="0" applyFont="1" applyFill="1" applyBorder="1" applyAlignment="1" applyProtection="1">
      <alignment horizontal="left" vertical="center"/>
      <protection hidden="1"/>
    </xf>
    <xf numFmtId="0" fontId="13" fillId="0" borderId="9" xfId="0" applyFont="1" applyFill="1" applyBorder="1" applyAlignment="1" applyProtection="1">
      <protection hidden="1"/>
    </xf>
    <xf numFmtId="2" fontId="14" fillId="0" borderId="9" xfId="0" applyNumberFormat="1" applyFont="1" applyFill="1" applyBorder="1" applyAlignment="1" applyProtection="1">
      <alignment horizontal="center"/>
      <protection hidden="1"/>
    </xf>
    <xf numFmtId="0" fontId="11" fillId="0" borderId="1" xfId="0" applyFont="1" applyBorder="1" applyProtection="1">
      <protection hidden="1"/>
    </xf>
    <xf numFmtId="0" fontId="12" fillId="5" borderId="1" xfId="0" applyFont="1" applyFill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protection hidden="1"/>
    </xf>
    <xf numFmtId="164" fontId="3" fillId="0" borderId="3" xfId="0" applyNumberFormat="1" applyFont="1" applyBorder="1" applyAlignment="1">
      <alignment horizontal="center"/>
    </xf>
    <xf numFmtId="0" fontId="11" fillId="7" borderId="9" xfId="0" applyFont="1" applyFill="1" applyBorder="1" applyProtection="1">
      <protection hidden="1"/>
    </xf>
    <xf numFmtId="0" fontId="13" fillId="7" borderId="9" xfId="0" applyFont="1" applyFill="1" applyBorder="1" applyAlignment="1" applyProtection="1">
      <protection hidden="1"/>
    </xf>
    <xf numFmtId="2" fontId="14" fillId="7" borderId="9" xfId="0" applyNumberFormat="1" applyFont="1" applyFill="1" applyBorder="1" applyAlignment="1" applyProtection="1">
      <alignment horizontal="center"/>
      <protection hidden="1"/>
    </xf>
    <xf numFmtId="0" fontId="12" fillId="8" borderId="9" xfId="0" applyFont="1" applyFill="1" applyBorder="1" applyAlignment="1" applyProtection="1">
      <alignment horizontal="left" vertical="center"/>
      <protection hidden="1"/>
    </xf>
    <xf numFmtId="0" fontId="37" fillId="0" borderId="0" xfId="4" applyFont="1" applyFill="1" applyAlignment="1">
      <alignment horizontal="left"/>
    </xf>
    <xf numFmtId="0" fontId="76" fillId="0" borderId="0" xfId="4"/>
    <xf numFmtId="0" fontId="76" fillId="0" borderId="0" xfId="4" applyFill="1"/>
    <xf numFmtId="0" fontId="76" fillId="9" borderId="0" xfId="4" applyFill="1"/>
    <xf numFmtId="0" fontId="76" fillId="0" borderId="0" xfId="4" applyAlignment="1">
      <alignment vertical="top" wrapText="1"/>
    </xf>
    <xf numFmtId="0" fontId="38" fillId="0" borderId="0" xfId="4" applyFont="1" applyFill="1"/>
    <xf numFmtId="0" fontId="11" fillId="0" borderId="0" xfId="5" applyFont="1" applyProtection="1">
      <protection hidden="1"/>
    </xf>
    <xf numFmtId="0" fontId="11" fillId="0" borderId="0" xfId="5" applyFont="1" applyAlignment="1" applyProtection="1">
      <alignment vertical="center"/>
      <protection hidden="1"/>
    </xf>
    <xf numFmtId="0" fontId="11" fillId="0" borderId="0" xfId="5" applyFont="1" applyFill="1" applyProtection="1">
      <protection hidden="1"/>
    </xf>
    <xf numFmtId="0" fontId="76" fillId="0" borderId="0" xfId="4" applyAlignment="1">
      <alignment vertical="center"/>
    </xf>
    <xf numFmtId="0" fontId="76" fillId="0" borderId="0" xfId="4" applyFill="1" applyAlignment="1">
      <alignment vertical="center"/>
    </xf>
    <xf numFmtId="0" fontId="76" fillId="7" borderId="0" xfId="4" applyFill="1"/>
    <xf numFmtId="0" fontId="39" fillId="0" borderId="0" xfId="0" applyFont="1" applyAlignment="1" applyProtection="1">
      <alignment horizontal="center"/>
      <protection locked="0" hidden="1"/>
    </xf>
    <xf numFmtId="0" fontId="40" fillId="0" borderId="0" xfId="5" applyFont="1" applyAlignment="1" applyProtection="1">
      <alignment horizontal="center"/>
      <protection hidden="1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/>
      <protection locked="0"/>
    </xf>
    <xf numFmtId="0" fontId="33" fillId="0" borderId="0" xfId="0" applyFont="1"/>
    <xf numFmtId="0" fontId="49" fillId="0" borderId="0" xfId="5" applyFont="1" applyAlignment="1" applyProtection="1">
      <alignment horizontal="center"/>
      <protection hidden="1"/>
    </xf>
    <xf numFmtId="0" fontId="46" fillId="0" borderId="0" xfId="1" applyFont="1" applyAlignment="1" applyProtection="1">
      <alignment horizontal="center"/>
    </xf>
    <xf numFmtId="0" fontId="3" fillId="0" borderId="2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4" fontId="3" fillId="0" borderId="0" xfId="0" applyNumberFormat="1" applyFont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/>
      <protection hidden="1"/>
    </xf>
    <xf numFmtId="4" fontId="3" fillId="0" borderId="1" xfId="0" applyNumberFormat="1" applyFont="1" applyBorder="1" applyProtection="1">
      <protection hidden="1"/>
    </xf>
    <xf numFmtId="0" fontId="3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7" borderId="0" xfId="0" applyFont="1" applyFill="1" applyBorder="1" applyAlignment="1" applyProtection="1">
      <alignment vertical="center"/>
      <protection hidden="1"/>
    </xf>
    <xf numFmtId="164" fontId="3" fillId="0" borderId="3" xfId="0" applyNumberFormat="1" applyFont="1" applyBorder="1" applyAlignment="1" applyProtection="1">
      <alignment horizontal="center" vertical="center"/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2" xfId="0" applyFont="1" applyBorder="1" applyProtection="1">
      <protection hidden="1"/>
    </xf>
    <xf numFmtId="0" fontId="48" fillId="0" borderId="0" xfId="0" applyFont="1" applyProtection="1">
      <protection hidden="1"/>
    </xf>
    <xf numFmtId="0" fontId="3" fillId="0" borderId="0" xfId="0" applyNumberFormat="1" applyFont="1" applyProtection="1">
      <protection hidden="1"/>
    </xf>
    <xf numFmtId="49" fontId="3" fillId="0" borderId="0" xfId="0" applyNumberFormat="1" applyFont="1" applyProtection="1">
      <protection hidden="1"/>
    </xf>
    <xf numFmtId="0" fontId="46" fillId="0" borderId="0" xfId="2" applyFont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7" fillId="0" borderId="0" xfId="2" applyFont="1" applyFill="1" applyAlignment="1" applyProtection="1">
      <alignment vertical="center"/>
      <protection hidden="1"/>
    </xf>
    <xf numFmtId="0" fontId="33" fillId="0" borderId="0" xfId="0" applyFont="1" applyProtection="1">
      <protection hidden="1"/>
    </xf>
    <xf numFmtId="164" fontId="4" fillId="4" borderId="0" xfId="0" applyNumberFormat="1" applyFont="1" applyFill="1" applyBorder="1" applyAlignment="1" applyProtection="1">
      <alignment horizontal="center" vertical="center"/>
      <protection locked="0"/>
    </xf>
    <xf numFmtId="164" fontId="8" fillId="4" borderId="0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Fill="1" applyBorder="1" applyProtection="1">
      <protection hidden="1"/>
    </xf>
    <xf numFmtId="0" fontId="3" fillId="0" borderId="2" xfId="0" applyFont="1" applyFill="1" applyBorder="1" applyProtection="1">
      <protection hidden="1"/>
    </xf>
    <xf numFmtId="0" fontId="43" fillId="0" borderId="0" xfId="1" applyFont="1" applyBorder="1" applyAlignment="1" applyProtection="1">
      <protection hidden="1"/>
    </xf>
    <xf numFmtId="0" fontId="44" fillId="0" borderId="13" xfId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13" xfId="0" applyFont="1" applyBorder="1" applyProtection="1"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41" fillId="0" borderId="14" xfId="0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45" fillId="0" borderId="2" xfId="0" applyFont="1" applyFill="1" applyBorder="1" applyProtection="1">
      <protection hidden="1"/>
    </xf>
    <xf numFmtId="0" fontId="8" fillId="7" borderId="15" xfId="1" applyFont="1" applyFill="1" applyBorder="1" applyProtection="1">
      <protection hidden="1"/>
    </xf>
    <xf numFmtId="0" fontId="8" fillId="7" borderId="16" xfId="1" applyFont="1" applyFill="1" applyBorder="1" applyProtection="1">
      <protection hidden="1"/>
    </xf>
    <xf numFmtId="0" fontId="3" fillId="0" borderId="0" xfId="0" applyFont="1" applyAlignment="1"/>
    <xf numFmtId="4" fontId="3" fillId="0" borderId="0" xfId="0" applyNumberFormat="1" applyFont="1" applyBorder="1" applyProtection="1">
      <protection hidden="1"/>
    </xf>
    <xf numFmtId="0" fontId="4" fillId="4" borderId="1" xfId="0" applyFont="1" applyFill="1" applyBorder="1" applyAlignment="1" applyProtection="1">
      <alignment horizontal="center"/>
      <protection locked="0"/>
    </xf>
    <xf numFmtId="0" fontId="8" fillId="7" borderId="0" xfId="1" applyFont="1" applyFill="1" applyBorder="1" applyProtection="1">
      <protection hidden="1"/>
    </xf>
    <xf numFmtId="0" fontId="8" fillId="7" borderId="0" xfId="1" applyFont="1" applyFill="1" applyBorder="1" applyAlignment="1" applyProtection="1">
      <alignment vertical="center"/>
      <protection hidden="1"/>
    </xf>
    <xf numFmtId="0" fontId="50" fillId="0" borderId="0" xfId="1" applyFont="1" applyAlignment="1" applyProtection="1">
      <alignment horizontal="right"/>
      <protection hidden="1"/>
    </xf>
    <xf numFmtId="0" fontId="37" fillId="0" borderId="0" xfId="0" applyFont="1" applyAlignment="1" applyProtection="1">
      <alignment horizontal="center"/>
      <protection locked="0"/>
    </xf>
    <xf numFmtId="0" fontId="51" fillId="0" borderId="2" xfId="0" applyFont="1" applyBorder="1" applyAlignment="1" applyProtection="1">
      <alignment horizontal="right"/>
      <protection hidden="1"/>
    </xf>
    <xf numFmtId="0" fontId="5" fillId="7" borderId="13" xfId="0" applyFont="1" applyFill="1" applyBorder="1" applyAlignment="1" applyProtection="1">
      <alignment horizontal="center"/>
      <protection hidden="1"/>
    </xf>
    <xf numFmtId="0" fontId="46" fillId="0" borderId="0" xfId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54" fillId="0" borderId="0" xfId="4" applyFont="1" applyAlignment="1">
      <alignment vertical="top" wrapText="1"/>
    </xf>
    <xf numFmtId="0" fontId="54" fillId="0" borderId="0" xfId="4" applyFont="1" applyFill="1"/>
    <xf numFmtId="0" fontId="9" fillId="0" borderId="6" xfId="0" applyFont="1" applyBorder="1" applyAlignment="1" applyProtection="1">
      <alignment horizontal="center"/>
      <protection hidden="1"/>
    </xf>
    <xf numFmtId="164" fontId="3" fillId="0" borderId="0" xfId="0" applyNumberFormat="1" applyFont="1" applyBorder="1" applyAlignment="1">
      <alignment horizontal="center"/>
    </xf>
    <xf numFmtId="2" fontId="14" fillId="7" borderId="0" xfId="0" applyNumberFormat="1" applyFont="1" applyFill="1" applyBorder="1" applyAlignment="1" applyProtection="1">
      <alignment horizontal="center"/>
      <protection hidden="1"/>
    </xf>
    <xf numFmtId="49" fontId="10" fillId="0" borderId="0" xfId="0" applyNumberFormat="1" applyFont="1" applyFill="1" applyBorder="1" applyAlignment="1" applyProtection="1">
      <alignment horizontal="center"/>
      <protection hidden="1"/>
    </xf>
    <xf numFmtId="2" fontId="14" fillId="0" borderId="7" xfId="0" applyNumberFormat="1" applyFont="1" applyFill="1" applyBorder="1" applyAlignment="1" applyProtection="1">
      <alignment horizontal="center"/>
      <protection hidden="1"/>
    </xf>
    <xf numFmtId="0" fontId="55" fillId="5" borderId="9" xfId="0" applyFont="1" applyFill="1" applyBorder="1" applyAlignment="1" applyProtection="1">
      <alignment horizontal="center" vertical="center"/>
      <protection hidden="1"/>
    </xf>
    <xf numFmtId="0" fontId="55" fillId="5" borderId="1" xfId="0" applyFont="1" applyFill="1" applyBorder="1" applyAlignment="1" applyProtection="1">
      <alignment horizontal="center" vertical="center"/>
      <protection hidden="1"/>
    </xf>
    <xf numFmtId="0" fontId="55" fillId="8" borderId="9" xfId="0" applyFont="1" applyFill="1" applyBorder="1" applyAlignment="1" applyProtection="1">
      <alignment horizontal="center" vertical="center"/>
      <protection hidden="1"/>
    </xf>
    <xf numFmtId="0" fontId="57" fillId="0" borderId="0" xfId="0" applyFont="1" applyFill="1" applyBorder="1" applyAlignment="1" applyProtection="1">
      <alignment horizontal="center" vertical="center"/>
      <protection hidden="1"/>
    </xf>
    <xf numFmtId="0" fontId="55" fillId="0" borderId="0" xfId="0" applyFont="1" applyFill="1" applyBorder="1" applyAlignment="1" applyProtection="1">
      <alignment horizontal="center" vertical="center"/>
      <protection hidden="1"/>
    </xf>
    <xf numFmtId="0" fontId="55" fillId="5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64" fillId="0" borderId="0" xfId="0" applyFont="1" applyAlignment="1">
      <alignment horizontal="center"/>
    </xf>
    <xf numFmtId="0" fontId="64" fillId="0" borderId="0" xfId="0" applyFont="1"/>
    <xf numFmtId="0" fontId="3" fillId="0" borderId="1" xfId="0" applyFont="1" applyBorder="1" applyAlignment="1"/>
    <xf numFmtId="0" fontId="3" fillId="0" borderId="7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42" fillId="0" borderId="0" xfId="0" applyFont="1" applyProtection="1">
      <protection hidden="1"/>
    </xf>
    <xf numFmtId="0" fontId="3" fillId="0" borderId="14" xfId="0" applyFont="1" applyBorder="1" applyProtection="1">
      <protection hidden="1"/>
    </xf>
    <xf numFmtId="0" fontId="3" fillId="0" borderId="13" xfId="0" applyFont="1" applyFill="1" applyBorder="1" applyProtection="1">
      <protection hidden="1"/>
    </xf>
    <xf numFmtId="0" fontId="63" fillId="0" borderId="0" xfId="4" applyFont="1"/>
    <xf numFmtId="0" fontId="63" fillId="0" borderId="0" xfId="4" applyFont="1" applyFill="1"/>
    <xf numFmtId="0" fontId="5" fillId="0" borderId="0" xfId="0" applyFont="1" applyProtection="1">
      <protection hidden="1"/>
    </xf>
    <xf numFmtId="0" fontId="66" fillId="0" borderId="2" xfId="0" applyFont="1" applyBorder="1" applyProtection="1">
      <protection hidden="1"/>
    </xf>
    <xf numFmtId="0" fontId="66" fillId="0" borderId="2" xfId="0" applyFont="1" applyBorder="1" applyAlignment="1">
      <alignment horizontal="right"/>
    </xf>
    <xf numFmtId="0" fontId="65" fillId="0" borderId="1" xfId="1" applyFont="1" applyFill="1" applyBorder="1" applyProtection="1">
      <protection hidden="1"/>
    </xf>
    <xf numFmtId="0" fontId="67" fillId="0" borderId="2" xfId="0" applyFont="1" applyBorder="1" applyProtection="1">
      <protection hidden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67" fillId="0" borderId="2" xfId="0" applyFont="1" applyBorder="1" applyAlignment="1">
      <alignment horizontal="center"/>
    </xf>
    <xf numFmtId="0" fontId="61" fillId="0" borderId="0" xfId="0" applyFont="1"/>
    <xf numFmtId="0" fontId="5" fillId="0" borderId="0" xfId="0" applyFont="1" applyBorder="1" applyAlignment="1" applyProtection="1">
      <alignment horizontal="right"/>
      <protection hidden="1"/>
    </xf>
    <xf numFmtId="0" fontId="8" fillId="0" borderId="3" xfId="1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right"/>
      <protection hidden="1"/>
    </xf>
    <xf numFmtId="0" fontId="66" fillId="0" borderId="0" xfId="0" applyFont="1" applyAlignment="1" applyProtection="1">
      <alignment horizontal="right"/>
      <protection hidden="1"/>
    </xf>
    <xf numFmtId="0" fontId="51" fillId="0" borderId="2" xfId="0" applyFont="1" applyBorder="1" applyProtection="1">
      <protection hidden="1"/>
    </xf>
    <xf numFmtId="0" fontId="65" fillId="0" borderId="0" xfId="1" applyFont="1" applyFill="1" applyBorder="1" applyProtection="1">
      <protection hidden="1"/>
    </xf>
    <xf numFmtId="0" fontId="63" fillId="0" borderId="0" xfId="4" applyFont="1" applyAlignment="1">
      <alignment horizontal="left" vertical="center" wrapText="1"/>
    </xf>
    <xf numFmtId="0" fontId="5" fillId="0" borderId="2" xfId="0" applyFont="1" applyBorder="1" applyAlignment="1" applyProtection="1">
      <alignment horizontal="right"/>
      <protection hidden="1"/>
    </xf>
    <xf numFmtId="0" fontId="69" fillId="0" borderId="7" xfId="0" applyFont="1" applyBorder="1" applyAlignment="1" applyProtection="1">
      <alignment horizontal="right"/>
      <protection hidden="1"/>
    </xf>
    <xf numFmtId="0" fontId="51" fillId="0" borderId="2" xfId="0" applyFont="1" applyBorder="1"/>
    <xf numFmtId="0" fontId="16" fillId="0" borderId="11" xfId="0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right" vertical="top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6" fillId="0" borderId="0" xfId="4" applyFont="1" applyAlignment="1">
      <alignment wrapText="1"/>
    </xf>
    <xf numFmtId="0" fontId="67" fillId="0" borderId="10" xfId="0" applyFont="1" applyBorder="1" applyProtection="1">
      <protection hidden="1"/>
    </xf>
    <xf numFmtId="4" fontId="7" fillId="0" borderId="0" xfId="0" applyNumberFormat="1" applyFont="1" applyAlignment="1" applyProtection="1">
      <alignment horizontal="right"/>
      <protection hidden="1"/>
    </xf>
    <xf numFmtId="0" fontId="36" fillId="0" borderId="0" xfId="0" applyFont="1" applyProtection="1">
      <protection hidden="1"/>
    </xf>
    <xf numFmtId="0" fontId="3" fillId="0" borderId="0" xfId="0" applyFont="1" applyAlignment="1" applyProtection="1">
      <protection hidden="1"/>
    </xf>
    <xf numFmtId="49" fontId="3" fillId="0" borderId="10" xfId="0" applyNumberFormat="1" applyFont="1" applyBorder="1" applyProtection="1">
      <protection hidden="1"/>
    </xf>
    <xf numFmtId="0" fontId="3" fillId="0" borderId="19" xfId="0" applyFont="1" applyBorder="1" applyProtection="1">
      <protection hidden="1"/>
    </xf>
    <xf numFmtId="0" fontId="67" fillId="0" borderId="18" xfId="0" applyFont="1" applyBorder="1" applyProtection="1">
      <protection hidden="1"/>
    </xf>
    <xf numFmtId="49" fontId="3" fillId="0" borderId="18" xfId="0" applyNumberFormat="1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67" fillId="0" borderId="0" xfId="0" applyFont="1" applyProtection="1">
      <protection hidden="1"/>
    </xf>
    <xf numFmtId="0" fontId="59" fillId="0" borderId="0" xfId="0" applyFont="1" applyFill="1" applyAlignment="1" applyProtection="1">
      <alignment horizontal="center"/>
      <protection hidden="1"/>
    </xf>
    <xf numFmtId="0" fontId="36" fillId="0" borderId="2" xfId="0" applyFont="1" applyBorder="1" applyProtection="1">
      <protection hidden="1"/>
    </xf>
    <xf numFmtId="0" fontId="59" fillId="0" borderId="0" xfId="0" applyFont="1" applyFill="1" applyAlignment="1" applyProtection="1">
      <alignment textRotation="90"/>
      <protection hidden="1"/>
    </xf>
    <xf numFmtId="0" fontId="56" fillId="0" borderId="1" xfId="0" applyFont="1" applyBorder="1" applyAlignment="1" applyProtection="1">
      <alignment wrapText="1"/>
      <protection hidden="1"/>
    </xf>
    <xf numFmtId="0" fontId="56" fillId="0" borderId="1" xfId="0" applyFont="1" applyBorder="1" applyAlignment="1" applyProtection="1">
      <alignment vertical="top" wrapText="1"/>
      <protection hidden="1"/>
    </xf>
    <xf numFmtId="0" fontId="56" fillId="0" borderId="1" xfId="0" applyFont="1" applyBorder="1" applyAlignment="1" applyProtection="1">
      <alignment horizontal="center" wrapText="1"/>
      <protection hidden="1"/>
    </xf>
    <xf numFmtId="0" fontId="56" fillId="0" borderId="1" xfId="0" applyFont="1" applyBorder="1" applyAlignment="1" applyProtection="1">
      <alignment horizontal="right" wrapText="1"/>
      <protection hidden="1"/>
    </xf>
    <xf numFmtId="0" fontId="36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6" fillId="0" borderId="11" xfId="0" applyFont="1" applyBorder="1" applyProtection="1">
      <protection hidden="1"/>
    </xf>
    <xf numFmtId="2" fontId="36" fillId="0" borderId="11" xfId="0" applyNumberFormat="1" applyFont="1" applyBorder="1" applyAlignment="1" applyProtection="1">
      <alignment horizontal="center"/>
      <protection hidden="1"/>
    </xf>
    <xf numFmtId="4" fontId="36" fillId="0" borderId="11" xfId="0" applyNumberFormat="1" applyFont="1" applyBorder="1" applyProtection="1">
      <protection hidden="1"/>
    </xf>
    <xf numFmtId="0" fontId="36" fillId="0" borderId="11" xfId="0" applyFont="1" applyBorder="1" applyAlignment="1" applyProtection="1">
      <alignment horizontal="center"/>
      <protection hidden="1"/>
    </xf>
    <xf numFmtId="0" fontId="36" fillId="0" borderId="0" xfId="0" applyFont="1" applyFill="1" applyAlignment="1" applyProtection="1">
      <alignment horizontal="center"/>
      <protection hidden="1"/>
    </xf>
    <xf numFmtId="2" fontId="36" fillId="0" borderId="11" xfId="0" applyNumberFormat="1" applyFont="1" applyBorder="1" applyProtection="1">
      <protection hidden="1"/>
    </xf>
    <xf numFmtId="0" fontId="60" fillId="0" borderId="0" xfId="0" applyFont="1" applyFill="1" applyAlignment="1" applyProtection="1">
      <alignment horizontal="center"/>
      <protection hidden="1"/>
    </xf>
    <xf numFmtId="2" fontId="36" fillId="0" borderId="0" xfId="0" applyNumberFormat="1" applyFont="1" applyBorder="1" applyProtection="1">
      <protection hidden="1"/>
    </xf>
    <xf numFmtId="0" fontId="0" fillId="0" borderId="11" xfId="0" applyBorder="1" applyProtection="1">
      <protection hidden="1"/>
    </xf>
    <xf numFmtId="0" fontId="4" fillId="0" borderId="11" xfId="0" applyFont="1" applyBorder="1" applyAlignment="1" applyProtection="1">
      <protection hidden="1"/>
    </xf>
    <xf numFmtId="0" fontId="4" fillId="0" borderId="11" xfId="0" applyFont="1" applyBorder="1" applyAlignment="1" applyProtection="1">
      <alignment horizontal="right"/>
      <protection hidden="1"/>
    </xf>
    <xf numFmtId="0" fontId="11" fillId="0" borderId="0" xfId="0" applyFont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8" fillId="0" borderId="0" xfId="1" applyFont="1" applyFill="1" applyBorder="1" applyAlignment="1" applyProtection="1">
      <alignment horizontal="center"/>
      <protection hidden="1"/>
    </xf>
    <xf numFmtId="0" fontId="51" fillId="0" borderId="0" xfId="0" applyFont="1"/>
    <xf numFmtId="0" fontId="3" fillId="0" borderId="6" xfId="0" applyFont="1" applyBorder="1" applyProtection="1">
      <protection hidden="1"/>
    </xf>
    <xf numFmtId="1" fontId="36" fillId="4" borderId="11" xfId="0" applyNumberFormat="1" applyFont="1" applyFill="1" applyBorder="1" applyAlignment="1" applyProtection="1">
      <alignment horizontal="center"/>
      <protection locked="0"/>
    </xf>
    <xf numFmtId="0" fontId="67" fillId="0" borderId="0" xfId="0" applyFont="1"/>
    <xf numFmtId="0" fontId="70" fillId="0" borderId="0" xfId="0" applyFont="1"/>
    <xf numFmtId="0" fontId="8" fillId="7" borderId="16" xfId="1" applyFont="1" applyFill="1" applyBorder="1" applyAlignment="1" applyProtection="1">
      <alignment vertical="center"/>
      <protection hidden="1"/>
    </xf>
    <xf numFmtId="0" fontId="72" fillId="0" borderId="0" xfId="0" applyFont="1" applyProtection="1">
      <protection hidden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left"/>
      <protection hidden="1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1" fontId="36" fillId="0" borderId="0" xfId="0" applyNumberFormat="1" applyFont="1" applyAlignment="1" applyProtection="1">
      <alignment horizontal="center"/>
      <protection hidden="1"/>
    </xf>
    <xf numFmtId="1" fontId="16" fillId="0" borderId="11" xfId="0" applyNumberFormat="1" applyFont="1" applyFill="1" applyBorder="1" applyAlignment="1" applyProtection="1">
      <alignment horizontal="center" vertical="center"/>
      <protection hidden="1"/>
    </xf>
    <xf numFmtId="44" fontId="3" fillId="0" borderId="0" xfId="3" applyFont="1" applyAlignment="1" applyProtection="1">
      <protection hidden="1"/>
    </xf>
    <xf numFmtId="0" fontId="63" fillId="7" borderId="0" xfId="4" applyFont="1" applyFill="1"/>
    <xf numFmtId="0" fontId="58" fillId="11" borderId="0" xfId="0" applyFont="1" applyFill="1" applyAlignment="1" applyProtection="1">
      <alignment horizontal="center" textRotation="90"/>
      <protection hidden="1"/>
    </xf>
    <xf numFmtId="0" fontId="8" fillId="12" borderId="16" xfId="1" applyFont="1" applyFill="1" applyBorder="1" applyProtection="1">
      <protection hidden="1"/>
    </xf>
    <xf numFmtId="0" fontId="8" fillId="12" borderId="15" xfId="1" applyFont="1" applyFill="1" applyBorder="1" applyProtection="1">
      <protection hidden="1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right"/>
      <protection hidden="1"/>
    </xf>
    <xf numFmtId="49" fontId="11" fillId="0" borderId="3" xfId="0" applyNumberFormat="1" applyFont="1" applyFill="1" applyBorder="1" applyAlignment="1" applyProtection="1">
      <alignment horizontal="center" vertical="center"/>
      <protection hidden="1"/>
    </xf>
    <xf numFmtId="1" fontId="36" fillId="4" borderId="20" xfId="0" applyNumberFormat="1" applyFont="1" applyFill="1" applyBorder="1" applyAlignment="1" applyProtection="1">
      <alignment horizontal="center"/>
      <protection locked="0"/>
    </xf>
    <xf numFmtId="1" fontId="36" fillId="4" borderId="21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Border="1" applyAlignment="1" applyProtection="1">
      <alignment horizontal="center" vertical="top"/>
      <protection hidden="1"/>
    </xf>
    <xf numFmtId="49" fontId="8" fillId="0" borderId="3" xfId="0" applyNumberFormat="1" applyFont="1" applyFill="1" applyBorder="1" applyAlignment="1" applyProtection="1">
      <alignment horizontal="center" vertical="center"/>
      <protection hidden="1"/>
    </xf>
    <xf numFmtId="0" fontId="36" fillId="17" borderId="0" xfId="0" applyFont="1" applyFill="1" applyAlignment="1" applyProtection="1">
      <alignment horizontal="center"/>
      <protection hidden="1"/>
    </xf>
    <xf numFmtId="0" fontId="77" fillId="0" borderId="0" xfId="0" applyFont="1" applyFill="1" applyAlignment="1" applyProtection="1">
      <alignment vertical="center"/>
      <protection hidden="1"/>
    </xf>
    <xf numFmtId="0" fontId="78" fillId="0" borderId="0" xfId="0" applyFont="1"/>
    <xf numFmtId="0" fontId="36" fillId="16" borderId="0" xfId="4" applyFont="1" applyFill="1" applyAlignment="1">
      <alignment vertical="top" wrapText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79" fillId="0" borderId="2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80" fillId="0" borderId="2" xfId="0" applyFont="1" applyFill="1" applyBorder="1" applyAlignment="1" applyProtection="1">
      <alignment horizontal="right" vertical="center"/>
      <protection hidden="1"/>
    </xf>
    <xf numFmtId="0" fontId="83" fillId="0" borderId="2" xfId="0" applyFont="1" applyFill="1" applyBorder="1"/>
    <xf numFmtId="0" fontId="83" fillId="0" borderId="0" xfId="0" applyFont="1" applyFill="1" applyBorder="1"/>
    <xf numFmtId="0" fontId="83" fillId="0" borderId="0" xfId="0" applyFont="1" applyFill="1" applyBorder="1" applyAlignment="1" applyProtection="1">
      <alignment horizontal="center" vertical="center"/>
      <protection hidden="1"/>
    </xf>
    <xf numFmtId="0" fontId="84" fillId="19" borderId="22" xfId="0" applyFont="1" applyFill="1" applyBorder="1" applyAlignment="1">
      <alignment horizontal="center"/>
    </xf>
    <xf numFmtId="0" fontId="84" fillId="19" borderId="23" xfId="0" applyFont="1" applyFill="1" applyBorder="1" applyAlignment="1">
      <alignment horizontal="center"/>
    </xf>
    <xf numFmtId="0" fontId="82" fillId="19" borderId="23" xfId="0" applyFont="1" applyFill="1" applyBorder="1" applyAlignment="1" applyProtection="1">
      <alignment horizontal="center"/>
      <protection locked="0"/>
    </xf>
    <xf numFmtId="0" fontId="84" fillId="19" borderId="24" xfId="0" applyFont="1" applyFill="1" applyBorder="1" applyAlignment="1">
      <alignment horizontal="center"/>
    </xf>
    <xf numFmtId="0" fontId="85" fillId="20" borderId="25" xfId="0" applyFont="1" applyFill="1" applyBorder="1" applyAlignment="1" applyProtection="1">
      <alignment horizontal="center" vertical="center"/>
      <protection hidden="1"/>
    </xf>
    <xf numFmtId="0" fontId="84" fillId="0" borderId="25" xfId="0" applyFont="1" applyFill="1" applyBorder="1" applyAlignment="1">
      <alignment horizontal="center"/>
    </xf>
    <xf numFmtId="0" fontId="82" fillId="21" borderId="26" xfId="0" applyFont="1" applyFill="1" applyBorder="1" applyAlignment="1" applyProtection="1">
      <alignment horizontal="center"/>
      <protection locked="0"/>
    </xf>
    <xf numFmtId="0" fontId="82" fillId="21" borderId="27" xfId="0" applyFont="1" applyFill="1" applyBorder="1" applyAlignment="1" applyProtection="1">
      <alignment horizontal="center"/>
      <protection locked="0"/>
    </xf>
    <xf numFmtId="0" fontId="82" fillId="0" borderId="27" xfId="0" applyFont="1" applyFill="1" applyBorder="1" applyAlignment="1" applyProtection="1">
      <alignment horizontal="center"/>
    </xf>
    <xf numFmtId="0" fontId="85" fillId="22" borderId="28" xfId="0" applyFont="1" applyFill="1" applyBorder="1" applyAlignment="1" applyProtection="1">
      <alignment horizontal="center" vertical="center"/>
      <protection hidden="1"/>
    </xf>
    <xf numFmtId="0" fontId="84" fillId="0" borderId="29" xfId="0" applyFont="1" applyFill="1" applyBorder="1" applyAlignment="1" applyProtection="1">
      <alignment horizontal="center"/>
      <protection hidden="1"/>
    </xf>
    <xf numFmtId="0" fontId="84" fillId="0" borderId="30" xfId="0" applyFont="1" applyFill="1" applyBorder="1"/>
    <xf numFmtId="0" fontId="82" fillId="21" borderId="31" xfId="0" applyFont="1" applyFill="1" applyBorder="1" applyAlignment="1" applyProtection="1">
      <alignment horizontal="center"/>
      <protection locked="0"/>
    </xf>
    <xf numFmtId="0" fontId="82" fillId="21" borderId="32" xfId="0" applyFont="1" applyFill="1" applyBorder="1" applyAlignment="1" applyProtection="1">
      <alignment horizontal="center"/>
      <protection locked="0"/>
    </xf>
    <xf numFmtId="0" fontId="76" fillId="16" borderId="0" xfId="4" applyFill="1"/>
    <xf numFmtId="0" fontId="82" fillId="0" borderId="26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67" fillId="0" borderId="0" xfId="0" applyFont="1" applyBorder="1" applyProtection="1">
      <protection hidden="1"/>
    </xf>
    <xf numFmtId="0" fontId="85" fillId="20" borderId="33" xfId="0" applyFont="1" applyFill="1" applyBorder="1" applyAlignment="1" applyProtection="1">
      <alignment horizontal="center" vertical="center"/>
      <protection hidden="1"/>
    </xf>
    <xf numFmtId="0" fontId="82" fillId="21" borderId="34" xfId="0" applyFont="1" applyFill="1" applyBorder="1" applyAlignment="1" applyProtection="1">
      <alignment horizontal="center"/>
      <protection locked="0"/>
    </xf>
    <xf numFmtId="0" fontId="82" fillId="21" borderId="33" xfId="0" applyFont="1" applyFill="1" applyBorder="1" applyAlignment="1" applyProtection="1">
      <alignment horizontal="center"/>
      <protection locked="0"/>
    </xf>
    <xf numFmtId="0" fontId="82" fillId="21" borderId="35" xfId="0" applyFont="1" applyFill="1" applyBorder="1" applyAlignment="1" applyProtection="1">
      <alignment horizontal="center"/>
      <protection locked="0"/>
    </xf>
    <xf numFmtId="0" fontId="85" fillId="20" borderId="36" xfId="0" applyFont="1" applyFill="1" applyBorder="1" applyAlignment="1" applyProtection="1">
      <alignment horizontal="center" vertical="center"/>
      <protection hidden="1"/>
    </xf>
    <xf numFmtId="0" fontId="82" fillId="21" borderId="37" xfId="0" applyFont="1" applyFill="1" applyBorder="1" applyAlignment="1" applyProtection="1">
      <alignment horizontal="center"/>
      <protection locked="0"/>
    </xf>
    <xf numFmtId="0" fontId="82" fillId="21" borderId="36" xfId="0" applyFont="1" applyFill="1" applyBorder="1" applyAlignment="1" applyProtection="1">
      <alignment horizontal="center"/>
      <protection locked="0"/>
    </xf>
    <xf numFmtId="0" fontId="82" fillId="21" borderId="38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/>
    <xf numFmtId="0" fontId="67" fillId="0" borderId="0" xfId="0" applyFont="1" applyFill="1" applyBorder="1" applyProtection="1">
      <protection hidden="1"/>
    </xf>
    <xf numFmtId="0" fontId="6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center"/>
      <protection locked="0" hidden="1"/>
    </xf>
    <xf numFmtId="2" fontId="3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76" fillId="23" borderId="0" xfId="4" applyFill="1"/>
    <xf numFmtId="0" fontId="3" fillId="24" borderId="0" xfId="0" applyFont="1" applyFill="1"/>
    <xf numFmtId="0" fontId="0" fillId="24" borderId="0" xfId="0" applyFill="1" applyBorder="1"/>
    <xf numFmtId="0" fontId="0" fillId="24" borderId="0" xfId="0" applyFill="1"/>
    <xf numFmtId="0" fontId="79" fillId="0" borderId="0" xfId="0" applyFont="1" applyFill="1" applyBorder="1" applyAlignment="1" applyProtection="1">
      <alignment horizontal="left" vertical="center"/>
      <protection hidden="1"/>
    </xf>
    <xf numFmtId="0" fontId="79" fillId="0" borderId="2" xfId="0" applyFont="1" applyFill="1" applyBorder="1" applyAlignment="1" applyProtection="1">
      <alignment horizontal="left"/>
      <protection hidden="1"/>
    </xf>
    <xf numFmtId="0" fontId="82" fillId="0" borderId="0" xfId="0" applyFont="1" applyFill="1" applyBorder="1" applyAlignment="1" applyProtection="1">
      <alignment horizontal="center"/>
      <protection locked="0"/>
    </xf>
    <xf numFmtId="0" fontId="80" fillId="0" borderId="0" xfId="0" applyFont="1" applyFill="1" applyBorder="1" applyAlignment="1" applyProtection="1">
      <alignment horizontal="right" vertical="center"/>
      <protection hidden="1"/>
    </xf>
    <xf numFmtId="0" fontId="86" fillId="0" borderId="0" xfId="0" applyFont="1" applyFill="1" applyBorder="1" applyAlignment="1">
      <alignment horizontal="center"/>
    </xf>
    <xf numFmtId="0" fontId="86" fillId="0" borderId="0" xfId="0" applyFont="1" applyFill="1" applyBorder="1" applyAlignment="1">
      <alignment vertical="top" wrapText="1"/>
    </xf>
    <xf numFmtId="0" fontId="83" fillId="0" borderId="1" xfId="0" applyFont="1" applyFill="1" applyBorder="1"/>
    <xf numFmtId="0" fontId="87" fillId="19" borderId="23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center"/>
    </xf>
    <xf numFmtId="0" fontId="84" fillId="0" borderId="1" xfId="0" applyFont="1" applyFill="1" applyBorder="1" applyAlignment="1">
      <alignment horizontal="center"/>
    </xf>
    <xf numFmtId="0" fontId="82" fillId="21" borderId="22" xfId="0" applyFont="1" applyFill="1" applyBorder="1" applyAlignment="1" applyProtection="1">
      <alignment horizontal="center"/>
      <protection locked="0"/>
    </xf>
    <xf numFmtId="0" fontId="82" fillId="21" borderId="0" xfId="0" applyFont="1" applyFill="1" applyBorder="1" applyAlignment="1" applyProtection="1">
      <alignment horizontal="center"/>
      <protection locked="0"/>
    </xf>
    <xf numFmtId="0" fontId="82" fillId="21" borderId="24" xfId="0" applyFont="1" applyFill="1" applyBorder="1" applyAlignment="1" applyProtection="1">
      <alignment horizontal="center"/>
      <protection locked="0"/>
    </xf>
    <xf numFmtId="0" fontId="84" fillId="0" borderId="2" xfId="0" applyFont="1" applyFill="1" applyBorder="1"/>
    <xf numFmtId="0" fontId="88" fillId="0" borderId="0" xfId="0" applyFont="1" applyFill="1" applyBorder="1"/>
    <xf numFmtId="0" fontId="84" fillId="0" borderId="25" xfId="0" applyNumberFormat="1" applyFont="1" applyFill="1" applyBorder="1" applyAlignment="1">
      <alignment horizontal="center"/>
    </xf>
    <xf numFmtId="0" fontId="80" fillId="21" borderId="22" xfId="0" applyFont="1" applyFill="1" applyBorder="1" applyAlignment="1" applyProtection="1">
      <alignment horizontal="center"/>
      <protection locked="0"/>
    </xf>
    <xf numFmtId="0" fontId="80" fillId="21" borderId="0" xfId="0" applyFont="1" applyFill="1" applyBorder="1" applyAlignment="1" applyProtection="1">
      <alignment horizontal="center"/>
      <protection locked="0"/>
    </xf>
    <xf numFmtId="0" fontId="80" fillId="21" borderId="26" xfId="0" applyFont="1" applyFill="1" applyBorder="1" applyAlignment="1" applyProtection="1">
      <alignment horizontal="center"/>
      <protection locked="0"/>
    </xf>
    <xf numFmtId="0" fontId="80" fillId="21" borderId="27" xfId="0" applyFont="1" applyFill="1" applyBorder="1" applyAlignment="1" applyProtection="1">
      <alignment horizontal="center"/>
      <protection locked="0"/>
    </xf>
    <xf numFmtId="0" fontId="84" fillId="0" borderId="29" xfId="0" applyFont="1" applyFill="1" applyBorder="1" applyAlignment="1">
      <alignment horizontal="center"/>
    </xf>
    <xf numFmtId="0" fontId="80" fillId="0" borderId="42" xfId="0" applyFont="1" applyFill="1" applyBorder="1" applyAlignment="1" applyProtection="1">
      <alignment horizontal="center"/>
    </xf>
    <xf numFmtId="0" fontId="80" fillId="0" borderId="43" xfId="0" applyFont="1" applyFill="1" applyBorder="1" applyAlignment="1" applyProtection="1">
      <alignment horizontal="center"/>
    </xf>
    <xf numFmtId="0" fontId="84" fillId="0" borderId="0" xfId="0" applyFont="1" applyFill="1" applyBorder="1" applyAlignment="1" applyProtection="1">
      <alignment horizontal="center"/>
      <protection hidden="1"/>
    </xf>
    <xf numFmtId="0" fontId="84" fillId="0" borderId="0" xfId="0" applyFont="1" applyFill="1" applyBorder="1" applyAlignment="1" applyProtection="1">
      <alignment horizontal="left"/>
      <protection hidden="1"/>
    </xf>
    <xf numFmtId="0" fontId="83" fillId="0" borderId="0" xfId="0" applyFont="1" applyFill="1" applyBorder="1" applyProtection="1">
      <protection hidden="1"/>
    </xf>
    <xf numFmtId="0" fontId="83" fillId="0" borderId="2" xfId="0" applyFont="1" applyFill="1" applyBorder="1" applyAlignment="1" applyProtection="1">
      <alignment horizontal="center" vertical="center"/>
      <protection hidden="1"/>
    </xf>
    <xf numFmtId="0" fontId="86" fillId="0" borderId="0" xfId="0" applyFont="1" applyFill="1" applyBorder="1" applyAlignment="1">
      <alignment horizontal="left" indent="1"/>
    </xf>
    <xf numFmtId="0" fontId="89" fillId="0" borderId="0" xfId="0" applyFont="1" applyFill="1" applyBorder="1" applyProtection="1">
      <protection hidden="1"/>
    </xf>
    <xf numFmtId="0" fontId="83" fillId="0" borderId="0" xfId="0" applyFont="1" applyFill="1" applyBorder="1" applyAlignment="1" applyProtection="1">
      <alignment vertical="top" wrapText="1"/>
      <protection hidden="1"/>
    </xf>
    <xf numFmtId="4" fontId="3" fillId="0" borderId="0" xfId="0" applyNumberFormat="1" applyFont="1" applyBorder="1" applyAlignment="1" applyProtection="1">
      <alignment horizontal="right"/>
      <protection hidden="1"/>
    </xf>
    <xf numFmtId="0" fontId="86" fillId="0" borderId="0" xfId="0" applyFont="1" applyFill="1" applyBorder="1" applyAlignment="1">
      <alignment horizontal="left"/>
    </xf>
    <xf numFmtId="0" fontId="82" fillId="0" borderId="26" xfId="0" applyFont="1" applyFill="1" applyBorder="1" applyAlignment="1" applyProtection="1">
      <alignment horizontal="center"/>
      <protection locked="0"/>
    </xf>
    <xf numFmtId="0" fontId="84" fillId="0" borderId="0" xfId="0" applyFont="1" applyFill="1" applyBorder="1"/>
    <xf numFmtId="0" fontId="81" fillId="24" borderId="52" xfId="0" applyFont="1" applyFill="1" applyBorder="1" applyAlignment="1">
      <alignment horizontal="left" vertical="center"/>
    </xf>
    <xf numFmtId="0" fontId="81" fillId="24" borderId="52" xfId="0" applyFont="1" applyFill="1" applyBorder="1" applyAlignment="1">
      <alignment horizontal="left" vertical="center" indent="1"/>
    </xf>
    <xf numFmtId="0" fontId="3" fillId="24" borderId="48" xfId="0" applyFont="1" applyFill="1" applyBorder="1"/>
    <xf numFmtId="0" fontId="3" fillId="24" borderId="55" xfId="0" applyFont="1" applyFill="1" applyBorder="1"/>
    <xf numFmtId="0" fontId="3" fillId="24" borderId="0" xfId="0" applyFont="1" applyFill="1" applyBorder="1"/>
    <xf numFmtId="0" fontId="3" fillId="24" borderId="46" xfId="0" applyFont="1" applyFill="1" applyBorder="1"/>
    <xf numFmtId="0" fontId="3" fillId="24" borderId="51" xfId="0" applyFont="1" applyFill="1" applyBorder="1"/>
    <xf numFmtId="0" fontId="81" fillId="24" borderId="44" xfId="0" applyFont="1" applyFill="1" applyBorder="1" applyAlignment="1">
      <alignment horizontal="center" vertical="center" wrapText="1"/>
    </xf>
    <xf numFmtId="0" fontId="8" fillId="7" borderId="0" xfId="1" applyFont="1" applyFill="1" applyAlignment="1">
      <alignment horizontal="center" vertical="center"/>
    </xf>
    <xf numFmtId="0" fontId="90" fillId="27" borderId="55" xfId="0" applyFont="1" applyFill="1" applyBorder="1" applyAlignment="1">
      <alignment horizontal="center" vertical="center"/>
    </xf>
    <xf numFmtId="0" fontId="36" fillId="7" borderId="0" xfId="0" applyFont="1" applyFill="1" applyAlignment="1" applyProtection="1">
      <alignment horizontal="center"/>
      <protection hidden="1"/>
    </xf>
    <xf numFmtId="0" fontId="8" fillId="7" borderId="0" xfId="1" applyFont="1" applyFill="1" applyAlignment="1">
      <alignment horizontal="left" vertical="center" indent="1"/>
    </xf>
    <xf numFmtId="0" fontId="85" fillId="0" borderId="0" xfId="0" applyFont="1" applyFill="1" applyBorder="1" applyAlignment="1" applyProtection="1">
      <alignment horizontal="center" vertical="center"/>
      <protection hidden="1"/>
    </xf>
    <xf numFmtId="0" fontId="85" fillId="0" borderId="0" xfId="0" applyFont="1" applyFill="1" applyBorder="1" applyAlignment="1" applyProtection="1">
      <alignment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49" fontId="11" fillId="0" borderId="4" xfId="0" applyNumberFormat="1" applyFont="1" applyFill="1" applyBorder="1" applyAlignment="1" applyProtection="1">
      <alignment horizontal="center" vertical="center"/>
      <protection hidden="1"/>
    </xf>
    <xf numFmtId="14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55" fillId="0" borderId="0" xfId="0" applyFont="1" applyFill="1" applyBorder="1" applyProtection="1">
      <protection hidden="1"/>
    </xf>
    <xf numFmtId="2" fontId="92" fillId="0" borderId="0" xfId="0" applyNumberFormat="1" applyFont="1" applyFill="1" applyBorder="1" applyAlignment="1" applyProtection="1">
      <alignment horizontal="center"/>
      <protection hidden="1"/>
    </xf>
    <xf numFmtId="0" fontId="55" fillId="0" borderId="0" xfId="0" applyFont="1" applyFill="1" applyBorder="1" applyAlignment="1" applyProtection="1">
      <alignment horizontal="left"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2" fontId="1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3" fillId="0" borderId="11" xfId="0" applyFont="1" applyBorder="1" applyAlignment="1" applyProtection="1">
      <alignment horizontal="center"/>
      <protection hidden="1"/>
    </xf>
    <xf numFmtId="4" fontId="3" fillId="0" borderId="11" xfId="0" applyNumberFormat="1" applyFont="1" applyBorder="1" applyAlignment="1" applyProtection="1">
      <alignment horizontal="right"/>
      <protection hidden="1"/>
    </xf>
    <xf numFmtId="4" fontId="3" fillId="0" borderId="11" xfId="0" applyNumberFormat="1" applyFont="1" applyBorder="1" applyProtection="1">
      <protection hidden="1"/>
    </xf>
    <xf numFmtId="0" fontId="5" fillId="0" borderId="11" xfId="0" applyFont="1" applyBorder="1" applyProtection="1">
      <protection hidden="1"/>
    </xf>
    <xf numFmtId="4" fontId="5" fillId="0" borderId="11" xfId="0" applyNumberFormat="1" applyFont="1" applyBorder="1" applyAlignment="1" applyProtection="1">
      <alignment horizontal="right"/>
      <protection hidden="1"/>
    </xf>
    <xf numFmtId="4" fontId="5" fillId="0" borderId="11" xfId="0" applyNumberFormat="1" applyFont="1" applyBorder="1" applyProtection="1">
      <protection hidden="1"/>
    </xf>
    <xf numFmtId="0" fontId="3" fillId="0" borderId="10" xfId="0" applyFont="1" applyBorder="1" applyAlignment="1" applyProtection="1">
      <alignment horizontal="center"/>
      <protection hidden="1"/>
    </xf>
    <xf numFmtId="4" fontId="3" fillId="0" borderId="10" xfId="0" applyNumberFormat="1" applyFont="1" applyBorder="1" applyAlignment="1" applyProtection="1">
      <alignment horizontal="right"/>
      <protection hidden="1"/>
    </xf>
    <xf numFmtId="4" fontId="3" fillId="0" borderId="10" xfId="0" applyNumberFormat="1" applyFont="1" applyBorder="1" applyProtection="1">
      <protection hidden="1"/>
    </xf>
    <xf numFmtId="0" fontId="3" fillId="0" borderId="19" xfId="0" applyFont="1" applyBorder="1" applyAlignment="1" applyProtection="1">
      <alignment horizontal="center"/>
      <protection hidden="1"/>
    </xf>
    <xf numFmtId="4" fontId="3" fillId="0" borderId="19" xfId="0" applyNumberFormat="1" applyFont="1" applyBorder="1" applyAlignment="1" applyProtection="1">
      <alignment horizontal="right"/>
      <protection hidden="1"/>
    </xf>
    <xf numFmtId="4" fontId="3" fillId="0" borderId="19" xfId="0" applyNumberFormat="1" applyFont="1" applyBorder="1" applyProtection="1">
      <protection hidden="1"/>
    </xf>
    <xf numFmtId="0" fontId="5" fillId="0" borderId="11" xfId="0" applyFont="1" applyBorder="1" applyAlignment="1" applyProtection="1">
      <alignment horizontal="center"/>
      <protection hidden="1"/>
    </xf>
    <xf numFmtId="2" fontId="3" fillId="0" borderId="0" xfId="0" applyNumberFormat="1" applyFont="1" applyBorder="1" applyProtection="1">
      <protection hidden="1"/>
    </xf>
    <xf numFmtId="4" fontId="3" fillId="0" borderId="0" xfId="0" applyNumberFormat="1" applyFont="1" applyFill="1" applyBorder="1" applyAlignment="1" applyProtection="1">
      <alignment horizontal="right"/>
      <protection hidden="1"/>
    </xf>
    <xf numFmtId="4" fontId="3" fillId="0" borderId="0" xfId="0" applyNumberFormat="1" applyFont="1" applyFill="1" applyBorder="1" applyProtection="1">
      <protection hidden="1"/>
    </xf>
    <xf numFmtId="0" fontId="78" fillId="0" borderId="0" xfId="0" applyFont="1" applyBorder="1"/>
    <xf numFmtId="2" fontId="3" fillId="0" borderId="11" xfId="0" applyNumberFormat="1" applyFont="1" applyBorder="1" applyProtection="1">
      <protection hidden="1"/>
    </xf>
    <xf numFmtId="2" fontId="5" fillId="0" borderId="11" xfId="0" applyNumberFormat="1" applyFont="1" applyBorder="1" applyProtection="1"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84" fillId="19" borderId="22" xfId="0" applyFont="1" applyFill="1" applyBorder="1" applyAlignment="1" applyProtection="1">
      <alignment horizontal="center"/>
      <protection hidden="1"/>
    </xf>
    <xf numFmtId="0" fontId="36" fillId="0" borderId="0" xfId="4" applyFont="1" applyAlignment="1">
      <alignment vertical="top" wrapText="1"/>
    </xf>
    <xf numFmtId="0" fontId="3" fillId="0" borderId="1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hidden="1"/>
    </xf>
    <xf numFmtId="4" fontId="3" fillId="0" borderId="0" xfId="0" applyNumberFormat="1" applyFont="1" applyBorder="1" applyAlignment="1" applyProtection="1">
      <alignment vertical="center"/>
      <protection hidden="1"/>
    </xf>
    <xf numFmtId="0" fontId="36" fillId="0" borderId="0" xfId="0" applyFont="1" applyAlignment="1" applyProtection="1">
      <alignment horizontal="center" vertical="top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6" fillId="0" borderId="0" xfId="0" applyFont="1" applyFill="1" applyBorder="1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" fillId="28" borderId="0" xfId="0" applyFont="1" applyFill="1" applyAlignment="1" applyProtection="1">
      <alignment horizontal="right" vertical="center"/>
      <protection hidden="1"/>
    </xf>
    <xf numFmtId="0" fontId="3" fillId="28" borderId="0" xfId="0" applyFont="1" applyFill="1" applyAlignment="1" applyProtection="1">
      <alignment horizontal="center" vertical="center"/>
      <protection hidden="1"/>
    </xf>
    <xf numFmtId="0" fontId="3" fillId="28" borderId="0" xfId="0" applyFont="1" applyFill="1" applyAlignment="1">
      <alignment horizontal="center" vertical="center"/>
    </xf>
    <xf numFmtId="0" fontId="3" fillId="28" borderId="0" xfId="0" applyFont="1" applyFill="1" applyAlignment="1" applyProtection="1">
      <alignment vertical="center"/>
      <protection hidden="1"/>
    </xf>
    <xf numFmtId="0" fontId="3" fillId="28" borderId="0" xfId="0" applyFont="1" applyFill="1" applyAlignment="1">
      <alignment vertical="center"/>
    </xf>
    <xf numFmtId="0" fontId="68" fillId="3" borderId="14" xfId="1" applyFont="1" applyFill="1" applyBorder="1" applyAlignment="1" applyProtection="1">
      <alignment horizontal="center" vertical="center"/>
      <protection hidden="1"/>
    </xf>
    <xf numFmtId="0" fontId="68" fillId="10" borderId="60" xfId="1" applyFont="1" applyFill="1" applyBorder="1" applyAlignment="1" applyProtection="1">
      <alignment horizontal="center" vertical="center"/>
      <protection hidden="1"/>
    </xf>
    <xf numFmtId="0" fontId="68" fillId="3" borderId="13" xfId="1" applyFont="1" applyFill="1" applyBorder="1" applyAlignment="1" applyProtection="1">
      <alignment horizontal="center" vertical="center"/>
      <protection hidden="1"/>
    </xf>
    <xf numFmtId="0" fontId="68" fillId="10" borderId="13" xfId="1" applyFont="1" applyFill="1" applyBorder="1" applyAlignment="1" applyProtection="1">
      <alignment horizontal="center" vertical="center"/>
      <protection hidden="1"/>
    </xf>
    <xf numFmtId="0" fontId="68" fillId="3" borderId="14" xfId="1" applyFont="1" applyFill="1" applyBorder="1" applyAlignment="1" applyProtection="1">
      <alignment horizontal="center" vertical="center" wrapText="1"/>
      <protection hidden="1"/>
    </xf>
    <xf numFmtId="0" fontId="68" fillId="10" borderId="61" xfId="1" applyFont="1" applyFill="1" applyBorder="1" applyAlignment="1" applyProtection="1">
      <alignment horizontal="center"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4" fontId="11" fillId="0" borderId="0" xfId="0" applyNumberFormat="1" applyFont="1" applyProtection="1">
      <protection hidden="1"/>
    </xf>
    <xf numFmtId="4" fontId="0" fillId="0" borderId="0" xfId="0" applyNumberFormat="1"/>
    <xf numFmtId="4" fontId="36" fillId="0" borderId="0" xfId="0" applyNumberFormat="1" applyFont="1" applyAlignment="1" applyProtection="1">
      <alignment horizontal="right"/>
      <protection hidden="1"/>
    </xf>
    <xf numFmtId="4" fontId="36" fillId="0" borderId="2" xfId="0" applyNumberFormat="1" applyFont="1" applyBorder="1" applyAlignment="1" applyProtection="1">
      <alignment horizontal="right"/>
      <protection hidden="1"/>
    </xf>
    <xf numFmtId="4" fontId="11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>
      <alignment horizontal="right"/>
    </xf>
    <xf numFmtId="4" fontId="3" fillId="0" borderId="0" xfId="0" applyNumberFormat="1" applyFont="1"/>
    <xf numFmtId="0" fontId="0" fillId="0" borderId="0" xfId="0" applyFill="1" applyBorder="1" applyAlignment="1" applyProtection="1">
      <protection hidden="1"/>
    </xf>
    <xf numFmtId="0" fontId="44" fillId="0" borderId="13" xfId="1" applyFont="1" applyFill="1" applyBorder="1" applyAlignment="1" applyProtection="1">
      <alignment horizontal="right"/>
      <protection hidden="1"/>
    </xf>
    <xf numFmtId="0" fontId="3" fillId="0" borderId="0" xfId="0" applyFont="1" applyFill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13" xfId="0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36" fillId="7" borderId="0" xfId="0" applyFont="1" applyFill="1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" fillId="0" borderId="1" xfId="0" applyFont="1" applyBorder="1" applyAlignment="1">
      <alignment vertical="center"/>
    </xf>
    <xf numFmtId="0" fontId="93" fillId="20" borderId="33" xfId="0" applyFont="1" applyFill="1" applyBorder="1" applyAlignment="1" applyProtection="1">
      <alignment horizontal="center" vertical="center"/>
      <protection hidden="1"/>
    </xf>
    <xf numFmtId="0" fontId="4" fillId="21" borderId="34" xfId="0" applyFont="1" applyFill="1" applyBorder="1" applyAlignment="1" applyProtection="1">
      <alignment horizontal="center"/>
      <protection locked="0"/>
    </xf>
    <xf numFmtId="0" fontId="4" fillId="21" borderId="33" xfId="0" applyFont="1" applyFill="1" applyBorder="1" applyAlignment="1" applyProtection="1">
      <alignment horizontal="center"/>
      <protection locked="0"/>
    </xf>
    <xf numFmtId="0" fontId="4" fillId="21" borderId="35" xfId="0" applyFont="1" applyFill="1" applyBorder="1" applyAlignment="1" applyProtection="1">
      <alignment horizontal="center"/>
      <protection locked="0"/>
    </xf>
    <xf numFmtId="0" fontId="93" fillId="20" borderId="36" xfId="0" applyFont="1" applyFill="1" applyBorder="1" applyAlignment="1" applyProtection="1">
      <alignment horizontal="center" vertical="center"/>
      <protection hidden="1"/>
    </xf>
    <xf numFmtId="0" fontId="4" fillId="21" borderId="37" xfId="0" applyFont="1" applyFill="1" applyBorder="1" applyAlignment="1" applyProtection="1">
      <alignment horizontal="center"/>
      <protection locked="0"/>
    </xf>
    <xf numFmtId="0" fontId="4" fillId="21" borderId="36" xfId="0" applyFont="1" applyFill="1" applyBorder="1" applyAlignment="1" applyProtection="1">
      <alignment horizontal="center"/>
      <protection locked="0"/>
    </xf>
    <xf numFmtId="0" fontId="4" fillId="21" borderId="38" xfId="0" applyFont="1" applyFill="1" applyBorder="1" applyAlignment="1" applyProtection="1">
      <alignment horizontal="center"/>
      <protection locked="0"/>
    </xf>
    <xf numFmtId="0" fontId="93" fillId="20" borderId="39" xfId="0" applyFont="1" applyFill="1" applyBorder="1" applyAlignment="1" applyProtection="1">
      <alignment horizontal="center" vertical="center"/>
      <protection hidden="1"/>
    </xf>
    <xf numFmtId="0" fontId="4" fillId="21" borderId="40" xfId="0" applyFont="1" applyFill="1" applyBorder="1" applyAlignment="1" applyProtection="1">
      <alignment horizontal="center"/>
      <protection locked="0"/>
    </xf>
    <xf numFmtId="0" fontId="4" fillId="21" borderId="39" xfId="0" applyFont="1" applyFill="1" applyBorder="1" applyAlignment="1" applyProtection="1">
      <alignment horizontal="center"/>
      <protection locked="0"/>
    </xf>
    <xf numFmtId="0" fontId="4" fillId="21" borderId="4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/>
    <xf numFmtId="4" fontId="3" fillId="0" borderId="0" xfId="0" applyNumberFormat="1" applyFont="1" applyBorder="1"/>
    <xf numFmtId="0" fontId="95" fillId="5" borderId="3" xfId="0" applyFont="1" applyFill="1" applyBorder="1" applyAlignment="1" applyProtection="1">
      <alignment horizontal="left" vertical="center"/>
      <protection hidden="1"/>
    </xf>
    <xf numFmtId="0" fontId="26" fillId="0" borderId="3" xfId="0" applyFont="1" applyFill="1" applyBorder="1" applyAlignment="1" applyProtection="1">
      <alignment horizontal="center"/>
      <protection hidden="1"/>
    </xf>
    <xf numFmtId="0" fontId="29" fillId="5" borderId="3" xfId="0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0" fontId="26" fillId="0" borderId="3" xfId="0" applyFont="1" applyFill="1" applyBorder="1" applyAlignment="1" applyProtection="1">
      <alignment horizontal="center" vertical="center"/>
      <protection hidden="1"/>
    </xf>
    <xf numFmtId="0" fontId="96" fillId="0" borderId="3" xfId="0" applyFont="1" applyFill="1" applyBorder="1" applyAlignment="1" applyProtection="1">
      <alignment horizontal="center"/>
      <protection hidden="1"/>
    </xf>
    <xf numFmtId="0" fontId="35" fillId="0" borderId="3" xfId="0" applyFont="1" applyFill="1" applyBorder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 textRotation="90"/>
      <protection hidden="1"/>
    </xf>
    <xf numFmtId="0" fontId="0" fillId="0" borderId="0" xfId="0" applyFont="1" applyAlignment="1">
      <alignment horizontal="center"/>
    </xf>
    <xf numFmtId="0" fontId="55" fillId="5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textRotation="90"/>
      <protection hidden="1"/>
    </xf>
    <xf numFmtId="0" fontId="3" fillId="0" borderId="0" xfId="0" applyFont="1" applyAlignment="1">
      <alignment horizontal="center"/>
    </xf>
    <xf numFmtId="0" fontId="36" fillId="7" borderId="0" xfId="0" applyFont="1" applyFill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left"/>
      <protection hidden="1"/>
    </xf>
    <xf numFmtId="4" fontId="3" fillId="0" borderId="0" xfId="0" applyNumberFormat="1" applyFont="1" applyAlignment="1">
      <alignment horizontal="right"/>
    </xf>
    <xf numFmtId="0" fontId="36" fillId="7" borderId="0" xfId="0" applyFont="1" applyFill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9" fillId="0" borderId="3" xfId="0" applyFont="1" applyBorder="1" applyProtection="1">
      <protection hidden="1"/>
    </xf>
    <xf numFmtId="2" fontId="10" fillId="0" borderId="3" xfId="0" applyNumberFormat="1" applyFont="1" applyFill="1" applyBorder="1" applyAlignment="1" applyProtection="1">
      <alignment horizontal="center"/>
      <protection hidden="1"/>
    </xf>
    <xf numFmtId="1" fontId="27" fillId="16" borderId="3" xfId="0" applyNumberFormat="1" applyFont="1" applyFill="1" applyBorder="1" applyAlignment="1" applyProtection="1">
      <alignment horizontal="center"/>
      <protection hidden="1"/>
    </xf>
    <xf numFmtId="2" fontId="28" fillId="0" borderId="3" xfId="0" applyNumberFormat="1" applyFont="1" applyFill="1" applyBorder="1" applyAlignment="1" applyProtection="1">
      <alignment horizontal="left"/>
      <protection hidden="1"/>
    </xf>
    <xf numFmtId="1" fontId="28" fillId="16" borderId="3" xfId="0" applyNumberFormat="1" applyFont="1" applyFill="1" applyBorder="1" applyAlignment="1" applyProtection="1">
      <alignment horizontal="center"/>
      <protection hidden="1"/>
    </xf>
    <xf numFmtId="1" fontId="28" fillId="0" borderId="3" xfId="0" applyNumberFormat="1" applyFont="1" applyFill="1" applyBorder="1" applyAlignment="1" applyProtection="1">
      <alignment horizontal="center"/>
      <protection hidden="1"/>
    </xf>
    <xf numFmtId="0" fontId="30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Protection="1">
      <protection hidden="1"/>
    </xf>
    <xf numFmtId="0" fontId="8" fillId="16" borderId="3" xfId="0" applyFont="1" applyFill="1" applyBorder="1" applyAlignment="1" applyProtection="1">
      <alignment horizontal="center" vertical="center"/>
      <protection hidden="1"/>
    </xf>
    <xf numFmtId="0" fontId="0" fillId="0" borderId="3" xfId="0" applyBorder="1"/>
    <xf numFmtId="0" fontId="4" fillId="0" borderId="3" xfId="0" applyFont="1" applyFill="1" applyBorder="1" applyAlignment="1" applyProtection="1">
      <alignment wrapText="1"/>
      <protection hidden="1"/>
    </xf>
    <xf numFmtId="0" fontId="8" fillId="0" borderId="3" xfId="0" applyFont="1" applyFill="1" applyBorder="1" applyAlignment="1" applyProtection="1">
      <alignment wrapText="1"/>
      <protection hidden="1"/>
    </xf>
    <xf numFmtId="2" fontId="31" fillId="0" borderId="3" xfId="0" applyNumberFormat="1" applyFont="1" applyFill="1" applyBorder="1" applyAlignment="1" applyProtection="1">
      <alignment horizontal="center"/>
      <protection hidden="1"/>
    </xf>
    <xf numFmtId="0" fontId="32" fillId="18" borderId="3" xfId="0" applyNumberFormat="1" applyFont="1" applyFill="1" applyBorder="1" applyAlignment="1">
      <alignment horizontal="center" vertical="center"/>
    </xf>
    <xf numFmtId="2" fontId="28" fillId="0" borderId="3" xfId="0" applyNumberFormat="1" applyFont="1" applyFill="1" applyBorder="1" applyAlignment="1" applyProtection="1">
      <alignment horizontal="center"/>
      <protection hidden="1"/>
    </xf>
    <xf numFmtId="0" fontId="32" fillId="6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16" borderId="3" xfId="0" applyNumberFormat="1" applyFont="1" applyFill="1" applyBorder="1" applyAlignment="1" applyProtection="1">
      <alignment horizontal="center" vertical="center"/>
      <protection hidden="1"/>
    </xf>
    <xf numFmtId="0" fontId="32" fillId="5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32" fillId="16" borderId="3" xfId="0" applyNumberFormat="1" applyFont="1" applyFill="1" applyBorder="1" applyAlignment="1">
      <alignment horizontal="center" vertical="center"/>
    </xf>
    <xf numFmtId="0" fontId="94" fillId="0" borderId="3" xfId="0" applyFont="1" applyBorder="1" applyProtection="1">
      <protection hidden="1"/>
    </xf>
    <xf numFmtId="0" fontId="98" fillId="0" borderId="3" xfId="0" applyNumberFormat="1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/>
      <protection hidden="1"/>
    </xf>
    <xf numFmtId="1" fontId="8" fillId="0" borderId="3" xfId="0" applyNumberFormat="1" applyFont="1" applyFill="1" applyBorder="1" applyAlignment="1" applyProtection="1">
      <alignment horizontal="center"/>
      <protection locked="0"/>
    </xf>
    <xf numFmtId="0" fontId="35" fillId="0" borderId="3" xfId="0" applyFont="1" applyBorder="1" applyProtection="1">
      <protection hidden="1"/>
    </xf>
    <xf numFmtId="1" fontId="27" fillId="0" borderId="3" xfId="0" applyNumberFormat="1" applyFont="1" applyFill="1" applyBorder="1" applyAlignment="1" applyProtection="1">
      <alignment horizontal="center"/>
      <protection locked="0"/>
    </xf>
    <xf numFmtId="1" fontId="27" fillId="16" borderId="3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3" xfId="0" applyFont="1" applyFill="1" applyBorder="1" applyAlignment="1" applyProtection="1">
      <alignment horizontal="center"/>
      <protection hidden="1"/>
    </xf>
    <xf numFmtId="0" fontId="8" fillId="0" borderId="3" xfId="8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21" borderId="62" xfId="0" applyFont="1" applyFill="1" applyBorder="1" applyAlignment="1" applyProtection="1">
      <alignment horizontal="center"/>
      <protection locked="0"/>
    </xf>
    <xf numFmtId="0" fontId="4" fillId="21" borderId="63" xfId="0" applyFont="1" applyFill="1" applyBorder="1" applyAlignment="1" applyProtection="1">
      <alignment horizontal="center"/>
      <protection locked="0"/>
    </xf>
    <xf numFmtId="0" fontId="93" fillId="20" borderId="64" xfId="0" applyFont="1" applyFill="1" applyBorder="1" applyAlignment="1" applyProtection="1">
      <alignment horizontal="center" vertical="center"/>
      <protection hidden="1"/>
    </xf>
    <xf numFmtId="0" fontId="4" fillId="21" borderId="6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 textRotation="90"/>
      <protection hidden="1"/>
    </xf>
    <xf numFmtId="0" fontId="25" fillId="5" borderId="3" xfId="0" applyFont="1" applyFill="1" applyBorder="1" applyAlignment="1" applyProtection="1">
      <alignment horizontal="center" vertical="center"/>
      <protection hidden="1"/>
    </xf>
    <xf numFmtId="0" fontId="95" fillId="5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49" fontId="3" fillId="0" borderId="10" xfId="0" applyNumberFormat="1" applyFont="1" applyBorder="1" applyAlignment="1" applyProtection="1">
      <alignment horizontal="center"/>
      <protection hidden="1"/>
    </xf>
    <xf numFmtId="49" fontId="3" fillId="0" borderId="18" xfId="0" applyNumberFormat="1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" fontId="27" fillId="0" borderId="3" xfId="0" applyNumberFormat="1" applyFont="1" applyFill="1" applyBorder="1" applyAlignment="1" applyProtection="1">
      <alignment horizontal="center"/>
      <protection hidden="1"/>
    </xf>
    <xf numFmtId="0" fontId="86" fillId="0" borderId="0" xfId="0" applyFont="1" applyAlignment="1" applyProtection="1">
      <alignment horizontal="left" vertical="center"/>
      <protection hidden="1"/>
    </xf>
    <xf numFmtId="2" fontId="27" fillId="0" borderId="3" xfId="0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2" fontId="97" fillId="0" borderId="3" xfId="0" applyNumberFormat="1" applyFont="1" applyFill="1" applyBorder="1" applyAlignment="1" applyProtection="1">
      <alignment horizontal="left"/>
      <protection hidden="1"/>
    </xf>
    <xf numFmtId="0" fontId="11" fillId="29" borderId="9" xfId="0" applyFont="1" applyFill="1" applyBorder="1" applyProtection="1">
      <protection hidden="1"/>
    </xf>
    <xf numFmtId="0" fontId="11" fillId="30" borderId="9" xfId="0" applyFont="1" applyFill="1" applyBorder="1" applyProtection="1">
      <protection hidden="1"/>
    </xf>
    <xf numFmtId="0" fontId="55" fillId="31" borderId="9" xfId="0" applyFont="1" applyFill="1" applyBorder="1" applyAlignment="1" applyProtection="1">
      <alignment horizontal="center" vertical="center"/>
      <protection hidden="1"/>
    </xf>
    <xf numFmtId="2" fontId="14" fillId="3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1" fillId="29" borderId="0" xfId="0" applyFont="1" applyFill="1" applyBorder="1" applyProtection="1">
      <protection hidden="1"/>
    </xf>
    <xf numFmtId="166" fontId="11" fillId="30" borderId="9" xfId="0" applyNumberFormat="1" applyFont="1" applyFill="1" applyBorder="1" applyAlignment="1" applyProtection="1">
      <alignment horizontal="center"/>
      <protection hidden="1"/>
    </xf>
    <xf numFmtId="0" fontId="11" fillId="0" borderId="9" xfId="0" applyFont="1" applyFill="1" applyBorder="1" applyAlignment="1" applyProtection="1">
      <alignment horizontal="center"/>
      <protection hidden="1"/>
    </xf>
    <xf numFmtId="0" fontId="3" fillId="32" borderId="0" xfId="0" applyFont="1" applyFill="1" applyAlignment="1">
      <alignment horizontal="center" vertical="center"/>
    </xf>
    <xf numFmtId="0" fontId="99" fillId="0" borderId="0" xfId="0" applyFont="1" applyProtection="1">
      <protection hidden="1"/>
    </xf>
    <xf numFmtId="0" fontId="94" fillId="0" borderId="1" xfId="0" applyFont="1" applyBorder="1" applyAlignment="1">
      <alignment horizontal="center"/>
    </xf>
    <xf numFmtId="0" fontId="94" fillId="0" borderId="1" xfId="0" applyFont="1" applyBorder="1"/>
    <xf numFmtId="1" fontId="97" fillId="0" borderId="3" xfId="0" applyNumberFormat="1" applyFont="1" applyFill="1" applyBorder="1" applyAlignment="1" applyProtection="1">
      <alignment horizontal="center"/>
      <protection hidden="1"/>
    </xf>
    <xf numFmtId="2" fontId="11" fillId="29" borderId="9" xfId="0" applyNumberFormat="1" applyFont="1" applyFill="1" applyBorder="1" applyAlignment="1" applyProtection="1">
      <alignment horizontal="center"/>
      <protection hidden="1"/>
    </xf>
    <xf numFmtId="0" fontId="11" fillId="33" borderId="9" xfId="0" applyFont="1" applyFill="1" applyBorder="1" applyProtection="1">
      <protection hidden="1"/>
    </xf>
    <xf numFmtId="0" fontId="11" fillId="33" borderId="9" xfId="0" applyFont="1" applyFill="1" applyBorder="1" applyAlignment="1" applyProtection="1">
      <alignment horizontal="center"/>
      <protection hidden="1"/>
    </xf>
    <xf numFmtId="0" fontId="11" fillId="33" borderId="0" xfId="0" applyFont="1" applyFill="1" applyBorder="1" applyProtection="1">
      <protection hidden="1"/>
    </xf>
    <xf numFmtId="0" fontId="56" fillId="0" borderId="1" xfId="0" applyFont="1" applyBorder="1" applyAlignment="1" applyProtection="1">
      <alignment horizontal="center" textRotation="90" wrapText="1"/>
      <protection hidden="1"/>
    </xf>
    <xf numFmtId="0" fontId="100" fillId="0" borderId="11" xfId="0" applyFont="1" applyBorder="1" applyAlignment="1" applyProtection="1">
      <alignment horizontal="center"/>
      <protection hidden="1"/>
    </xf>
    <xf numFmtId="0" fontId="101" fillId="0" borderId="0" xfId="0" applyFont="1" applyAlignment="1">
      <alignment horizontal="center"/>
    </xf>
    <xf numFmtId="2" fontId="100" fillId="0" borderId="11" xfId="0" applyNumberFormat="1" applyFont="1" applyBorder="1" applyAlignment="1" applyProtection="1">
      <alignment horizontal="center"/>
      <protection hidden="1"/>
    </xf>
    <xf numFmtId="1" fontId="100" fillId="4" borderId="21" xfId="0" applyNumberFormat="1" applyFont="1" applyFill="1" applyBorder="1" applyAlignment="1" applyProtection="1">
      <alignment horizontal="center"/>
      <protection locked="0"/>
    </xf>
    <xf numFmtId="0" fontId="36" fillId="7" borderId="0" xfId="0" applyFont="1" applyFill="1" applyAlignment="1" applyProtection="1">
      <alignment horizontal="center"/>
      <protection hidden="1"/>
    </xf>
    <xf numFmtId="0" fontId="77" fillId="0" borderId="0" xfId="0" applyFont="1" applyFill="1" applyAlignment="1" applyProtection="1">
      <alignment horizontal="right" vertic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8" fillId="0" borderId="0" xfId="1" applyFont="1" applyFill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3" fillId="0" borderId="1" xfId="0" applyFont="1" applyFill="1" applyBorder="1" applyAlignment="1">
      <alignment horizontal="right"/>
    </xf>
    <xf numFmtId="0" fontId="36" fillId="7" borderId="0" xfId="0" applyFont="1" applyFill="1" applyAlignment="1" applyProtection="1">
      <alignment horizontal="center"/>
      <protection hidden="1"/>
    </xf>
    <xf numFmtId="0" fontId="102" fillId="0" borderId="0" xfId="0" applyFont="1"/>
    <xf numFmtId="0" fontId="103" fillId="0" borderId="3" xfId="0" applyNumberFormat="1" applyFont="1" applyFill="1" applyBorder="1" applyAlignment="1" applyProtection="1">
      <alignment horizontal="center"/>
    </xf>
    <xf numFmtId="167" fontId="104" fillId="0" borderId="3" xfId="0" applyNumberFormat="1" applyFont="1" applyFill="1" applyBorder="1" applyAlignment="1" applyProtection="1"/>
    <xf numFmtId="0" fontId="3" fillId="0" borderId="0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3" fillId="0" borderId="0" xfId="0" applyFont="1" applyAlignment="1" applyProtection="1">
      <alignment horizontal="center"/>
      <protection hidden="1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 applyProtection="1">
      <alignment horizontal="left" vertical="center"/>
      <protection locked="0"/>
    </xf>
    <xf numFmtId="0" fontId="47" fillId="7" borderId="0" xfId="1" applyFont="1" applyFill="1" applyAlignment="1" applyProtection="1">
      <alignment horizontal="center" vertical="center"/>
      <protection hidden="1"/>
    </xf>
    <xf numFmtId="0" fontId="11" fillId="0" borderId="0" xfId="5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top"/>
      <protection hidden="1"/>
    </xf>
    <xf numFmtId="0" fontId="46" fillId="0" borderId="0" xfId="2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6" fillId="0" borderId="17" xfId="1" applyFont="1" applyBorder="1" applyAlignment="1" applyProtection="1">
      <alignment horizontal="center" vertical="center"/>
      <protection hidden="1"/>
    </xf>
    <xf numFmtId="0" fontId="46" fillId="0" borderId="6" xfId="1" applyFont="1" applyBorder="1" applyAlignment="1" applyProtection="1">
      <alignment horizontal="center" vertical="center"/>
      <protection hidden="1"/>
    </xf>
    <xf numFmtId="0" fontId="46" fillId="0" borderId="17" xfId="2" applyFont="1" applyBorder="1" applyAlignment="1" applyProtection="1">
      <alignment horizontal="center" vertical="center"/>
      <protection hidden="1"/>
    </xf>
    <xf numFmtId="0" fontId="46" fillId="0" borderId="1" xfId="2" applyFont="1" applyBorder="1" applyAlignment="1" applyProtection="1">
      <alignment horizontal="center" vertical="center"/>
      <protection hidden="1"/>
    </xf>
    <xf numFmtId="0" fontId="46" fillId="0" borderId="6" xfId="2" applyFont="1" applyBorder="1" applyAlignment="1" applyProtection="1">
      <alignment horizontal="center" vertical="center"/>
      <protection hidden="1"/>
    </xf>
    <xf numFmtId="0" fontId="71" fillId="7" borderId="0" xfId="1" applyFont="1" applyFill="1" applyAlignment="1" applyProtection="1">
      <alignment horizontal="center" vertical="center"/>
      <protection hidden="1"/>
    </xf>
    <xf numFmtId="0" fontId="91" fillId="25" borderId="0" xfId="0" applyFont="1" applyFill="1" applyAlignment="1">
      <alignment horizontal="right" vertical="center" indent="1"/>
    </xf>
    <xf numFmtId="0" fontId="3" fillId="26" borderId="44" xfId="0" applyFont="1" applyFill="1" applyBorder="1" applyAlignment="1">
      <alignment horizontal="center"/>
    </xf>
    <xf numFmtId="0" fontId="42" fillId="26" borderId="44" xfId="0" applyFont="1" applyFill="1" applyBorder="1" applyAlignment="1">
      <alignment horizontal="left" vertical="center" indent="1"/>
    </xf>
    <xf numFmtId="0" fontId="3" fillId="24" borderId="45" xfId="0" applyFont="1" applyFill="1" applyBorder="1" applyAlignment="1">
      <alignment horizontal="center"/>
    </xf>
    <xf numFmtId="0" fontId="3" fillId="24" borderId="46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3" fillId="24" borderId="51" xfId="0" applyFont="1" applyFill="1" applyBorder="1" applyAlignment="1">
      <alignment horizontal="center"/>
    </xf>
    <xf numFmtId="0" fontId="81" fillId="24" borderId="47" xfId="0" applyFont="1" applyFill="1" applyBorder="1" applyAlignment="1">
      <alignment horizontal="left" vertical="center" indent="1"/>
    </xf>
    <xf numFmtId="0" fontId="81" fillId="24" borderId="48" xfId="0" applyFont="1" applyFill="1" applyBorder="1" applyAlignment="1">
      <alignment horizontal="left" vertical="center" indent="1"/>
    </xf>
    <xf numFmtId="0" fontId="81" fillId="24" borderId="49" xfId="0" applyFont="1" applyFill="1" applyBorder="1" applyAlignment="1">
      <alignment horizontal="left" vertical="center" indent="1"/>
    </xf>
    <xf numFmtId="0" fontId="81" fillId="24" borderId="50" xfId="0" applyFont="1" applyFill="1" applyBorder="1" applyAlignment="1">
      <alignment horizontal="center" vertical="center" wrapText="1"/>
    </xf>
    <xf numFmtId="0" fontId="81" fillId="24" borderId="45" xfId="0" applyFont="1" applyFill="1" applyBorder="1" applyAlignment="1">
      <alignment horizontal="center" vertical="center" wrapText="1"/>
    </xf>
    <xf numFmtId="0" fontId="81" fillId="24" borderId="54" xfId="0" applyFont="1" applyFill="1" applyBorder="1" applyAlignment="1">
      <alignment horizontal="center" vertical="center" wrapText="1"/>
    </xf>
    <xf numFmtId="0" fontId="81" fillId="24" borderId="44" xfId="0" applyFont="1" applyFill="1" applyBorder="1" applyAlignment="1">
      <alignment horizontal="center" vertical="center" wrapText="1"/>
    </xf>
    <xf numFmtId="0" fontId="81" fillId="24" borderId="52" xfId="0" applyFont="1" applyFill="1" applyBorder="1" applyAlignment="1">
      <alignment horizontal="left" vertical="center" indent="1"/>
    </xf>
    <xf numFmtId="0" fontId="81" fillId="24" borderId="52" xfId="0" applyFont="1" applyFill="1" applyBorder="1" applyAlignment="1">
      <alignment horizontal="center" vertical="center"/>
    </xf>
    <xf numFmtId="0" fontId="81" fillId="24" borderId="53" xfId="0" applyFont="1" applyFill="1" applyBorder="1" applyAlignment="1">
      <alignment horizontal="center" vertical="center"/>
    </xf>
    <xf numFmtId="0" fontId="81" fillId="24" borderId="56" xfId="0" applyFont="1" applyFill="1" applyBorder="1" applyAlignment="1">
      <alignment horizontal="left" vertical="center" indent="1"/>
    </xf>
    <xf numFmtId="0" fontId="81" fillId="24" borderId="45" xfId="0" applyFont="1" applyFill="1" applyBorder="1" applyAlignment="1">
      <alignment horizontal="left" vertical="center" indent="1"/>
    </xf>
    <xf numFmtId="0" fontId="81" fillId="24" borderId="46" xfId="0" applyFont="1" applyFill="1" applyBorder="1" applyAlignment="1">
      <alignment horizontal="left" vertical="center" indent="1"/>
    </xf>
    <xf numFmtId="0" fontId="81" fillId="24" borderId="58" xfId="0" applyFont="1" applyFill="1" applyBorder="1" applyAlignment="1">
      <alignment horizontal="left" vertical="center" indent="1"/>
    </xf>
    <xf numFmtId="0" fontId="81" fillId="24" borderId="44" xfId="0" applyFont="1" applyFill="1" applyBorder="1" applyAlignment="1">
      <alignment horizontal="left" vertical="center" indent="1"/>
    </xf>
    <xf numFmtId="0" fontId="81" fillId="24" borderId="59" xfId="0" applyFont="1" applyFill="1" applyBorder="1" applyAlignment="1">
      <alignment horizontal="left" vertical="center" indent="1"/>
    </xf>
    <xf numFmtId="0" fontId="81" fillId="24" borderId="0" xfId="0" applyFont="1" applyFill="1" applyBorder="1" applyAlignment="1">
      <alignment horizontal="left" vertical="center" wrapText="1" indent="1"/>
    </xf>
    <xf numFmtId="0" fontId="90" fillId="25" borderId="47" xfId="0" applyFont="1" applyFill="1" applyBorder="1" applyAlignment="1">
      <alignment horizontal="right" vertical="center" indent="1"/>
    </xf>
    <xf numFmtId="0" fontId="90" fillId="25" borderId="49" xfId="0" applyFont="1" applyFill="1" applyBorder="1" applyAlignment="1">
      <alignment horizontal="right" vertical="center" indent="1"/>
    </xf>
    <xf numFmtId="0" fontId="81" fillId="24" borderId="57" xfId="0" applyFont="1" applyFill="1" applyBorder="1" applyAlignment="1">
      <alignment horizontal="left" vertical="center" indent="1"/>
    </xf>
    <xf numFmtId="0" fontId="81" fillId="24" borderId="0" xfId="0" applyFont="1" applyFill="1" applyBorder="1" applyAlignment="1">
      <alignment horizontal="left" vertical="center" indent="1"/>
    </xf>
    <xf numFmtId="0" fontId="81" fillId="24" borderId="51" xfId="0" applyFont="1" applyFill="1" applyBorder="1" applyAlignment="1">
      <alignment horizontal="left" vertical="center" indent="1"/>
    </xf>
    <xf numFmtId="49" fontId="90" fillId="27" borderId="55" xfId="0" applyNumberFormat="1" applyFont="1" applyFill="1" applyBorder="1" applyAlignment="1">
      <alignment horizontal="center" vertical="center"/>
    </xf>
    <xf numFmtId="49" fontId="90" fillId="27" borderId="48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1" fillId="7" borderId="0" xfId="1" applyFont="1" applyFill="1" applyAlignment="1">
      <alignment horizontal="center"/>
    </xf>
    <xf numFmtId="0" fontId="69" fillId="0" borderId="7" xfId="0" applyFont="1" applyBorder="1" applyAlignment="1" applyProtection="1">
      <alignment horizontal="right"/>
      <protection hidden="1"/>
    </xf>
    <xf numFmtId="0" fontId="5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1" fillId="13" borderId="0" xfId="0" applyFont="1" applyFill="1" applyAlignment="1">
      <alignment horizontal="right"/>
    </xf>
    <xf numFmtId="0" fontId="2" fillId="7" borderId="0" xfId="0" applyFont="1" applyFill="1" applyAlignment="1">
      <alignment horizontal="left"/>
    </xf>
    <xf numFmtId="0" fontId="1" fillId="14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15" borderId="0" xfId="0" applyFont="1" applyFill="1" applyAlignment="1">
      <alignment horizontal="right"/>
    </xf>
    <xf numFmtId="0" fontId="1" fillId="12" borderId="0" xfId="0" applyFont="1" applyFill="1" applyAlignment="1">
      <alignment horizontal="right"/>
    </xf>
    <xf numFmtId="0" fontId="58" fillId="11" borderId="0" xfId="0" applyFont="1" applyFill="1" applyAlignment="1" applyProtection="1">
      <alignment horizontal="center" textRotation="90"/>
      <protection hidden="1"/>
    </xf>
    <xf numFmtId="0" fontId="36" fillId="0" borderId="11" xfId="0" applyFont="1" applyBorder="1" applyAlignment="1" applyProtection="1">
      <alignment horizontal="center" vertical="top"/>
      <protection locked="0" hidden="1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165" fontId="4" fillId="0" borderId="11" xfId="0" applyNumberFormat="1" applyFont="1" applyBorder="1" applyAlignment="1" applyProtection="1">
      <alignment horizontal="right"/>
      <protection hidden="1"/>
    </xf>
    <xf numFmtId="0" fontId="36" fillId="7" borderId="0" xfId="0" applyFont="1" applyFill="1" applyAlignment="1" applyProtection="1">
      <alignment horizontal="center"/>
      <protection hidden="1"/>
    </xf>
    <xf numFmtId="0" fontId="105" fillId="0" borderId="3" xfId="0" applyNumberFormat="1" applyFont="1" applyFill="1" applyBorder="1" applyAlignment="1" applyProtection="1">
      <alignment horizontal="center"/>
    </xf>
  </cellXfs>
  <cellStyles count="9">
    <cellStyle name="Hypertextový odkaz" xfId="1" builtinId="8"/>
    <cellStyle name="Hypertextový odkaz 2" xfId="2"/>
    <cellStyle name="Měna" xfId="3" builtinId="4"/>
    <cellStyle name="Normální" xfId="0" builtinId="0"/>
    <cellStyle name="Normální 2" xfId="4"/>
    <cellStyle name="normální 2 2" xfId="5"/>
    <cellStyle name="normální 2 3" xfId="6"/>
    <cellStyle name="Normální 2_BOXPLAN_antaro_100" xfId="7"/>
    <cellStyle name="normální_List1_1" xfId="8"/>
  </cellStyles>
  <dxfs count="5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Drop" dropLines="4" dropStyle="combo" dx="22" fmlaLink="$N$2" fmlaRange="$N$3:$N$6" noThreeD="1" sel="1" val="0"/>
</file>

<file path=xl/ctrlProps/ctrlProp2.xml><?xml version="1.0" encoding="utf-8"?>
<formControlPr xmlns="http://schemas.microsoft.com/office/spreadsheetml/2009/9/main" objectType="Drop" dropLines="2" dropStyle="combo" dx="22" fmlaLink="$N$8" fmlaRange="$N$9:$N$10" noThreeD="1" sel="1" val="0"/>
</file>

<file path=xl/ctrlProps/ctrlProp3.xml><?xml version="1.0" encoding="utf-8"?>
<formControlPr xmlns="http://schemas.microsoft.com/office/spreadsheetml/2009/9/main" objectType="Drop" dropLines="2" dropStyle="combo" dx="22" fmlaLink="$N$13" fmlaRange="$N$14:$N$15" noThreeD="1" sel="2" val="0"/>
</file>

<file path=xl/ctrlProps/ctrlProp4.xml><?xml version="1.0" encoding="utf-8"?>
<formControlPr xmlns="http://schemas.microsoft.com/office/spreadsheetml/2009/9/main" objectType="Drop" dropStyle="combo" dx="22" fmlaLink="$N$19" fmlaRange="$N$20:$N$22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8.png"/><Relationship Id="rId4" Type="http://schemas.openxmlformats.org/officeDocument/2006/relationships/image" Target="../media/image4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9.png"/><Relationship Id="rId4" Type="http://schemas.openxmlformats.org/officeDocument/2006/relationships/image" Target="../media/image4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50.png"/><Relationship Id="rId4" Type="http://schemas.openxmlformats.org/officeDocument/2006/relationships/image" Target="../media/image4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51.png"/><Relationship Id="rId4" Type="http://schemas.openxmlformats.org/officeDocument/2006/relationships/image" Target="../media/image4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8.png"/><Relationship Id="rId4" Type="http://schemas.openxmlformats.org/officeDocument/2006/relationships/image" Target="../media/image4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9.png"/><Relationship Id="rId4" Type="http://schemas.openxmlformats.org/officeDocument/2006/relationships/image" Target="../media/image4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5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51.png"/><Relationship Id="rId4" Type="http://schemas.openxmlformats.org/officeDocument/2006/relationships/image" Target="../media/image4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26" Type="http://schemas.openxmlformats.org/officeDocument/2006/relationships/image" Target="../media/image31.png"/><Relationship Id="rId3" Type="http://schemas.openxmlformats.org/officeDocument/2006/relationships/image" Target="../media/image8.png"/><Relationship Id="rId21" Type="http://schemas.openxmlformats.org/officeDocument/2006/relationships/image" Target="../media/image26.png"/><Relationship Id="rId34" Type="http://schemas.openxmlformats.org/officeDocument/2006/relationships/image" Target="../media/image39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33" Type="http://schemas.openxmlformats.org/officeDocument/2006/relationships/image" Target="../media/image38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24" Type="http://schemas.openxmlformats.org/officeDocument/2006/relationships/image" Target="../media/image29.png"/><Relationship Id="rId32" Type="http://schemas.openxmlformats.org/officeDocument/2006/relationships/image" Target="../media/image37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.png"/><Relationship Id="rId10" Type="http://schemas.openxmlformats.org/officeDocument/2006/relationships/image" Target="../media/image15.png"/><Relationship Id="rId19" Type="http://schemas.openxmlformats.org/officeDocument/2006/relationships/image" Target="../media/image24.png"/><Relationship Id="rId31" Type="http://schemas.openxmlformats.org/officeDocument/2006/relationships/image" Target="../media/image36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2.png"/><Relationship Id="rId1" Type="http://schemas.openxmlformats.org/officeDocument/2006/relationships/image" Target="../media/image5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2.png"/><Relationship Id="rId1" Type="http://schemas.openxmlformats.org/officeDocument/2006/relationships/image" Target="../media/image59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62.png"/><Relationship Id="rId1" Type="http://schemas.openxmlformats.org/officeDocument/2006/relationships/image" Target="../media/image61.png"/><Relationship Id="rId4" Type="http://schemas.openxmlformats.org/officeDocument/2006/relationships/image" Target="../media/image4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42.png"/><Relationship Id="rId1" Type="http://schemas.openxmlformats.org/officeDocument/2006/relationships/image" Target="../media/image4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6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42.png"/><Relationship Id="rId1" Type="http://schemas.openxmlformats.org/officeDocument/2006/relationships/image" Target="../media/image6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67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70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7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7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42.png"/><Relationship Id="rId1" Type="http://schemas.openxmlformats.org/officeDocument/2006/relationships/image" Target="../media/image44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3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74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75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6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2" Type="http://schemas.openxmlformats.org/officeDocument/2006/relationships/image" Target="../media/image77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9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.png"/><Relationship Id="rId13" Type="http://schemas.openxmlformats.org/officeDocument/2006/relationships/image" Target="../media/image92.png"/><Relationship Id="rId18" Type="http://schemas.openxmlformats.org/officeDocument/2006/relationships/image" Target="../media/image97.png"/><Relationship Id="rId3" Type="http://schemas.openxmlformats.org/officeDocument/2006/relationships/image" Target="../media/image82.png"/><Relationship Id="rId7" Type="http://schemas.openxmlformats.org/officeDocument/2006/relationships/image" Target="../media/image86.png"/><Relationship Id="rId12" Type="http://schemas.openxmlformats.org/officeDocument/2006/relationships/image" Target="../media/image91.png"/><Relationship Id="rId17" Type="http://schemas.openxmlformats.org/officeDocument/2006/relationships/image" Target="../media/image96.png"/><Relationship Id="rId2" Type="http://schemas.openxmlformats.org/officeDocument/2006/relationships/image" Target="../media/image81.png"/><Relationship Id="rId16" Type="http://schemas.openxmlformats.org/officeDocument/2006/relationships/image" Target="../media/image95.png"/><Relationship Id="rId1" Type="http://schemas.openxmlformats.org/officeDocument/2006/relationships/image" Target="../media/image80.png"/><Relationship Id="rId6" Type="http://schemas.openxmlformats.org/officeDocument/2006/relationships/image" Target="../media/image85.png"/><Relationship Id="rId11" Type="http://schemas.openxmlformats.org/officeDocument/2006/relationships/image" Target="../media/image90.png"/><Relationship Id="rId5" Type="http://schemas.openxmlformats.org/officeDocument/2006/relationships/image" Target="../media/image84.png"/><Relationship Id="rId15" Type="http://schemas.openxmlformats.org/officeDocument/2006/relationships/image" Target="../media/image94.png"/><Relationship Id="rId10" Type="http://schemas.openxmlformats.org/officeDocument/2006/relationships/image" Target="../media/image89.png"/><Relationship Id="rId4" Type="http://schemas.openxmlformats.org/officeDocument/2006/relationships/image" Target="../media/image83.png"/><Relationship Id="rId9" Type="http://schemas.openxmlformats.org/officeDocument/2006/relationships/image" Target="../media/image88.png"/><Relationship Id="rId14" Type="http://schemas.openxmlformats.org/officeDocument/2006/relationships/image" Target="../media/image9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93.png"/><Relationship Id="rId1" Type="http://schemas.openxmlformats.org/officeDocument/2006/relationships/image" Target="../media/image98.png"/><Relationship Id="rId4" Type="http://schemas.openxmlformats.org/officeDocument/2006/relationships/image" Target="../media/image99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openxmlformats.org/officeDocument/2006/relationships/image" Target="../media/image93.png"/><Relationship Id="rId1" Type="http://schemas.openxmlformats.org/officeDocument/2006/relationships/image" Target="../media/image100.png"/><Relationship Id="rId6" Type="http://schemas.openxmlformats.org/officeDocument/2006/relationships/image" Target="../media/image101.png"/><Relationship Id="rId5" Type="http://schemas.openxmlformats.org/officeDocument/2006/relationships/image" Target="../media/image42.png"/><Relationship Id="rId4" Type="http://schemas.openxmlformats.org/officeDocument/2006/relationships/image" Target="../media/image92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openxmlformats.org/officeDocument/2006/relationships/image" Target="../media/image93.png"/><Relationship Id="rId1" Type="http://schemas.openxmlformats.org/officeDocument/2006/relationships/image" Target="../media/image102.png"/><Relationship Id="rId4" Type="http://schemas.openxmlformats.org/officeDocument/2006/relationships/image" Target="../media/image9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4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png"/><Relationship Id="rId2" Type="http://schemas.openxmlformats.org/officeDocument/2006/relationships/image" Target="../media/image94.png"/><Relationship Id="rId1" Type="http://schemas.openxmlformats.org/officeDocument/2006/relationships/image" Target="../media/image103.png"/><Relationship Id="rId4" Type="http://schemas.openxmlformats.org/officeDocument/2006/relationships/image" Target="../media/image95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5.png"/><Relationship Id="rId1" Type="http://schemas.openxmlformats.org/officeDocument/2006/relationships/image" Target="../media/image104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1.png"/><Relationship Id="rId2" Type="http://schemas.openxmlformats.org/officeDocument/2006/relationships/image" Target="../media/image92.png"/><Relationship Id="rId1" Type="http://schemas.openxmlformats.org/officeDocument/2006/relationships/image" Target="../media/image106.png"/><Relationship Id="rId4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2.png"/><Relationship Id="rId1" Type="http://schemas.openxmlformats.org/officeDocument/2006/relationships/image" Target="../media/image107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8.png"/><Relationship Id="rId1" Type="http://schemas.openxmlformats.org/officeDocument/2006/relationships/image" Target="../media/image92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9.png"/><Relationship Id="rId1" Type="http://schemas.openxmlformats.org/officeDocument/2006/relationships/image" Target="../media/image92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0.png"/><Relationship Id="rId1" Type="http://schemas.openxmlformats.org/officeDocument/2006/relationships/image" Target="../media/image92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4.png"/><Relationship Id="rId1" Type="http://schemas.openxmlformats.org/officeDocument/2006/relationships/image" Target="../media/image11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112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5.png"/><Relationship Id="rId4" Type="http://schemas.openxmlformats.org/officeDocument/2006/relationships/image" Target="../media/image42.png"/></Relationships>
</file>

<file path=xl/drawings/_rels/drawing6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29.png"/><Relationship Id="rId3" Type="http://schemas.openxmlformats.org/officeDocument/2006/relationships/image" Target="../media/image13.png"/><Relationship Id="rId21" Type="http://schemas.openxmlformats.org/officeDocument/2006/relationships/image" Target="../media/image28.png"/><Relationship Id="rId34" Type="http://schemas.openxmlformats.org/officeDocument/2006/relationships/image" Target="../media/image39.png"/><Relationship Id="rId7" Type="http://schemas.openxmlformats.org/officeDocument/2006/relationships/image" Target="../media/image9.png"/><Relationship Id="rId12" Type="http://schemas.openxmlformats.org/officeDocument/2006/relationships/image" Target="../media/image24.png"/><Relationship Id="rId17" Type="http://schemas.openxmlformats.org/officeDocument/2006/relationships/image" Target="../media/image21.png"/><Relationship Id="rId25" Type="http://schemas.openxmlformats.org/officeDocument/2006/relationships/image" Target="../media/image27.png"/><Relationship Id="rId33" Type="http://schemas.openxmlformats.org/officeDocument/2006/relationships/image" Target="../media/image38.png"/><Relationship Id="rId2" Type="http://schemas.openxmlformats.org/officeDocument/2006/relationships/image" Target="../media/image12.png"/><Relationship Id="rId16" Type="http://schemas.openxmlformats.org/officeDocument/2006/relationships/image" Target="../media/image20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11.png"/><Relationship Id="rId6" Type="http://schemas.openxmlformats.org/officeDocument/2006/relationships/image" Target="../media/image8.png"/><Relationship Id="rId11" Type="http://schemas.openxmlformats.org/officeDocument/2006/relationships/image" Target="../media/image16.png"/><Relationship Id="rId24" Type="http://schemas.openxmlformats.org/officeDocument/2006/relationships/image" Target="../media/image26.png"/><Relationship Id="rId32" Type="http://schemas.openxmlformats.org/officeDocument/2006/relationships/image" Target="../media/image37.png"/><Relationship Id="rId5" Type="http://schemas.openxmlformats.org/officeDocument/2006/relationships/image" Target="../media/image7.png"/><Relationship Id="rId15" Type="http://schemas.openxmlformats.org/officeDocument/2006/relationships/image" Target="../media/image19.png"/><Relationship Id="rId23" Type="http://schemas.openxmlformats.org/officeDocument/2006/relationships/image" Target="../media/image33.png"/><Relationship Id="rId28" Type="http://schemas.openxmlformats.org/officeDocument/2006/relationships/image" Target="../media/image32.png"/><Relationship Id="rId36" Type="http://schemas.openxmlformats.org/officeDocument/2006/relationships/image" Target="../media/image1.png"/><Relationship Id="rId10" Type="http://schemas.openxmlformats.org/officeDocument/2006/relationships/image" Target="../media/image15.png"/><Relationship Id="rId19" Type="http://schemas.openxmlformats.org/officeDocument/2006/relationships/image" Target="../media/image23.png"/><Relationship Id="rId31" Type="http://schemas.openxmlformats.org/officeDocument/2006/relationships/image" Target="../media/image36.png"/><Relationship Id="rId4" Type="http://schemas.openxmlformats.org/officeDocument/2006/relationships/image" Target="../media/image6.png"/><Relationship Id="rId9" Type="http://schemas.openxmlformats.org/officeDocument/2006/relationships/image" Target="../media/image14.png"/><Relationship Id="rId14" Type="http://schemas.openxmlformats.org/officeDocument/2006/relationships/image" Target="../media/image18.png"/><Relationship Id="rId22" Type="http://schemas.openxmlformats.org/officeDocument/2006/relationships/image" Target="../media/image30.png"/><Relationship Id="rId27" Type="http://schemas.openxmlformats.org/officeDocument/2006/relationships/image" Target="../media/image31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6.jpeg"/><Relationship Id="rId2" Type="http://schemas.openxmlformats.org/officeDocument/2006/relationships/image" Target="../media/image115.jpeg"/><Relationship Id="rId1" Type="http://schemas.openxmlformats.org/officeDocument/2006/relationships/image" Target="../media/image114.jpeg"/><Relationship Id="rId5" Type="http://schemas.openxmlformats.org/officeDocument/2006/relationships/image" Target="../media/image118.jpeg"/><Relationship Id="rId4" Type="http://schemas.openxmlformats.org/officeDocument/2006/relationships/image" Target="../media/image117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gif"/><Relationship Id="rId2" Type="http://schemas.openxmlformats.org/officeDocument/2006/relationships/image" Target="../media/image1.png"/><Relationship Id="rId1" Type="http://schemas.openxmlformats.org/officeDocument/2006/relationships/image" Target="../media/image45.png"/><Relationship Id="rId4" Type="http://schemas.openxmlformats.org/officeDocument/2006/relationships/image" Target="../media/image4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3.gif"/><Relationship Id="rId1" Type="http://schemas.openxmlformats.org/officeDocument/2006/relationships/image" Target="../media/image47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222250</xdr:colOff>
          <xdr:row>15</xdr:row>
          <xdr:rowOff>190500</xdr:rowOff>
        </xdr:from>
        <xdr:to>
          <xdr:col>2</xdr:col>
          <xdr:colOff>590550</xdr:colOff>
          <xdr:row>17</xdr:row>
          <xdr:rowOff>0</xdr:rowOff>
        </xdr:to>
        <xdr:sp macro="" textlink="">
          <xdr:nvSpPr>
            <xdr:cNvPr id="32774" name="Drop Down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0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590550</xdr:colOff>
          <xdr:row>17</xdr:row>
          <xdr:rowOff>0</xdr:rowOff>
        </xdr:to>
        <xdr:sp macro="" textlink="">
          <xdr:nvSpPr>
            <xdr:cNvPr id="32775" name="Drop Down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0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9</xdr:col>
          <xdr:colOff>0</xdr:colOff>
          <xdr:row>17</xdr:row>
          <xdr:rowOff>0</xdr:rowOff>
        </xdr:to>
        <xdr:sp macro="" textlink="">
          <xdr:nvSpPr>
            <xdr:cNvPr id="32776" name="Drop Dow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542925</xdr:colOff>
      <xdr:row>121</xdr:row>
      <xdr:rowOff>19050</xdr:rowOff>
    </xdr:from>
    <xdr:to>
      <xdr:col>2</xdr:col>
      <xdr:colOff>0</xdr:colOff>
      <xdr:row>121</xdr:row>
      <xdr:rowOff>180975</xdr:rowOff>
    </xdr:to>
    <xdr:pic>
      <xdr:nvPicPr>
        <xdr:cNvPr id="33468" name="Obrázek 2" descr="Info.gif">
          <a:extLst>
            <a:ext uri="{FF2B5EF4-FFF2-40B4-BE49-F238E27FC236}">
              <a16:creationId xmlns:a16="http://schemas.microsoft.com/office/drawing/2014/main" id="{00000000-0008-0000-0000-0000B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688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32777" name="Drop Dow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411</xdr:row>
      <xdr:rowOff>0</xdr:rowOff>
    </xdr:from>
    <xdr:to>
      <xdr:col>1</xdr:col>
      <xdr:colOff>180975</xdr:colOff>
      <xdr:row>412</xdr:row>
      <xdr:rowOff>0</xdr:rowOff>
    </xdr:to>
    <xdr:pic>
      <xdr:nvPicPr>
        <xdr:cNvPr id="33469" name="Obrázek 18" descr="Tip.gif">
          <a:extLst>
            <a:ext uri="{FF2B5EF4-FFF2-40B4-BE49-F238E27FC236}">
              <a16:creationId xmlns:a16="http://schemas.microsoft.com/office/drawing/2014/main" id="{00000000-0008-0000-0000-0000B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04088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397</xdr:row>
      <xdr:rowOff>38100</xdr:rowOff>
    </xdr:from>
    <xdr:to>
      <xdr:col>1</xdr:col>
      <xdr:colOff>180975</xdr:colOff>
      <xdr:row>397</xdr:row>
      <xdr:rowOff>200025</xdr:rowOff>
    </xdr:to>
    <xdr:pic>
      <xdr:nvPicPr>
        <xdr:cNvPr id="33470" name="Obrázek 20" descr="Help.gif">
          <a:extLst>
            <a:ext uri="{FF2B5EF4-FFF2-40B4-BE49-F238E27FC236}">
              <a16:creationId xmlns:a16="http://schemas.microsoft.com/office/drawing/2014/main" id="{00000000-0008-0000-0000-0000B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81132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9</xdr:col>
      <xdr:colOff>200025</xdr:colOff>
      <xdr:row>13</xdr:row>
      <xdr:rowOff>228600</xdr:rowOff>
    </xdr:to>
    <xdr:pic>
      <xdr:nvPicPr>
        <xdr:cNvPr id="33471" name="Picture 173" descr="BOXPLAN_antaro">
          <a:extLst>
            <a:ext uri="{FF2B5EF4-FFF2-40B4-BE49-F238E27FC236}">
              <a16:creationId xmlns:a16="http://schemas.microsoft.com/office/drawing/2014/main" id="{00000000-0008-0000-0000-0000BF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429577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22</xdr:row>
      <xdr:rowOff>152400</xdr:rowOff>
    </xdr:from>
    <xdr:to>
      <xdr:col>11</xdr:col>
      <xdr:colOff>66675</xdr:colOff>
      <xdr:row>27</xdr:row>
      <xdr:rowOff>28575</xdr:rowOff>
    </xdr:to>
    <xdr:pic>
      <xdr:nvPicPr>
        <xdr:cNvPr id="33472" name="Picture 174" descr="Blum_blumlogo_2">
          <a:extLst>
            <a:ext uri="{FF2B5EF4-FFF2-40B4-BE49-F238E27FC236}">
              <a16:creationId xmlns:a16="http://schemas.microsoft.com/office/drawing/2014/main" id="{00000000-0008-0000-0000-0000C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448175"/>
          <a:ext cx="2209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9525</xdr:rowOff>
    </xdr:from>
    <xdr:to>
      <xdr:col>5</xdr:col>
      <xdr:colOff>416719</xdr:colOff>
      <xdr:row>15</xdr:row>
      <xdr:rowOff>38100</xdr:rowOff>
    </xdr:to>
    <xdr:pic>
      <xdr:nvPicPr>
        <xdr:cNvPr id="37151" name="Obrázek 1">
          <a:extLst>
            <a:ext uri="{FF2B5EF4-FFF2-40B4-BE49-F238E27FC236}">
              <a16:creationId xmlns:a16="http://schemas.microsoft.com/office/drawing/2014/main" id="{00000000-0008-0000-0900-00001F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6725"/>
          <a:ext cx="2836069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37152" name="Obrázek 28" descr="Info.gif">
          <a:extLst>
            <a:ext uri="{FF2B5EF4-FFF2-40B4-BE49-F238E27FC236}">
              <a16:creationId xmlns:a16="http://schemas.microsoft.com/office/drawing/2014/main" id="{00000000-0008-0000-0900-000020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769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0</xdr:rowOff>
    </xdr:from>
    <xdr:to>
      <xdr:col>5</xdr:col>
      <xdr:colOff>414339</xdr:colOff>
      <xdr:row>14</xdr:row>
      <xdr:rowOff>154781</xdr:rowOff>
    </xdr:to>
    <xdr:pic>
      <xdr:nvPicPr>
        <xdr:cNvPr id="38175" name="Obrázek 1">
          <a:extLst>
            <a:ext uri="{FF2B5EF4-FFF2-40B4-BE49-F238E27FC236}">
              <a16:creationId xmlns:a16="http://schemas.microsoft.com/office/drawing/2014/main" id="{00000000-0008-0000-0A00-00001F9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57200"/>
          <a:ext cx="2786063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54</xdr:row>
      <xdr:rowOff>0</xdr:rowOff>
    </xdr:from>
    <xdr:to>
      <xdr:col>1</xdr:col>
      <xdr:colOff>171450</xdr:colOff>
      <xdr:row>55</xdr:row>
      <xdr:rowOff>0</xdr:rowOff>
    </xdr:to>
    <xdr:pic>
      <xdr:nvPicPr>
        <xdr:cNvPr id="38176" name="Obrázek 28" descr="Info.gif">
          <a:extLst>
            <a:ext uri="{FF2B5EF4-FFF2-40B4-BE49-F238E27FC236}">
              <a16:creationId xmlns:a16="http://schemas.microsoft.com/office/drawing/2014/main" id="{00000000-0008-0000-0A00-0000209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9525</xdr:rowOff>
    </xdr:from>
    <xdr:to>
      <xdr:col>5</xdr:col>
      <xdr:colOff>414339</xdr:colOff>
      <xdr:row>15</xdr:row>
      <xdr:rowOff>2381</xdr:rowOff>
    </xdr:to>
    <xdr:pic>
      <xdr:nvPicPr>
        <xdr:cNvPr id="39199" name="Obrázek 1">
          <a:extLst>
            <a:ext uri="{FF2B5EF4-FFF2-40B4-BE49-F238E27FC236}">
              <a16:creationId xmlns:a16="http://schemas.microsoft.com/office/drawing/2014/main" id="{00000000-0008-0000-0B00-00001F9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66725"/>
          <a:ext cx="2786063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54</xdr:row>
      <xdr:rowOff>0</xdr:rowOff>
    </xdr:from>
    <xdr:to>
      <xdr:col>1</xdr:col>
      <xdr:colOff>171450</xdr:colOff>
      <xdr:row>55</xdr:row>
      <xdr:rowOff>0</xdr:rowOff>
    </xdr:to>
    <xdr:pic>
      <xdr:nvPicPr>
        <xdr:cNvPr id="39200" name="Obrázek 28" descr="Info.gif">
          <a:extLst>
            <a:ext uri="{FF2B5EF4-FFF2-40B4-BE49-F238E27FC236}">
              <a16:creationId xmlns:a16="http://schemas.microsoft.com/office/drawing/2014/main" id="{00000000-0008-0000-0B00-0000209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2</xdr:row>
      <xdr:rowOff>9525</xdr:rowOff>
    </xdr:from>
    <xdr:to>
      <xdr:col>5</xdr:col>
      <xdr:colOff>416720</xdr:colOff>
      <xdr:row>15</xdr:row>
      <xdr:rowOff>2381</xdr:rowOff>
    </xdr:to>
    <xdr:pic>
      <xdr:nvPicPr>
        <xdr:cNvPr id="40223" name="Obrázek 1">
          <a:extLst>
            <a:ext uri="{FF2B5EF4-FFF2-40B4-BE49-F238E27FC236}">
              <a16:creationId xmlns:a16="http://schemas.microsoft.com/office/drawing/2014/main" id="{00000000-0008-0000-0C00-00001F9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466725"/>
          <a:ext cx="2778919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0224" name="Obrázek 28" descr="Info.gif">
          <a:extLst>
            <a:ext uri="{FF2B5EF4-FFF2-40B4-BE49-F238E27FC236}">
              <a16:creationId xmlns:a16="http://schemas.microsoft.com/office/drawing/2014/main" id="{00000000-0008-0000-0C00-0000209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2</xdr:row>
      <xdr:rowOff>0</xdr:rowOff>
    </xdr:from>
    <xdr:to>
      <xdr:col>5</xdr:col>
      <xdr:colOff>414339</xdr:colOff>
      <xdr:row>15</xdr:row>
      <xdr:rowOff>35719</xdr:rowOff>
    </xdr:to>
    <xdr:pic>
      <xdr:nvPicPr>
        <xdr:cNvPr id="103532" name="Obrázek 5">
          <a:extLst>
            <a:ext uri="{FF2B5EF4-FFF2-40B4-BE49-F238E27FC236}">
              <a16:creationId xmlns:a16="http://schemas.microsoft.com/office/drawing/2014/main" id="{00000000-0008-0000-0D00-00006C9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457200"/>
          <a:ext cx="2843213" cy="217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9525</xdr:rowOff>
    </xdr:from>
    <xdr:to>
      <xdr:col>5</xdr:col>
      <xdr:colOff>407194</xdr:colOff>
      <xdr:row>15</xdr:row>
      <xdr:rowOff>45244</xdr:rowOff>
    </xdr:to>
    <xdr:pic>
      <xdr:nvPicPr>
        <xdr:cNvPr id="46224" name="Obrázek 1">
          <a:extLst>
            <a:ext uri="{FF2B5EF4-FFF2-40B4-BE49-F238E27FC236}">
              <a16:creationId xmlns:a16="http://schemas.microsoft.com/office/drawing/2014/main" id="{00000000-0008-0000-0E00-000090B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66725"/>
          <a:ext cx="2836069" cy="217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0</xdr:rowOff>
    </xdr:from>
    <xdr:to>
      <xdr:col>5</xdr:col>
      <xdr:colOff>416719</xdr:colOff>
      <xdr:row>15</xdr:row>
      <xdr:rowOff>28575</xdr:rowOff>
    </xdr:to>
    <xdr:pic>
      <xdr:nvPicPr>
        <xdr:cNvPr id="47391" name="Obrázek 1">
          <a:extLst>
            <a:ext uri="{FF2B5EF4-FFF2-40B4-BE49-F238E27FC236}">
              <a16:creationId xmlns:a16="http://schemas.microsoft.com/office/drawing/2014/main" id="{00000000-0008-0000-0F00-00001FB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7200"/>
          <a:ext cx="2836069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7392" name="Obrázek 28" descr="Info.gif">
          <a:extLst>
            <a:ext uri="{FF2B5EF4-FFF2-40B4-BE49-F238E27FC236}">
              <a16:creationId xmlns:a16="http://schemas.microsoft.com/office/drawing/2014/main" id="{00000000-0008-0000-0F00-000020B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769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0</xdr:rowOff>
    </xdr:from>
    <xdr:to>
      <xdr:col>5</xdr:col>
      <xdr:colOff>414339</xdr:colOff>
      <xdr:row>14</xdr:row>
      <xdr:rowOff>154781</xdr:rowOff>
    </xdr:to>
    <xdr:pic>
      <xdr:nvPicPr>
        <xdr:cNvPr id="104662" name="Obrázek 1">
          <a:extLst>
            <a:ext uri="{FF2B5EF4-FFF2-40B4-BE49-F238E27FC236}">
              <a16:creationId xmlns:a16="http://schemas.microsoft.com/office/drawing/2014/main" id="{00000000-0008-0000-1000-0000D69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57200"/>
          <a:ext cx="2786063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54</xdr:row>
      <xdr:rowOff>0</xdr:rowOff>
    </xdr:from>
    <xdr:to>
      <xdr:col>1</xdr:col>
      <xdr:colOff>171450</xdr:colOff>
      <xdr:row>55</xdr:row>
      <xdr:rowOff>0</xdr:rowOff>
    </xdr:to>
    <xdr:pic>
      <xdr:nvPicPr>
        <xdr:cNvPr id="104663" name="Obrázek 28" descr="Info.gif">
          <a:extLst>
            <a:ext uri="{FF2B5EF4-FFF2-40B4-BE49-F238E27FC236}">
              <a16:creationId xmlns:a16="http://schemas.microsoft.com/office/drawing/2014/main" id="{00000000-0008-0000-1000-0000D79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0</xdr:rowOff>
    </xdr:from>
    <xdr:to>
      <xdr:col>5</xdr:col>
      <xdr:colOff>414339</xdr:colOff>
      <xdr:row>14</xdr:row>
      <xdr:rowOff>154781</xdr:rowOff>
    </xdr:to>
    <xdr:pic>
      <xdr:nvPicPr>
        <xdr:cNvPr id="48415" name="Obrázek 1">
          <a:extLst>
            <a:ext uri="{FF2B5EF4-FFF2-40B4-BE49-F238E27FC236}">
              <a16:creationId xmlns:a16="http://schemas.microsoft.com/office/drawing/2014/main" id="{00000000-0008-0000-1100-00001F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57200"/>
          <a:ext cx="2786063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8" name="Obrázek 28" descr="Info.gif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2</xdr:row>
      <xdr:rowOff>9525</xdr:rowOff>
    </xdr:from>
    <xdr:to>
      <xdr:col>5</xdr:col>
      <xdr:colOff>416720</xdr:colOff>
      <xdr:row>15</xdr:row>
      <xdr:rowOff>2381</xdr:rowOff>
    </xdr:to>
    <xdr:pic>
      <xdr:nvPicPr>
        <xdr:cNvPr id="49439" name="Obrázek 1">
          <a:extLst>
            <a:ext uri="{FF2B5EF4-FFF2-40B4-BE49-F238E27FC236}">
              <a16:creationId xmlns:a16="http://schemas.microsoft.com/office/drawing/2014/main" id="{00000000-0008-0000-1200-00001FC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466725"/>
          <a:ext cx="2778919" cy="2135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9440" name="Obrázek 28" descr="Info.gif">
          <a:extLst>
            <a:ext uri="{FF2B5EF4-FFF2-40B4-BE49-F238E27FC236}">
              <a16:creationId xmlns:a16="http://schemas.microsoft.com/office/drawing/2014/main" id="{00000000-0008-0000-1200-000020C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0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686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7</xdr:row>
      <xdr:rowOff>104775</xdr:rowOff>
    </xdr:from>
    <xdr:to>
      <xdr:col>14</xdr:col>
      <xdr:colOff>457200</xdr:colOff>
      <xdr:row>11</xdr:row>
      <xdr:rowOff>114300</xdr:rowOff>
    </xdr:to>
    <xdr:pic>
      <xdr:nvPicPr>
        <xdr:cNvPr id="121524" name="Obrázek 6">
          <a:extLst>
            <a:ext uri="{FF2B5EF4-FFF2-40B4-BE49-F238E27FC236}">
              <a16:creationId xmlns:a16="http://schemas.microsoft.com/office/drawing/2014/main" id="{00000000-0008-0000-0100-0000B4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30530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7</xdr:row>
      <xdr:rowOff>123825</xdr:rowOff>
    </xdr:from>
    <xdr:to>
      <xdr:col>8</xdr:col>
      <xdr:colOff>457200</xdr:colOff>
      <xdr:row>11</xdr:row>
      <xdr:rowOff>114300</xdr:rowOff>
    </xdr:to>
    <xdr:pic>
      <xdr:nvPicPr>
        <xdr:cNvPr id="121525" name="Obrázek 7">
          <a:extLst>
            <a:ext uri="{FF2B5EF4-FFF2-40B4-BE49-F238E27FC236}">
              <a16:creationId xmlns:a16="http://schemas.microsoft.com/office/drawing/2014/main" id="{00000000-0008-0000-0100-0000B5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32435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2</xdr:row>
      <xdr:rowOff>85725</xdr:rowOff>
    </xdr:from>
    <xdr:to>
      <xdr:col>14</xdr:col>
      <xdr:colOff>495300</xdr:colOff>
      <xdr:row>6</xdr:row>
      <xdr:rowOff>123825</xdr:rowOff>
    </xdr:to>
    <xdr:pic>
      <xdr:nvPicPr>
        <xdr:cNvPr id="121526" name="Obrázek 8">
          <a:extLst>
            <a:ext uri="{FF2B5EF4-FFF2-40B4-BE49-F238E27FC236}">
              <a16:creationId xmlns:a16="http://schemas.microsoft.com/office/drawing/2014/main" id="{00000000-0008-0000-0100-0000B6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238500"/>
          <a:ext cx="1066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</xdr:row>
      <xdr:rowOff>123825</xdr:rowOff>
    </xdr:from>
    <xdr:to>
      <xdr:col>8</xdr:col>
      <xdr:colOff>476250</xdr:colOff>
      <xdr:row>5</xdr:row>
      <xdr:rowOff>123825</xdr:rowOff>
    </xdr:to>
    <xdr:pic>
      <xdr:nvPicPr>
        <xdr:cNvPr id="121527" name="Obrázek 10">
          <a:extLst>
            <a:ext uri="{FF2B5EF4-FFF2-40B4-BE49-F238E27FC236}">
              <a16:creationId xmlns:a16="http://schemas.microsoft.com/office/drawing/2014/main" id="{00000000-0008-0000-0100-0000B7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086100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47625</xdr:rowOff>
    </xdr:from>
    <xdr:to>
      <xdr:col>2</xdr:col>
      <xdr:colOff>504825</xdr:colOff>
      <xdr:row>5</xdr:row>
      <xdr:rowOff>47625</xdr:rowOff>
    </xdr:to>
    <xdr:pic>
      <xdr:nvPicPr>
        <xdr:cNvPr id="121528" name="Obrázek 12">
          <a:extLst>
            <a:ext uri="{FF2B5EF4-FFF2-40B4-BE49-F238E27FC236}">
              <a16:creationId xmlns:a16="http://schemas.microsoft.com/office/drawing/2014/main" id="{00000000-0008-0000-0100-0000B8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009900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14</xdr:row>
      <xdr:rowOff>47625</xdr:rowOff>
    </xdr:from>
    <xdr:to>
      <xdr:col>2</xdr:col>
      <xdr:colOff>476250</xdr:colOff>
      <xdr:row>17</xdr:row>
      <xdr:rowOff>104775</xdr:rowOff>
    </xdr:to>
    <xdr:pic>
      <xdr:nvPicPr>
        <xdr:cNvPr id="121529" name="Obrázek 14">
          <a:extLst>
            <a:ext uri="{FF2B5EF4-FFF2-40B4-BE49-F238E27FC236}">
              <a16:creationId xmlns:a16="http://schemas.microsoft.com/office/drawing/2014/main" id="{00000000-0008-0000-0100-0000B9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3375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14</xdr:row>
      <xdr:rowOff>57150</xdr:rowOff>
    </xdr:from>
    <xdr:to>
      <xdr:col>8</xdr:col>
      <xdr:colOff>476250</xdr:colOff>
      <xdr:row>17</xdr:row>
      <xdr:rowOff>114300</xdr:rowOff>
    </xdr:to>
    <xdr:pic>
      <xdr:nvPicPr>
        <xdr:cNvPr id="121530" name="Obrázek 16">
          <a:extLst>
            <a:ext uri="{FF2B5EF4-FFF2-40B4-BE49-F238E27FC236}">
              <a16:creationId xmlns:a16="http://schemas.microsoft.com/office/drawing/2014/main" id="{00000000-0008-0000-0100-0000BA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4290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14</xdr:row>
      <xdr:rowOff>57150</xdr:rowOff>
    </xdr:from>
    <xdr:to>
      <xdr:col>14</xdr:col>
      <xdr:colOff>466725</xdr:colOff>
      <xdr:row>17</xdr:row>
      <xdr:rowOff>114300</xdr:rowOff>
    </xdr:to>
    <xdr:pic>
      <xdr:nvPicPr>
        <xdr:cNvPr id="121531" name="Obrázek 18">
          <a:extLst>
            <a:ext uri="{FF2B5EF4-FFF2-40B4-BE49-F238E27FC236}">
              <a16:creationId xmlns:a16="http://schemas.microsoft.com/office/drawing/2014/main" id="{00000000-0008-0000-0100-0000BB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34290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57150</xdr:rowOff>
    </xdr:from>
    <xdr:to>
      <xdr:col>2</xdr:col>
      <xdr:colOff>466725</xdr:colOff>
      <xdr:row>26</xdr:row>
      <xdr:rowOff>0</xdr:rowOff>
    </xdr:to>
    <xdr:pic>
      <xdr:nvPicPr>
        <xdr:cNvPr id="121532" name="Obrázek 22">
          <a:extLst>
            <a:ext uri="{FF2B5EF4-FFF2-40B4-BE49-F238E27FC236}">
              <a16:creationId xmlns:a16="http://schemas.microsoft.com/office/drawing/2014/main" id="{00000000-0008-0000-0100-0000BC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9067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21</xdr:row>
      <xdr:rowOff>66675</xdr:rowOff>
    </xdr:from>
    <xdr:to>
      <xdr:col>8</xdr:col>
      <xdr:colOff>457200</xdr:colOff>
      <xdr:row>26</xdr:row>
      <xdr:rowOff>9525</xdr:rowOff>
    </xdr:to>
    <xdr:pic>
      <xdr:nvPicPr>
        <xdr:cNvPr id="121533" name="Obrázek 23">
          <a:extLst>
            <a:ext uri="{FF2B5EF4-FFF2-40B4-BE49-F238E27FC236}">
              <a16:creationId xmlns:a16="http://schemas.microsoft.com/office/drawing/2014/main" id="{00000000-0008-0000-0100-0000BD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600200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76200</xdr:rowOff>
    </xdr:from>
    <xdr:to>
      <xdr:col>14</xdr:col>
      <xdr:colOff>466725</xdr:colOff>
      <xdr:row>26</xdr:row>
      <xdr:rowOff>19050</xdr:rowOff>
    </xdr:to>
    <xdr:pic>
      <xdr:nvPicPr>
        <xdr:cNvPr id="121534" name="Obrázek 24">
          <a:extLst>
            <a:ext uri="{FF2B5EF4-FFF2-40B4-BE49-F238E27FC236}">
              <a16:creationId xmlns:a16="http://schemas.microsoft.com/office/drawing/2014/main" id="{00000000-0008-0000-0100-0000BE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6097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28</xdr:row>
      <xdr:rowOff>38100</xdr:rowOff>
    </xdr:from>
    <xdr:to>
      <xdr:col>8</xdr:col>
      <xdr:colOff>476250</xdr:colOff>
      <xdr:row>33</xdr:row>
      <xdr:rowOff>0</xdr:rowOff>
    </xdr:to>
    <xdr:pic>
      <xdr:nvPicPr>
        <xdr:cNvPr id="121535" name="Obrázek 29">
          <a:extLst>
            <a:ext uri="{FF2B5EF4-FFF2-40B4-BE49-F238E27FC236}">
              <a16:creationId xmlns:a16="http://schemas.microsoft.com/office/drawing/2014/main" id="{00000000-0008-0000-0100-0000BF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667375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28</xdr:row>
      <xdr:rowOff>28575</xdr:rowOff>
    </xdr:from>
    <xdr:to>
      <xdr:col>14</xdr:col>
      <xdr:colOff>476250</xdr:colOff>
      <xdr:row>32</xdr:row>
      <xdr:rowOff>161925</xdr:rowOff>
    </xdr:to>
    <xdr:pic>
      <xdr:nvPicPr>
        <xdr:cNvPr id="121536" name="Obrázek 30">
          <a:extLst>
            <a:ext uri="{FF2B5EF4-FFF2-40B4-BE49-F238E27FC236}">
              <a16:creationId xmlns:a16="http://schemas.microsoft.com/office/drawing/2014/main" id="{00000000-0008-0000-0100-0000C0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65785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34</xdr:row>
      <xdr:rowOff>47625</xdr:rowOff>
    </xdr:from>
    <xdr:to>
      <xdr:col>8</xdr:col>
      <xdr:colOff>466725</xdr:colOff>
      <xdr:row>38</xdr:row>
      <xdr:rowOff>161925</xdr:rowOff>
    </xdr:to>
    <xdr:pic>
      <xdr:nvPicPr>
        <xdr:cNvPr id="121537" name="Obrázek 32">
          <a:extLst>
            <a:ext uri="{FF2B5EF4-FFF2-40B4-BE49-F238E27FC236}">
              <a16:creationId xmlns:a16="http://schemas.microsoft.com/office/drawing/2014/main" id="{00000000-0008-0000-0100-0000C1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6934200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34</xdr:row>
      <xdr:rowOff>47625</xdr:rowOff>
    </xdr:from>
    <xdr:to>
      <xdr:col>14</xdr:col>
      <xdr:colOff>457200</xdr:colOff>
      <xdr:row>38</xdr:row>
      <xdr:rowOff>161925</xdr:rowOff>
    </xdr:to>
    <xdr:pic>
      <xdr:nvPicPr>
        <xdr:cNvPr id="121538" name="Obrázek 33">
          <a:extLst>
            <a:ext uri="{FF2B5EF4-FFF2-40B4-BE49-F238E27FC236}">
              <a16:creationId xmlns:a16="http://schemas.microsoft.com/office/drawing/2014/main" id="{00000000-0008-0000-0100-0000C2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6934200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66675</xdr:rowOff>
    </xdr:from>
    <xdr:to>
      <xdr:col>2</xdr:col>
      <xdr:colOff>466725</xdr:colOff>
      <xdr:row>66</xdr:row>
      <xdr:rowOff>161925</xdr:rowOff>
    </xdr:to>
    <xdr:pic>
      <xdr:nvPicPr>
        <xdr:cNvPr id="121539" name="Obrázek 25">
          <a:extLst>
            <a:ext uri="{FF2B5EF4-FFF2-40B4-BE49-F238E27FC236}">
              <a16:creationId xmlns:a16="http://schemas.microsoft.com/office/drawing/2014/main" id="{00000000-0008-0000-0100-0000C3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182350"/>
          <a:ext cx="1038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62</xdr:row>
      <xdr:rowOff>47625</xdr:rowOff>
    </xdr:from>
    <xdr:to>
      <xdr:col>8</xdr:col>
      <xdr:colOff>466725</xdr:colOff>
      <xdr:row>66</xdr:row>
      <xdr:rowOff>152400</xdr:rowOff>
    </xdr:to>
    <xdr:pic>
      <xdr:nvPicPr>
        <xdr:cNvPr id="121540" name="Obrázek 26">
          <a:extLst>
            <a:ext uri="{FF2B5EF4-FFF2-40B4-BE49-F238E27FC236}">
              <a16:creationId xmlns:a16="http://schemas.microsoft.com/office/drawing/2014/main" id="{00000000-0008-0000-0100-0000C4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1163300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62</xdr:row>
      <xdr:rowOff>57150</xdr:rowOff>
    </xdr:from>
    <xdr:to>
      <xdr:col>14</xdr:col>
      <xdr:colOff>466725</xdr:colOff>
      <xdr:row>66</xdr:row>
      <xdr:rowOff>152400</xdr:rowOff>
    </xdr:to>
    <xdr:pic>
      <xdr:nvPicPr>
        <xdr:cNvPr id="121541" name="Obrázek 27">
          <a:extLst>
            <a:ext uri="{FF2B5EF4-FFF2-40B4-BE49-F238E27FC236}">
              <a16:creationId xmlns:a16="http://schemas.microsoft.com/office/drawing/2014/main" id="{00000000-0008-0000-0100-0000C5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1172825"/>
          <a:ext cx="1047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49</xdr:row>
      <xdr:rowOff>57150</xdr:rowOff>
    </xdr:from>
    <xdr:to>
      <xdr:col>2</xdr:col>
      <xdr:colOff>466725</xdr:colOff>
      <xdr:row>53</xdr:row>
      <xdr:rowOff>152400</xdr:rowOff>
    </xdr:to>
    <xdr:pic>
      <xdr:nvPicPr>
        <xdr:cNvPr id="121542" name="Obrázek 38">
          <a:extLst>
            <a:ext uri="{FF2B5EF4-FFF2-40B4-BE49-F238E27FC236}">
              <a16:creationId xmlns:a16="http://schemas.microsoft.com/office/drawing/2014/main" id="{00000000-0008-0000-0100-0000C6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543925"/>
          <a:ext cx="1038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49</xdr:row>
      <xdr:rowOff>57150</xdr:rowOff>
    </xdr:from>
    <xdr:to>
      <xdr:col>8</xdr:col>
      <xdr:colOff>476250</xdr:colOff>
      <xdr:row>53</xdr:row>
      <xdr:rowOff>161925</xdr:rowOff>
    </xdr:to>
    <xdr:pic>
      <xdr:nvPicPr>
        <xdr:cNvPr id="121543" name="Obrázek 39">
          <a:extLst>
            <a:ext uri="{FF2B5EF4-FFF2-40B4-BE49-F238E27FC236}">
              <a16:creationId xmlns:a16="http://schemas.microsoft.com/office/drawing/2014/main" id="{00000000-0008-0000-0100-0000C7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8543925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49</xdr:row>
      <xdr:rowOff>66675</xdr:rowOff>
    </xdr:from>
    <xdr:to>
      <xdr:col>14</xdr:col>
      <xdr:colOff>476250</xdr:colOff>
      <xdr:row>53</xdr:row>
      <xdr:rowOff>161925</xdr:rowOff>
    </xdr:to>
    <xdr:pic>
      <xdr:nvPicPr>
        <xdr:cNvPr id="121544" name="Obrázek 40">
          <a:extLst>
            <a:ext uri="{FF2B5EF4-FFF2-40B4-BE49-F238E27FC236}">
              <a16:creationId xmlns:a16="http://schemas.microsoft.com/office/drawing/2014/main" id="{00000000-0008-0000-0100-0000C8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8553450"/>
          <a:ext cx="1047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55</xdr:row>
      <xdr:rowOff>104775</xdr:rowOff>
    </xdr:from>
    <xdr:to>
      <xdr:col>2</xdr:col>
      <xdr:colOff>457200</xdr:colOff>
      <xdr:row>59</xdr:row>
      <xdr:rowOff>114300</xdr:rowOff>
    </xdr:to>
    <xdr:pic>
      <xdr:nvPicPr>
        <xdr:cNvPr id="121545" name="Obrázek 41">
          <a:extLst>
            <a:ext uri="{FF2B5EF4-FFF2-40B4-BE49-F238E27FC236}">
              <a16:creationId xmlns:a16="http://schemas.microsoft.com/office/drawing/2014/main" id="{00000000-0008-0000-0100-0000C9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61110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42</xdr:row>
      <xdr:rowOff>104775</xdr:rowOff>
    </xdr:from>
    <xdr:to>
      <xdr:col>2</xdr:col>
      <xdr:colOff>457200</xdr:colOff>
      <xdr:row>46</xdr:row>
      <xdr:rowOff>114300</xdr:rowOff>
    </xdr:to>
    <xdr:pic>
      <xdr:nvPicPr>
        <xdr:cNvPr id="121546" name="Obrázek 42">
          <a:extLst>
            <a:ext uri="{FF2B5EF4-FFF2-40B4-BE49-F238E27FC236}">
              <a16:creationId xmlns:a16="http://schemas.microsoft.com/office/drawing/2014/main" id="{00000000-0008-0000-0100-0000CA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81075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76</xdr:row>
      <xdr:rowOff>47625</xdr:rowOff>
    </xdr:from>
    <xdr:to>
      <xdr:col>2</xdr:col>
      <xdr:colOff>466725</xdr:colOff>
      <xdr:row>80</xdr:row>
      <xdr:rowOff>161925</xdr:rowOff>
    </xdr:to>
    <xdr:pic>
      <xdr:nvPicPr>
        <xdr:cNvPr id="121547" name="Obrázek 43">
          <a:extLst>
            <a:ext uri="{FF2B5EF4-FFF2-40B4-BE49-F238E27FC236}">
              <a16:creationId xmlns:a16="http://schemas.microsoft.com/office/drawing/2014/main" id="{00000000-0008-0000-0100-0000CB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925550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76</xdr:row>
      <xdr:rowOff>47625</xdr:rowOff>
    </xdr:from>
    <xdr:to>
      <xdr:col>8</xdr:col>
      <xdr:colOff>447675</xdr:colOff>
      <xdr:row>80</xdr:row>
      <xdr:rowOff>161925</xdr:rowOff>
    </xdr:to>
    <xdr:pic>
      <xdr:nvPicPr>
        <xdr:cNvPr id="121548" name="Obrázek 44">
          <a:extLst>
            <a:ext uri="{FF2B5EF4-FFF2-40B4-BE49-F238E27FC236}">
              <a16:creationId xmlns:a16="http://schemas.microsoft.com/office/drawing/2014/main" id="{00000000-0008-0000-0100-0000CC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3925550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76</xdr:row>
      <xdr:rowOff>47625</xdr:rowOff>
    </xdr:from>
    <xdr:to>
      <xdr:col>14</xdr:col>
      <xdr:colOff>466725</xdr:colOff>
      <xdr:row>80</xdr:row>
      <xdr:rowOff>161925</xdr:rowOff>
    </xdr:to>
    <xdr:pic>
      <xdr:nvPicPr>
        <xdr:cNvPr id="121549" name="Obrázek 45">
          <a:extLst>
            <a:ext uri="{FF2B5EF4-FFF2-40B4-BE49-F238E27FC236}">
              <a16:creationId xmlns:a16="http://schemas.microsoft.com/office/drawing/2014/main" id="{00000000-0008-0000-0100-0000CD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3925550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69</xdr:row>
      <xdr:rowOff>114300</xdr:rowOff>
    </xdr:from>
    <xdr:to>
      <xdr:col>2</xdr:col>
      <xdr:colOff>485775</xdr:colOff>
      <xdr:row>73</xdr:row>
      <xdr:rowOff>104775</xdr:rowOff>
    </xdr:to>
    <xdr:pic>
      <xdr:nvPicPr>
        <xdr:cNvPr id="121550" name="Obrázek 50">
          <a:extLst>
            <a:ext uri="{FF2B5EF4-FFF2-40B4-BE49-F238E27FC236}">
              <a16:creationId xmlns:a16="http://schemas.microsoft.com/office/drawing/2014/main" id="{00000000-0008-0000-0100-0000CE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401925"/>
          <a:ext cx="1038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285750</xdr:colOff>
      <xdr:row>83</xdr:row>
      <xdr:rowOff>38100</xdr:rowOff>
    </xdr:from>
    <xdr:to>
      <xdr:col>14</xdr:col>
      <xdr:colOff>190500</xdr:colOff>
      <xdr:row>88</xdr:row>
      <xdr:rowOff>0</xdr:rowOff>
    </xdr:to>
    <xdr:pic>
      <xdr:nvPicPr>
        <xdr:cNvPr id="121553" name="Picture 63" descr="AD DM_reling_th">
          <a:extLst>
            <a:ext uri="{FF2B5EF4-FFF2-40B4-BE49-F238E27FC236}">
              <a16:creationId xmlns:a16="http://schemas.microsoft.com/office/drawing/2014/main" id="{00000000-0008-0000-0100-0000D1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7954625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89</xdr:row>
      <xdr:rowOff>38100</xdr:rowOff>
    </xdr:from>
    <xdr:to>
      <xdr:col>2</xdr:col>
      <xdr:colOff>200025</xdr:colOff>
      <xdr:row>94</xdr:row>
      <xdr:rowOff>28575</xdr:rowOff>
    </xdr:to>
    <xdr:pic>
      <xdr:nvPicPr>
        <xdr:cNvPr id="121554" name="Picture 64" descr="AD DD_glas_th">
          <a:extLst>
            <a:ext uri="{FF2B5EF4-FFF2-40B4-BE49-F238E27FC236}">
              <a16:creationId xmlns:a16="http://schemas.microsoft.com/office/drawing/2014/main" id="{00000000-0008-0000-0100-0000D2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6735425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295275</xdr:colOff>
      <xdr:row>89</xdr:row>
      <xdr:rowOff>28575</xdr:rowOff>
    </xdr:from>
    <xdr:to>
      <xdr:col>8</xdr:col>
      <xdr:colOff>200025</xdr:colOff>
      <xdr:row>94</xdr:row>
      <xdr:rowOff>19050</xdr:rowOff>
    </xdr:to>
    <xdr:pic>
      <xdr:nvPicPr>
        <xdr:cNvPr id="121555" name="Picture 65" descr="AD DD_metal_th">
          <a:extLst>
            <a:ext uri="{FF2B5EF4-FFF2-40B4-BE49-F238E27FC236}">
              <a16:creationId xmlns:a16="http://schemas.microsoft.com/office/drawing/2014/main" id="{00000000-0008-0000-0100-0000D3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6725900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295275</xdr:colOff>
      <xdr:row>89</xdr:row>
      <xdr:rowOff>28575</xdr:rowOff>
    </xdr:from>
    <xdr:to>
      <xdr:col>14</xdr:col>
      <xdr:colOff>200025</xdr:colOff>
      <xdr:row>94</xdr:row>
      <xdr:rowOff>19050</xdr:rowOff>
    </xdr:to>
    <xdr:pic>
      <xdr:nvPicPr>
        <xdr:cNvPr id="121556" name="Picture 66" descr="AD DD_reling_th">
          <a:extLst>
            <a:ext uri="{FF2B5EF4-FFF2-40B4-BE49-F238E27FC236}">
              <a16:creationId xmlns:a16="http://schemas.microsoft.com/office/drawing/2014/main" id="{00000000-0008-0000-0100-0000D4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6725900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83</xdr:row>
      <xdr:rowOff>47625</xdr:rowOff>
    </xdr:from>
    <xdr:to>
      <xdr:col>2</xdr:col>
      <xdr:colOff>171450</xdr:colOff>
      <xdr:row>88</xdr:row>
      <xdr:rowOff>9525</xdr:rowOff>
    </xdr:to>
    <xdr:pic>
      <xdr:nvPicPr>
        <xdr:cNvPr id="121557" name="Picture 67" descr="AD DM_glas_th">
          <a:extLst>
            <a:ext uri="{FF2B5EF4-FFF2-40B4-BE49-F238E27FC236}">
              <a16:creationId xmlns:a16="http://schemas.microsoft.com/office/drawing/2014/main" id="{00000000-0008-0000-0100-0000D5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964150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285750</xdr:colOff>
      <xdr:row>83</xdr:row>
      <xdr:rowOff>38100</xdr:rowOff>
    </xdr:from>
    <xdr:to>
      <xdr:col>8</xdr:col>
      <xdr:colOff>190500</xdr:colOff>
      <xdr:row>88</xdr:row>
      <xdr:rowOff>0</xdr:rowOff>
    </xdr:to>
    <xdr:pic>
      <xdr:nvPicPr>
        <xdr:cNvPr id="121558" name="Picture 68" descr="AD DM_metal_th">
          <a:extLst>
            <a:ext uri="{FF2B5EF4-FFF2-40B4-BE49-F238E27FC236}">
              <a16:creationId xmlns:a16="http://schemas.microsoft.com/office/drawing/2014/main" id="{00000000-0008-0000-0100-0000D6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954625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180975</xdr:colOff>
      <xdr:row>96</xdr:row>
      <xdr:rowOff>57150</xdr:rowOff>
    </xdr:from>
    <xdr:to>
      <xdr:col>14</xdr:col>
      <xdr:colOff>409575</xdr:colOff>
      <xdr:row>104</xdr:row>
      <xdr:rowOff>0</xdr:rowOff>
    </xdr:to>
    <xdr:pic>
      <xdr:nvPicPr>
        <xdr:cNvPr id="121559" name="Picture 1336" descr="ST DM_rel_th">
          <a:extLst>
            <a:ext uri="{FF2B5EF4-FFF2-40B4-BE49-F238E27FC236}">
              <a16:creationId xmlns:a16="http://schemas.microsoft.com/office/drawing/2014/main" id="{00000000-0008-0000-0100-0000D7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111692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105</xdr:row>
      <xdr:rowOff>47625</xdr:rowOff>
    </xdr:from>
    <xdr:to>
      <xdr:col>2</xdr:col>
      <xdr:colOff>352425</xdr:colOff>
      <xdr:row>112</xdr:row>
      <xdr:rowOff>161925</xdr:rowOff>
    </xdr:to>
    <xdr:pic>
      <xdr:nvPicPr>
        <xdr:cNvPr id="121560" name="Picture 1337" descr="ST DD_glas_th">
          <a:extLst>
            <a:ext uri="{FF2B5EF4-FFF2-40B4-BE49-F238E27FC236}">
              <a16:creationId xmlns:a16="http://schemas.microsoft.com/office/drawing/2014/main" id="{00000000-0008-0000-0100-0000D8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3738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142875</xdr:colOff>
      <xdr:row>105</xdr:row>
      <xdr:rowOff>47625</xdr:rowOff>
    </xdr:from>
    <xdr:to>
      <xdr:col>8</xdr:col>
      <xdr:colOff>371475</xdr:colOff>
      <xdr:row>112</xdr:row>
      <xdr:rowOff>161925</xdr:rowOff>
    </xdr:to>
    <xdr:pic>
      <xdr:nvPicPr>
        <xdr:cNvPr id="121561" name="Picture 1338" descr="ST DD_met_th">
          <a:extLst>
            <a:ext uri="{FF2B5EF4-FFF2-40B4-BE49-F238E27FC236}">
              <a16:creationId xmlns:a16="http://schemas.microsoft.com/office/drawing/2014/main" id="{00000000-0008-0000-0100-0000D9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3738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190500</xdr:colOff>
      <xdr:row>105</xdr:row>
      <xdr:rowOff>57150</xdr:rowOff>
    </xdr:from>
    <xdr:to>
      <xdr:col>14</xdr:col>
      <xdr:colOff>419100</xdr:colOff>
      <xdr:row>113</xdr:row>
      <xdr:rowOff>0</xdr:rowOff>
    </xdr:to>
    <xdr:pic>
      <xdr:nvPicPr>
        <xdr:cNvPr id="121562" name="Picture 1339" descr="ST DD_rel_th">
          <a:extLst>
            <a:ext uri="{FF2B5EF4-FFF2-40B4-BE49-F238E27FC236}">
              <a16:creationId xmlns:a16="http://schemas.microsoft.com/office/drawing/2014/main" id="{00000000-0008-0000-0100-0000DA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938337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96</xdr:row>
      <xdr:rowOff>47625</xdr:rowOff>
    </xdr:from>
    <xdr:to>
      <xdr:col>2</xdr:col>
      <xdr:colOff>333375</xdr:colOff>
      <xdr:row>103</xdr:row>
      <xdr:rowOff>161925</xdr:rowOff>
    </xdr:to>
    <xdr:pic>
      <xdr:nvPicPr>
        <xdr:cNvPr id="121563" name="Picture 1340" descr="ST DM_glas_th">
          <a:extLst>
            <a:ext uri="{FF2B5EF4-FFF2-40B4-BE49-F238E27FC236}">
              <a16:creationId xmlns:a16="http://schemas.microsoft.com/office/drawing/2014/main" id="{00000000-0008-0000-0100-0000DB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11074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96</xdr:row>
      <xdr:rowOff>47625</xdr:rowOff>
    </xdr:from>
    <xdr:to>
      <xdr:col>8</xdr:col>
      <xdr:colOff>381000</xdr:colOff>
      <xdr:row>103</xdr:row>
      <xdr:rowOff>161925</xdr:rowOff>
    </xdr:to>
    <xdr:pic>
      <xdr:nvPicPr>
        <xdr:cNvPr id="121564" name="Picture 1341" descr="ST DM_met_th">
          <a:extLst>
            <a:ext uri="{FF2B5EF4-FFF2-40B4-BE49-F238E27FC236}">
              <a16:creationId xmlns:a16="http://schemas.microsoft.com/office/drawing/2014/main" id="{00000000-0008-0000-0100-0000DCD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11074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199</xdr:row>
      <xdr:rowOff>19050</xdr:rowOff>
    </xdr:from>
    <xdr:to>
      <xdr:col>1</xdr:col>
      <xdr:colOff>171450</xdr:colOff>
      <xdr:row>199</xdr:row>
      <xdr:rowOff>180975</xdr:rowOff>
    </xdr:to>
    <xdr:pic>
      <xdr:nvPicPr>
        <xdr:cNvPr id="121565" name="Obrázek 20" descr="Help.gif">
          <a:extLst>
            <a:ext uri="{FF2B5EF4-FFF2-40B4-BE49-F238E27FC236}">
              <a16:creationId xmlns:a16="http://schemas.microsoft.com/office/drawing/2014/main" id="{00000000-0008-0000-0100-0000DD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480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28</xdr:row>
      <xdr:rowOff>38100</xdr:rowOff>
    </xdr:from>
    <xdr:to>
      <xdr:col>2</xdr:col>
      <xdr:colOff>485775</xdr:colOff>
      <xdr:row>33</xdr:row>
      <xdr:rowOff>0</xdr:rowOff>
    </xdr:to>
    <xdr:pic>
      <xdr:nvPicPr>
        <xdr:cNvPr id="121566" name="Obrázek 14">
          <a:extLst>
            <a:ext uri="{FF2B5EF4-FFF2-40B4-BE49-F238E27FC236}">
              <a16:creationId xmlns:a16="http://schemas.microsoft.com/office/drawing/2014/main" id="{00000000-0008-0000-0100-0000DE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667375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34</xdr:row>
      <xdr:rowOff>38100</xdr:rowOff>
    </xdr:from>
    <xdr:to>
      <xdr:col>2</xdr:col>
      <xdr:colOff>476250</xdr:colOff>
      <xdr:row>38</xdr:row>
      <xdr:rowOff>152400</xdr:rowOff>
    </xdr:to>
    <xdr:pic>
      <xdr:nvPicPr>
        <xdr:cNvPr id="121567" name="Obrázek 22">
          <a:extLst>
            <a:ext uri="{FF2B5EF4-FFF2-40B4-BE49-F238E27FC236}">
              <a16:creationId xmlns:a16="http://schemas.microsoft.com/office/drawing/2014/main" id="{00000000-0008-0000-0100-0000DFDA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92467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9525</xdr:rowOff>
    </xdr:from>
    <xdr:to>
      <xdr:col>5</xdr:col>
      <xdr:colOff>450056</xdr:colOff>
      <xdr:row>14</xdr:row>
      <xdr:rowOff>26194</xdr:rowOff>
    </xdr:to>
    <xdr:pic>
      <xdr:nvPicPr>
        <xdr:cNvPr id="58512" name="Obrázek 3">
          <a:extLst>
            <a:ext uri="{FF2B5EF4-FFF2-40B4-BE49-F238E27FC236}">
              <a16:creationId xmlns:a16="http://schemas.microsoft.com/office/drawing/2014/main" id="{00000000-0008-0000-1300-000090E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7225"/>
          <a:ext cx="2764631" cy="183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3</xdr:row>
      <xdr:rowOff>0</xdr:rowOff>
    </xdr:from>
    <xdr:to>
      <xdr:col>5</xdr:col>
      <xdr:colOff>459581</xdr:colOff>
      <xdr:row>15</xdr:row>
      <xdr:rowOff>90488</xdr:rowOff>
    </xdr:to>
    <xdr:pic>
      <xdr:nvPicPr>
        <xdr:cNvPr id="50320" name="Obrázek 3">
          <a:extLst>
            <a:ext uri="{FF2B5EF4-FFF2-40B4-BE49-F238E27FC236}">
              <a16:creationId xmlns:a16="http://schemas.microsoft.com/office/drawing/2014/main" id="{00000000-0008-0000-1400-000090C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47700"/>
          <a:ext cx="2764631" cy="207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</xdr:row>
      <xdr:rowOff>1</xdr:rowOff>
    </xdr:from>
    <xdr:to>
      <xdr:col>5</xdr:col>
      <xdr:colOff>469106</xdr:colOff>
      <xdr:row>15</xdr:row>
      <xdr:rowOff>111920</xdr:rowOff>
    </xdr:to>
    <xdr:pic>
      <xdr:nvPicPr>
        <xdr:cNvPr id="56464" name="Obrázek 3">
          <a:extLst>
            <a:ext uri="{FF2B5EF4-FFF2-40B4-BE49-F238E27FC236}">
              <a16:creationId xmlns:a16="http://schemas.microsoft.com/office/drawing/2014/main" id="{00000000-0008-0000-1500-000090D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7701"/>
          <a:ext cx="2793206" cy="2093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</xdr:row>
      <xdr:rowOff>9526</xdr:rowOff>
    </xdr:from>
    <xdr:to>
      <xdr:col>5</xdr:col>
      <xdr:colOff>447675</xdr:colOff>
      <xdr:row>15</xdr:row>
      <xdr:rowOff>107157</xdr:rowOff>
    </xdr:to>
    <xdr:pic>
      <xdr:nvPicPr>
        <xdr:cNvPr id="57736" name="Obrázek 3">
          <a:extLst>
            <a:ext uri="{FF2B5EF4-FFF2-40B4-BE49-F238E27FC236}">
              <a16:creationId xmlns:a16="http://schemas.microsoft.com/office/drawing/2014/main" id="{00000000-0008-0000-1600-000088E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7226"/>
          <a:ext cx="2771775" cy="2078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35</xdr:row>
      <xdr:rowOff>0</xdr:rowOff>
    </xdr:from>
    <xdr:to>
      <xdr:col>1</xdr:col>
      <xdr:colOff>171450</xdr:colOff>
      <xdr:row>36</xdr:row>
      <xdr:rowOff>0</xdr:rowOff>
    </xdr:to>
    <xdr:pic>
      <xdr:nvPicPr>
        <xdr:cNvPr id="57737" name="Obrázek 28" descr="Info.gif">
          <a:extLst>
            <a:ext uri="{FF2B5EF4-FFF2-40B4-BE49-F238E27FC236}">
              <a16:creationId xmlns:a16="http://schemas.microsoft.com/office/drawing/2014/main" id="{00000000-0008-0000-1600-000089E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95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35</xdr:row>
      <xdr:rowOff>0</xdr:rowOff>
    </xdr:from>
    <xdr:to>
      <xdr:col>1</xdr:col>
      <xdr:colOff>171450</xdr:colOff>
      <xdr:row>36</xdr:row>
      <xdr:rowOff>0</xdr:rowOff>
    </xdr:to>
    <xdr:pic>
      <xdr:nvPicPr>
        <xdr:cNvPr id="57738" name="Obrázek 28" descr="Info.gif">
          <a:extLst>
            <a:ext uri="{FF2B5EF4-FFF2-40B4-BE49-F238E27FC236}">
              <a16:creationId xmlns:a16="http://schemas.microsoft.com/office/drawing/2014/main" id="{00000000-0008-0000-1600-00008AE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95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9525</xdr:rowOff>
    </xdr:from>
    <xdr:to>
      <xdr:col>5</xdr:col>
      <xdr:colOff>450056</xdr:colOff>
      <xdr:row>14</xdr:row>
      <xdr:rowOff>26194</xdr:rowOff>
    </xdr:to>
    <xdr:pic>
      <xdr:nvPicPr>
        <xdr:cNvPr id="63632" name="Obrázek 7">
          <a:extLst>
            <a:ext uri="{FF2B5EF4-FFF2-40B4-BE49-F238E27FC236}">
              <a16:creationId xmlns:a16="http://schemas.microsoft.com/office/drawing/2014/main" id="{00000000-0008-0000-1700-000090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7225"/>
          <a:ext cx="2764631" cy="183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9525</xdr:rowOff>
    </xdr:from>
    <xdr:to>
      <xdr:col>5</xdr:col>
      <xdr:colOff>450056</xdr:colOff>
      <xdr:row>15</xdr:row>
      <xdr:rowOff>100013</xdr:rowOff>
    </xdr:to>
    <xdr:pic>
      <xdr:nvPicPr>
        <xdr:cNvPr id="60560" name="Obrázek 1">
          <a:extLst>
            <a:ext uri="{FF2B5EF4-FFF2-40B4-BE49-F238E27FC236}">
              <a16:creationId xmlns:a16="http://schemas.microsoft.com/office/drawing/2014/main" id="{00000000-0008-0000-1800-000090E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7225"/>
          <a:ext cx="2764631" cy="207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</xdr:row>
      <xdr:rowOff>9525</xdr:rowOff>
    </xdr:from>
    <xdr:to>
      <xdr:col>5</xdr:col>
      <xdr:colOff>469106</xdr:colOff>
      <xdr:row>15</xdr:row>
      <xdr:rowOff>121444</xdr:rowOff>
    </xdr:to>
    <xdr:pic>
      <xdr:nvPicPr>
        <xdr:cNvPr id="61584" name="Obrázek 2">
          <a:extLst>
            <a:ext uri="{FF2B5EF4-FFF2-40B4-BE49-F238E27FC236}">
              <a16:creationId xmlns:a16="http://schemas.microsoft.com/office/drawing/2014/main" id="{00000000-0008-0000-1900-000090F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7225"/>
          <a:ext cx="2793206" cy="2093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3</xdr:row>
      <xdr:rowOff>9525</xdr:rowOff>
    </xdr:from>
    <xdr:to>
      <xdr:col>5</xdr:col>
      <xdr:colOff>447676</xdr:colOff>
      <xdr:row>15</xdr:row>
      <xdr:rowOff>107156</xdr:rowOff>
    </xdr:to>
    <xdr:pic>
      <xdr:nvPicPr>
        <xdr:cNvPr id="62856" name="Obrázek 3">
          <a:extLst>
            <a:ext uri="{FF2B5EF4-FFF2-40B4-BE49-F238E27FC236}">
              <a16:creationId xmlns:a16="http://schemas.microsoft.com/office/drawing/2014/main" id="{00000000-0008-0000-1A00-000088F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657225"/>
          <a:ext cx="2771775" cy="2078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35</xdr:row>
      <xdr:rowOff>0</xdr:rowOff>
    </xdr:from>
    <xdr:to>
      <xdr:col>1</xdr:col>
      <xdr:colOff>171450</xdr:colOff>
      <xdr:row>36</xdr:row>
      <xdr:rowOff>0</xdr:rowOff>
    </xdr:to>
    <xdr:pic>
      <xdr:nvPicPr>
        <xdr:cNvPr id="62857" name="Obrázek 28" descr="Info.gif">
          <a:extLst>
            <a:ext uri="{FF2B5EF4-FFF2-40B4-BE49-F238E27FC236}">
              <a16:creationId xmlns:a16="http://schemas.microsoft.com/office/drawing/2014/main" id="{00000000-0008-0000-1A00-000089F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33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35</xdr:row>
      <xdr:rowOff>0</xdr:rowOff>
    </xdr:from>
    <xdr:to>
      <xdr:col>1</xdr:col>
      <xdr:colOff>171450</xdr:colOff>
      <xdr:row>36</xdr:row>
      <xdr:rowOff>0</xdr:rowOff>
    </xdr:to>
    <xdr:pic>
      <xdr:nvPicPr>
        <xdr:cNvPr id="62858" name="Obrázek 28" descr="Info.gif">
          <a:extLst>
            <a:ext uri="{FF2B5EF4-FFF2-40B4-BE49-F238E27FC236}">
              <a16:creationId xmlns:a16="http://schemas.microsoft.com/office/drawing/2014/main" id="{00000000-0008-0000-1A00-00008AF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33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9525</xdr:rowOff>
    </xdr:from>
    <xdr:to>
      <xdr:col>5</xdr:col>
      <xdr:colOff>345281</xdr:colOff>
      <xdr:row>12</xdr:row>
      <xdr:rowOff>138113</xdr:rowOff>
    </xdr:to>
    <xdr:pic>
      <xdr:nvPicPr>
        <xdr:cNvPr id="67729" name="Obrázek 8">
          <a:extLst>
            <a:ext uri="{FF2B5EF4-FFF2-40B4-BE49-F238E27FC236}">
              <a16:creationId xmlns:a16="http://schemas.microsoft.com/office/drawing/2014/main" id="{00000000-0008-0000-1B00-000091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66725"/>
          <a:ext cx="2736056" cy="178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</xdr:rowOff>
    </xdr:from>
    <xdr:to>
      <xdr:col>5</xdr:col>
      <xdr:colOff>361950</xdr:colOff>
      <xdr:row>14</xdr:row>
      <xdr:rowOff>126207</xdr:rowOff>
    </xdr:to>
    <xdr:pic>
      <xdr:nvPicPr>
        <xdr:cNvPr id="65051" name="Obrázek 4">
          <a:extLst>
            <a:ext uri="{FF2B5EF4-FFF2-40B4-BE49-F238E27FC236}">
              <a16:creationId xmlns:a16="http://schemas.microsoft.com/office/drawing/2014/main" id="{00000000-0008-0000-1C00-00001BF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57201"/>
          <a:ext cx="2743200" cy="210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149</xdr:row>
      <xdr:rowOff>47625</xdr:rowOff>
    </xdr:from>
    <xdr:to>
      <xdr:col>8</xdr:col>
      <xdr:colOff>552450</xdr:colOff>
      <xdr:row>173</xdr:row>
      <xdr:rowOff>95250</xdr:rowOff>
    </xdr:to>
    <xdr:pic>
      <xdr:nvPicPr>
        <xdr:cNvPr id="65052" name="Obrázek 3">
          <a:extLst>
            <a:ext uri="{FF2B5EF4-FFF2-40B4-BE49-F238E27FC236}">
              <a16:creationId xmlns:a16="http://schemas.microsoft.com/office/drawing/2014/main" id="{00000000-0008-0000-1C00-00001CF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573500"/>
          <a:ext cx="4933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105</xdr:row>
      <xdr:rowOff>123826</xdr:rowOff>
    </xdr:from>
    <xdr:to>
      <xdr:col>2</xdr:col>
      <xdr:colOff>514350</xdr:colOff>
      <xdr:row>109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944476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31</xdr:row>
      <xdr:rowOff>19050</xdr:rowOff>
    </xdr:from>
    <xdr:to>
      <xdr:col>3</xdr:col>
      <xdr:colOff>161925</xdr:colOff>
      <xdr:row>32</xdr:row>
      <xdr:rowOff>19050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553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9525</xdr:rowOff>
    </xdr:from>
    <xdr:to>
      <xdr:col>5</xdr:col>
      <xdr:colOff>409575</xdr:colOff>
      <xdr:row>13</xdr:row>
      <xdr:rowOff>40481</xdr:rowOff>
    </xdr:to>
    <xdr:pic>
      <xdr:nvPicPr>
        <xdr:cNvPr id="41104" name="Obrázek 1">
          <a:extLst>
            <a:ext uri="{FF2B5EF4-FFF2-40B4-BE49-F238E27FC236}">
              <a16:creationId xmlns:a16="http://schemas.microsoft.com/office/drawing/2014/main" id="{00000000-0008-0000-0200-000090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6725"/>
          <a:ext cx="2828925" cy="1850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3" name="Obrázek 28" descr="Info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9436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9436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78376"/>
          <a:ext cx="1019175" cy="10001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0</xdr:rowOff>
    </xdr:from>
    <xdr:to>
      <xdr:col>5</xdr:col>
      <xdr:colOff>361950</xdr:colOff>
      <xdr:row>14</xdr:row>
      <xdr:rowOff>133350</xdr:rowOff>
    </xdr:to>
    <xdr:pic>
      <xdr:nvPicPr>
        <xdr:cNvPr id="65948" name="Obrázek 5">
          <a:extLst>
            <a:ext uri="{FF2B5EF4-FFF2-40B4-BE49-F238E27FC236}">
              <a16:creationId xmlns:a16="http://schemas.microsoft.com/office/drawing/2014/main" id="{00000000-0008-0000-1D00-00009C0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57200"/>
          <a:ext cx="27432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123825</xdr:rowOff>
    </xdr:from>
    <xdr:to>
      <xdr:col>2</xdr:col>
      <xdr:colOff>514350</xdr:colOff>
      <xdr:row>108</xdr:row>
      <xdr:rowOff>171450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3754100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963526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31</xdr:row>
      <xdr:rowOff>19050</xdr:rowOff>
    </xdr:from>
    <xdr:to>
      <xdr:col>3</xdr:col>
      <xdr:colOff>161925</xdr:colOff>
      <xdr:row>32</xdr:row>
      <xdr:rowOff>19050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553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0</xdr:rowOff>
    </xdr:from>
    <xdr:to>
      <xdr:col>5</xdr:col>
      <xdr:colOff>361950</xdr:colOff>
      <xdr:row>14</xdr:row>
      <xdr:rowOff>126206</xdr:rowOff>
    </xdr:to>
    <xdr:pic>
      <xdr:nvPicPr>
        <xdr:cNvPr id="67131" name="Obrázek 6">
          <a:extLst>
            <a:ext uri="{FF2B5EF4-FFF2-40B4-BE49-F238E27FC236}">
              <a16:creationId xmlns:a16="http://schemas.microsoft.com/office/drawing/2014/main" id="{00000000-0008-0000-1E00-00003B06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57200"/>
          <a:ext cx="2743200" cy="210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40</xdr:row>
      <xdr:rowOff>0</xdr:rowOff>
    </xdr:from>
    <xdr:to>
      <xdr:col>1</xdr:col>
      <xdr:colOff>171450</xdr:colOff>
      <xdr:row>40</xdr:row>
      <xdr:rowOff>161925</xdr:rowOff>
    </xdr:to>
    <xdr:pic>
      <xdr:nvPicPr>
        <xdr:cNvPr id="67132" name="Obrázek 28" descr="Info.gif">
          <a:extLst>
            <a:ext uri="{FF2B5EF4-FFF2-40B4-BE49-F238E27FC236}">
              <a16:creationId xmlns:a16="http://schemas.microsoft.com/office/drawing/2014/main" id="{00000000-0008-0000-1E00-00003C06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626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209552</xdr:colOff>
      <xdr:row>102</xdr:row>
      <xdr:rowOff>123832</xdr:rowOff>
    </xdr:from>
    <xdr:to>
      <xdr:col>2</xdr:col>
      <xdr:colOff>514352</xdr:colOff>
      <xdr:row>106</xdr:row>
      <xdr:rowOff>171457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7" y="13754107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102</xdr:row>
      <xdr:rowOff>123826</xdr:rowOff>
    </xdr:from>
    <xdr:to>
      <xdr:col>2</xdr:col>
      <xdr:colOff>514350</xdr:colOff>
      <xdr:row>106</xdr:row>
      <xdr:rowOff>171451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963526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29</xdr:row>
      <xdr:rowOff>19050</xdr:rowOff>
    </xdr:from>
    <xdr:to>
      <xdr:col>3</xdr:col>
      <xdr:colOff>161925</xdr:colOff>
      <xdr:row>30</xdr:row>
      <xdr:rowOff>19050</xdr:rowOff>
    </xdr:to>
    <xdr:pic>
      <xdr:nvPicPr>
        <xdr:cNvPr id="9" name="Obrázek 28" descr="Info.gif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5530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276225</xdr:rowOff>
    </xdr:from>
    <xdr:to>
      <xdr:col>3</xdr:col>
      <xdr:colOff>616744</xdr:colOff>
      <xdr:row>15</xdr:row>
      <xdr:rowOff>21431</xdr:rowOff>
    </xdr:to>
    <xdr:pic>
      <xdr:nvPicPr>
        <xdr:cNvPr id="72838" name="Obrázek 2">
          <a:extLst>
            <a:ext uri="{FF2B5EF4-FFF2-40B4-BE49-F238E27FC236}">
              <a16:creationId xmlns:a16="http://schemas.microsoft.com/office/drawing/2014/main" id="{00000000-0008-0000-1F00-0000861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38150"/>
          <a:ext cx="1350169" cy="225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</xdr:row>
      <xdr:rowOff>9525</xdr:rowOff>
    </xdr:from>
    <xdr:to>
      <xdr:col>3</xdr:col>
      <xdr:colOff>614364</xdr:colOff>
      <xdr:row>15</xdr:row>
      <xdr:rowOff>50006</xdr:rowOff>
    </xdr:to>
    <xdr:pic>
      <xdr:nvPicPr>
        <xdr:cNvPr id="73860" name="Obrázek 2">
          <a:extLst>
            <a:ext uri="{FF2B5EF4-FFF2-40B4-BE49-F238E27FC236}">
              <a16:creationId xmlns:a16="http://schemas.microsoft.com/office/drawing/2014/main" id="{00000000-0008-0000-2000-0000842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466725"/>
          <a:ext cx="1357313" cy="225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</xdr:row>
      <xdr:rowOff>9525</xdr:rowOff>
    </xdr:from>
    <xdr:to>
      <xdr:col>3</xdr:col>
      <xdr:colOff>614364</xdr:colOff>
      <xdr:row>15</xdr:row>
      <xdr:rowOff>50006</xdr:rowOff>
    </xdr:to>
    <xdr:pic>
      <xdr:nvPicPr>
        <xdr:cNvPr id="75015" name="Obrázek 3">
          <a:extLst>
            <a:ext uri="{FF2B5EF4-FFF2-40B4-BE49-F238E27FC236}">
              <a16:creationId xmlns:a16="http://schemas.microsoft.com/office/drawing/2014/main" id="{00000000-0008-0000-2100-0000072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466725"/>
          <a:ext cx="1357313" cy="225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31</xdr:row>
      <xdr:rowOff>0</xdr:rowOff>
    </xdr:from>
    <xdr:to>
      <xdr:col>1</xdr:col>
      <xdr:colOff>171450</xdr:colOff>
      <xdr:row>32</xdr:row>
      <xdr:rowOff>0</xdr:rowOff>
    </xdr:to>
    <xdr:pic>
      <xdr:nvPicPr>
        <xdr:cNvPr id="75016" name="Obrázek 28" descr="Info.gif">
          <a:extLst>
            <a:ext uri="{FF2B5EF4-FFF2-40B4-BE49-F238E27FC236}">
              <a16:creationId xmlns:a16="http://schemas.microsoft.com/office/drawing/2014/main" id="{00000000-0008-0000-2100-0000082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578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</xdr:row>
      <xdr:rowOff>9525</xdr:rowOff>
    </xdr:from>
    <xdr:to>
      <xdr:col>3</xdr:col>
      <xdr:colOff>616744</xdr:colOff>
      <xdr:row>14</xdr:row>
      <xdr:rowOff>133350</xdr:rowOff>
    </xdr:to>
    <xdr:pic>
      <xdr:nvPicPr>
        <xdr:cNvPr id="75905" name="Obrázek 4">
          <a:extLst>
            <a:ext uri="{FF2B5EF4-FFF2-40B4-BE49-F238E27FC236}">
              <a16:creationId xmlns:a16="http://schemas.microsoft.com/office/drawing/2014/main" id="{00000000-0008-0000-2200-0000812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66725"/>
          <a:ext cx="1350169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</xdr:row>
      <xdr:rowOff>9525</xdr:rowOff>
    </xdr:from>
    <xdr:to>
      <xdr:col>3</xdr:col>
      <xdr:colOff>614364</xdr:colOff>
      <xdr:row>14</xdr:row>
      <xdr:rowOff>133350</xdr:rowOff>
    </xdr:to>
    <xdr:pic>
      <xdr:nvPicPr>
        <xdr:cNvPr id="76927" name="Obrázek 5">
          <a:extLst>
            <a:ext uri="{FF2B5EF4-FFF2-40B4-BE49-F238E27FC236}">
              <a16:creationId xmlns:a16="http://schemas.microsoft.com/office/drawing/2014/main" id="{00000000-0008-0000-2300-00007F2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466725"/>
          <a:ext cx="1357313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</xdr:row>
      <xdr:rowOff>9525</xdr:rowOff>
    </xdr:from>
    <xdr:to>
      <xdr:col>3</xdr:col>
      <xdr:colOff>614364</xdr:colOff>
      <xdr:row>14</xdr:row>
      <xdr:rowOff>133350</xdr:rowOff>
    </xdr:to>
    <xdr:pic>
      <xdr:nvPicPr>
        <xdr:cNvPr id="78074" name="Obrázek 6">
          <a:extLst>
            <a:ext uri="{FF2B5EF4-FFF2-40B4-BE49-F238E27FC236}">
              <a16:creationId xmlns:a16="http://schemas.microsoft.com/office/drawing/2014/main" id="{00000000-0008-0000-2400-0000FA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466725"/>
          <a:ext cx="1357313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31</xdr:row>
      <xdr:rowOff>0</xdr:rowOff>
    </xdr:from>
    <xdr:to>
      <xdr:col>1</xdr:col>
      <xdr:colOff>171450</xdr:colOff>
      <xdr:row>32</xdr:row>
      <xdr:rowOff>0</xdr:rowOff>
    </xdr:to>
    <xdr:pic>
      <xdr:nvPicPr>
        <xdr:cNvPr id="78075" name="Obrázek 28" descr="Info.gif">
          <a:extLst>
            <a:ext uri="{FF2B5EF4-FFF2-40B4-BE49-F238E27FC236}">
              <a16:creationId xmlns:a16="http://schemas.microsoft.com/office/drawing/2014/main" id="{00000000-0008-0000-2400-0000FB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197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9525</xdr:rowOff>
    </xdr:from>
    <xdr:to>
      <xdr:col>4</xdr:col>
      <xdr:colOff>304800</xdr:colOff>
      <xdr:row>14</xdr:row>
      <xdr:rowOff>102394</xdr:rowOff>
    </xdr:to>
    <xdr:pic>
      <xdr:nvPicPr>
        <xdr:cNvPr id="96364" name="Picture 2" descr="ST DM_glas">
          <a:extLst>
            <a:ext uri="{FF2B5EF4-FFF2-40B4-BE49-F238E27FC236}">
              <a16:creationId xmlns:a16="http://schemas.microsoft.com/office/drawing/2014/main" id="{00000000-0008-0000-2500-00006C7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0"/>
          <a:ext cx="1543050" cy="243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9525</xdr:rowOff>
    </xdr:from>
    <xdr:to>
      <xdr:col>1</xdr:col>
      <xdr:colOff>304800</xdr:colOff>
      <xdr:row>18</xdr:row>
      <xdr:rowOff>171450</xdr:rowOff>
    </xdr:to>
    <xdr:pic>
      <xdr:nvPicPr>
        <xdr:cNvPr id="3" name="Obrázek 18" descr="Tip.gif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37</xdr:row>
      <xdr:rowOff>9526</xdr:rowOff>
    </xdr:from>
    <xdr:to>
      <xdr:col>1</xdr:col>
      <xdr:colOff>228600</xdr:colOff>
      <xdr:row>37</xdr:row>
      <xdr:rowOff>171451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800851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101483" name="Picture 1" descr="ST DM_met">
          <a:extLst>
            <a:ext uri="{FF2B5EF4-FFF2-40B4-BE49-F238E27FC236}">
              <a16:creationId xmlns:a16="http://schemas.microsoft.com/office/drawing/2014/main" id="{00000000-0008-0000-2600-00006B8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9525</xdr:rowOff>
    </xdr:from>
    <xdr:to>
      <xdr:col>1</xdr:col>
      <xdr:colOff>304800</xdr:colOff>
      <xdr:row>18</xdr:row>
      <xdr:rowOff>171450</xdr:rowOff>
    </xdr:to>
    <xdr:pic>
      <xdr:nvPicPr>
        <xdr:cNvPr id="3" name="Obrázek 18" descr="Tip.gif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37</xdr:row>
      <xdr:rowOff>9525</xdr:rowOff>
    </xdr:from>
    <xdr:to>
      <xdr:col>1</xdr:col>
      <xdr:colOff>209550</xdr:colOff>
      <xdr:row>37</xdr:row>
      <xdr:rowOff>171450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800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2</xdr:row>
      <xdr:rowOff>9527</xdr:rowOff>
    </xdr:from>
    <xdr:to>
      <xdr:col>5</xdr:col>
      <xdr:colOff>409576</xdr:colOff>
      <xdr:row>13</xdr:row>
      <xdr:rowOff>54771</xdr:rowOff>
    </xdr:to>
    <xdr:pic>
      <xdr:nvPicPr>
        <xdr:cNvPr id="42128" name="Obrázek 1">
          <a:extLst>
            <a:ext uri="{FF2B5EF4-FFF2-40B4-BE49-F238E27FC236}">
              <a16:creationId xmlns:a16="http://schemas.microsoft.com/office/drawing/2014/main" id="{00000000-0008-0000-0300-000090A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466727"/>
          <a:ext cx="2828925" cy="1864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10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105</xdr:row>
      <xdr:rowOff>123825</xdr:rowOff>
    </xdr:from>
    <xdr:to>
      <xdr:col>2</xdr:col>
      <xdr:colOff>514350</xdr:colOff>
      <xdr:row>110</xdr:row>
      <xdr:rowOff>66675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783175"/>
          <a:ext cx="1019175" cy="100012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45</xdr:row>
      <xdr:rowOff>0</xdr:rowOff>
    </xdr:from>
    <xdr:to>
      <xdr:col>1</xdr:col>
      <xdr:colOff>171450</xdr:colOff>
      <xdr:row>46</xdr:row>
      <xdr:rowOff>0</xdr:rowOff>
    </xdr:to>
    <xdr:pic>
      <xdr:nvPicPr>
        <xdr:cNvPr id="97493" name="Obrázek 28" descr="Info.gif">
          <a:extLst>
            <a:ext uri="{FF2B5EF4-FFF2-40B4-BE49-F238E27FC236}">
              <a16:creationId xmlns:a16="http://schemas.microsoft.com/office/drawing/2014/main" id="{00000000-0008-0000-2700-0000D57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293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97494" name="Picture 2" descr="ST DM_rel">
          <a:extLst>
            <a:ext uri="{FF2B5EF4-FFF2-40B4-BE49-F238E27FC236}">
              <a16:creationId xmlns:a16="http://schemas.microsoft.com/office/drawing/2014/main" id="{00000000-0008-0000-2700-0000D67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9526</xdr:rowOff>
    </xdr:from>
    <xdr:to>
      <xdr:col>1</xdr:col>
      <xdr:colOff>304800</xdr:colOff>
      <xdr:row>18</xdr:row>
      <xdr:rowOff>171451</xdr:rowOff>
    </xdr:to>
    <xdr:pic>
      <xdr:nvPicPr>
        <xdr:cNvPr id="4" name="Obrázek 18" descr="Tip.gif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1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37</xdr:row>
      <xdr:rowOff>9525</xdr:rowOff>
    </xdr:from>
    <xdr:to>
      <xdr:col>1</xdr:col>
      <xdr:colOff>219075</xdr:colOff>
      <xdr:row>37</xdr:row>
      <xdr:rowOff>171450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800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99435" name="Picture 1" descr="ST DD_glas">
          <a:extLst>
            <a:ext uri="{FF2B5EF4-FFF2-40B4-BE49-F238E27FC236}">
              <a16:creationId xmlns:a16="http://schemas.microsoft.com/office/drawing/2014/main" id="{00000000-0008-0000-2800-00006B8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142881</xdr:colOff>
      <xdr:row>18</xdr:row>
      <xdr:rowOff>9532</xdr:rowOff>
    </xdr:from>
    <xdr:to>
      <xdr:col>1</xdr:col>
      <xdr:colOff>304806</xdr:colOff>
      <xdr:row>18</xdr:row>
      <xdr:rowOff>171457</xdr:rowOff>
    </xdr:to>
    <xdr:pic>
      <xdr:nvPicPr>
        <xdr:cNvPr id="3" name="Obrázek 18" descr="Tip.gif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6" y="3219457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37</xdr:row>
      <xdr:rowOff>9525</xdr:rowOff>
    </xdr:from>
    <xdr:to>
      <xdr:col>1</xdr:col>
      <xdr:colOff>228600</xdr:colOff>
      <xdr:row>37</xdr:row>
      <xdr:rowOff>171450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2294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100459" name="Picture 1" descr="ST DD_met">
          <a:extLst>
            <a:ext uri="{FF2B5EF4-FFF2-40B4-BE49-F238E27FC236}">
              <a16:creationId xmlns:a16="http://schemas.microsoft.com/office/drawing/2014/main" id="{00000000-0008-0000-2900-00006B8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9525</xdr:rowOff>
    </xdr:from>
    <xdr:to>
      <xdr:col>1</xdr:col>
      <xdr:colOff>304800</xdr:colOff>
      <xdr:row>18</xdr:row>
      <xdr:rowOff>171450</xdr:rowOff>
    </xdr:to>
    <xdr:pic>
      <xdr:nvPicPr>
        <xdr:cNvPr id="3" name="Obrázek 18" descr="Tip.gif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37</xdr:row>
      <xdr:rowOff>9525</xdr:rowOff>
    </xdr:from>
    <xdr:to>
      <xdr:col>1</xdr:col>
      <xdr:colOff>209550</xdr:colOff>
      <xdr:row>37</xdr:row>
      <xdr:rowOff>171450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8008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45</xdr:row>
      <xdr:rowOff>0</xdr:rowOff>
    </xdr:from>
    <xdr:to>
      <xdr:col>1</xdr:col>
      <xdr:colOff>171450</xdr:colOff>
      <xdr:row>46</xdr:row>
      <xdr:rowOff>0</xdr:rowOff>
    </xdr:to>
    <xdr:pic>
      <xdr:nvPicPr>
        <xdr:cNvPr id="98517" name="Obrázek 28" descr="Info.gif">
          <a:extLst>
            <a:ext uri="{FF2B5EF4-FFF2-40B4-BE49-F238E27FC236}">
              <a16:creationId xmlns:a16="http://schemas.microsoft.com/office/drawing/2014/main" id="{00000000-0008-0000-2A00-0000D58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055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1</xdr:row>
      <xdr:rowOff>9526</xdr:rowOff>
    </xdr:from>
    <xdr:to>
      <xdr:col>4</xdr:col>
      <xdr:colOff>311944</xdr:colOff>
      <xdr:row>14</xdr:row>
      <xdr:rowOff>109539</xdr:rowOff>
    </xdr:to>
    <xdr:pic>
      <xdr:nvPicPr>
        <xdr:cNvPr id="98518" name="Picture 2" descr="ST DD_rel">
          <a:extLst>
            <a:ext uri="{FF2B5EF4-FFF2-40B4-BE49-F238E27FC236}">
              <a16:creationId xmlns:a16="http://schemas.microsoft.com/office/drawing/2014/main" id="{00000000-0008-0000-2A00-0000D68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71451"/>
          <a:ext cx="1550194" cy="244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18</xdr:row>
      <xdr:rowOff>9525</xdr:rowOff>
    </xdr:from>
    <xdr:to>
      <xdr:col>1</xdr:col>
      <xdr:colOff>304800</xdr:colOff>
      <xdr:row>18</xdr:row>
      <xdr:rowOff>171450</xdr:rowOff>
    </xdr:to>
    <xdr:pic>
      <xdr:nvPicPr>
        <xdr:cNvPr id="4" name="Obrázek 18" descr="Tip.gif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194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37</xdr:row>
      <xdr:rowOff>0</xdr:rowOff>
    </xdr:from>
    <xdr:to>
      <xdr:col>1</xdr:col>
      <xdr:colOff>228600</xdr:colOff>
      <xdr:row>37</xdr:row>
      <xdr:rowOff>161925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7913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8</xdr:col>
      <xdr:colOff>152400</xdr:colOff>
      <xdr:row>11</xdr:row>
      <xdr:rowOff>0</xdr:rowOff>
    </xdr:to>
    <xdr:pic>
      <xdr:nvPicPr>
        <xdr:cNvPr id="94646" name="Obrázek 28" descr="Info.gif">
          <a:extLst>
            <a:ext uri="{FF2B5EF4-FFF2-40B4-BE49-F238E27FC236}">
              <a16:creationId xmlns:a16="http://schemas.microsoft.com/office/drawing/2014/main" id="{00000000-0008-0000-2B00-0000B67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8002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152400</xdr:colOff>
      <xdr:row>36</xdr:row>
      <xdr:rowOff>0</xdr:rowOff>
    </xdr:to>
    <xdr:pic>
      <xdr:nvPicPr>
        <xdr:cNvPr id="94647" name="Obrázek 28" descr="Info.gif">
          <a:extLst>
            <a:ext uri="{FF2B5EF4-FFF2-40B4-BE49-F238E27FC236}">
              <a16:creationId xmlns:a16="http://schemas.microsoft.com/office/drawing/2014/main" id="{00000000-0008-0000-2B00-0000B77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8766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284</xdr:row>
      <xdr:rowOff>9525</xdr:rowOff>
    </xdr:from>
    <xdr:to>
      <xdr:col>8</xdr:col>
      <xdr:colOff>1447800</xdr:colOff>
      <xdr:row>328</xdr:row>
      <xdr:rowOff>9525</xdr:rowOff>
    </xdr:to>
    <xdr:pic>
      <xdr:nvPicPr>
        <xdr:cNvPr id="94648" name="Obrázek 2">
          <a:extLst>
            <a:ext uri="{FF2B5EF4-FFF2-40B4-BE49-F238E27FC236}">
              <a16:creationId xmlns:a16="http://schemas.microsoft.com/office/drawing/2014/main" id="{00000000-0008-0000-2B00-0000B87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5405675"/>
          <a:ext cx="8343900" cy="712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127</xdr:row>
      <xdr:rowOff>28573</xdr:rowOff>
    </xdr:from>
    <xdr:to>
      <xdr:col>8</xdr:col>
      <xdr:colOff>1399132</xdr:colOff>
      <xdr:row>193</xdr:row>
      <xdr:rowOff>93903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0907373"/>
          <a:ext cx="8342857" cy="1075238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8</xdr:col>
      <xdr:colOff>152400</xdr:colOff>
      <xdr:row>11</xdr:row>
      <xdr:rowOff>0</xdr:rowOff>
    </xdr:to>
    <xdr:pic>
      <xdr:nvPicPr>
        <xdr:cNvPr id="102617" name="Obrázek 28" descr="Info.gif">
          <a:extLst>
            <a:ext uri="{FF2B5EF4-FFF2-40B4-BE49-F238E27FC236}">
              <a16:creationId xmlns:a16="http://schemas.microsoft.com/office/drawing/2014/main" id="{00000000-0008-0000-2C00-0000D9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8097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132</xdr:row>
      <xdr:rowOff>9525</xdr:rowOff>
    </xdr:from>
    <xdr:to>
      <xdr:col>8</xdr:col>
      <xdr:colOff>1400175</xdr:colOff>
      <xdr:row>233</xdr:row>
      <xdr:rowOff>85725</xdr:rowOff>
    </xdr:to>
    <xdr:pic>
      <xdr:nvPicPr>
        <xdr:cNvPr id="102618" name="Obrázek 1">
          <a:extLst>
            <a:ext uri="{FF2B5EF4-FFF2-40B4-BE49-F238E27FC236}">
              <a16:creationId xmlns:a16="http://schemas.microsoft.com/office/drawing/2014/main" id="{00000000-0008-0000-2C00-0000DA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1640800"/>
          <a:ext cx="8343900" cy="1643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20</xdr:row>
      <xdr:rowOff>19050</xdr:rowOff>
    </xdr:from>
    <xdr:to>
      <xdr:col>3</xdr:col>
      <xdr:colOff>276225</xdr:colOff>
      <xdr:row>27</xdr:row>
      <xdr:rowOff>9525</xdr:rowOff>
    </xdr:to>
    <xdr:pic>
      <xdr:nvPicPr>
        <xdr:cNvPr id="123260" name="Obrázek 1">
          <a:extLst>
            <a:ext uri="{FF2B5EF4-FFF2-40B4-BE49-F238E27FC236}">
              <a16:creationId xmlns:a16="http://schemas.microsoft.com/office/drawing/2014/main" id="{00000000-0008-0000-2D00-00007C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495675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3</xdr:col>
      <xdr:colOff>266700</xdr:colOff>
      <xdr:row>35</xdr:row>
      <xdr:rowOff>152400</xdr:rowOff>
    </xdr:to>
    <xdr:pic>
      <xdr:nvPicPr>
        <xdr:cNvPr id="123261" name="Obrázek 1">
          <a:extLst>
            <a:ext uri="{FF2B5EF4-FFF2-40B4-BE49-F238E27FC236}">
              <a16:creationId xmlns:a16="http://schemas.microsoft.com/office/drawing/2014/main" id="{00000000-0008-0000-2D00-00007D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962525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11</xdr:row>
      <xdr:rowOff>28575</xdr:rowOff>
    </xdr:from>
    <xdr:to>
      <xdr:col>10</xdr:col>
      <xdr:colOff>276225</xdr:colOff>
      <xdr:row>18</xdr:row>
      <xdr:rowOff>19050</xdr:rowOff>
    </xdr:to>
    <xdr:pic>
      <xdr:nvPicPr>
        <xdr:cNvPr id="123262" name="Obrázek 3">
          <a:extLst>
            <a:ext uri="{FF2B5EF4-FFF2-40B4-BE49-F238E27FC236}">
              <a16:creationId xmlns:a16="http://schemas.microsoft.com/office/drawing/2014/main" id="{00000000-0008-0000-2D00-00007E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047875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142875</xdr:rowOff>
    </xdr:from>
    <xdr:to>
      <xdr:col>3</xdr:col>
      <xdr:colOff>47625</xdr:colOff>
      <xdr:row>6</xdr:row>
      <xdr:rowOff>95250</xdr:rowOff>
    </xdr:to>
    <xdr:pic>
      <xdr:nvPicPr>
        <xdr:cNvPr id="123263" name="Obrázek 10">
          <a:extLst>
            <a:ext uri="{FF2B5EF4-FFF2-40B4-BE49-F238E27FC236}">
              <a16:creationId xmlns:a16="http://schemas.microsoft.com/office/drawing/2014/main" id="{00000000-0008-0000-2D00-00007F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9575"/>
          <a:ext cx="12477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1</xdr:row>
      <xdr:rowOff>152400</xdr:rowOff>
    </xdr:from>
    <xdr:to>
      <xdr:col>10</xdr:col>
      <xdr:colOff>85725</xdr:colOff>
      <xdr:row>6</xdr:row>
      <xdr:rowOff>104775</xdr:rowOff>
    </xdr:to>
    <xdr:pic>
      <xdr:nvPicPr>
        <xdr:cNvPr id="123264" name="Obrázek 11">
          <a:extLst>
            <a:ext uri="{FF2B5EF4-FFF2-40B4-BE49-F238E27FC236}">
              <a16:creationId xmlns:a16="http://schemas.microsoft.com/office/drawing/2014/main" id="{00000000-0008-0000-2D00-000080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19100"/>
          <a:ext cx="12477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10</xdr:col>
      <xdr:colOff>266700</xdr:colOff>
      <xdr:row>35</xdr:row>
      <xdr:rowOff>152400</xdr:rowOff>
    </xdr:to>
    <xdr:pic>
      <xdr:nvPicPr>
        <xdr:cNvPr id="123265" name="Obrázek 12">
          <a:extLst>
            <a:ext uri="{FF2B5EF4-FFF2-40B4-BE49-F238E27FC236}">
              <a16:creationId xmlns:a16="http://schemas.microsoft.com/office/drawing/2014/main" id="{00000000-0008-0000-2D00-000081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4962525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19050</xdr:rowOff>
    </xdr:from>
    <xdr:to>
      <xdr:col>3</xdr:col>
      <xdr:colOff>266700</xdr:colOff>
      <xdr:row>18</xdr:row>
      <xdr:rowOff>9525</xdr:rowOff>
    </xdr:to>
    <xdr:pic>
      <xdr:nvPicPr>
        <xdr:cNvPr id="123266" name="Obrázek 13">
          <a:extLst>
            <a:ext uri="{FF2B5EF4-FFF2-40B4-BE49-F238E27FC236}">
              <a16:creationId xmlns:a16="http://schemas.microsoft.com/office/drawing/2014/main" id="{00000000-0008-0000-2D00-000082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38350"/>
          <a:ext cx="1485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38</xdr:row>
      <xdr:rowOff>0</xdr:rowOff>
    </xdr:from>
    <xdr:to>
      <xdr:col>2</xdr:col>
      <xdr:colOff>571500</xdr:colOff>
      <xdr:row>43</xdr:row>
      <xdr:rowOff>104775</xdr:rowOff>
    </xdr:to>
    <xdr:pic>
      <xdr:nvPicPr>
        <xdr:cNvPr id="123267" name="Obrázek 2">
          <a:extLst>
            <a:ext uri="{FF2B5EF4-FFF2-40B4-BE49-F238E27FC236}">
              <a16:creationId xmlns:a16="http://schemas.microsoft.com/office/drawing/2014/main" id="{00000000-0008-0000-2D00-000083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448425"/>
          <a:ext cx="1114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20</xdr:row>
      <xdr:rowOff>0</xdr:rowOff>
    </xdr:from>
    <xdr:to>
      <xdr:col>10</xdr:col>
      <xdr:colOff>133350</xdr:colOff>
      <xdr:row>26</xdr:row>
      <xdr:rowOff>9525</xdr:rowOff>
    </xdr:to>
    <xdr:pic>
      <xdr:nvPicPr>
        <xdr:cNvPr id="123268" name="Obrázek 3">
          <a:extLst>
            <a:ext uri="{FF2B5EF4-FFF2-40B4-BE49-F238E27FC236}">
              <a16:creationId xmlns:a16="http://schemas.microsoft.com/office/drawing/2014/main" id="{00000000-0008-0000-2D00-000084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476625"/>
          <a:ext cx="1228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56</xdr:row>
      <xdr:rowOff>0</xdr:rowOff>
    </xdr:from>
    <xdr:to>
      <xdr:col>3</xdr:col>
      <xdr:colOff>85725</xdr:colOff>
      <xdr:row>62</xdr:row>
      <xdr:rowOff>9525</xdr:rowOff>
    </xdr:to>
    <xdr:pic>
      <xdr:nvPicPr>
        <xdr:cNvPr id="123269" name="Obrázek 4">
          <a:extLst>
            <a:ext uri="{FF2B5EF4-FFF2-40B4-BE49-F238E27FC236}">
              <a16:creationId xmlns:a16="http://schemas.microsoft.com/office/drawing/2014/main" id="{00000000-0008-0000-2D00-000085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420225"/>
          <a:ext cx="1228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38</xdr:row>
      <xdr:rowOff>0</xdr:rowOff>
    </xdr:from>
    <xdr:to>
      <xdr:col>9</xdr:col>
      <xdr:colOff>600075</xdr:colOff>
      <xdr:row>43</xdr:row>
      <xdr:rowOff>104775</xdr:rowOff>
    </xdr:to>
    <xdr:pic>
      <xdr:nvPicPr>
        <xdr:cNvPr id="123270" name="Obrázek 6">
          <a:extLst>
            <a:ext uri="{FF2B5EF4-FFF2-40B4-BE49-F238E27FC236}">
              <a16:creationId xmlns:a16="http://schemas.microsoft.com/office/drawing/2014/main" id="{00000000-0008-0000-2D00-000086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448425"/>
          <a:ext cx="1114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390525</xdr:colOff>
      <xdr:row>29</xdr:row>
      <xdr:rowOff>47625</xdr:rowOff>
    </xdr:from>
    <xdr:to>
      <xdr:col>5</xdr:col>
      <xdr:colOff>619125</xdr:colOff>
      <xdr:row>30</xdr:row>
      <xdr:rowOff>114300</xdr:rowOff>
    </xdr:to>
    <xdr:pic>
      <xdr:nvPicPr>
        <xdr:cNvPr id="123271" name="Obrázek 7">
          <a:extLst>
            <a:ext uri="{FF2B5EF4-FFF2-40B4-BE49-F238E27FC236}">
              <a16:creationId xmlns:a16="http://schemas.microsoft.com/office/drawing/2014/main" id="{00000000-0008-0000-2D00-000087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0101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638175</xdr:colOff>
      <xdr:row>29</xdr:row>
      <xdr:rowOff>66675</xdr:rowOff>
    </xdr:from>
    <xdr:to>
      <xdr:col>12</xdr:col>
      <xdr:colOff>866775</xdr:colOff>
      <xdr:row>30</xdr:row>
      <xdr:rowOff>133350</xdr:rowOff>
    </xdr:to>
    <xdr:pic>
      <xdr:nvPicPr>
        <xdr:cNvPr id="123272" name="Obrázek 8">
          <a:extLst>
            <a:ext uri="{FF2B5EF4-FFF2-40B4-BE49-F238E27FC236}">
              <a16:creationId xmlns:a16="http://schemas.microsoft.com/office/drawing/2014/main" id="{00000000-0008-0000-2D00-000088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2</xdr:row>
      <xdr:rowOff>28575</xdr:rowOff>
    </xdr:from>
    <xdr:to>
      <xdr:col>5</xdr:col>
      <xdr:colOff>819150</xdr:colOff>
      <xdr:row>3</xdr:row>
      <xdr:rowOff>85725</xdr:rowOff>
    </xdr:to>
    <xdr:pic>
      <xdr:nvPicPr>
        <xdr:cNvPr id="123273" name="Obrázek 9">
          <a:extLst>
            <a:ext uri="{FF2B5EF4-FFF2-40B4-BE49-F238E27FC236}">
              <a16:creationId xmlns:a16="http://schemas.microsoft.com/office/drawing/2014/main" id="{00000000-0008-0000-2D00-000089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857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600075</xdr:colOff>
      <xdr:row>20</xdr:row>
      <xdr:rowOff>28575</xdr:rowOff>
    </xdr:from>
    <xdr:to>
      <xdr:col>12</xdr:col>
      <xdr:colOff>828675</xdr:colOff>
      <xdr:row>21</xdr:row>
      <xdr:rowOff>95250</xdr:rowOff>
    </xdr:to>
    <xdr:pic>
      <xdr:nvPicPr>
        <xdr:cNvPr id="123274" name="Obrázek 10">
          <a:extLst>
            <a:ext uri="{FF2B5EF4-FFF2-40B4-BE49-F238E27FC236}">
              <a16:creationId xmlns:a16="http://schemas.microsoft.com/office/drawing/2014/main" id="{00000000-0008-0000-2D00-00008A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3505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104775</xdr:colOff>
      <xdr:row>2</xdr:row>
      <xdr:rowOff>19050</xdr:rowOff>
    </xdr:from>
    <xdr:to>
      <xdr:col>12</xdr:col>
      <xdr:colOff>333375</xdr:colOff>
      <xdr:row>3</xdr:row>
      <xdr:rowOff>76200</xdr:rowOff>
    </xdr:to>
    <xdr:pic>
      <xdr:nvPicPr>
        <xdr:cNvPr id="123275" name="Obrázek 23">
          <a:extLst>
            <a:ext uri="{FF2B5EF4-FFF2-40B4-BE49-F238E27FC236}">
              <a16:creationId xmlns:a16="http://schemas.microsoft.com/office/drawing/2014/main" id="{00000000-0008-0000-2D00-00008B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762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11</xdr:row>
      <xdr:rowOff>38100</xdr:rowOff>
    </xdr:from>
    <xdr:to>
      <xdr:col>5</xdr:col>
      <xdr:colOff>323850</xdr:colOff>
      <xdr:row>12</xdr:row>
      <xdr:rowOff>104775</xdr:rowOff>
    </xdr:to>
    <xdr:pic>
      <xdr:nvPicPr>
        <xdr:cNvPr id="123276" name="Obrázek 25">
          <a:extLst>
            <a:ext uri="{FF2B5EF4-FFF2-40B4-BE49-F238E27FC236}">
              <a16:creationId xmlns:a16="http://schemas.microsoft.com/office/drawing/2014/main" id="{00000000-0008-0000-2D00-00008C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17</xdr:row>
      <xdr:rowOff>114300</xdr:rowOff>
    </xdr:from>
    <xdr:to>
      <xdr:col>15</xdr:col>
      <xdr:colOff>228600</xdr:colOff>
      <xdr:row>19</xdr:row>
      <xdr:rowOff>19050</xdr:rowOff>
    </xdr:to>
    <xdr:pic>
      <xdr:nvPicPr>
        <xdr:cNvPr id="123277" name="Obrázek 26">
          <a:extLst>
            <a:ext uri="{FF2B5EF4-FFF2-40B4-BE49-F238E27FC236}">
              <a16:creationId xmlns:a16="http://schemas.microsoft.com/office/drawing/2014/main" id="{00000000-0008-0000-2D00-00008D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051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15</xdr:row>
      <xdr:rowOff>123825</xdr:rowOff>
    </xdr:from>
    <xdr:to>
      <xdr:col>15</xdr:col>
      <xdr:colOff>228600</xdr:colOff>
      <xdr:row>17</xdr:row>
      <xdr:rowOff>28575</xdr:rowOff>
    </xdr:to>
    <xdr:pic>
      <xdr:nvPicPr>
        <xdr:cNvPr id="123278" name="Obrázek 27">
          <a:extLst>
            <a:ext uri="{FF2B5EF4-FFF2-40B4-BE49-F238E27FC236}">
              <a16:creationId xmlns:a16="http://schemas.microsoft.com/office/drawing/2014/main" id="{00000000-0008-0000-2D00-00008E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27908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19</xdr:row>
      <xdr:rowOff>114300</xdr:rowOff>
    </xdr:from>
    <xdr:to>
      <xdr:col>15</xdr:col>
      <xdr:colOff>228600</xdr:colOff>
      <xdr:row>21</xdr:row>
      <xdr:rowOff>19050</xdr:rowOff>
    </xdr:to>
    <xdr:pic>
      <xdr:nvPicPr>
        <xdr:cNvPr id="123279" name="Obrázek 28">
          <a:extLst>
            <a:ext uri="{FF2B5EF4-FFF2-40B4-BE49-F238E27FC236}">
              <a16:creationId xmlns:a16="http://schemas.microsoft.com/office/drawing/2014/main" id="{00000000-0008-0000-2D00-00008F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628650</xdr:colOff>
      <xdr:row>46</xdr:row>
      <xdr:rowOff>28575</xdr:rowOff>
    </xdr:from>
    <xdr:to>
      <xdr:col>5</xdr:col>
      <xdr:colOff>857250</xdr:colOff>
      <xdr:row>47</xdr:row>
      <xdr:rowOff>95250</xdr:rowOff>
    </xdr:to>
    <xdr:pic>
      <xdr:nvPicPr>
        <xdr:cNvPr id="123280" name="Obrázek 29">
          <a:extLst>
            <a:ext uri="{FF2B5EF4-FFF2-40B4-BE49-F238E27FC236}">
              <a16:creationId xmlns:a16="http://schemas.microsoft.com/office/drawing/2014/main" id="{00000000-0008-0000-2D00-000090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78009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21</xdr:row>
      <xdr:rowOff>123825</xdr:rowOff>
    </xdr:from>
    <xdr:to>
      <xdr:col>15</xdr:col>
      <xdr:colOff>228600</xdr:colOff>
      <xdr:row>23</xdr:row>
      <xdr:rowOff>28575</xdr:rowOff>
    </xdr:to>
    <xdr:pic>
      <xdr:nvPicPr>
        <xdr:cNvPr id="123281" name="Obrázek 33">
          <a:extLst>
            <a:ext uri="{FF2B5EF4-FFF2-40B4-BE49-F238E27FC236}">
              <a16:creationId xmlns:a16="http://schemas.microsoft.com/office/drawing/2014/main" id="{00000000-0008-0000-2D00-000091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7623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228600</xdr:colOff>
      <xdr:row>25</xdr:row>
      <xdr:rowOff>19050</xdr:rowOff>
    </xdr:to>
    <xdr:pic>
      <xdr:nvPicPr>
        <xdr:cNvPr id="123282" name="Obrázek 34">
          <a:extLst>
            <a:ext uri="{FF2B5EF4-FFF2-40B4-BE49-F238E27FC236}">
              <a16:creationId xmlns:a16="http://schemas.microsoft.com/office/drawing/2014/main" id="{00000000-0008-0000-2D00-000092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076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11</xdr:row>
      <xdr:rowOff>38100</xdr:rowOff>
    </xdr:from>
    <xdr:to>
      <xdr:col>5</xdr:col>
      <xdr:colOff>828675</xdr:colOff>
      <xdr:row>12</xdr:row>
      <xdr:rowOff>104775</xdr:rowOff>
    </xdr:to>
    <xdr:pic>
      <xdr:nvPicPr>
        <xdr:cNvPr id="123283" name="Obrázek 35">
          <a:extLst>
            <a:ext uri="{FF2B5EF4-FFF2-40B4-BE49-F238E27FC236}">
              <a16:creationId xmlns:a16="http://schemas.microsoft.com/office/drawing/2014/main" id="{00000000-0008-0000-2D00-000093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628650</xdr:colOff>
      <xdr:row>29</xdr:row>
      <xdr:rowOff>47625</xdr:rowOff>
    </xdr:from>
    <xdr:to>
      <xdr:col>5</xdr:col>
      <xdr:colOff>857250</xdr:colOff>
      <xdr:row>30</xdr:row>
      <xdr:rowOff>114300</xdr:rowOff>
    </xdr:to>
    <xdr:pic>
      <xdr:nvPicPr>
        <xdr:cNvPr id="123284" name="Obrázek 43">
          <a:extLst>
            <a:ext uri="{FF2B5EF4-FFF2-40B4-BE49-F238E27FC236}">
              <a16:creationId xmlns:a16="http://schemas.microsoft.com/office/drawing/2014/main" id="{00000000-0008-0000-2D00-000094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0101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11</xdr:row>
      <xdr:rowOff>38100</xdr:rowOff>
    </xdr:from>
    <xdr:to>
      <xdr:col>5</xdr:col>
      <xdr:colOff>571500</xdr:colOff>
      <xdr:row>12</xdr:row>
      <xdr:rowOff>104775</xdr:rowOff>
    </xdr:to>
    <xdr:pic>
      <xdr:nvPicPr>
        <xdr:cNvPr id="123285" name="Obrázek 44">
          <a:extLst>
            <a:ext uri="{FF2B5EF4-FFF2-40B4-BE49-F238E27FC236}">
              <a16:creationId xmlns:a16="http://schemas.microsoft.com/office/drawing/2014/main" id="{00000000-0008-0000-2D00-000095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352425</xdr:colOff>
      <xdr:row>2</xdr:row>
      <xdr:rowOff>19050</xdr:rowOff>
    </xdr:from>
    <xdr:to>
      <xdr:col>12</xdr:col>
      <xdr:colOff>581025</xdr:colOff>
      <xdr:row>3</xdr:row>
      <xdr:rowOff>76200</xdr:rowOff>
    </xdr:to>
    <xdr:pic>
      <xdr:nvPicPr>
        <xdr:cNvPr id="123286" name="Obrázek 46">
          <a:extLst>
            <a:ext uri="{FF2B5EF4-FFF2-40B4-BE49-F238E27FC236}">
              <a16:creationId xmlns:a16="http://schemas.microsoft.com/office/drawing/2014/main" id="{00000000-0008-0000-2D00-000096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600075</xdr:colOff>
      <xdr:row>2</xdr:row>
      <xdr:rowOff>19050</xdr:rowOff>
    </xdr:from>
    <xdr:to>
      <xdr:col>12</xdr:col>
      <xdr:colOff>828675</xdr:colOff>
      <xdr:row>3</xdr:row>
      <xdr:rowOff>76200</xdr:rowOff>
    </xdr:to>
    <xdr:pic>
      <xdr:nvPicPr>
        <xdr:cNvPr id="123287" name="Obrázek 47">
          <a:extLst>
            <a:ext uri="{FF2B5EF4-FFF2-40B4-BE49-F238E27FC236}">
              <a16:creationId xmlns:a16="http://schemas.microsoft.com/office/drawing/2014/main" id="{00000000-0008-0000-2D00-000097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4762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638175</xdr:colOff>
      <xdr:row>38</xdr:row>
      <xdr:rowOff>28575</xdr:rowOff>
    </xdr:from>
    <xdr:to>
      <xdr:col>5</xdr:col>
      <xdr:colOff>866775</xdr:colOff>
      <xdr:row>39</xdr:row>
      <xdr:rowOff>95250</xdr:rowOff>
    </xdr:to>
    <xdr:pic>
      <xdr:nvPicPr>
        <xdr:cNvPr id="123288" name="Obrázek 29">
          <a:extLst>
            <a:ext uri="{FF2B5EF4-FFF2-40B4-BE49-F238E27FC236}">
              <a16:creationId xmlns:a16="http://schemas.microsoft.com/office/drawing/2014/main" id="{00000000-0008-0000-2D00-000098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6477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647700</xdr:colOff>
      <xdr:row>38</xdr:row>
      <xdr:rowOff>28575</xdr:rowOff>
    </xdr:from>
    <xdr:to>
      <xdr:col>12</xdr:col>
      <xdr:colOff>876300</xdr:colOff>
      <xdr:row>39</xdr:row>
      <xdr:rowOff>95250</xdr:rowOff>
    </xdr:to>
    <xdr:pic>
      <xdr:nvPicPr>
        <xdr:cNvPr id="123289" name="Obrázek 30">
          <a:extLst>
            <a:ext uri="{FF2B5EF4-FFF2-40B4-BE49-F238E27FC236}">
              <a16:creationId xmlns:a16="http://schemas.microsoft.com/office/drawing/2014/main" id="{00000000-0008-0000-2D00-000099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477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20</xdr:row>
      <xdr:rowOff>28575</xdr:rowOff>
    </xdr:from>
    <xdr:to>
      <xdr:col>5</xdr:col>
      <xdr:colOff>828675</xdr:colOff>
      <xdr:row>21</xdr:row>
      <xdr:rowOff>95250</xdr:rowOff>
    </xdr:to>
    <xdr:pic>
      <xdr:nvPicPr>
        <xdr:cNvPr id="123290" name="Obrázek 24">
          <a:extLst>
            <a:ext uri="{FF2B5EF4-FFF2-40B4-BE49-F238E27FC236}">
              <a16:creationId xmlns:a16="http://schemas.microsoft.com/office/drawing/2014/main" id="{00000000-0008-0000-2D00-00009A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3505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95250</xdr:colOff>
      <xdr:row>11</xdr:row>
      <xdr:rowOff>38100</xdr:rowOff>
    </xdr:from>
    <xdr:to>
      <xdr:col>12</xdr:col>
      <xdr:colOff>323850</xdr:colOff>
      <xdr:row>12</xdr:row>
      <xdr:rowOff>104775</xdr:rowOff>
    </xdr:to>
    <xdr:pic>
      <xdr:nvPicPr>
        <xdr:cNvPr id="123291" name="Picture 568">
          <a:extLst>
            <a:ext uri="{FF2B5EF4-FFF2-40B4-BE49-F238E27FC236}">
              <a16:creationId xmlns:a16="http://schemas.microsoft.com/office/drawing/2014/main" id="{00000000-0008-0000-2D00-00009B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600075</xdr:colOff>
      <xdr:row>11</xdr:row>
      <xdr:rowOff>38100</xdr:rowOff>
    </xdr:from>
    <xdr:to>
      <xdr:col>12</xdr:col>
      <xdr:colOff>828675</xdr:colOff>
      <xdr:row>12</xdr:row>
      <xdr:rowOff>104775</xdr:rowOff>
    </xdr:to>
    <xdr:pic>
      <xdr:nvPicPr>
        <xdr:cNvPr id="123292" name="Picture 569">
          <a:extLst>
            <a:ext uri="{FF2B5EF4-FFF2-40B4-BE49-F238E27FC236}">
              <a16:creationId xmlns:a16="http://schemas.microsoft.com/office/drawing/2014/main" id="{00000000-0008-0000-2D00-00009C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342900</xdr:colOff>
      <xdr:row>11</xdr:row>
      <xdr:rowOff>38100</xdr:rowOff>
    </xdr:from>
    <xdr:to>
      <xdr:col>12</xdr:col>
      <xdr:colOff>571500</xdr:colOff>
      <xdr:row>12</xdr:row>
      <xdr:rowOff>104775</xdr:rowOff>
    </xdr:to>
    <xdr:pic>
      <xdr:nvPicPr>
        <xdr:cNvPr id="123293" name="Picture 570">
          <a:extLst>
            <a:ext uri="{FF2B5EF4-FFF2-40B4-BE49-F238E27FC236}">
              <a16:creationId xmlns:a16="http://schemas.microsoft.com/office/drawing/2014/main" id="{00000000-0008-0000-2D00-00009D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46</xdr:row>
      <xdr:rowOff>9525</xdr:rowOff>
    </xdr:from>
    <xdr:to>
      <xdr:col>2</xdr:col>
      <xdr:colOff>476250</xdr:colOff>
      <xdr:row>51</xdr:row>
      <xdr:rowOff>19050</xdr:rowOff>
    </xdr:to>
    <xdr:pic>
      <xdr:nvPicPr>
        <xdr:cNvPr id="123294" name="Picture 573" descr="AD OL_bottle300_th">
          <a:extLst>
            <a:ext uri="{FF2B5EF4-FFF2-40B4-BE49-F238E27FC236}">
              <a16:creationId xmlns:a16="http://schemas.microsoft.com/office/drawing/2014/main" id="{00000000-0008-0000-2D00-00009EE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781925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571500</xdr:colOff>
      <xdr:row>52</xdr:row>
      <xdr:rowOff>9525</xdr:rowOff>
    </xdr:from>
    <xdr:to>
      <xdr:col>11</xdr:col>
      <xdr:colOff>752475</xdr:colOff>
      <xdr:row>57</xdr:row>
      <xdr:rowOff>142875</xdr:rowOff>
    </xdr:to>
    <xdr:pic>
      <xdr:nvPicPr>
        <xdr:cNvPr id="123295" name="Obrázek 1">
          <a:extLst>
            <a:ext uri="{FF2B5EF4-FFF2-40B4-BE49-F238E27FC236}">
              <a16:creationId xmlns:a16="http://schemas.microsoft.com/office/drawing/2014/main" id="{00000000-0008-0000-2D00-00009FE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8753475"/>
          <a:ext cx="14001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161925</xdr:rowOff>
    </xdr:from>
    <xdr:to>
      <xdr:col>2</xdr:col>
      <xdr:colOff>904875</xdr:colOff>
      <xdr:row>13</xdr:row>
      <xdr:rowOff>142875</xdr:rowOff>
    </xdr:to>
    <xdr:pic>
      <xdr:nvPicPr>
        <xdr:cNvPr id="80327" name="Obrázek 11">
          <a:extLst>
            <a:ext uri="{FF2B5EF4-FFF2-40B4-BE49-F238E27FC236}">
              <a16:creationId xmlns:a16="http://schemas.microsoft.com/office/drawing/2014/main" id="{00000000-0008-0000-2E00-0000C73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47675"/>
          <a:ext cx="309562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17</xdr:row>
      <xdr:rowOff>123825</xdr:rowOff>
    </xdr:from>
    <xdr:to>
      <xdr:col>9</xdr:col>
      <xdr:colOff>266700</xdr:colOff>
      <xdr:row>19</xdr:row>
      <xdr:rowOff>9525</xdr:rowOff>
    </xdr:to>
    <xdr:pic>
      <xdr:nvPicPr>
        <xdr:cNvPr id="80328" name="Obrázek 25">
          <a:extLst>
            <a:ext uri="{FF2B5EF4-FFF2-40B4-BE49-F238E27FC236}">
              <a16:creationId xmlns:a16="http://schemas.microsoft.com/office/drawing/2014/main" id="{00000000-0008-0000-2E00-0000C83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30765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28</xdr:row>
      <xdr:rowOff>161925</xdr:rowOff>
    </xdr:from>
    <xdr:to>
      <xdr:col>1</xdr:col>
      <xdr:colOff>171450</xdr:colOff>
      <xdr:row>29</xdr:row>
      <xdr:rowOff>152400</xdr:rowOff>
    </xdr:to>
    <xdr:pic>
      <xdr:nvPicPr>
        <xdr:cNvPr id="80329" name="Obrázek 28" descr="Info.gif">
          <a:extLst>
            <a:ext uri="{FF2B5EF4-FFF2-40B4-BE49-F238E27FC236}">
              <a16:creationId xmlns:a16="http://schemas.microsoft.com/office/drawing/2014/main" id="{00000000-0008-0000-2E00-0000C93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530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99</xdr:row>
      <xdr:rowOff>9525</xdr:rowOff>
    </xdr:from>
    <xdr:to>
      <xdr:col>9</xdr:col>
      <xdr:colOff>1381125</xdr:colOff>
      <xdr:row>194</xdr:row>
      <xdr:rowOff>28575</xdr:rowOff>
    </xdr:to>
    <xdr:pic>
      <xdr:nvPicPr>
        <xdr:cNvPr id="80330" name="Obrázek 2">
          <a:extLst>
            <a:ext uri="{FF2B5EF4-FFF2-40B4-BE49-F238E27FC236}">
              <a16:creationId xmlns:a16="http://schemas.microsoft.com/office/drawing/2014/main" id="{00000000-0008-0000-2E00-0000CA3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63925"/>
          <a:ext cx="8362950" cy="1540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161925</xdr:rowOff>
    </xdr:from>
    <xdr:to>
      <xdr:col>2</xdr:col>
      <xdr:colOff>904875</xdr:colOff>
      <xdr:row>13</xdr:row>
      <xdr:rowOff>142875</xdr:rowOff>
    </xdr:to>
    <xdr:pic>
      <xdr:nvPicPr>
        <xdr:cNvPr id="82565" name="Obrázek 12">
          <a:extLst>
            <a:ext uri="{FF2B5EF4-FFF2-40B4-BE49-F238E27FC236}">
              <a16:creationId xmlns:a16="http://schemas.microsoft.com/office/drawing/2014/main" id="{00000000-0008-0000-2F00-000085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47675"/>
          <a:ext cx="309562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18</xdr:row>
      <xdr:rowOff>152400</xdr:rowOff>
    </xdr:from>
    <xdr:to>
      <xdr:col>9</xdr:col>
      <xdr:colOff>238125</xdr:colOff>
      <xdr:row>20</xdr:row>
      <xdr:rowOff>38100</xdr:rowOff>
    </xdr:to>
    <xdr:pic>
      <xdr:nvPicPr>
        <xdr:cNvPr id="82566" name="Obrázek 25">
          <a:extLst>
            <a:ext uri="{FF2B5EF4-FFF2-40B4-BE49-F238E27FC236}">
              <a16:creationId xmlns:a16="http://schemas.microsoft.com/office/drawing/2014/main" id="{00000000-0008-0000-2F00-000086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933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23</xdr:row>
      <xdr:rowOff>95250</xdr:rowOff>
    </xdr:from>
    <xdr:to>
      <xdr:col>9</xdr:col>
      <xdr:colOff>247650</xdr:colOff>
      <xdr:row>25</xdr:row>
      <xdr:rowOff>0</xdr:rowOff>
    </xdr:to>
    <xdr:pic>
      <xdr:nvPicPr>
        <xdr:cNvPr id="82567" name="Obrázek 35">
          <a:extLst>
            <a:ext uri="{FF2B5EF4-FFF2-40B4-BE49-F238E27FC236}">
              <a16:creationId xmlns:a16="http://schemas.microsoft.com/office/drawing/2014/main" id="{00000000-0008-0000-2F00-000087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7242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21</xdr:row>
      <xdr:rowOff>57150</xdr:rowOff>
    </xdr:from>
    <xdr:to>
      <xdr:col>9</xdr:col>
      <xdr:colOff>238125</xdr:colOff>
      <xdr:row>22</xdr:row>
      <xdr:rowOff>123825</xdr:rowOff>
    </xdr:to>
    <xdr:pic>
      <xdr:nvPicPr>
        <xdr:cNvPr id="82568" name="Obrázek 44">
          <a:extLst>
            <a:ext uri="{FF2B5EF4-FFF2-40B4-BE49-F238E27FC236}">
              <a16:creationId xmlns:a16="http://schemas.microsoft.com/office/drawing/2014/main" id="{00000000-0008-0000-2F00-000088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352800"/>
          <a:ext cx="228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34</xdr:row>
      <xdr:rowOff>152400</xdr:rowOff>
    </xdr:from>
    <xdr:to>
      <xdr:col>1</xdr:col>
      <xdr:colOff>171450</xdr:colOff>
      <xdr:row>35</xdr:row>
      <xdr:rowOff>152400</xdr:rowOff>
    </xdr:to>
    <xdr:pic>
      <xdr:nvPicPr>
        <xdr:cNvPr id="82569" name="Obrázek 28" descr="Info.gif">
          <a:extLst>
            <a:ext uri="{FF2B5EF4-FFF2-40B4-BE49-F238E27FC236}">
              <a16:creationId xmlns:a16="http://schemas.microsoft.com/office/drawing/2014/main" id="{00000000-0008-0000-2F00-000089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292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97</xdr:row>
      <xdr:rowOff>19050</xdr:rowOff>
    </xdr:from>
    <xdr:to>
      <xdr:col>9</xdr:col>
      <xdr:colOff>1419225</xdr:colOff>
      <xdr:row>194</xdr:row>
      <xdr:rowOff>133350</xdr:rowOff>
    </xdr:to>
    <xdr:pic>
      <xdr:nvPicPr>
        <xdr:cNvPr id="82570" name="Obrázek 1">
          <a:extLst>
            <a:ext uri="{FF2B5EF4-FFF2-40B4-BE49-F238E27FC236}">
              <a16:creationId xmlns:a16="http://schemas.microsoft.com/office/drawing/2014/main" id="{00000000-0008-0000-2F00-00008A4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06825"/>
          <a:ext cx="8401050" cy="1582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2</xdr:col>
      <xdr:colOff>971550</xdr:colOff>
      <xdr:row>18</xdr:row>
      <xdr:rowOff>161925</xdr:rowOff>
    </xdr:to>
    <xdr:pic>
      <xdr:nvPicPr>
        <xdr:cNvPr id="84395" name="Obrázek 14">
          <a:extLst>
            <a:ext uri="{FF2B5EF4-FFF2-40B4-BE49-F238E27FC236}">
              <a16:creationId xmlns:a16="http://schemas.microsoft.com/office/drawing/2014/main" id="{00000000-0008-0000-3000-0000AB4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"/>
          <a:ext cx="3705225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16</xdr:row>
      <xdr:rowOff>123825</xdr:rowOff>
    </xdr:from>
    <xdr:to>
      <xdr:col>8</xdr:col>
      <xdr:colOff>238125</xdr:colOff>
      <xdr:row>18</xdr:row>
      <xdr:rowOff>9525</xdr:rowOff>
    </xdr:to>
    <xdr:pic>
      <xdr:nvPicPr>
        <xdr:cNvPr id="84396" name="Obrázek 25">
          <a:extLst>
            <a:ext uri="{FF2B5EF4-FFF2-40B4-BE49-F238E27FC236}">
              <a16:creationId xmlns:a16="http://schemas.microsoft.com/office/drawing/2014/main" id="{00000000-0008-0000-3000-0000AC4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289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20</xdr:row>
      <xdr:rowOff>123825</xdr:rowOff>
    </xdr:from>
    <xdr:to>
      <xdr:col>8</xdr:col>
      <xdr:colOff>238125</xdr:colOff>
      <xdr:row>22</xdr:row>
      <xdr:rowOff>9525</xdr:rowOff>
    </xdr:to>
    <xdr:pic>
      <xdr:nvPicPr>
        <xdr:cNvPr id="84397" name="Obrázek 35">
          <a:extLst>
            <a:ext uri="{FF2B5EF4-FFF2-40B4-BE49-F238E27FC236}">
              <a16:creationId xmlns:a16="http://schemas.microsoft.com/office/drawing/2014/main" id="{00000000-0008-0000-3000-0000AD4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5147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18</xdr:row>
      <xdr:rowOff>133350</xdr:rowOff>
    </xdr:from>
    <xdr:to>
      <xdr:col>8</xdr:col>
      <xdr:colOff>238125</xdr:colOff>
      <xdr:row>20</xdr:row>
      <xdr:rowOff>19050</xdr:rowOff>
    </xdr:to>
    <xdr:pic>
      <xdr:nvPicPr>
        <xdr:cNvPr id="84398" name="Obrázek 44">
          <a:extLst>
            <a:ext uri="{FF2B5EF4-FFF2-40B4-BE49-F238E27FC236}">
              <a16:creationId xmlns:a16="http://schemas.microsoft.com/office/drawing/2014/main" id="{00000000-0008-0000-3000-0000AE49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1813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2</xdr:row>
      <xdr:rowOff>19050</xdr:rowOff>
    </xdr:from>
    <xdr:to>
      <xdr:col>5</xdr:col>
      <xdr:colOff>409576</xdr:colOff>
      <xdr:row>13</xdr:row>
      <xdr:rowOff>64294</xdr:rowOff>
    </xdr:to>
    <xdr:pic>
      <xdr:nvPicPr>
        <xdr:cNvPr id="43152" name="Obrázek 1">
          <a:extLst>
            <a:ext uri="{FF2B5EF4-FFF2-40B4-BE49-F238E27FC236}">
              <a16:creationId xmlns:a16="http://schemas.microsoft.com/office/drawing/2014/main" id="{00000000-0008-0000-0400-000090A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476250"/>
          <a:ext cx="2828925" cy="1864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105</xdr:row>
      <xdr:rowOff>123827</xdr:rowOff>
    </xdr:from>
    <xdr:to>
      <xdr:col>2</xdr:col>
      <xdr:colOff>514350</xdr:colOff>
      <xdr:row>109</xdr:row>
      <xdr:rowOff>171452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2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4" name="Obrázek 28" descr="Info.gif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2</xdr:col>
      <xdr:colOff>971550</xdr:colOff>
      <xdr:row>18</xdr:row>
      <xdr:rowOff>161925</xdr:rowOff>
    </xdr:to>
    <xdr:pic>
      <xdr:nvPicPr>
        <xdr:cNvPr id="85420" name="Obrázek 9">
          <a:extLst>
            <a:ext uri="{FF2B5EF4-FFF2-40B4-BE49-F238E27FC236}">
              <a16:creationId xmlns:a16="http://schemas.microsoft.com/office/drawing/2014/main" id="{00000000-0008-0000-3100-0000AC4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"/>
          <a:ext cx="3705225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23</xdr:row>
      <xdr:rowOff>9525</xdr:rowOff>
    </xdr:from>
    <xdr:to>
      <xdr:col>8</xdr:col>
      <xdr:colOff>238125</xdr:colOff>
      <xdr:row>24</xdr:row>
      <xdr:rowOff>47625</xdr:rowOff>
    </xdr:to>
    <xdr:pic>
      <xdr:nvPicPr>
        <xdr:cNvPr id="85421" name="Obrázek 35">
          <a:extLst>
            <a:ext uri="{FF2B5EF4-FFF2-40B4-BE49-F238E27FC236}">
              <a16:creationId xmlns:a16="http://schemas.microsoft.com/office/drawing/2014/main" id="{00000000-0008-0000-3100-0000AD4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9147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20</xdr:row>
      <xdr:rowOff>57150</xdr:rowOff>
    </xdr:from>
    <xdr:to>
      <xdr:col>8</xdr:col>
      <xdr:colOff>238125</xdr:colOff>
      <xdr:row>21</xdr:row>
      <xdr:rowOff>114300</xdr:rowOff>
    </xdr:to>
    <xdr:pic>
      <xdr:nvPicPr>
        <xdr:cNvPr id="85422" name="Obrázek 44">
          <a:extLst>
            <a:ext uri="{FF2B5EF4-FFF2-40B4-BE49-F238E27FC236}">
              <a16:creationId xmlns:a16="http://schemas.microsoft.com/office/drawing/2014/main" id="{00000000-0008-0000-3100-0000AE4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4480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17</xdr:row>
      <xdr:rowOff>38100</xdr:rowOff>
    </xdr:from>
    <xdr:to>
      <xdr:col>8</xdr:col>
      <xdr:colOff>238125</xdr:colOff>
      <xdr:row>18</xdr:row>
      <xdr:rowOff>95250</xdr:rowOff>
    </xdr:to>
    <xdr:pic>
      <xdr:nvPicPr>
        <xdr:cNvPr id="85423" name="Obrázek 27">
          <a:extLst>
            <a:ext uri="{FF2B5EF4-FFF2-40B4-BE49-F238E27FC236}">
              <a16:creationId xmlns:a16="http://schemas.microsoft.com/office/drawing/2014/main" id="{00000000-0008-0000-3100-0000AF4D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9146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123825</xdr:rowOff>
    </xdr:from>
    <xdr:to>
      <xdr:col>2</xdr:col>
      <xdr:colOff>981075</xdr:colOff>
      <xdr:row>18</xdr:row>
      <xdr:rowOff>85725</xdr:rowOff>
    </xdr:to>
    <xdr:pic>
      <xdr:nvPicPr>
        <xdr:cNvPr id="86235" name="Obrázek 1">
          <a:extLst>
            <a:ext uri="{FF2B5EF4-FFF2-40B4-BE49-F238E27FC236}">
              <a16:creationId xmlns:a16="http://schemas.microsoft.com/office/drawing/2014/main" id="{00000000-0008-0000-3200-0000DB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09575"/>
          <a:ext cx="3705225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15</xdr:row>
      <xdr:rowOff>123825</xdr:rowOff>
    </xdr:from>
    <xdr:to>
      <xdr:col>8</xdr:col>
      <xdr:colOff>228600</xdr:colOff>
      <xdr:row>17</xdr:row>
      <xdr:rowOff>9525</xdr:rowOff>
    </xdr:to>
    <xdr:pic>
      <xdr:nvPicPr>
        <xdr:cNvPr id="86236" name="Obrázek 25">
          <a:extLst>
            <a:ext uri="{FF2B5EF4-FFF2-40B4-BE49-F238E27FC236}">
              <a16:creationId xmlns:a16="http://schemas.microsoft.com/office/drawing/2014/main" id="{00000000-0008-0000-3200-0000DC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7336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3</xdr:col>
      <xdr:colOff>0</xdr:colOff>
      <xdr:row>21</xdr:row>
      <xdr:rowOff>161925</xdr:rowOff>
    </xdr:to>
    <xdr:pic>
      <xdr:nvPicPr>
        <xdr:cNvPr id="53712" name="Obrázek 2">
          <a:extLst>
            <a:ext uri="{FF2B5EF4-FFF2-40B4-BE49-F238E27FC236}">
              <a16:creationId xmlns:a16="http://schemas.microsoft.com/office/drawing/2014/main" id="{00000000-0008-0000-3300-0000D0D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"/>
          <a:ext cx="3876675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18</xdr:row>
      <xdr:rowOff>133350</xdr:rowOff>
    </xdr:from>
    <xdr:to>
      <xdr:col>8</xdr:col>
      <xdr:colOff>238125</xdr:colOff>
      <xdr:row>20</xdr:row>
      <xdr:rowOff>19050</xdr:rowOff>
    </xdr:to>
    <xdr:pic>
      <xdr:nvPicPr>
        <xdr:cNvPr id="53713" name="Obrázek 44">
          <a:extLst>
            <a:ext uri="{FF2B5EF4-FFF2-40B4-BE49-F238E27FC236}">
              <a16:creationId xmlns:a16="http://schemas.microsoft.com/office/drawing/2014/main" id="{00000000-0008-0000-3300-0000D1D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1813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16</xdr:row>
      <xdr:rowOff>95250</xdr:rowOff>
    </xdr:from>
    <xdr:to>
      <xdr:col>8</xdr:col>
      <xdr:colOff>238125</xdr:colOff>
      <xdr:row>17</xdr:row>
      <xdr:rowOff>152400</xdr:rowOff>
    </xdr:to>
    <xdr:pic>
      <xdr:nvPicPr>
        <xdr:cNvPr id="53714" name="Obrázek 28">
          <a:extLst>
            <a:ext uri="{FF2B5EF4-FFF2-40B4-BE49-F238E27FC236}">
              <a16:creationId xmlns:a16="http://schemas.microsoft.com/office/drawing/2014/main" id="{00000000-0008-0000-3300-0000D2D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003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34</xdr:row>
      <xdr:rowOff>152400</xdr:rowOff>
    </xdr:from>
    <xdr:to>
      <xdr:col>1</xdr:col>
      <xdr:colOff>171450</xdr:colOff>
      <xdr:row>35</xdr:row>
      <xdr:rowOff>152400</xdr:rowOff>
    </xdr:to>
    <xdr:pic>
      <xdr:nvPicPr>
        <xdr:cNvPr id="53715" name="Obrázek 28" descr="Info.gif">
          <a:extLst>
            <a:ext uri="{FF2B5EF4-FFF2-40B4-BE49-F238E27FC236}">
              <a16:creationId xmlns:a16="http://schemas.microsoft.com/office/drawing/2014/main" id="{00000000-0008-0000-3300-0000D3D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96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3</xdr:col>
      <xdr:colOff>0</xdr:colOff>
      <xdr:row>21</xdr:row>
      <xdr:rowOff>161925</xdr:rowOff>
    </xdr:to>
    <xdr:pic>
      <xdr:nvPicPr>
        <xdr:cNvPr id="83264" name="Obrázek 13">
          <a:extLst>
            <a:ext uri="{FF2B5EF4-FFF2-40B4-BE49-F238E27FC236}">
              <a16:creationId xmlns:a16="http://schemas.microsoft.com/office/drawing/2014/main" id="{00000000-0008-0000-3400-0000404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"/>
          <a:ext cx="3876675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18</xdr:row>
      <xdr:rowOff>133350</xdr:rowOff>
    </xdr:from>
    <xdr:to>
      <xdr:col>8</xdr:col>
      <xdr:colOff>238125</xdr:colOff>
      <xdr:row>20</xdr:row>
      <xdr:rowOff>19050</xdr:rowOff>
    </xdr:to>
    <xdr:pic>
      <xdr:nvPicPr>
        <xdr:cNvPr id="83265" name="Obrázek 44">
          <a:extLst>
            <a:ext uri="{FF2B5EF4-FFF2-40B4-BE49-F238E27FC236}">
              <a16:creationId xmlns:a16="http://schemas.microsoft.com/office/drawing/2014/main" id="{00000000-0008-0000-3400-0000414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1813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37</xdr:row>
      <xdr:rowOff>19050</xdr:rowOff>
    </xdr:from>
    <xdr:to>
      <xdr:col>1</xdr:col>
      <xdr:colOff>180975</xdr:colOff>
      <xdr:row>38</xdr:row>
      <xdr:rowOff>19050</xdr:rowOff>
    </xdr:to>
    <xdr:pic>
      <xdr:nvPicPr>
        <xdr:cNvPr id="83266" name="Obrázek 28" descr="Info.gif">
          <a:extLst>
            <a:ext uri="{FF2B5EF4-FFF2-40B4-BE49-F238E27FC236}">
              <a16:creationId xmlns:a16="http://schemas.microsoft.com/office/drawing/2014/main" id="{00000000-0008-0000-3400-0000424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448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14</xdr:row>
      <xdr:rowOff>133350</xdr:rowOff>
    </xdr:from>
    <xdr:to>
      <xdr:col>8</xdr:col>
      <xdr:colOff>238125</xdr:colOff>
      <xdr:row>16</xdr:row>
      <xdr:rowOff>19050</xdr:rowOff>
    </xdr:to>
    <xdr:pic>
      <xdr:nvPicPr>
        <xdr:cNvPr id="90326" name="Obrázek 44">
          <a:extLst>
            <a:ext uri="{FF2B5EF4-FFF2-40B4-BE49-F238E27FC236}">
              <a16:creationId xmlns:a16="http://schemas.microsoft.com/office/drawing/2014/main" id="{00000000-0008-0000-3500-0000D66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6479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2</xdr:row>
      <xdr:rowOff>85725</xdr:rowOff>
    </xdr:from>
    <xdr:to>
      <xdr:col>2</xdr:col>
      <xdr:colOff>542925</xdr:colOff>
      <xdr:row>17</xdr:row>
      <xdr:rowOff>161925</xdr:rowOff>
    </xdr:to>
    <xdr:pic>
      <xdr:nvPicPr>
        <xdr:cNvPr id="90327" name="Obrázek 6">
          <a:extLst>
            <a:ext uri="{FF2B5EF4-FFF2-40B4-BE49-F238E27FC236}">
              <a16:creationId xmlns:a16="http://schemas.microsoft.com/office/drawing/2014/main" id="{00000000-0008-0000-3500-0000D76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2925"/>
          <a:ext cx="3238500" cy="264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16</xdr:row>
      <xdr:rowOff>133350</xdr:rowOff>
    </xdr:from>
    <xdr:to>
      <xdr:col>8</xdr:col>
      <xdr:colOff>238125</xdr:colOff>
      <xdr:row>18</xdr:row>
      <xdr:rowOff>19050</xdr:rowOff>
    </xdr:to>
    <xdr:pic>
      <xdr:nvPicPr>
        <xdr:cNvPr id="87361" name="Obrázek 44">
          <a:extLst>
            <a:ext uri="{FF2B5EF4-FFF2-40B4-BE49-F238E27FC236}">
              <a16:creationId xmlns:a16="http://schemas.microsoft.com/office/drawing/2014/main" id="{00000000-0008-0000-3600-0000415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384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2</xdr:row>
      <xdr:rowOff>38100</xdr:rowOff>
    </xdr:from>
    <xdr:to>
      <xdr:col>2</xdr:col>
      <xdr:colOff>695325</xdr:colOff>
      <xdr:row>19</xdr:row>
      <xdr:rowOff>57150</xdr:rowOff>
    </xdr:to>
    <xdr:pic>
      <xdr:nvPicPr>
        <xdr:cNvPr id="87362" name="Obrázek 2">
          <a:extLst>
            <a:ext uri="{FF2B5EF4-FFF2-40B4-BE49-F238E27FC236}">
              <a16:creationId xmlns:a16="http://schemas.microsoft.com/office/drawing/2014/main" id="{00000000-0008-0000-3600-0000425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95300"/>
          <a:ext cx="3476625" cy="278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27</xdr:row>
      <xdr:rowOff>152400</xdr:rowOff>
    </xdr:from>
    <xdr:to>
      <xdr:col>1</xdr:col>
      <xdr:colOff>171450</xdr:colOff>
      <xdr:row>28</xdr:row>
      <xdr:rowOff>152400</xdr:rowOff>
    </xdr:to>
    <xdr:pic>
      <xdr:nvPicPr>
        <xdr:cNvPr id="87363" name="Obrázek 28" descr="Info.gif">
          <a:extLst>
            <a:ext uri="{FF2B5EF4-FFF2-40B4-BE49-F238E27FC236}">
              <a16:creationId xmlns:a16="http://schemas.microsoft.com/office/drawing/2014/main" id="{00000000-0008-0000-3600-0000435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244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15</xdr:row>
      <xdr:rowOff>0</xdr:rowOff>
    </xdr:from>
    <xdr:to>
      <xdr:col>8</xdr:col>
      <xdr:colOff>238125</xdr:colOff>
      <xdr:row>16</xdr:row>
      <xdr:rowOff>57150</xdr:rowOff>
    </xdr:to>
    <xdr:pic>
      <xdr:nvPicPr>
        <xdr:cNvPr id="88281" name="Obrázek 44">
          <a:extLst>
            <a:ext uri="{FF2B5EF4-FFF2-40B4-BE49-F238E27FC236}">
              <a16:creationId xmlns:a16="http://schemas.microsoft.com/office/drawing/2014/main" id="{00000000-0008-0000-3700-0000D95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60985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0</xdr:row>
      <xdr:rowOff>238125</xdr:rowOff>
    </xdr:from>
    <xdr:to>
      <xdr:col>2</xdr:col>
      <xdr:colOff>457200</xdr:colOff>
      <xdr:row>17</xdr:row>
      <xdr:rowOff>66675</xdr:rowOff>
    </xdr:to>
    <xdr:pic>
      <xdr:nvPicPr>
        <xdr:cNvPr id="88282" name="Picture 6" descr="AD OL_bottle300">
          <a:extLst>
            <a:ext uri="{FF2B5EF4-FFF2-40B4-BE49-F238E27FC236}">
              <a16:creationId xmlns:a16="http://schemas.microsoft.com/office/drawing/2014/main" id="{00000000-0008-0000-3700-0000DA5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8125"/>
          <a:ext cx="3228975" cy="278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</xdr:row>
      <xdr:rowOff>66675</xdr:rowOff>
    </xdr:from>
    <xdr:to>
      <xdr:col>2</xdr:col>
      <xdr:colOff>438150</xdr:colOff>
      <xdr:row>17</xdr:row>
      <xdr:rowOff>0</xdr:rowOff>
    </xdr:to>
    <xdr:pic>
      <xdr:nvPicPr>
        <xdr:cNvPr id="91457" name="Obrázek 3">
          <a:extLst>
            <a:ext uri="{FF2B5EF4-FFF2-40B4-BE49-F238E27FC236}">
              <a16:creationId xmlns:a16="http://schemas.microsoft.com/office/drawing/2014/main" id="{00000000-0008-0000-3800-0000416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23875"/>
          <a:ext cx="30575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14</xdr:row>
      <xdr:rowOff>152400</xdr:rowOff>
    </xdr:from>
    <xdr:to>
      <xdr:col>8</xdr:col>
      <xdr:colOff>228600</xdr:colOff>
      <xdr:row>16</xdr:row>
      <xdr:rowOff>38100</xdr:rowOff>
    </xdr:to>
    <xdr:pic>
      <xdr:nvPicPr>
        <xdr:cNvPr id="91458" name="Obrázek 10">
          <a:extLst>
            <a:ext uri="{FF2B5EF4-FFF2-40B4-BE49-F238E27FC236}">
              <a16:creationId xmlns:a16="http://schemas.microsoft.com/office/drawing/2014/main" id="{00000000-0008-0000-3800-0000426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590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24</xdr:row>
      <xdr:rowOff>152400</xdr:rowOff>
    </xdr:from>
    <xdr:to>
      <xdr:col>1</xdr:col>
      <xdr:colOff>171450</xdr:colOff>
      <xdr:row>25</xdr:row>
      <xdr:rowOff>152400</xdr:rowOff>
    </xdr:to>
    <xdr:pic>
      <xdr:nvPicPr>
        <xdr:cNvPr id="91459" name="Obrázek 28" descr="Info.gif">
          <a:extLst>
            <a:ext uri="{FF2B5EF4-FFF2-40B4-BE49-F238E27FC236}">
              <a16:creationId xmlns:a16="http://schemas.microsoft.com/office/drawing/2014/main" id="{00000000-0008-0000-3800-0000436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481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95250</xdr:rowOff>
    </xdr:from>
    <xdr:to>
      <xdr:col>2</xdr:col>
      <xdr:colOff>428625</xdr:colOff>
      <xdr:row>17</xdr:row>
      <xdr:rowOff>28575</xdr:rowOff>
    </xdr:to>
    <xdr:pic>
      <xdr:nvPicPr>
        <xdr:cNvPr id="92375" name="Obrázek 4">
          <a:extLst>
            <a:ext uri="{FF2B5EF4-FFF2-40B4-BE49-F238E27FC236}">
              <a16:creationId xmlns:a16="http://schemas.microsoft.com/office/drawing/2014/main" id="{00000000-0008-0000-3900-0000D76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52450"/>
          <a:ext cx="30575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161925</xdr:colOff>
      <xdr:row>25</xdr:row>
      <xdr:rowOff>9525</xdr:rowOff>
    </xdr:to>
    <xdr:pic>
      <xdr:nvPicPr>
        <xdr:cNvPr id="92376" name="Obrázek 28" descr="Info.gif">
          <a:extLst>
            <a:ext uri="{FF2B5EF4-FFF2-40B4-BE49-F238E27FC236}">
              <a16:creationId xmlns:a16="http://schemas.microsoft.com/office/drawing/2014/main" id="{00000000-0008-0000-3900-0000D86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352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15</xdr:row>
      <xdr:rowOff>9525</xdr:rowOff>
    </xdr:from>
    <xdr:to>
      <xdr:col>9</xdr:col>
      <xdr:colOff>152400</xdr:colOff>
      <xdr:row>15</xdr:row>
      <xdr:rowOff>171450</xdr:rowOff>
    </xdr:to>
    <xdr:pic>
      <xdr:nvPicPr>
        <xdr:cNvPr id="93406" name="Obrázek 28" descr="Info.gif">
          <a:extLst>
            <a:ext uri="{FF2B5EF4-FFF2-40B4-BE49-F238E27FC236}">
              <a16:creationId xmlns:a16="http://schemas.microsoft.com/office/drawing/2014/main" id="{00000000-0008-0000-3A00-0000DE6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6955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133</xdr:row>
      <xdr:rowOff>0</xdr:rowOff>
    </xdr:from>
    <xdr:to>
      <xdr:col>9</xdr:col>
      <xdr:colOff>1447800</xdr:colOff>
      <xdr:row>247</xdr:row>
      <xdr:rowOff>76200</xdr:rowOff>
    </xdr:to>
    <xdr:pic>
      <xdr:nvPicPr>
        <xdr:cNvPr id="93407" name="Obrázek 1">
          <a:extLst>
            <a:ext uri="{FF2B5EF4-FFF2-40B4-BE49-F238E27FC236}">
              <a16:creationId xmlns:a16="http://schemas.microsoft.com/office/drawing/2014/main" id="{00000000-0008-0000-3A00-0000DF6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850725"/>
          <a:ext cx="8439150" cy="1853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9525</xdr:rowOff>
    </xdr:from>
    <xdr:to>
      <xdr:col>5</xdr:col>
      <xdr:colOff>400051</xdr:colOff>
      <xdr:row>13</xdr:row>
      <xdr:rowOff>4763</xdr:rowOff>
    </xdr:to>
    <xdr:pic>
      <xdr:nvPicPr>
        <xdr:cNvPr id="44319" name="Obrázek 1">
          <a:extLst>
            <a:ext uri="{FF2B5EF4-FFF2-40B4-BE49-F238E27FC236}">
              <a16:creationId xmlns:a16="http://schemas.microsoft.com/office/drawing/2014/main" id="{00000000-0008-0000-0500-00001FA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66725"/>
          <a:ext cx="2771775" cy="1814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4320" name="Obrázek 28" descr="Info.gif">
          <a:extLst>
            <a:ext uri="{FF2B5EF4-FFF2-40B4-BE49-F238E27FC236}">
              <a16:creationId xmlns:a16="http://schemas.microsoft.com/office/drawing/2014/main" id="{00000000-0008-0000-0500-000020A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388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15</xdr:row>
      <xdr:rowOff>57150</xdr:rowOff>
    </xdr:from>
    <xdr:to>
      <xdr:col>1</xdr:col>
      <xdr:colOff>1181100</xdr:colOff>
      <xdr:row>20</xdr:row>
      <xdr:rowOff>47625</xdr:rowOff>
    </xdr:to>
    <xdr:pic>
      <xdr:nvPicPr>
        <xdr:cNvPr id="122548" name="Obrázek 14">
          <a:extLst>
            <a:ext uri="{FF2B5EF4-FFF2-40B4-BE49-F238E27FC236}">
              <a16:creationId xmlns:a16="http://schemas.microsoft.com/office/drawing/2014/main" id="{00000000-0008-0000-3B00-0000B4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42900"/>
          <a:ext cx="106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</xdr:colOff>
      <xdr:row>15</xdr:row>
      <xdr:rowOff>38100</xdr:rowOff>
    </xdr:from>
    <xdr:to>
      <xdr:col>5</xdr:col>
      <xdr:colOff>1219200</xdr:colOff>
      <xdr:row>20</xdr:row>
      <xdr:rowOff>28575</xdr:rowOff>
    </xdr:to>
    <xdr:pic>
      <xdr:nvPicPr>
        <xdr:cNvPr id="122549" name="Obrázek 16">
          <a:extLst>
            <a:ext uri="{FF2B5EF4-FFF2-40B4-BE49-F238E27FC236}">
              <a16:creationId xmlns:a16="http://schemas.microsoft.com/office/drawing/2014/main" id="{00000000-0008-0000-3B00-0000B5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323850"/>
          <a:ext cx="106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114300</xdr:colOff>
      <xdr:row>15</xdr:row>
      <xdr:rowOff>57150</xdr:rowOff>
    </xdr:from>
    <xdr:to>
      <xdr:col>9</xdr:col>
      <xdr:colOff>1181100</xdr:colOff>
      <xdr:row>20</xdr:row>
      <xdr:rowOff>47625</xdr:rowOff>
    </xdr:to>
    <xdr:pic>
      <xdr:nvPicPr>
        <xdr:cNvPr id="122550" name="Obrázek 18">
          <a:extLst>
            <a:ext uri="{FF2B5EF4-FFF2-40B4-BE49-F238E27FC236}">
              <a16:creationId xmlns:a16="http://schemas.microsoft.com/office/drawing/2014/main" id="{00000000-0008-0000-3B00-0000B6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342900"/>
          <a:ext cx="106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161925</xdr:colOff>
      <xdr:row>8</xdr:row>
      <xdr:rowOff>28575</xdr:rowOff>
    </xdr:from>
    <xdr:to>
      <xdr:col>9</xdr:col>
      <xdr:colOff>1209675</xdr:colOff>
      <xdr:row>12</xdr:row>
      <xdr:rowOff>47625</xdr:rowOff>
    </xdr:to>
    <xdr:pic>
      <xdr:nvPicPr>
        <xdr:cNvPr id="122551" name="Obrázek 6">
          <a:extLst>
            <a:ext uri="{FF2B5EF4-FFF2-40B4-BE49-F238E27FC236}">
              <a16:creationId xmlns:a16="http://schemas.microsoft.com/office/drawing/2014/main" id="{00000000-0008-0000-3B00-0000B7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895725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8</xdr:row>
      <xdr:rowOff>47625</xdr:rowOff>
    </xdr:from>
    <xdr:to>
      <xdr:col>5</xdr:col>
      <xdr:colOff>1152525</xdr:colOff>
      <xdr:row>12</xdr:row>
      <xdr:rowOff>47625</xdr:rowOff>
    </xdr:to>
    <xdr:pic>
      <xdr:nvPicPr>
        <xdr:cNvPr id="122552" name="Obrázek 7">
          <a:extLst>
            <a:ext uri="{FF2B5EF4-FFF2-40B4-BE49-F238E27FC236}">
              <a16:creationId xmlns:a16="http://schemas.microsoft.com/office/drawing/2014/main" id="{00000000-0008-0000-3B00-0000B8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914775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</xdr:colOff>
      <xdr:row>1</xdr:row>
      <xdr:rowOff>28575</xdr:rowOff>
    </xdr:from>
    <xdr:to>
      <xdr:col>9</xdr:col>
      <xdr:colOff>1181100</xdr:colOff>
      <xdr:row>5</xdr:row>
      <xdr:rowOff>76200</xdr:rowOff>
    </xdr:to>
    <xdr:pic>
      <xdr:nvPicPr>
        <xdr:cNvPr id="122553" name="Obrázek 8">
          <a:extLst>
            <a:ext uri="{FF2B5EF4-FFF2-40B4-BE49-F238E27FC236}">
              <a16:creationId xmlns:a16="http://schemas.microsoft.com/office/drawing/2014/main" id="{00000000-0008-0000-3B00-0000B9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695575"/>
          <a:ext cx="1066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1</xdr:row>
      <xdr:rowOff>28575</xdr:rowOff>
    </xdr:from>
    <xdr:to>
      <xdr:col>5</xdr:col>
      <xdr:colOff>1171575</xdr:colOff>
      <xdr:row>5</xdr:row>
      <xdr:rowOff>47625</xdr:rowOff>
    </xdr:to>
    <xdr:pic>
      <xdr:nvPicPr>
        <xdr:cNvPr id="122554" name="Obrázek 10">
          <a:extLst>
            <a:ext uri="{FF2B5EF4-FFF2-40B4-BE49-F238E27FC236}">
              <a16:creationId xmlns:a16="http://schemas.microsoft.com/office/drawing/2014/main" id="{00000000-0008-0000-3B00-0000BA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695575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</xdr:row>
      <xdr:rowOff>19050</xdr:rowOff>
    </xdr:from>
    <xdr:to>
      <xdr:col>1</xdr:col>
      <xdr:colOff>1190625</xdr:colOff>
      <xdr:row>5</xdr:row>
      <xdr:rowOff>38100</xdr:rowOff>
    </xdr:to>
    <xdr:pic>
      <xdr:nvPicPr>
        <xdr:cNvPr id="122555" name="Obrázek 12">
          <a:extLst>
            <a:ext uri="{FF2B5EF4-FFF2-40B4-BE49-F238E27FC236}">
              <a16:creationId xmlns:a16="http://schemas.microsoft.com/office/drawing/2014/main" id="{00000000-0008-0000-3B00-0000BB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686050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22</xdr:row>
      <xdr:rowOff>28575</xdr:rowOff>
    </xdr:from>
    <xdr:to>
      <xdr:col>1</xdr:col>
      <xdr:colOff>1162050</xdr:colOff>
      <xdr:row>26</xdr:row>
      <xdr:rowOff>142875</xdr:rowOff>
    </xdr:to>
    <xdr:pic>
      <xdr:nvPicPr>
        <xdr:cNvPr id="122556" name="Obrázek 22">
          <a:extLst>
            <a:ext uri="{FF2B5EF4-FFF2-40B4-BE49-F238E27FC236}">
              <a16:creationId xmlns:a16="http://schemas.microsoft.com/office/drawing/2014/main" id="{00000000-0008-0000-3B00-0000BC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954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22</xdr:row>
      <xdr:rowOff>28575</xdr:rowOff>
    </xdr:from>
    <xdr:to>
      <xdr:col>5</xdr:col>
      <xdr:colOff>1171575</xdr:colOff>
      <xdr:row>26</xdr:row>
      <xdr:rowOff>142875</xdr:rowOff>
    </xdr:to>
    <xdr:pic>
      <xdr:nvPicPr>
        <xdr:cNvPr id="122557" name="Obrázek 23">
          <a:extLst>
            <a:ext uri="{FF2B5EF4-FFF2-40B4-BE49-F238E27FC236}">
              <a16:creationId xmlns:a16="http://schemas.microsoft.com/office/drawing/2014/main" id="{00000000-0008-0000-3B00-0000BD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4954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22</xdr:row>
      <xdr:rowOff>28575</xdr:rowOff>
    </xdr:from>
    <xdr:to>
      <xdr:col>9</xdr:col>
      <xdr:colOff>1133475</xdr:colOff>
      <xdr:row>26</xdr:row>
      <xdr:rowOff>142875</xdr:rowOff>
    </xdr:to>
    <xdr:pic>
      <xdr:nvPicPr>
        <xdr:cNvPr id="122558" name="Obrázek 24">
          <a:extLst>
            <a:ext uri="{FF2B5EF4-FFF2-40B4-BE49-F238E27FC236}">
              <a16:creationId xmlns:a16="http://schemas.microsoft.com/office/drawing/2014/main" id="{00000000-0008-0000-3B00-0000BE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4954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29</xdr:row>
      <xdr:rowOff>38100</xdr:rowOff>
    </xdr:from>
    <xdr:to>
      <xdr:col>5</xdr:col>
      <xdr:colOff>1190625</xdr:colOff>
      <xdr:row>34</xdr:row>
      <xdr:rowOff>0</xdr:rowOff>
    </xdr:to>
    <xdr:pic>
      <xdr:nvPicPr>
        <xdr:cNvPr id="122559" name="Obrázek 29">
          <a:extLst>
            <a:ext uri="{FF2B5EF4-FFF2-40B4-BE49-F238E27FC236}">
              <a16:creationId xmlns:a16="http://schemas.microsoft.com/office/drawing/2014/main" id="{00000000-0008-0000-3B00-0000BF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510540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29</xdr:row>
      <xdr:rowOff>38100</xdr:rowOff>
    </xdr:from>
    <xdr:to>
      <xdr:col>9</xdr:col>
      <xdr:colOff>1200150</xdr:colOff>
      <xdr:row>34</xdr:row>
      <xdr:rowOff>0</xdr:rowOff>
    </xdr:to>
    <xdr:pic>
      <xdr:nvPicPr>
        <xdr:cNvPr id="122560" name="Obrázek 30">
          <a:extLst>
            <a:ext uri="{FF2B5EF4-FFF2-40B4-BE49-F238E27FC236}">
              <a16:creationId xmlns:a16="http://schemas.microsoft.com/office/drawing/2014/main" id="{00000000-0008-0000-3B00-0000C0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5105400"/>
          <a:ext cx="10668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36</xdr:row>
      <xdr:rowOff>28575</xdr:rowOff>
    </xdr:from>
    <xdr:to>
      <xdr:col>5</xdr:col>
      <xdr:colOff>1181100</xdr:colOff>
      <xdr:row>40</xdr:row>
      <xdr:rowOff>142875</xdr:rowOff>
    </xdr:to>
    <xdr:pic>
      <xdr:nvPicPr>
        <xdr:cNvPr id="122561" name="Obrázek 32">
          <a:extLst>
            <a:ext uri="{FF2B5EF4-FFF2-40B4-BE49-F238E27FC236}">
              <a16:creationId xmlns:a16="http://schemas.microsoft.com/office/drawing/2014/main" id="{00000000-0008-0000-3B00-0000C1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2960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36</xdr:row>
      <xdr:rowOff>38100</xdr:rowOff>
    </xdr:from>
    <xdr:to>
      <xdr:col>9</xdr:col>
      <xdr:colOff>1181100</xdr:colOff>
      <xdr:row>40</xdr:row>
      <xdr:rowOff>152400</xdr:rowOff>
    </xdr:to>
    <xdr:pic>
      <xdr:nvPicPr>
        <xdr:cNvPr id="122562" name="Obrázek 33">
          <a:extLst>
            <a:ext uri="{FF2B5EF4-FFF2-40B4-BE49-F238E27FC236}">
              <a16:creationId xmlns:a16="http://schemas.microsoft.com/office/drawing/2014/main" id="{00000000-0008-0000-3B00-0000C2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305550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44</xdr:row>
      <xdr:rowOff>104775</xdr:rowOff>
    </xdr:from>
    <xdr:to>
      <xdr:col>1</xdr:col>
      <xdr:colOff>1066800</xdr:colOff>
      <xdr:row>48</xdr:row>
      <xdr:rowOff>114300</xdr:rowOff>
    </xdr:to>
    <xdr:pic>
      <xdr:nvPicPr>
        <xdr:cNvPr id="122563" name="Obrázek 42">
          <a:extLst>
            <a:ext uri="{FF2B5EF4-FFF2-40B4-BE49-F238E27FC236}">
              <a16:creationId xmlns:a16="http://schemas.microsoft.com/office/drawing/2014/main" id="{00000000-0008-0000-3B00-0000C3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43975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65</xdr:row>
      <xdr:rowOff>28575</xdr:rowOff>
    </xdr:from>
    <xdr:to>
      <xdr:col>1</xdr:col>
      <xdr:colOff>1047750</xdr:colOff>
      <xdr:row>69</xdr:row>
      <xdr:rowOff>123825</xdr:rowOff>
    </xdr:to>
    <xdr:pic>
      <xdr:nvPicPr>
        <xdr:cNvPr id="122564" name="Obrázek 25">
          <a:extLst>
            <a:ext uri="{FF2B5EF4-FFF2-40B4-BE49-F238E27FC236}">
              <a16:creationId xmlns:a16="http://schemas.microsoft.com/office/drawing/2014/main" id="{00000000-0008-0000-3B00-0000C4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067925"/>
          <a:ext cx="1038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65</xdr:row>
      <xdr:rowOff>28575</xdr:rowOff>
    </xdr:from>
    <xdr:to>
      <xdr:col>5</xdr:col>
      <xdr:colOff>1095375</xdr:colOff>
      <xdr:row>69</xdr:row>
      <xdr:rowOff>133350</xdr:rowOff>
    </xdr:to>
    <xdr:pic>
      <xdr:nvPicPr>
        <xdr:cNvPr id="122565" name="Obrázek 26">
          <a:extLst>
            <a:ext uri="{FF2B5EF4-FFF2-40B4-BE49-F238E27FC236}">
              <a16:creationId xmlns:a16="http://schemas.microsoft.com/office/drawing/2014/main" id="{00000000-0008-0000-3B00-0000C5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0067925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65</xdr:row>
      <xdr:rowOff>38100</xdr:rowOff>
    </xdr:from>
    <xdr:to>
      <xdr:col>9</xdr:col>
      <xdr:colOff>1143000</xdr:colOff>
      <xdr:row>69</xdr:row>
      <xdr:rowOff>133350</xdr:rowOff>
    </xdr:to>
    <xdr:pic>
      <xdr:nvPicPr>
        <xdr:cNvPr id="122566" name="Obrázek 27">
          <a:extLst>
            <a:ext uri="{FF2B5EF4-FFF2-40B4-BE49-F238E27FC236}">
              <a16:creationId xmlns:a16="http://schemas.microsoft.com/office/drawing/2014/main" id="{00000000-0008-0000-3B00-0000C6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0077450"/>
          <a:ext cx="1047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51</xdr:row>
      <xdr:rowOff>19050</xdr:rowOff>
    </xdr:from>
    <xdr:to>
      <xdr:col>1</xdr:col>
      <xdr:colOff>1219200</xdr:colOff>
      <xdr:row>55</xdr:row>
      <xdr:rowOff>114300</xdr:rowOff>
    </xdr:to>
    <xdr:pic>
      <xdr:nvPicPr>
        <xdr:cNvPr id="122567" name="Obrázek 38">
          <a:extLst>
            <a:ext uri="{FF2B5EF4-FFF2-40B4-BE49-F238E27FC236}">
              <a16:creationId xmlns:a16="http://schemas.microsoft.com/office/drawing/2014/main" id="{00000000-0008-0000-3B00-0000C7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58100"/>
          <a:ext cx="1038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51</xdr:row>
      <xdr:rowOff>19050</xdr:rowOff>
    </xdr:from>
    <xdr:to>
      <xdr:col>5</xdr:col>
      <xdr:colOff>1152525</xdr:colOff>
      <xdr:row>55</xdr:row>
      <xdr:rowOff>123825</xdr:rowOff>
    </xdr:to>
    <xdr:pic>
      <xdr:nvPicPr>
        <xdr:cNvPr id="122568" name="Obrázek 39">
          <a:extLst>
            <a:ext uri="{FF2B5EF4-FFF2-40B4-BE49-F238E27FC236}">
              <a16:creationId xmlns:a16="http://schemas.microsoft.com/office/drawing/2014/main" id="{00000000-0008-0000-3B00-0000C8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658100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51</xdr:row>
      <xdr:rowOff>28575</xdr:rowOff>
    </xdr:from>
    <xdr:to>
      <xdr:col>9</xdr:col>
      <xdr:colOff>1143000</xdr:colOff>
      <xdr:row>55</xdr:row>
      <xdr:rowOff>123825</xdr:rowOff>
    </xdr:to>
    <xdr:pic>
      <xdr:nvPicPr>
        <xdr:cNvPr id="122569" name="Obrázek 40">
          <a:extLst>
            <a:ext uri="{FF2B5EF4-FFF2-40B4-BE49-F238E27FC236}">
              <a16:creationId xmlns:a16="http://schemas.microsoft.com/office/drawing/2014/main" id="{00000000-0008-0000-3B00-0000C9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667625"/>
          <a:ext cx="1047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58</xdr:row>
      <xdr:rowOff>85725</xdr:rowOff>
    </xdr:from>
    <xdr:to>
      <xdr:col>1</xdr:col>
      <xdr:colOff>1066800</xdr:colOff>
      <xdr:row>62</xdr:row>
      <xdr:rowOff>133350</xdr:rowOff>
    </xdr:to>
    <xdr:pic>
      <xdr:nvPicPr>
        <xdr:cNvPr id="122570" name="Obrázek 41">
          <a:extLst>
            <a:ext uri="{FF2B5EF4-FFF2-40B4-BE49-F238E27FC236}">
              <a16:creationId xmlns:a16="http://schemas.microsoft.com/office/drawing/2014/main" id="{00000000-0008-0000-3B00-0000CA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3475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72</xdr:row>
      <xdr:rowOff>47625</xdr:rowOff>
    </xdr:from>
    <xdr:to>
      <xdr:col>1</xdr:col>
      <xdr:colOff>1085850</xdr:colOff>
      <xdr:row>77</xdr:row>
      <xdr:rowOff>0</xdr:rowOff>
    </xdr:to>
    <xdr:pic>
      <xdr:nvPicPr>
        <xdr:cNvPr id="122571" name="Obrázek 43">
          <a:extLst>
            <a:ext uri="{FF2B5EF4-FFF2-40B4-BE49-F238E27FC236}">
              <a16:creationId xmlns:a16="http://schemas.microsoft.com/office/drawing/2014/main" id="{00000000-0008-0000-3B00-0000CB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468225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79</xdr:row>
      <xdr:rowOff>114300</xdr:rowOff>
    </xdr:from>
    <xdr:to>
      <xdr:col>1</xdr:col>
      <xdr:colOff>1095375</xdr:colOff>
      <xdr:row>83</xdr:row>
      <xdr:rowOff>142875</xdr:rowOff>
    </xdr:to>
    <xdr:pic>
      <xdr:nvPicPr>
        <xdr:cNvPr id="122572" name="Obrázek 50">
          <a:extLst>
            <a:ext uri="{FF2B5EF4-FFF2-40B4-BE49-F238E27FC236}">
              <a16:creationId xmlns:a16="http://schemas.microsoft.com/office/drawing/2014/main" id="{00000000-0008-0000-3B00-0000CC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725525"/>
          <a:ext cx="1038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93</xdr:row>
      <xdr:rowOff>38100</xdr:rowOff>
    </xdr:from>
    <xdr:to>
      <xdr:col>1</xdr:col>
      <xdr:colOff>809625</xdr:colOff>
      <xdr:row>98</xdr:row>
      <xdr:rowOff>57150</xdr:rowOff>
    </xdr:to>
    <xdr:pic>
      <xdr:nvPicPr>
        <xdr:cNvPr id="122573" name="Picture 64" descr="AD DD_glas_th">
          <a:extLst>
            <a:ext uri="{FF2B5EF4-FFF2-40B4-BE49-F238E27FC236}">
              <a16:creationId xmlns:a16="http://schemas.microsoft.com/office/drawing/2014/main" id="{00000000-0008-0000-3B00-0000CD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811375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86</xdr:row>
      <xdr:rowOff>47625</xdr:rowOff>
    </xdr:from>
    <xdr:to>
      <xdr:col>1</xdr:col>
      <xdr:colOff>781050</xdr:colOff>
      <xdr:row>91</xdr:row>
      <xdr:rowOff>47625</xdr:rowOff>
    </xdr:to>
    <xdr:pic>
      <xdr:nvPicPr>
        <xdr:cNvPr id="122574" name="Picture 67" descr="AD DM_glas_th">
          <a:extLst>
            <a:ext uri="{FF2B5EF4-FFF2-40B4-BE49-F238E27FC236}">
              <a16:creationId xmlns:a16="http://schemas.microsoft.com/office/drawing/2014/main" id="{00000000-0008-0000-3B00-0000CE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992475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72</xdr:row>
      <xdr:rowOff>38100</xdr:rowOff>
    </xdr:from>
    <xdr:to>
      <xdr:col>5</xdr:col>
      <xdr:colOff>1057275</xdr:colOff>
      <xdr:row>76</xdr:row>
      <xdr:rowOff>161925</xdr:rowOff>
    </xdr:to>
    <xdr:pic>
      <xdr:nvPicPr>
        <xdr:cNvPr id="122575" name="Obrázek 44">
          <a:extLst>
            <a:ext uri="{FF2B5EF4-FFF2-40B4-BE49-F238E27FC236}">
              <a16:creationId xmlns:a16="http://schemas.microsoft.com/office/drawing/2014/main" id="{00000000-0008-0000-3B00-0000CF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2458700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72</xdr:row>
      <xdr:rowOff>28575</xdr:rowOff>
    </xdr:from>
    <xdr:to>
      <xdr:col>9</xdr:col>
      <xdr:colOff>1114425</xdr:colOff>
      <xdr:row>76</xdr:row>
      <xdr:rowOff>152400</xdr:rowOff>
    </xdr:to>
    <xdr:pic>
      <xdr:nvPicPr>
        <xdr:cNvPr id="122576" name="Obrázek 45">
          <a:extLst>
            <a:ext uri="{FF2B5EF4-FFF2-40B4-BE49-F238E27FC236}">
              <a16:creationId xmlns:a16="http://schemas.microsoft.com/office/drawing/2014/main" id="{00000000-0008-0000-3B00-0000D0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449175"/>
          <a:ext cx="1028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86</xdr:row>
      <xdr:rowOff>28575</xdr:rowOff>
    </xdr:from>
    <xdr:to>
      <xdr:col>9</xdr:col>
      <xdr:colOff>895350</xdr:colOff>
      <xdr:row>91</xdr:row>
      <xdr:rowOff>28575</xdr:rowOff>
    </xdr:to>
    <xdr:pic>
      <xdr:nvPicPr>
        <xdr:cNvPr id="122579" name="Picture 63" descr="AD DM_reling_th">
          <a:extLst>
            <a:ext uri="{FF2B5EF4-FFF2-40B4-BE49-F238E27FC236}">
              <a16:creationId xmlns:a16="http://schemas.microsoft.com/office/drawing/2014/main" id="{00000000-0008-0000-3B00-0000D3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5973425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93</xdr:row>
      <xdr:rowOff>38100</xdr:rowOff>
    </xdr:from>
    <xdr:to>
      <xdr:col>5</xdr:col>
      <xdr:colOff>933450</xdr:colOff>
      <xdr:row>98</xdr:row>
      <xdr:rowOff>57150</xdr:rowOff>
    </xdr:to>
    <xdr:pic>
      <xdr:nvPicPr>
        <xdr:cNvPr id="122580" name="Picture 65" descr="AD DD_metal_th">
          <a:extLst>
            <a:ext uri="{FF2B5EF4-FFF2-40B4-BE49-F238E27FC236}">
              <a16:creationId xmlns:a16="http://schemas.microsoft.com/office/drawing/2014/main" id="{00000000-0008-0000-3B00-0000D4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4811375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93</xdr:row>
      <xdr:rowOff>28575</xdr:rowOff>
    </xdr:from>
    <xdr:to>
      <xdr:col>9</xdr:col>
      <xdr:colOff>895350</xdr:colOff>
      <xdr:row>98</xdr:row>
      <xdr:rowOff>47625</xdr:rowOff>
    </xdr:to>
    <xdr:pic>
      <xdr:nvPicPr>
        <xdr:cNvPr id="122581" name="Picture 66" descr="AD DD_reling_th">
          <a:extLst>
            <a:ext uri="{FF2B5EF4-FFF2-40B4-BE49-F238E27FC236}">
              <a16:creationId xmlns:a16="http://schemas.microsoft.com/office/drawing/2014/main" id="{00000000-0008-0000-3B00-0000D5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4801850"/>
          <a:ext cx="5143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86</xdr:row>
      <xdr:rowOff>38100</xdr:rowOff>
    </xdr:from>
    <xdr:to>
      <xdr:col>5</xdr:col>
      <xdr:colOff>885825</xdr:colOff>
      <xdr:row>91</xdr:row>
      <xdr:rowOff>38100</xdr:rowOff>
    </xdr:to>
    <xdr:pic>
      <xdr:nvPicPr>
        <xdr:cNvPr id="122582" name="Picture 68" descr="AD DM_metal_th">
          <a:extLst>
            <a:ext uri="{FF2B5EF4-FFF2-40B4-BE49-F238E27FC236}">
              <a16:creationId xmlns:a16="http://schemas.microsoft.com/office/drawing/2014/main" id="{00000000-0008-0000-3B00-0000D6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5982950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238125</xdr:colOff>
      <xdr:row>100</xdr:row>
      <xdr:rowOff>28575</xdr:rowOff>
    </xdr:from>
    <xdr:to>
      <xdr:col>9</xdr:col>
      <xdr:colOff>1076325</xdr:colOff>
      <xdr:row>108</xdr:row>
      <xdr:rowOff>19050</xdr:rowOff>
    </xdr:to>
    <xdr:pic>
      <xdr:nvPicPr>
        <xdr:cNvPr id="122583" name="Picture 43" descr="ST DM_rel_th">
          <a:extLst>
            <a:ext uri="{FF2B5EF4-FFF2-40B4-BE49-F238E27FC236}">
              <a16:creationId xmlns:a16="http://schemas.microsoft.com/office/drawing/2014/main" id="{00000000-0008-0000-3B00-0000D7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87261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110</xdr:row>
      <xdr:rowOff>28575</xdr:rowOff>
    </xdr:from>
    <xdr:to>
      <xdr:col>1</xdr:col>
      <xdr:colOff>1095375</xdr:colOff>
      <xdr:row>118</xdr:row>
      <xdr:rowOff>28575</xdr:rowOff>
    </xdr:to>
    <xdr:pic>
      <xdr:nvPicPr>
        <xdr:cNvPr id="122584" name="Picture 44" descr="ST DD_glas_th">
          <a:extLst>
            <a:ext uri="{FF2B5EF4-FFF2-40B4-BE49-F238E27FC236}">
              <a16:creationId xmlns:a16="http://schemas.microsoft.com/office/drawing/2014/main" id="{00000000-0008-0000-3B00-0000D8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15452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219075</xdr:colOff>
      <xdr:row>110</xdr:row>
      <xdr:rowOff>19050</xdr:rowOff>
    </xdr:from>
    <xdr:to>
      <xdr:col>5</xdr:col>
      <xdr:colOff>1057275</xdr:colOff>
      <xdr:row>118</xdr:row>
      <xdr:rowOff>19050</xdr:rowOff>
    </xdr:to>
    <xdr:pic>
      <xdr:nvPicPr>
        <xdr:cNvPr id="122585" name="Picture 45" descr="ST DD_met_th">
          <a:extLst>
            <a:ext uri="{FF2B5EF4-FFF2-40B4-BE49-F238E27FC236}">
              <a16:creationId xmlns:a16="http://schemas.microsoft.com/office/drawing/2014/main" id="{00000000-0008-0000-3B00-0000D9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714500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110</xdr:row>
      <xdr:rowOff>28575</xdr:rowOff>
    </xdr:from>
    <xdr:to>
      <xdr:col>9</xdr:col>
      <xdr:colOff>1057275</xdr:colOff>
      <xdr:row>118</xdr:row>
      <xdr:rowOff>28575</xdr:rowOff>
    </xdr:to>
    <xdr:pic>
      <xdr:nvPicPr>
        <xdr:cNvPr id="122586" name="Picture 46" descr="ST DD_rel_th">
          <a:extLst>
            <a:ext uri="{FF2B5EF4-FFF2-40B4-BE49-F238E27FC236}">
              <a16:creationId xmlns:a16="http://schemas.microsoft.com/office/drawing/2014/main" id="{00000000-0008-0000-3B00-0000DA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7154525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100</xdr:row>
      <xdr:rowOff>28575</xdr:rowOff>
    </xdr:from>
    <xdr:to>
      <xdr:col>1</xdr:col>
      <xdr:colOff>1076325</xdr:colOff>
      <xdr:row>108</xdr:row>
      <xdr:rowOff>19050</xdr:rowOff>
    </xdr:to>
    <xdr:pic>
      <xdr:nvPicPr>
        <xdr:cNvPr id="122587" name="Picture 47" descr="ST DM_glas_th">
          <a:extLst>
            <a:ext uri="{FF2B5EF4-FFF2-40B4-BE49-F238E27FC236}">
              <a16:creationId xmlns:a16="http://schemas.microsoft.com/office/drawing/2014/main" id="{00000000-0008-0000-3B00-0000DB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7261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100</xdr:row>
      <xdr:rowOff>28575</xdr:rowOff>
    </xdr:from>
    <xdr:to>
      <xdr:col>5</xdr:col>
      <xdr:colOff>1095375</xdr:colOff>
      <xdr:row>108</xdr:row>
      <xdr:rowOff>19050</xdr:rowOff>
    </xdr:to>
    <xdr:pic>
      <xdr:nvPicPr>
        <xdr:cNvPr id="122588" name="Picture 48" descr="ST DM_met_th">
          <a:extLst>
            <a:ext uri="{FF2B5EF4-FFF2-40B4-BE49-F238E27FC236}">
              <a16:creationId xmlns:a16="http://schemas.microsoft.com/office/drawing/2014/main" id="{00000000-0008-0000-3B00-0000DCDE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8726150"/>
          <a:ext cx="838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132</xdr:row>
      <xdr:rowOff>9525</xdr:rowOff>
    </xdr:from>
    <xdr:to>
      <xdr:col>1</xdr:col>
      <xdr:colOff>171450</xdr:colOff>
      <xdr:row>133</xdr:row>
      <xdr:rowOff>9525</xdr:rowOff>
    </xdr:to>
    <xdr:pic>
      <xdr:nvPicPr>
        <xdr:cNvPr id="122589" name="Obrázek 28" descr="Info.gif">
          <a:extLst>
            <a:ext uri="{FF2B5EF4-FFF2-40B4-BE49-F238E27FC236}">
              <a16:creationId xmlns:a16="http://schemas.microsoft.com/office/drawing/2014/main" id="{00000000-0008-0000-3B00-0000DD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25266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29</xdr:row>
      <xdr:rowOff>38100</xdr:rowOff>
    </xdr:from>
    <xdr:to>
      <xdr:col>1</xdr:col>
      <xdr:colOff>1181100</xdr:colOff>
      <xdr:row>34</xdr:row>
      <xdr:rowOff>19050</xdr:rowOff>
    </xdr:to>
    <xdr:pic>
      <xdr:nvPicPr>
        <xdr:cNvPr id="122590" name="Obrázek 14">
          <a:extLst>
            <a:ext uri="{FF2B5EF4-FFF2-40B4-BE49-F238E27FC236}">
              <a16:creationId xmlns:a16="http://schemas.microsoft.com/office/drawing/2014/main" id="{00000000-0008-0000-3B00-0000DE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105400"/>
          <a:ext cx="106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36</xdr:row>
      <xdr:rowOff>28575</xdr:rowOff>
    </xdr:from>
    <xdr:to>
      <xdr:col>1</xdr:col>
      <xdr:colOff>1162050</xdr:colOff>
      <xdr:row>40</xdr:row>
      <xdr:rowOff>142875</xdr:rowOff>
    </xdr:to>
    <xdr:pic>
      <xdr:nvPicPr>
        <xdr:cNvPr id="122591" name="Obrázek 22">
          <a:extLst>
            <a:ext uri="{FF2B5EF4-FFF2-40B4-BE49-F238E27FC236}">
              <a16:creationId xmlns:a16="http://schemas.microsoft.com/office/drawing/2014/main" id="{00000000-0008-0000-3B00-0000DFD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2960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9525</xdr:rowOff>
    </xdr:from>
    <xdr:to>
      <xdr:col>8</xdr:col>
      <xdr:colOff>571500</xdr:colOff>
      <xdr:row>7</xdr:row>
      <xdr:rowOff>247650</xdr:rowOff>
    </xdr:to>
    <xdr:pic>
      <xdr:nvPicPr>
        <xdr:cNvPr id="55026" name="Picture 2">
          <a:extLst>
            <a:ext uri="{FF2B5EF4-FFF2-40B4-BE49-F238E27FC236}">
              <a16:creationId xmlns:a16="http://schemas.microsoft.com/office/drawing/2014/main" id="{00000000-0008-0000-3C00-0000F2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2</xdr:row>
      <xdr:rowOff>0</xdr:rowOff>
    </xdr:from>
    <xdr:to>
      <xdr:col>15</xdr:col>
      <xdr:colOff>0</xdr:colOff>
      <xdr:row>7</xdr:row>
      <xdr:rowOff>247650</xdr:rowOff>
    </xdr:to>
    <xdr:pic>
      <xdr:nvPicPr>
        <xdr:cNvPr id="55027" name="Picture 3">
          <a:extLst>
            <a:ext uri="{FF2B5EF4-FFF2-40B4-BE49-F238E27FC236}">
              <a16:creationId xmlns:a16="http://schemas.microsoft.com/office/drawing/2014/main" id="{00000000-0008-0000-3C00-0000F3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36195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6</xdr:col>
      <xdr:colOff>571500</xdr:colOff>
      <xdr:row>7</xdr:row>
      <xdr:rowOff>247650</xdr:rowOff>
    </xdr:to>
    <xdr:pic>
      <xdr:nvPicPr>
        <xdr:cNvPr id="55028" name="Picture 4">
          <a:extLst>
            <a:ext uri="{FF2B5EF4-FFF2-40B4-BE49-F238E27FC236}">
              <a16:creationId xmlns:a16="http://schemas.microsoft.com/office/drawing/2014/main" id="{00000000-0008-0000-3C00-0000F4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2</xdr:row>
      <xdr:rowOff>9525</xdr:rowOff>
    </xdr:from>
    <xdr:to>
      <xdr:col>10</xdr:col>
      <xdr:colOff>571500</xdr:colOff>
      <xdr:row>7</xdr:row>
      <xdr:rowOff>247650</xdr:rowOff>
    </xdr:to>
    <xdr:pic>
      <xdr:nvPicPr>
        <xdr:cNvPr id="55029" name="Picture 5">
          <a:extLst>
            <a:ext uri="{FF2B5EF4-FFF2-40B4-BE49-F238E27FC236}">
              <a16:creationId xmlns:a16="http://schemas.microsoft.com/office/drawing/2014/main" id="{00000000-0008-0000-3C00-0000F5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2</xdr:row>
      <xdr:rowOff>9525</xdr:rowOff>
    </xdr:from>
    <xdr:to>
      <xdr:col>12</xdr:col>
      <xdr:colOff>571500</xdr:colOff>
      <xdr:row>7</xdr:row>
      <xdr:rowOff>247650</xdr:rowOff>
    </xdr:to>
    <xdr:pic>
      <xdr:nvPicPr>
        <xdr:cNvPr id="55030" name="Picture 6">
          <a:extLst>
            <a:ext uri="{FF2B5EF4-FFF2-40B4-BE49-F238E27FC236}">
              <a16:creationId xmlns:a16="http://schemas.microsoft.com/office/drawing/2014/main" id="{00000000-0008-0000-3C00-0000F6D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371475"/>
          <a:ext cx="1143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330</xdr:row>
      <xdr:rowOff>9525</xdr:rowOff>
    </xdr:from>
    <xdr:to>
      <xdr:col>1</xdr:col>
      <xdr:colOff>190500</xdr:colOff>
      <xdr:row>331</xdr:row>
      <xdr:rowOff>19050</xdr:rowOff>
    </xdr:to>
    <xdr:pic>
      <xdr:nvPicPr>
        <xdr:cNvPr id="71899" name="Obrázek 1" descr="Tip.gif">
          <a:extLst>
            <a:ext uri="{FF2B5EF4-FFF2-40B4-BE49-F238E27FC236}">
              <a16:creationId xmlns:a16="http://schemas.microsoft.com/office/drawing/2014/main" id="{00000000-0008-0000-3D00-0000DB1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2851725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333</xdr:row>
      <xdr:rowOff>133350</xdr:rowOff>
    </xdr:from>
    <xdr:to>
      <xdr:col>11</xdr:col>
      <xdr:colOff>19050</xdr:colOff>
      <xdr:row>335</xdr:row>
      <xdr:rowOff>19050</xdr:rowOff>
    </xdr:to>
    <xdr:sp macro="[0]!PurchaseOrder" textlink="">
      <xdr:nvSpPr>
        <xdr:cNvPr id="71900" name="Rectangle 8">
          <a:extLst>
            <a:ext uri="{FF2B5EF4-FFF2-40B4-BE49-F238E27FC236}">
              <a16:creationId xmlns:a16="http://schemas.microsoft.com/office/drawing/2014/main" id="{00000000-0008-0000-3D00-0000DC180100}"/>
            </a:ext>
          </a:extLst>
        </xdr:cNvPr>
        <xdr:cNvSpPr>
          <a:spLocks noChangeArrowheads="1"/>
        </xdr:cNvSpPr>
      </xdr:nvSpPr>
      <xdr:spPr bwMode="auto">
        <a:xfrm>
          <a:off x="5934075" y="53673375"/>
          <a:ext cx="1619250" cy="190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2</xdr:row>
      <xdr:rowOff>9525</xdr:rowOff>
    </xdr:from>
    <xdr:to>
      <xdr:col>5</xdr:col>
      <xdr:colOff>400051</xdr:colOff>
      <xdr:row>13</xdr:row>
      <xdr:rowOff>4763</xdr:rowOff>
    </xdr:to>
    <xdr:pic>
      <xdr:nvPicPr>
        <xdr:cNvPr id="45343" name="Obrázek 1">
          <a:extLst>
            <a:ext uri="{FF2B5EF4-FFF2-40B4-BE49-F238E27FC236}">
              <a16:creationId xmlns:a16="http://schemas.microsoft.com/office/drawing/2014/main" id="{00000000-0008-0000-0600-00001FB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466725"/>
          <a:ext cx="2771775" cy="1814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0</xdr:rowOff>
    </xdr:from>
    <xdr:to>
      <xdr:col>1</xdr:col>
      <xdr:colOff>171450</xdr:colOff>
      <xdr:row>43</xdr:row>
      <xdr:rowOff>0</xdr:rowOff>
    </xdr:to>
    <xdr:pic>
      <xdr:nvPicPr>
        <xdr:cNvPr id="45344" name="Obrázek 28" descr="Info.gif">
          <a:extLst>
            <a:ext uri="{FF2B5EF4-FFF2-40B4-BE49-F238E27FC236}">
              <a16:creationId xmlns:a16="http://schemas.microsoft.com/office/drawing/2014/main" id="{00000000-0008-0000-0600-000020B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388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105</xdr:row>
      <xdr:rowOff>123826</xdr:rowOff>
    </xdr:from>
    <xdr:to>
      <xdr:col>2</xdr:col>
      <xdr:colOff>514350</xdr:colOff>
      <xdr:row>109</xdr:row>
      <xdr:rowOff>171451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6" name="Obrázek 28" descr="Info.gif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2</xdr:row>
      <xdr:rowOff>0</xdr:rowOff>
    </xdr:from>
    <xdr:to>
      <xdr:col>5</xdr:col>
      <xdr:colOff>414339</xdr:colOff>
      <xdr:row>15</xdr:row>
      <xdr:rowOff>35719</xdr:rowOff>
    </xdr:to>
    <xdr:pic>
      <xdr:nvPicPr>
        <xdr:cNvPr id="34960" name="Obrázek 5">
          <a:extLst>
            <a:ext uri="{FF2B5EF4-FFF2-40B4-BE49-F238E27FC236}">
              <a16:creationId xmlns:a16="http://schemas.microsoft.com/office/drawing/2014/main" id="{00000000-0008-0000-0700-000090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457200"/>
          <a:ext cx="2843213" cy="217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9525</xdr:rowOff>
    </xdr:from>
    <xdr:to>
      <xdr:col>5</xdr:col>
      <xdr:colOff>426244</xdr:colOff>
      <xdr:row>15</xdr:row>
      <xdr:rowOff>45244</xdr:rowOff>
    </xdr:to>
    <xdr:pic>
      <xdr:nvPicPr>
        <xdr:cNvPr id="35984" name="Obrázek 1">
          <a:extLst>
            <a:ext uri="{FF2B5EF4-FFF2-40B4-BE49-F238E27FC236}">
              <a16:creationId xmlns:a16="http://schemas.microsoft.com/office/drawing/2014/main" id="{00000000-0008-0000-0800-000090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66725"/>
          <a:ext cx="2836069" cy="217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104</xdr:row>
      <xdr:rowOff>123826</xdr:rowOff>
    </xdr:from>
    <xdr:to>
      <xdr:col>2</xdr:col>
      <xdr:colOff>514350</xdr:colOff>
      <xdr:row>108</xdr:row>
      <xdr:rowOff>171451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7487901"/>
          <a:ext cx="1019175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</xdr:row>
      <xdr:rowOff>9525</xdr:rowOff>
    </xdr:from>
    <xdr:to>
      <xdr:col>3</xdr:col>
      <xdr:colOff>161925</xdr:colOff>
      <xdr:row>33</xdr:row>
      <xdr:rowOff>9525</xdr:rowOff>
    </xdr:to>
    <xdr:pic>
      <xdr:nvPicPr>
        <xdr:cNvPr id="5" name="Obrázek 28" descr="Info.gif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57150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C000"/>
  </sheetPr>
  <dimension ref="A1:T438"/>
  <sheetViews>
    <sheetView showGridLines="0" showRowColHeaders="0" tabSelected="1" workbookViewId="0"/>
  </sheetViews>
  <sheetFormatPr defaultColWidth="9.1796875" defaultRowHeight="12.5" x14ac:dyDescent="0.25"/>
  <cols>
    <col min="1" max="1" width="3.26953125" style="2" customWidth="1"/>
    <col min="2" max="2" width="10.453125" style="2" customWidth="1"/>
    <col min="3" max="3" width="10.54296875" style="2" customWidth="1"/>
    <col min="4" max="4" width="10.453125" style="2" customWidth="1"/>
    <col min="5" max="5" width="9" style="2" customWidth="1"/>
    <col min="6" max="6" width="1.81640625" style="2" customWidth="1"/>
    <col min="7" max="7" width="6.453125" style="2" customWidth="1"/>
    <col min="8" max="8" width="6" style="2" customWidth="1"/>
    <col min="9" max="9" width="6.54296875" style="2" customWidth="1"/>
    <col min="10" max="10" width="9.1796875" style="2"/>
    <col min="11" max="11" width="26.26953125" style="2" customWidth="1"/>
    <col min="12" max="12" width="9.1796875" style="2" customWidth="1"/>
    <col min="13" max="20" width="9.1796875" style="2" hidden="1" customWidth="1"/>
    <col min="21" max="16384" width="9.1796875" style="2"/>
  </cols>
  <sheetData>
    <row r="1" spans="1:19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9" ht="15" customHeigh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55" t="str">
        <f>" "&amp;List!$B$24</f>
        <v xml:space="preserve"> Základní údaje</v>
      </c>
      <c r="L2" s="114"/>
      <c r="N2" s="102">
        <v>1</v>
      </c>
      <c r="O2" s="2" t="str">
        <f>IF(N2=1,N3,IF(N2=2,N4, IF(N2=3, N5, N6)))</f>
        <v>šedá</v>
      </c>
    </row>
    <row r="3" spans="1:19" ht="15" customHeight="1" x14ac:dyDescent="0.3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566" t="str">
        <f>List!$B$3</f>
        <v>Údaje pro objednávku, zadání slevy od prodejce</v>
      </c>
      <c r="L3" s="114"/>
      <c r="N3" s="2" t="str">
        <f>List!B28</f>
        <v>šedá</v>
      </c>
      <c r="S3" s="99">
        <v>2</v>
      </c>
    </row>
    <row r="4" spans="1:19" ht="15" customHeight="1" x14ac:dyDescent="0.3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567"/>
      <c r="L4" s="114"/>
      <c r="N4" s="2" t="str">
        <f>List!B29</f>
        <v>hedvábně bílá</v>
      </c>
      <c r="S4" s="100" t="s">
        <v>326</v>
      </c>
    </row>
    <row r="5" spans="1:19" ht="15" customHeigh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L5" s="114"/>
      <c r="N5" s="2" t="str">
        <f>List!B30</f>
        <v>černá Terra</v>
      </c>
    </row>
    <row r="6" spans="1:19" ht="15" customHeight="1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2" t="str">
        <f>List!$B$12&amp;":"</f>
        <v>Pokračovat na:</v>
      </c>
      <c r="L6" s="114"/>
      <c r="N6" s="2" t="s">
        <v>1410</v>
      </c>
    </row>
    <row r="7" spans="1:19" ht="15" customHeight="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55" t="str">
        <f>" "&amp;List!$B$4</f>
        <v xml:space="preserve"> Výběr zásuvek a výsuvů</v>
      </c>
      <c r="L7" s="114"/>
    </row>
    <row r="8" spans="1:19" ht="15" customHeight="1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210"/>
      <c r="L8" s="114"/>
      <c r="N8" s="102">
        <v>1</v>
      </c>
      <c r="O8" s="2" t="str">
        <f>IF(N8=1,N9,IF(N8=2,N10,N11))</f>
        <v>čiré</v>
      </c>
    </row>
    <row r="9" spans="1:19" ht="15" customHeight="1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49" t="str">
        <f>" "&amp;List!$B$5</f>
        <v xml:space="preserve"> Výběr doplňků</v>
      </c>
      <c r="L9" s="114"/>
      <c r="N9" s="2" t="str">
        <f>List!B33</f>
        <v>čiré</v>
      </c>
    </row>
    <row r="10" spans="1:19" ht="15" customHeight="1" thickBot="1" x14ac:dyDescent="0.3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49" t="str">
        <f>" "&amp;List!$B$6</f>
        <v xml:space="preserve"> Výběr SERVO-DRIVE</v>
      </c>
      <c r="L10" s="114"/>
      <c r="N10" s="2" t="str">
        <f>List!B34</f>
        <v>saténované</v>
      </c>
    </row>
    <row r="11" spans="1:19" ht="15" customHeight="1" x14ac:dyDescent="0.2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265" t="str">
        <f>" "&amp;List!$B$7</f>
        <v xml:space="preserve"> Výběr ORGA-LINE</v>
      </c>
      <c r="L11" s="114"/>
    </row>
    <row r="12" spans="1:19" ht="15" customHeight="1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L12" s="114"/>
      <c r="R12" s="101"/>
    </row>
    <row r="13" spans="1:19" ht="15" customHeight="1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L13" s="114"/>
      <c r="N13" s="102">
        <v>2</v>
      </c>
      <c r="O13" s="2" t="str">
        <f>IF(N13=1,N14,IF(N13=2,N15,N17))</f>
        <v>INSERTA</v>
      </c>
    </row>
    <row r="14" spans="1:19" ht="21" customHeight="1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L14" s="114"/>
      <c r="N14" s="2" t="str">
        <f>List!B37</f>
        <v>na vruty</v>
      </c>
    </row>
    <row r="15" spans="1:19" ht="15" customHeight="1" x14ac:dyDescent="0.35">
      <c r="A15" s="114"/>
      <c r="B15" s="254"/>
      <c r="C15" s="114"/>
      <c r="D15" s="114"/>
      <c r="E15" s="114"/>
      <c r="H15" s="209" t="str">
        <f>List!$B$211&amp;" "</f>
        <v xml:space="preserve">Verze </v>
      </c>
      <c r="I15" s="273" t="s">
        <v>1495</v>
      </c>
      <c r="J15" s="114"/>
      <c r="L15" s="114"/>
      <c r="N15" s="2" t="s">
        <v>448</v>
      </c>
    </row>
    <row r="16" spans="1:19" ht="15" customHeight="1" x14ac:dyDescent="0.25">
      <c r="A16" s="114"/>
      <c r="B16" s="114" t="str">
        <f>List!$B$27&amp;":"</f>
        <v>barva:</v>
      </c>
      <c r="C16" s="114"/>
      <c r="D16" s="114" t="str">
        <f>List!$B$32&amp;":"</f>
        <v>sklo:</v>
      </c>
      <c r="E16" s="114"/>
      <c r="G16" s="114" t="str">
        <f>List!$B$36&amp;":"</f>
        <v>čelní kování:</v>
      </c>
      <c r="H16" s="114"/>
      <c r="I16" s="114"/>
      <c r="J16" s="114"/>
      <c r="K16" s="114"/>
      <c r="L16" s="114"/>
    </row>
    <row r="17" spans="1:14" ht="15" customHeight="1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20" t="str">
        <f>" "&amp;List!$B$16</f>
        <v xml:space="preserve"> Nápověda</v>
      </c>
      <c r="L17" s="114"/>
    </row>
    <row r="18" spans="1:14" ht="22.5" customHeight="1" x14ac:dyDescent="0.25">
      <c r="A18" s="114"/>
      <c r="B18" s="529" t="str">
        <f>IF($N$2=4, List!$B$286&amp;" "&amp;List!$B$287, " ")</f>
        <v xml:space="preserve"> 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1:14" ht="15.75" customHeight="1" x14ac:dyDescent="0.35">
      <c r="A19" s="13"/>
      <c r="B19" s="574" t="str">
        <f>List!$B$77&amp;": "</f>
        <v xml:space="preserve">Cenová hladina: </v>
      </c>
      <c r="C19" s="574"/>
      <c r="D19" s="13"/>
      <c r="E19" s="13"/>
      <c r="H19" s="259" t="str">
        <f>List!$B$213&amp;" %"</f>
        <v>Sleva %</v>
      </c>
      <c r="I19" s="121">
        <f>IF($N$19=1,0,IF($N$19=2,$E$119,IF($N$19=3,$G$148,0)))</f>
        <v>0</v>
      </c>
      <c r="J19" s="114"/>
      <c r="K19" s="114"/>
      <c r="L19" s="114"/>
      <c r="N19" s="157">
        <v>1</v>
      </c>
    </row>
    <row r="20" spans="1:14" ht="15" customHeight="1" x14ac:dyDescent="0.25">
      <c r="A20" s="114"/>
      <c r="B20" s="575" t="str">
        <f>IF(N19=2,List!$B$83&amp;" ["&amp;List!$B$24&amp;"]",IF(N19=3,IF(I19=0,List!$B$81,List!$B$82)," "))</f>
        <v xml:space="preserve"> </v>
      </c>
      <c r="C20" s="575"/>
      <c r="D20" s="575"/>
      <c r="E20" s="575"/>
      <c r="F20" s="575"/>
      <c r="G20" s="575"/>
      <c r="H20" s="114"/>
      <c r="I20" s="114"/>
      <c r="J20" s="114"/>
      <c r="K20" s="114"/>
      <c r="L20" s="114"/>
      <c r="N20" s="2" t="str">
        <f>List!$B78</f>
        <v>Základní ceny</v>
      </c>
    </row>
    <row r="21" spans="1:14" ht="13.5" customHeight="1" x14ac:dyDescent="0.25">
      <c r="A21" s="114"/>
      <c r="B21" s="276"/>
      <c r="C21" s="256"/>
      <c r="D21" s="256"/>
      <c r="E21" s="256"/>
      <c r="G21" s="156" t="str">
        <f>IF($N$19=3,List!$B$84," ")</f>
        <v xml:space="preserve"> </v>
      </c>
      <c r="H21" s="114"/>
      <c r="I21" s="114"/>
      <c r="J21" s="114"/>
      <c r="K21" s="114"/>
      <c r="L21" s="114"/>
      <c r="N21" s="2" t="str">
        <f>List!$B79</f>
        <v>Nákupní ceny</v>
      </c>
    </row>
    <row r="22" spans="1:14" ht="21.75" customHeight="1" x14ac:dyDescent="0.25">
      <c r="A22" s="114"/>
      <c r="B22" s="114" t="str">
        <f>List!$B$214&amp;":"</f>
        <v>Prodejce:</v>
      </c>
      <c r="E22" s="556"/>
      <c r="H22" s="114"/>
      <c r="I22" s="114"/>
      <c r="J22" s="114"/>
      <c r="K22" s="114"/>
      <c r="L22" s="114"/>
      <c r="N22" s="2" t="str">
        <f>List!$B80</f>
        <v>Se slevou</v>
      </c>
    </row>
    <row r="23" spans="1:14" ht="15" customHeight="1" x14ac:dyDescent="0.25">
      <c r="A23" s="114"/>
      <c r="B23" s="122" t="str">
        <f>IF(Price!A3&lt;&gt;0," "&amp;Price!A3," ")</f>
        <v xml:space="preserve">  Démos trade s.r.o.</v>
      </c>
      <c r="C23" s="122"/>
      <c r="D23" s="122"/>
      <c r="E23" s="122"/>
      <c r="F23" s="141"/>
      <c r="G23" s="114"/>
      <c r="H23" s="114"/>
      <c r="I23" s="114"/>
      <c r="J23" s="114"/>
      <c r="K23" s="114"/>
      <c r="L23" s="114"/>
    </row>
    <row r="24" spans="1:14" ht="15" customHeight="1" x14ac:dyDescent="0.25">
      <c r="A24" s="114"/>
      <c r="B24" s="123" t="str">
        <f>IF(Price!A4&lt;&gt;0," "&amp;Price!A4," ")</f>
        <v xml:space="preserve">  Dolné Rudiny 8516/41C</v>
      </c>
      <c r="C24" s="123"/>
      <c r="D24" s="123"/>
      <c r="E24" s="123"/>
      <c r="F24" s="141"/>
      <c r="G24" s="114"/>
      <c r="H24" s="114"/>
      <c r="I24" s="114"/>
      <c r="J24" s="114"/>
      <c r="K24" s="114"/>
      <c r="L24" s="114"/>
    </row>
    <row r="25" spans="1:14" ht="15" customHeight="1" x14ac:dyDescent="0.25">
      <c r="A25" s="114"/>
      <c r="B25" s="123" t="str">
        <f>IF(Price!A5&lt;&gt;0," "&amp;Price!A5," ")</f>
        <v xml:space="preserve">  010 01 Žilina</v>
      </c>
      <c r="C25" s="123"/>
      <c r="D25" s="123"/>
      <c r="E25" s="123"/>
      <c r="F25" s="141"/>
      <c r="G25" s="114"/>
      <c r="H25" s="114"/>
      <c r="I25" s="114"/>
      <c r="J25" s="114"/>
      <c r="K25" s="114"/>
      <c r="L25" s="114"/>
    </row>
    <row r="26" spans="1:14" ht="15" customHeight="1" x14ac:dyDescent="0.3">
      <c r="A26" s="114"/>
      <c r="B26" s="123" t="str">
        <f>IF(Price!A6&lt;&gt;0," "&amp;Price!A6," ")</f>
        <v xml:space="preserve">   +421 412 850 040 </v>
      </c>
      <c r="C26" s="123"/>
      <c r="D26" s="123"/>
      <c r="E26" s="123"/>
      <c r="F26" s="141"/>
      <c r="G26" s="114"/>
      <c r="H26" s="114"/>
      <c r="I26" s="114"/>
      <c r="J26" s="114"/>
      <c r="K26" s="114"/>
      <c r="L26" s="114"/>
      <c r="N26" s="104"/>
    </row>
    <row r="27" spans="1:14" ht="15" customHeight="1" x14ac:dyDescent="0.3">
      <c r="A27" s="114"/>
      <c r="B27" s="123" t="str">
        <f>IF(Price!A7&lt;&gt;0," "&amp;Price!A7," ")</f>
        <v xml:space="preserve">  dispecing.zilina@demos-trade.com </v>
      </c>
      <c r="C27" s="123"/>
      <c r="D27" s="123"/>
      <c r="E27" s="123"/>
      <c r="F27" s="141"/>
      <c r="G27" s="114"/>
      <c r="H27" s="114"/>
      <c r="I27" s="114"/>
      <c r="J27" s="114"/>
      <c r="K27" s="114"/>
      <c r="L27" s="114"/>
      <c r="N27" s="104"/>
    </row>
    <row r="28" spans="1:14" ht="15" customHeight="1" x14ac:dyDescent="0.25">
      <c r="A28" s="114"/>
      <c r="B28" s="124" t="str">
        <f>IF(Price!A8&lt;&gt;0," "&amp;Price!A8," ")</f>
        <v xml:space="preserve"> </v>
      </c>
      <c r="C28" s="124"/>
      <c r="D28" s="124"/>
      <c r="E28" s="124"/>
      <c r="F28" s="141"/>
      <c r="G28" s="114"/>
      <c r="H28" s="114"/>
      <c r="I28" s="114"/>
      <c r="J28" s="114"/>
      <c r="K28" s="114"/>
      <c r="L28" s="114"/>
    </row>
    <row r="29" spans="1:14" ht="15" customHeight="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  <row r="30" spans="1:14" ht="15" customHeight="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14" ht="15" customHeight="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4" ht="15" customHeight="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</row>
    <row r="33" spans="1:12" ht="15" customHeight="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2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1:12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1:12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</row>
    <row r="40" spans="1:12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</row>
    <row r="41" spans="1:12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</row>
    <row r="42" spans="1:12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</row>
    <row r="44" spans="1:12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  <row r="46" spans="1:12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1:12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</row>
    <row r="48" spans="1:12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</row>
    <row r="50" spans="1:12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</row>
    <row r="51" spans="1:12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</row>
    <row r="52" spans="1:12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</row>
    <row r="53" spans="1:12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</row>
    <row r="54" spans="1:12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</row>
    <row r="55" spans="1:12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</row>
    <row r="56" spans="1:12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</row>
    <row r="57" spans="1:12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</row>
    <row r="58" spans="1:12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</row>
    <row r="59" spans="1:12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</row>
    <row r="60" spans="1:12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</row>
    <row r="61" spans="1:12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</row>
    <row r="62" spans="1:12" x14ac:dyDescent="0.25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</row>
    <row r="63" spans="1:12" x14ac:dyDescent="0.25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</row>
    <row r="64" spans="1:12" x14ac:dyDescent="0.2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</row>
    <row r="65" spans="1:12" x14ac:dyDescent="0.25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</row>
    <row r="66" spans="1:12" x14ac:dyDescent="0.2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</row>
    <row r="67" spans="1:12" x14ac:dyDescent="0.25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</row>
    <row r="68" spans="1:12" x14ac:dyDescent="0.25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</row>
    <row r="69" spans="1:12" x14ac:dyDescent="0.25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</row>
    <row r="70" spans="1:12" x14ac:dyDescent="0.25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</row>
    <row r="71" spans="1:12" x14ac:dyDescent="0.25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</row>
    <row r="72" spans="1:12" x14ac:dyDescent="0.25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</row>
    <row r="73" spans="1:12" x14ac:dyDescent="0.25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</row>
    <row r="74" spans="1:12" x14ac:dyDescent="0.25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</row>
    <row r="75" spans="1:12" x14ac:dyDescent="0.25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</row>
    <row r="76" spans="1:12" x14ac:dyDescent="0.25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</row>
    <row r="77" spans="1:12" x14ac:dyDescent="0.25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</row>
    <row r="78" spans="1:12" x14ac:dyDescent="0.25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</row>
    <row r="79" spans="1:12" x14ac:dyDescent="0.25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</row>
    <row r="80" spans="1:12" x14ac:dyDescent="0.25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</row>
    <row r="81" spans="1:12" x14ac:dyDescent="0.25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</row>
    <row r="82" spans="1:12" x14ac:dyDescent="0.25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</row>
    <row r="83" spans="1:12" x14ac:dyDescent="0.25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</row>
    <row r="84" spans="1:12" x14ac:dyDescent="0.25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</row>
    <row r="85" spans="1:12" x14ac:dyDescent="0.2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</row>
    <row r="86" spans="1:12" x14ac:dyDescent="0.25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</row>
    <row r="87" spans="1:12" x14ac:dyDescent="0.25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</row>
    <row r="88" spans="1:12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</row>
    <row r="89" spans="1:12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</row>
    <row r="90" spans="1:12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</row>
    <row r="91" spans="1:12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</row>
    <row r="92" spans="1:12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</row>
    <row r="93" spans="1:12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</row>
    <row r="94" spans="1:12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</row>
    <row r="95" spans="1:12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</row>
    <row r="96" spans="1:12" x14ac:dyDescent="0.2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</row>
    <row r="97" spans="1:12" x14ac:dyDescent="0.25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</row>
    <row r="98" spans="1:12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</row>
    <row r="99" spans="1:12" ht="15.75" customHeight="1" x14ac:dyDescent="0.25">
      <c r="A99" s="568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</row>
    <row r="100" spans="1:12" ht="18" customHeight="1" x14ac:dyDescent="0.4">
      <c r="A100" s="568"/>
      <c r="B100" s="114"/>
      <c r="C100" s="125" t="str">
        <f>List!$B$202</f>
        <v>Formulář pro identifikační údaje</v>
      </c>
      <c r="D100" s="114"/>
      <c r="E100" s="114"/>
      <c r="F100" s="114"/>
      <c r="G100" s="114"/>
      <c r="H100" s="114"/>
      <c r="I100" s="114"/>
      <c r="J100" s="114"/>
      <c r="K100" s="114"/>
      <c r="L100" s="114"/>
    </row>
    <row r="101" spans="1:12" ht="25.5" customHeight="1" x14ac:dyDescent="0.25">
      <c r="A101" s="568"/>
      <c r="B101" s="114"/>
      <c r="C101" s="126" t="str">
        <f>List!$B$203</f>
        <v>Odběratel</v>
      </c>
      <c r="D101" s="127"/>
      <c r="E101" s="114"/>
      <c r="F101" s="114"/>
      <c r="G101" s="128"/>
      <c r="H101" s="128"/>
      <c r="I101" s="128"/>
      <c r="J101" s="128"/>
      <c r="K101" s="128"/>
      <c r="L101" s="114"/>
    </row>
    <row r="102" spans="1:12" ht="15.75" customHeight="1" x14ac:dyDescent="0.3">
      <c r="A102" s="568"/>
      <c r="B102" s="114"/>
      <c r="C102" s="569"/>
      <c r="D102" s="569"/>
      <c r="E102" s="569"/>
      <c r="F102" s="255"/>
      <c r="G102" s="114"/>
      <c r="H102" s="114"/>
      <c r="I102" s="114"/>
      <c r="J102" s="129"/>
      <c r="K102" s="129"/>
      <c r="L102" s="129"/>
    </row>
    <row r="103" spans="1:12" ht="15.75" customHeight="1" x14ac:dyDescent="0.25">
      <c r="A103" s="568"/>
      <c r="B103" s="114"/>
      <c r="C103" s="126" t="str">
        <f>List!$B$204</f>
        <v>Adresa</v>
      </c>
      <c r="D103" s="127"/>
      <c r="E103" s="114"/>
      <c r="F103" s="256"/>
      <c r="G103" s="114"/>
      <c r="H103" s="114"/>
      <c r="I103" s="114"/>
      <c r="J103" s="114"/>
      <c r="K103" s="114"/>
      <c r="L103" s="114"/>
    </row>
    <row r="104" spans="1:12" ht="15.75" customHeight="1" x14ac:dyDescent="0.25">
      <c r="A104" s="568"/>
      <c r="B104" s="114"/>
      <c r="C104" s="570"/>
      <c r="D104" s="570"/>
      <c r="E104" s="570"/>
      <c r="F104" s="255"/>
      <c r="G104" s="114"/>
      <c r="H104" s="114"/>
      <c r="I104" s="114"/>
      <c r="J104" s="114"/>
      <c r="K104" s="114"/>
      <c r="L104" s="114"/>
    </row>
    <row r="105" spans="1:12" ht="15.75" customHeight="1" x14ac:dyDescent="0.25">
      <c r="A105" s="568"/>
      <c r="B105" s="114"/>
      <c r="C105" s="571"/>
      <c r="D105" s="571"/>
      <c r="E105" s="571"/>
      <c r="F105" s="255"/>
      <c r="G105" s="114"/>
      <c r="H105" s="114"/>
      <c r="I105" s="114"/>
      <c r="J105" s="114"/>
      <c r="K105" s="114"/>
      <c r="L105" s="114"/>
    </row>
    <row r="106" spans="1:12" ht="15.75" customHeight="1" x14ac:dyDescent="0.25">
      <c r="A106" s="568"/>
      <c r="B106" s="114"/>
      <c r="C106" s="572"/>
      <c r="D106" s="572"/>
      <c r="E106" s="572"/>
      <c r="F106" s="255"/>
      <c r="G106" s="114"/>
      <c r="H106" s="114"/>
      <c r="I106" s="114"/>
      <c r="J106" s="114"/>
      <c r="K106" s="114"/>
      <c r="L106" s="114"/>
    </row>
    <row r="107" spans="1:12" ht="15.75" customHeight="1" x14ac:dyDescent="0.25">
      <c r="A107" s="568"/>
      <c r="B107" s="114"/>
      <c r="C107" s="126" t="str">
        <f>List!$B$205</f>
        <v>Dodací adresa</v>
      </c>
      <c r="D107" s="127"/>
      <c r="E107" s="114"/>
      <c r="F107" s="256"/>
      <c r="G107" s="114"/>
      <c r="H107" s="114"/>
      <c r="I107" s="114"/>
      <c r="J107" s="114"/>
      <c r="K107" s="114"/>
      <c r="L107" s="114"/>
    </row>
    <row r="108" spans="1:12" ht="15.75" customHeight="1" x14ac:dyDescent="0.25">
      <c r="A108" s="568"/>
      <c r="B108" s="114"/>
      <c r="C108" s="570"/>
      <c r="D108" s="570"/>
      <c r="E108" s="570"/>
      <c r="F108" s="255"/>
      <c r="G108" s="114"/>
      <c r="H108" s="114"/>
      <c r="I108" s="114"/>
      <c r="J108" s="114"/>
      <c r="K108" s="114"/>
      <c r="L108" s="114"/>
    </row>
    <row r="109" spans="1:12" ht="15.75" customHeight="1" x14ac:dyDescent="0.25">
      <c r="A109" s="568"/>
      <c r="B109" s="114"/>
      <c r="C109" s="571"/>
      <c r="D109" s="571"/>
      <c r="E109" s="571"/>
      <c r="F109" s="255"/>
      <c r="G109" s="114"/>
      <c r="H109" s="114"/>
      <c r="I109" s="114"/>
      <c r="J109" s="114"/>
      <c r="K109" s="114"/>
      <c r="L109" s="114"/>
    </row>
    <row r="110" spans="1:12" ht="15.75" customHeight="1" x14ac:dyDescent="0.25">
      <c r="A110" s="568"/>
      <c r="B110" s="114"/>
      <c r="C110" s="572"/>
      <c r="D110" s="572"/>
      <c r="E110" s="572"/>
      <c r="F110" s="255"/>
      <c r="G110" s="114"/>
      <c r="H110" s="114"/>
      <c r="I110" s="114"/>
      <c r="J110" s="114"/>
      <c r="K110" s="114"/>
      <c r="L110" s="114"/>
    </row>
    <row r="111" spans="1:12" ht="15.75" customHeight="1" x14ac:dyDescent="0.25">
      <c r="A111" s="568"/>
      <c r="B111" s="114"/>
      <c r="C111" s="126" t="str">
        <f>List!$B$206</f>
        <v>IČO, DIČ</v>
      </c>
      <c r="D111" s="127"/>
      <c r="E111" s="114"/>
      <c r="F111" s="256"/>
      <c r="G111" s="114"/>
      <c r="H111" s="114"/>
      <c r="I111" s="114"/>
      <c r="J111" s="114"/>
      <c r="K111" s="114"/>
      <c r="L111" s="114"/>
    </row>
    <row r="112" spans="1:12" ht="15.75" customHeight="1" x14ac:dyDescent="0.25">
      <c r="A112" s="568"/>
      <c r="B112" s="114"/>
      <c r="C112" s="570"/>
      <c r="D112" s="570"/>
      <c r="E112" s="114"/>
      <c r="F112" s="256"/>
      <c r="G112" s="114"/>
      <c r="H112" s="114"/>
      <c r="I112" s="114"/>
      <c r="J112" s="114"/>
      <c r="K112" s="114"/>
      <c r="L112" s="114"/>
    </row>
    <row r="113" spans="1:12" ht="15.75" customHeight="1" x14ac:dyDescent="0.25">
      <c r="A113" s="568"/>
      <c r="B113" s="114"/>
      <c r="C113" s="571"/>
      <c r="D113" s="571"/>
      <c r="E113" s="114"/>
      <c r="F113" s="256"/>
      <c r="G113" s="114"/>
      <c r="H113" s="114"/>
      <c r="I113" s="114"/>
      <c r="J113" s="114"/>
      <c r="K113" s="114"/>
      <c r="L113" s="114"/>
    </row>
    <row r="114" spans="1:12" ht="15.75" customHeight="1" x14ac:dyDescent="0.25">
      <c r="A114" s="568"/>
      <c r="B114" s="114"/>
      <c r="C114" s="126" t="str">
        <f>List!$B$207</f>
        <v>Telefon, fax, e-mail</v>
      </c>
      <c r="D114" s="127"/>
      <c r="E114" s="114"/>
      <c r="F114" s="256"/>
      <c r="G114" s="114"/>
      <c r="H114" s="114"/>
      <c r="I114" s="114"/>
      <c r="J114" s="114"/>
      <c r="K114" s="114"/>
      <c r="L114" s="114"/>
    </row>
    <row r="115" spans="1:12" ht="15.75" customHeight="1" x14ac:dyDescent="0.25">
      <c r="A115" s="568"/>
      <c r="B115" s="114"/>
      <c r="C115" s="570"/>
      <c r="D115" s="570"/>
      <c r="E115" s="130"/>
      <c r="F115" s="257"/>
      <c r="G115" s="114"/>
      <c r="H115" s="114"/>
      <c r="I115" s="114"/>
      <c r="J115" s="114"/>
      <c r="K115" s="114"/>
      <c r="L115" s="114"/>
    </row>
    <row r="116" spans="1:12" ht="15.75" customHeight="1" x14ac:dyDescent="0.25">
      <c r="A116" s="568"/>
      <c r="B116" s="114"/>
      <c r="C116" s="571"/>
      <c r="D116" s="571"/>
      <c r="E116" s="130"/>
      <c r="F116" s="257"/>
      <c r="G116" s="114"/>
      <c r="H116" s="114"/>
      <c r="I116" s="114"/>
      <c r="J116" s="114"/>
      <c r="K116" s="114"/>
      <c r="L116" s="114"/>
    </row>
    <row r="117" spans="1:12" ht="15.75" customHeight="1" x14ac:dyDescent="0.25">
      <c r="A117" s="568"/>
      <c r="B117" s="114"/>
      <c r="C117" s="569"/>
      <c r="D117" s="569"/>
      <c r="E117" s="569"/>
      <c r="F117" s="255"/>
      <c r="G117" s="114"/>
      <c r="H117" s="114"/>
      <c r="I117" s="114"/>
      <c r="J117" s="114"/>
      <c r="K117" s="114"/>
      <c r="L117" s="114"/>
    </row>
    <row r="118" spans="1:12" ht="15.75" customHeight="1" x14ac:dyDescent="0.25">
      <c r="A118" s="568"/>
      <c r="B118" s="114"/>
      <c r="C118" s="127"/>
      <c r="D118" s="127"/>
      <c r="E118" s="114"/>
      <c r="F118" s="256"/>
      <c r="G118" s="114"/>
      <c r="H118" s="114"/>
      <c r="I118" s="114"/>
      <c r="J118" s="114"/>
      <c r="K118" s="114"/>
      <c r="L118" s="114"/>
    </row>
    <row r="119" spans="1:12" ht="15.75" customHeight="1" x14ac:dyDescent="0.25">
      <c r="A119" s="568"/>
      <c r="B119" s="114"/>
      <c r="C119" s="114"/>
      <c r="D119" s="131" t="str">
        <f>List!$B$215&amp;" [%]: "</f>
        <v xml:space="preserve">Sleva od prodejce [%]: </v>
      </c>
      <c r="E119" s="134"/>
      <c r="F119" s="258"/>
      <c r="G119" s="114"/>
      <c r="H119" s="114"/>
      <c r="I119" s="114"/>
      <c r="J119" s="114"/>
      <c r="K119" s="114"/>
      <c r="L119" s="114"/>
    </row>
    <row r="120" spans="1:12" ht="15.75" customHeight="1" x14ac:dyDescent="0.25">
      <c r="A120" s="568"/>
      <c r="B120" s="114"/>
      <c r="C120" s="114"/>
      <c r="D120" s="114"/>
      <c r="E120" s="114"/>
      <c r="F120" s="256"/>
      <c r="G120" s="114"/>
      <c r="H120" s="114"/>
      <c r="I120" s="114"/>
      <c r="J120" s="114"/>
      <c r="K120" s="114"/>
      <c r="L120" s="114"/>
    </row>
    <row r="121" spans="1:12" ht="15.75" customHeight="1" x14ac:dyDescent="0.25">
      <c r="A121" s="568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</row>
    <row r="122" spans="1:12" ht="15.75" customHeight="1" x14ac:dyDescent="0.25">
      <c r="A122" s="568"/>
      <c r="B122" s="114"/>
      <c r="C122" s="126" t="str">
        <f>List!$B228</f>
        <v>Vyplňte identifikační údaje a výši slevy od prodejce</v>
      </c>
      <c r="D122" s="114"/>
      <c r="E122" s="114"/>
      <c r="F122" s="114"/>
      <c r="G122" s="114"/>
      <c r="H122" s="114"/>
      <c r="I122" s="114"/>
      <c r="J122" s="114"/>
      <c r="K122" s="114"/>
      <c r="L122" s="114"/>
    </row>
    <row r="123" spans="1:12" ht="15.75" customHeight="1" x14ac:dyDescent="0.25">
      <c r="A123" s="568"/>
      <c r="B123" s="114"/>
      <c r="C123" s="126" t="str">
        <f>List!$B230</f>
        <v>Identifikační údaje se budou zobrazovat v objednávkách</v>
      </c>
      <c r="D123" s="114"/>
      <c r="E123" s="114"/>
      <c r="F123" s="114"/>
      <c r="G123" s="114"/>
      <c r="H123" s="114"/>
      <c r="I123" s="114"/>
      <c r="J123" s="114"/>
      <c r="K123" s="114"/>
      <c r="L123" s="114"/>
    </row>
    <row r="124" spans="1:12" ht="15.75" customHeight="1" x14ac:dyDescent="0.25">
      <c r="A124" s="568"/>
      <c r="B124" s="114"/>
      <c r="C124" s="126" t="str">
        <f>List!$B229</f>
        <v>Po vyplnění se vraťte na úvod a subor uložte nebo zavřete s potvrzením změn</v>
      </c>
      <c r="D124" s="114"/>
      <c r="E124" s="114"/>
      <c r="F124" s="114"/>
      <c r="G124" s="114"/>
      <c r="H124" s="114"/>
      <c r="I124" s="114"/>
      <c r="J124" s="114"/>
      <c r="K124" s="114"/>
      <c r="L124" s="114"/>
    </row>
    <row r="125" spans="1:12" ht="15.75" customHeight="1" x14ac:dyDescent="0.25">
      <c r="A125" s="568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</row>
    <row r="126" spans="1:12" ht="15.75" customHeight="1" x14ac:dyDescent="0.25">
      <c r="A126" s="568"/>
      <c r="B126" s="114"/>
      <c r="C126" s="573" t="str">
        <f>List!$B$100</f>
        <v>Zpět na úvod</v>
      </c>
      <c r="D126" s="573"/>
      <c r="E126" s="114"/>
      <c r="F126" s="114"/>
      <c r="G126" s="114"/>
      <c r="H126" s="114"/>
      <c r="I126" s="114"/>
      <c r="J126" s="132"/>
      <c r="K126" s="132"/>
      <c r="L126" s="132"/>
    </row>
    <row r="127" spans="1:12" ht="15.75" customHeight="1" x14ac:dyDescent="0.25">
      <c r="A127" s="568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</row>
    <row r="128" spans="1:12" ht="15.75" customHeight="1" x14ac:dyDescent="0.25">
      <c r="A128" s="568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</row>
    <row r="129" spans="1:12" ht="15.75" customHeight="1" x14ac:dyDescent="0.25">
      <c r="A129" s="568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</row>
    <row r="130" spans="1:12" ht="15.75" customHeight="1" x14ac:dyDescent="0.25">
      <c r="A130" s="568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</row>
    <row r="131" spans="1:12" ht="15.75" customHeight="1" x14ac:dyDescent="0.25">
      <c r="A131" s="568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</row>
    <row r="132" spans="1:12" ht="15.75" customHeight="1" x14ac:dyDescent="0.25">
      <c r="A132" s="568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</row>
    <row r="133" spans="1:12" s="103" customFormat="1" ht="15.75" customHeight="1" x14ac:dyDescent="0.3">
      <c r="A133" s="568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</row>
    <row r="134" spans="1:12" x14ac:dyDescent="0.25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</row>
    <row r="135" spans="1:12" x14ac:dyDescent="0.25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</row>
    <row r="136" spans="1:12" x14ac:dyDescent="0.25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</row>
    <row r="137" spans="1:12" x14ac:dyDescent="0.25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</row>
    <row r="138" spans="1:12" x14ac:dyDescent="0.25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</row>
    <row r="139" spans="1:12" x14ac:dyDescent="0.25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</row>
    <row r="140" spans="1:12" x14ac:dyDescent="0.25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</row>
    <row r="141" spans="1:12" x14ac:dyDescent="0.25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</row>
    <row r="142" spans="1:12" x14ac:dyDescent="0.25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</row>
    <row r="143" spans="1:12" x14ac:dyDescent="0.25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</row>
    <row r="144" spans="1:12" x14ac:dyDescent="0.25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</row>
    <row r="145" spans="1:12" x14ac:dyDescent="0.25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</row>
    <row r="146" spans="1:12" x14ac:dyDescent="0.25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</row>
    <row r="147" spans="1:12" ht="14.5" x14ac:dyDescent="0.35">
      <c r="A147" s="578"/>
      <c r="B147" s="13"/>
      <c r="C147" s="13"/>
      <c r="D147" s="13"/>
      <c r="E147" s="13"/>
      <c r="F147" s="13"/>
      <c r="G147" s="13"/>
      <c r="H147" s="13"/>
      <c r="I147" s="13"/>
      <c r="J147" s="114"/>
      <c r="K147" s="114"/>
      <c r="L147" s="114"/>
    </row>
    <row r="148" spans="1:12" ht="14.5" x14ac:dyDescent="0.35">
      <c r="A148" s="578"/>
      <c r="B148" s="13"/>
      <c r="C148" s="13"/>
      <c r="D148" s="13"/>
      <c r="E148" s="131" t="str">
        <f>List!$B$81&amp;" [%] "</f>
        <v xml:space="preserve">Zadejte výši slevy [%] </v>
      </c>
      <c r="F148" s="131"/>
      <c r="G148" s="135">
        <v>35</v>
      </c>
      <c r="H148" s="13"/>
      <c r="I148" s="13"/>
      <c r="J148" s="114"/>
      <c r="K148" s="114"/>
      <c r="L148" s="114"/>
    </row>
    <row r="149" spans="1:12" ht="14.5" x14ac:dyDescent="0.35">
      <c r="A149" s="578"/>
      <c r="B149" s="13"/>
      <c r="C149" s="13"/>
      <c r="D149" s="13"/>
      <c r="E149" s="13"/>
      <c r="F149" s="13"/>
      <c r="G149" s="13"/>
      <c r="H149" s="13"/>
      <c r="I149" s="13"/>
      <c r="J149" s="114"/>
      <c r="K149" s="114"/>
      <c r="L149" s="114"/>
    </row>
    <row r="150" spans="1:12" ht="14.5" x14ac:dyDescent="0.35">
      <c r="A150" s="578"/>
      <c r="B150" s="13"/>
      <c r="C150" s="13"/>
      <c r="D150" s="13"/>
      <c r="E150" s="13"/>
      <c r="F150" s="13"/>
      <c r="G150" s="13"/>
      <c r="H150" s="13"/>
      <c r="I150" s="13"/>
      <c r="J150" s="114"/>
      <c r="K150" s="114"/>
      <c r="L150" s="114"/>
    </row>
    <row r="151" spans="1:12" ht="14.5" x14ac:dyDescent="0.35">
      <c r="A151" s="578"/>
      <c r="B151" s="13"/>
      <c r="C151" s="13"/>
      <c r="D151" s="13"/>
      <c r="E151" s="13"/>
      <c r="F151" s="13"/>
      <c r="G151" s="13"/>
      <c r="H151" s="13"/>
      <c r="I151" s="13"/>
      <c r="J151" s="114"/>
      <c r="K151" s="114"/>
      <c r="L151" s="114"/>
    </row>
    <row r="152" spans="1:12" ht="14.5" x14ac:dyDescent="0.35">
      <c r="A152" s="578"/>
      <c r="B152" s="13"/>
      <c r="C152" s="13"/>
      <c r="D152" s="13"/>
      <c r="E152" s="573" t="str">
        <f>List!$B$100</f>
        <v>Zpět na úvod</v>
      </c>
      <c r="F152" s="573"/>
      <c r="G152" s="573"/>
      <c r="H152" s="13"/>
      <c r="I152" s="13"/>
      <c r="J152" s="114"/>
      <c r="K152" s="114"/>
      <c r="L152" s="114"/>
    </row>
    <row r="153" spans="1:12" ht="14.5" x14ac:dyDescent="0.35">
      <c r="A153" s="578"/>
      <c r="B153" s="13"/>
      <c r="C153" s="13"/>
      <c r="D153" s="13"/>
      <c r="E153" s="13"/>
      <c r="F153" s="13"/>
      <c r="G153" s="13"/>
      <c r="H153" s="13"/>
      <c r="I153" s="13"/>
      <c r="J153" s="114"/>
      <c r="K153" s="114"/>
      <c r="L153" s="114"/>
    </row>
    <row r="154" spans="1:12" ht="14.5" x14ac:dyDescent="0.35">
      <c r="A154" s="578"/>
      <c r="B154" s="13"/>
      <c r="C154" s="13"/>
      <c r="D154" s="13"/>
      <c r="E154" s="13"/>
      <c r="F154" s="13"/>
      <c r="G154" s="13"/>
      <c r="H154" s="13"/>
      <c r="I154" s="13"/>
      <c r="J154" s="114"/>
      <c r="K154" s="114"/>
      <c r="L154" s="114"/>
    </row>
    <row r="155" spans="1:12" ht="14.5" x14ac:dyDescent="0.35">
      <c r="A155" s="578"/>
      <c r="B155" s="13"/>
      <c r="C155" s="13"/>
      <c r="D155" s="13"/>
      <c r="E155" s="13"/>
      <c r="F155" s="13"/>
      <c r="G155" s="13"/>
      <c r="H155" s="13"/>
      <c r="I155" s="13"/>
      <c r="J155" s="114"/>
      <c r="K155" s="114"/>
      <c r="L155" s="114"/>
    </row>
    <row r="156" spans="1:12" ht="14.5" x14ac:dyDescent="0.35">
      <c r="A156" s="578"/>
      <c r="B156" s="13"/>
      <c r="C156" s="13"/>
      <c r="D156" s="13"/>
      <c r="E156" s="13"/>
      <c r="F156" s="13"/>
      <c r="G156" s="13"/>
      <c r="H156" s="13"/>
      <c r="I156" s="13"/>
      <c r="J156" s="114"/>
      <c r="K156" s="114"/>
      <c r="L156" s="114"/>
    </row>
    <row r="157" spans="1:12" ht="14.5" x14ac:dyDescent="0.35">
      <c r="A157" s="578"/>
      <c r="B157" s="13"/>
      <c r="C157" s="13"/>
      <c r="D157" s="13"/>
      <c r="E157" s="13"/>
      <c r="F157" s="13"/>
      <c r="G157" s="13"/>
      <c r="H157" s="13"/>
      <c r="I157" s="13"/>
      <c r="J157" s="114"/>
      <c r="K157" s="114"/>
      <c r="L157" s="114"/>
    </row>
    <row r="158" spans="1:12" ht="14.5" x14ac:dyDescent="0.35">
      <c r="A158" s="578"/>
      <c r="B158" s="13"/>
      <c r="C158" s="13"/>
      <c r="D158" s="13"/>
      <c r="E158" s="13"/>
      <c r="F158" s="13"/>
      <c r="G158" s="13"/>
      <c r="H158" s="13"/>
      <c r="I158" s="13"/>
      <c r="J158" s="114"/>
      <c r="K158" s="114"/>
      <c r="L158" s="114"/>
    </row>
    <row r="159" spans="1:12" ht="14.5" x14ac:dyDescent="0.35">
      <c r="A159" s="578"/>
      <c r="B159" s="13"/>
      <c r="C159" s="13"/>
      <c r="D159" s="13"/>
      <c r="E159" s="13"/>
      <c r="F159" s="13"/>
      <c r="G159" s="13"/>
      <c r="H159" s="13"/>
      <c r="I159" s="13"/>
      <c r="J159" s="114"/>
      <c r="K159" s="114"/>
      <c r="L159" s="114"/>
    </row>
    <row r="160" spans="1:12" ht="14.5" x14ac:dyDescent="0.35">
      <c r="A160" s="578"/>
      <c r="B160" s="13"/>
      <c r="C160" s="13"/>
      <c r="D160" s="13"/>
      <c r="E160" s="13"/>
      <c r="F160" s="13"/>
      <c r="G160" s="13"/>
      <c r="H160" s="13"/>
      <c r="I160" s="13"/>
      <c r="J160" s="114"/>
      <c r="K160" s="114"/>
      <c r="L160" s="114"/>
    </row>
    <row r="161" spans="1:12" ht="14.5" x14ac:dyDescent="0.35">
      <c r="A161" s="578"/>
      <c r="B161" s="13"/>
      <c r="C161" s="13"/>
      <c r="D161" s="13"/>
      <c r="E161" s="13"/>
      <c r="F161" s="13"/>
      <c r="G161" s="13"/>
      <c r="H161" s="13"/>
      <c r="I161" s="13"/>
      <c r="J161" s="114"/>
      <c r="K161" s="114"/>
      <c r="L161" s="114"/>
    </row>
    <row r="162" spans="1:12" ht="14.5" x14ac:dyDescent="0.35">
      <c r="A162" s="578"/>
      <c r="B162" s="13"/>
      <c r="C162" s="13"/>
      <c r="D162" s="13"/>
      <c r="E162" s="13"/>
      <c r="F162" s="13"/>
      <c r="G162" s="13"/>
      <c r="H162" s="13"/>
      <c r="I162" s="13"/>
      <c r="J162" s="114"/>
      <c r="K162" s="114"/>
      <c r="L162" s="114"/>
    </row>
    <row r="163" spans="1:12" ht="14.5" x14ac:dyDescent="0.35">
      <c r="A163" s="578"/>
      <c r="B163" s="13"/>
      <c r="C163" s="13"/>
      <c r="D163" s="13"/>
      <c r="E163" s="13"/>
      <c r="F163" s="13"/>
      <c r="G163" s="13"/>
      <c r="H163" s="13"/>
      <c r="I163" s="13"/>
      <c r="J163" s="114"/>
      <c r="K163" s="114"/>
      <c r="L163" s="114"/>
    </row>
    <row r="164" spans="1:12" ht="14.5" x14ac:dyDescent="0.35">
      <c r="A164" s="578"/>
      <c r="B164" s="13"/>
      <c r="C164" s="13"/>
      <c r="D164" s="13"/>
      <c r="E164" s="13"/>
      <c r="F164" s="13"/>
      <c r="G164" s="13"/>
      <c r="H164" s="13"/>
      <c r="I164" s="13"/>
      <c r="J164" s="114"/>
      <c r="K164" s="114"/>
      <c r="L164" s="114"/>
    </row>
    <row r="165" spans="1:12" ht="14.5" x14ac:dyDescent="0.35">
      <c r="A165" s="578"/>
      <c r="B165" s="13"/>
      <c r="C165" s="13"/>
      <c r="D165" s="13"/>
      <c r="E165" s="13"/>
      <c r="F165" s="13"/>
      <c r="G165" s="13"/>
      <c r="H165" s="13"/>
      <c r="I165" s="13"/>
      <c r="J165" s="114"/>
      <c r="K165" s="114"/>
      <c r="L165" s="114"/>
    </row>
    <row r="166" spans="1:12" ht="14.5" x14ac:dyDescent="0.35">
      <c r="A166" s="578"/>
      <c r="B166" s="13"/>
      <c r="C166" s="13"/>
      <c r="D166" s="13"/>
      <c r="E166" s="13"/>
      <c r="F166" s="13"/>
      <c r="G166" s="13"/>
      <c r="H166" s="13"/>
      <c r="I166" s="13"/>
      <c r="J166" s="114"/>
      <c r="K166" s="114"/>
      <c r="L166" s="114"/>
    </row>
    <row r="167" spans="1:12" ht="14.5" x14ac:dyDescent="0.35">
      <c r="A167" s="578"/>
      <c r="B167" s="13"/>
      <c r="C167" s="13"/>
      <c r="D167" s="13"/>
      <c r="E167" s="13"/>
      <c r="F167" s="13"/>
      <c r="G167" s="13"/>
      <c r="H167" s="13"/>
      <c r="I167" s="13"/>
      <c r="J167" s="114"/>
      <c r="K167" s="114"/>
      <c r="L167" s="114"/>
    </row>
    <row r="168" spans="1:12" ht="14.5" x14ac:dyDescent="0.35">
      <c r="A168" s="578"/>
      <c r="B168" s="13"/>
      <c r="C168" s="13"/>
      <c r="D168" s="13"/>
      <c r="E168" s="13"/>
      <c r="F168" s="13"/>
      <c r="G168" s="13"/>
      <c r="H168" s="13"/>
      <c r="I168" s="13"/>
      <c r="J168" s="114"/>
      <c r="K168" s="114"/>
      <c r="L168" s="114"/>
    </row>
    <row r="169" spans="1:12" ht="14.5" x14ac:dyDescent="0.35">
      <c r="A169" s="578"/>
      <c r="B169" s="13"/>
      <c r="C169" s="13"/>
      <c r="D169" s="13"/>
      <c r="E169" s="13"/>
      <c r="F169" s="13"/>
      <c r="G169" s="13"/>
      <c r="H169" s="13"/>
      <c r="I169" s="13"/>
      <c r="J169" s="114"/>
      <c r="K169" s="114"/>
      <c r="L169" s="114"/>
    </row>
    <row r="170" spans="1:12" ht="14.5" x14ac:dyDescent="0.35">
      <c r="A170" s="578"/>
      <c r="B170" s="13"/>
      <c r="C170" s="13"/>
      <c r="D170" s="13"/>
      <c r="E170" s="13"/>
      <c r="F170" s="13"/>
      <c r="G170" s="13"/>
      <c r="H170" s="13"/>
      <c r="I170" s="13"/>
      <c r="J170" s="114"/>
      <c r="K170" s="114"/>
      <c r="L170" s="114"/>
    </row>
    <row r="171" spans="1:12" ht="14.5" x14ac:dyDescent="0.35">
      <c r="A171" s="578"/>
      <c r="B171" s="13"/>
      <c r="C171" s="13"/>
      <c r="D171" s="13"/>
      <c r="E171" s="13"/>
      <c r="F171" s="13"/>
      <c r="G171" s="13"/>
      <c r="H171" s="13"/>
      <c r="I171" s="13"/>
      <c r="J171" s="114"/>
      <c r="K171" s="114"/>
      <c r="L171" s="114"/>
    </row>
    <row r="172" spans="1:12" ht="14.5" x14ac:dyDescent="0.35">
      <c r="A172" s="578"/>
      <c r="B172" s="13"/>
      <c r="C172" s="13"/>
      <c r="D172" s="13"/>
      <c r="E172" s="13"/>
      <c r="F172" s="13"/>
      <c r="G172" s="13"/>
      <c r="H172" s="13"/>
      <c r="I172" s="13"/>
      <c r="J172" s="114"/>
      <c r="K172" s="114"/>
      <c r="L172" s="114"/>
    </row>
    <row r="173" spans="1:12" ht="14.5" x14ac:dyDescent="0.35">
      <c r="A173" s="578"/>
      <c r="B173" s="13"/>
      <c r="C173" s="13"/>
      <c r="D173" s="13"/>
      <c r="E173" s="13"/>
      <c r="F173" s="13"/>
      <c r="G173" s="13"/>
      <c r="H173" s="13"/>
      <c r="I173" s="13"/>
      <c r="J173" s="114"/>
      <c r="K173" s="114"/>
      <c r="L173" s="114"/>
    </row>
    <row r="174" spans="1:12" ht="14.5" x14ac:dyDescent="0.35">
      <c r="A174" s="578"/>
      <c r="B174" s="13"/>
      <c r="C174" s="13"/>
      <c r="D174" s="13"/>
      <c r="E174" s="13"/>
      <c r="F174" s="13"/>
      <c r="G174" s="13"/>
      <c r="H174" s="13"/>
      <c r="I174" s="13"/>
      <c r="J174" s="114"/>
      <c r="K174" s="114"/>
      <c r="L174" s="114"/>
    </row>
    <row r="175" spans="1:12" ht="14.5" x14ac:dyDescent="0.35">
      <c r="A175" s="578"/>
      <c r="B175" s="13"/>
      <c r="C175" s="13"/>
      <c r="D175" s="13"/>
      <c r="E175" s="13"/>
      <c r="F175" s="13"/>
      <c r="G175" s="13"/>
      <c r="H175" s="13"/>
      <c r="I175" s="13"/>
      <c r="J175" s="114"/>
      <c r="K175" s="114"/>
      <c r="L175" s="114"/>
    </row>
    <row r="176" spans="1:12" ht="14.5" x14ac:dyDescent="0.35">
      <c r="A176" s="578"/>
      <c r="B176" s="13"/>
      <c r="C176" s="13"/>
      <c r="D176" s="13"/>
      <c r="E176" s="13"/>
      <c r="F176" s="13"/>
      <c r="G176" s="13"/>
      <c r="H176" s="13"/>
      <c r="I176" s="13"/>
      <c r="J176" s="114"/>
      <c r="K176" s="114"/>
      <c r="L176" s="114"/>
    </row>
    <row r="177" spans="1:12" ht="14.5" x14ac:dyDescent="0.35">
      <c r="A177" s="578"/>
      <c r="B177" s="13"/>
      <c r="C177" s="13"/>
      <c r="D177" s="13"/>
      <c r="E177" s="13"/>
      <c r="F177" s="13"/>
      <c r="G177" s="13"/>
      <c r="H177" s="13"/>
      <c r="I177" s="13"/>
      <c r="J177" s="114"/>
      <c r="K177" s="114"/>
      <c r="L177" s="114"/>
    </row>
    <row r="178" spans="1:12" ht="14.5" x14ac:dyDescent="0.35">
      <c r="A178" s="578"/>
      <c r="B178" s="13"/>
      <c r="C178" s="13"/>
      <c r="D178" s="13"/>
      <c r="E178" s="13"/>
      <c r="F178" s="13"/>
      <c r="G178" s="13"/>
      <c r="H178" s="13"/>
      <c r="I178" s="13"/>
      <c r="J178" s="114"/>
      <c r="K178" s="114"/>
      <c r="L178" s="114"/>
    </row>
    <row r="179" spans="1:12" ht="14.5" x14ac:dyDescent="0.35">
      <c r="A179" s="578"/>
      <c r="B179" s="13"/>
      <c r="C179" s="13"/>
      <c r="D179" s="13"/>
      <c r="E179" s="13"/>
      <c r="F179" s="13"/>
      <c r="G179" s="13"/>
      <c r="H179" s="13"/>
      <c r="I179" s="13"/>
      <c r="J179" s="114"/>
      <c r="K179" s="114"/>
      <c r="L179" s="114"/>
    </row>
    <row r="180" spans="1:12" ht="14.5" x14ac:dyDescent="0.35">
      <c r="A180" s="578"/>
      <c r="B180" s="13"/>
      <c r="C180" s="13"/>
      <c r="D180" s="13"/>
      <c r="E180" s="13"/>
      <c r="F180" s="13"/>
      <c r="G180" s="13"/>
      <c r="H180" s="13"/>
      <c r="I180" s="13"/>
      <c r="J180" s="114"/>
      <c r="K180" s="114"/>
      <c r="L180" s="114"/>
    </row>
    <row r="181" spans="1:12" ht="14.5" x14ac:dyDescent="0.35">
      <c r="A181" s="578"/>
      <c r="B181" s="13"/>
      <c r="C181" s="13"/>
      <c r="D181" s="13"/>
      <c r="E181" s="13"/>
      <c r="F181" s="13"/>
      <c r="G181" s="13"/>
      <c r="H181" s="13"/>
      <c r="I181" s="13"/>
      <c r="J181" s="114"/>
      <c r="K181" s="114"/>
      <c r="L181" s="114"/>
    </row>
    <row r="182" spans="1:12" ht="14.5" x14ac:dyDescent="0.35">
      <c r="A182" s="578"/>
      <c r="B182" s="13"/>
      <c r="C182" s="13"/>
      <c r="D182" s="13"/>
      <c r="E182" s="13"/>
      <c r="F182" s="13"/>
      <c r="G182" s="13"/>
      <c r="H182" s="13"/>
      <c r="I182" s="13"/>
      <c r="J182" s="114"/>
      <c r="K182" s="114"/>
      <c r="L182" s="114"/>
    </row>
    <row r="183" spans="1:12" ht="14.5" x14ac:dyDescent="0.35">
      <c r="A183" s="578"/>
      <c r="B183" s="13"/>
      <c r="C183" s="13"/>
      <c r="D183" s="13"/>
      <c r="E183" s="13"/>
      <c r="F183" s="13"/>
      <c r="G183" s="13"/>
      <c r="H183" s="13"/>
      <c r="I183" s="13"/>
      <c r="J183" s="114"/>
      <c r="K183" s="114"/>
      <c r="L183" s="114"/>
    </row>
    <row r="184" spans="1:12" ht="14.5" x14ac:dyDescent="0.35">
      <c r="A184" s="578"/>
      <c r="B184" s="13"/>
      <c r="C184" s="13"/>
      <c r="D184" s="13"/>
      <c r="E184" s="13"/>
      <c r="F184" s="13"/>
      <c r="G184" s="13"/>
      <c r="H184" s="13"/>
      <c r="I184" s="13"/>
      <c r="J184" s="114"/>
      <c r="K184" s="114"/>
      <c r="L184" s="114"/>
    </row>
    <row r="185" spans="1:12" ht="14.5" x14ac:dyDescent="0.35">
      <c r="A185" s="578"/>
      <c r="B185" s="13"/>
      <c r="C185" s="13"/>
      <c r="D185" s="13"/>
      <c r="E185" s="13"/>
      <c r="F185" s="13"/>
      <c r="G185" s="13"/>
      <c r="H185" s="13"/>
      <c r="I185" s="13"/>
      <c r="J185" s="114"/>
      <c r="K185" s="114"/>
      <c r="L185" s="114"/>
    </row>
    <row r="186" spans="1:12" ht="14.5" x14ac:dyDescent="0.35">
      <c r="A186" s="578"/>
      <c r="B186" s="13"/>
      <c r="C186" s="13"/>
      <c r="D186" s="13"/>
      <c r="E186" s="13"/>
      <c r="F186" s="13"/>
      <c r="G186" s="13"/>
      <c r="H186" s="13"/>
      <c r="I186" s="13"/>
      <c r="J186" s="114"/>
      <c r="K186" s="114"/>
      <c r="L186" s="114"/>
    </row>
    <row r="187" spans="1:12" ht="14.5" x14ac:dyDescent="0.35">
      <c r="A187" s="578"/>
      <c r="B187" s="13"/>
      <c r="C187" s="13"/>
      <c r="D187" s="13"/>
      <c r="E187" s="13"/>
      <c r="F187" s="13"/>
      <c r="G187" s="13"/>
      <c r="H187" s="13"/>
      <c r="I187" s="13"/>
      <c r="J187" s="114"/>
      <c r="K187" s="114"/>
      <c r="L187" s="114"/>
    </row>
    <row r="188" spans="1:12" ht="14.5" x14ac:dyDescent="0.35">
      <c r="A188" s="578"/>
      <c r="B188" s="13"/>
      <c r="C188" s="13"/>
      <c r="D188" s="13"/>
      <c r="E188" s="13"/>
      <c r="F188" s="13"/>
      <c r="G188" s="13"/>
      <c r="H188" s="13"/>
      <c r="I188" s="13"/>
      <c r="J188" s="114"/>
      <c r="K188" s="114"/>
      <c r="L188" s="114"/>
    </row>
    <row r="189" spans="1:12" ht="14.5" x14ac:dyDescent="0.35">
      <c r="A189" s="578"/>
      <c r="B189" s="13"/>
      <c r="C189" s="13"/>
      <c r="D189" s="13"/>
      <c r="E189" s="13"/>
      <c r="F189" s="13"/>
      <c r="G189" s="13"/>
      <c r="H189" s="13"/>
      <c r="I189" s="13"/>
      <c r="J189" s="114"/>
      <c r="K189" s="114"/>
      <c r="L189" s="114"/>
    </row>
    <row r="190" spans="1:12" ht="14.5" x14ac:dyDescent="0.35">
      <c r="A190" s="578"/>
      <c r="B190" s="13"/>
      <c r="C190" s="13"/>
      <c r="D190" s="13"/>
      <c r="E190" s="13"/>
      <c r="F190" s="13"/>
      <c r="G190" s="13"/>
      <c r="H190" s="13"/>
      <c r="I190" s="13"/>
      <c r="J190" s="114"/>
      <c r="K190" s="114"/>
      <c r="L190" s="114"/>
    </row>
    <row r="191" spans="1:12" x14ac:dyDescent="0.25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</row>
    <row r="192" spans="1:12" x14ac:dyDescent="0.25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</row>
    <row r="193" spans="1:12" x14ac:dyDescent="0.25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</row>
    <row r="194" spans="1:12" x14ac:dyDescent="0.25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</row>
    <row r="195" spans="1:12" x14ac:dyDescent="0.25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</row>
    <row r="196" spans="1:12" x14ac:dyDescent="0.25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</row>
    <row r="197" spans="1:12" x14ac:dyDescent="0.25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</row>
    <row r="198" spans="1:12" x14ac:dyDescent="0.25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</row>
    <row r="199" spans="1:12" x14ac:dyDescent="0.25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</row>
    <row r="200" spans="1:12" x14ac:dyDescent="0.25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</row>
    <row r="201" spans="1:12" x14ac:dyDescent="0.25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</row>
    <row r="202" spans="1:12" x14ac:dyDescent="0.25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</row>
    <row r="203" spans="1:12" x14ac:dyDescent="0.25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</row>
    <row r="204" spans="1:12" x14ac:dyDescent="0.25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</row>
    <row r="205" spans="1:12" x14ac:dyDescent="0.25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</row>
    <row r="206" spans="1:12" x14ac:dyDescent="0.25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</row>
    <row r="207" spans="1:12" x14ac:dyDescent="0.25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</row>
    <row r="208" spans="1:12" x14ac:dyDescent="0.25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</row>
    <row r="209" spans="1:12" x14ac:dyDescent="0.25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</row>
    <row r="210" spans="1:12" x14ac:dyDescent="0.25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</row>
    <row r="211" spans="1:12" x14ac:dyDescent="0.25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</row>
    <row r="212" spans="1:12" x14ac:dyDescent="0.25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</row>
    <row r="213" spans="1:12" x14ac:dyDescent="0.25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</row>
    <row r="214" spans="1:12" x14ac:dyDescent="0.25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</row>
    <row r="215" spans="1:12" x14ac:dyDescent="0.25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</row>
    <row r="216" spans="1:12" x14ac:dyDescent="0.25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</row>
    <row r="217" spans="1:12" x14ac:dyDescent="0.25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</row>
    <row r="218" spans="1:12" x14ac:dyDescent="0.25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</row>
    <row r="219" spans="1:12" x14ac:dyDescent="0.25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</row>
    <row r="220" spans="1:12" x14ac:dyDescent="0.25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</row>
    <row r="221" spans="1:12" x14ac:dyDescent="0.25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</row>
    <row r="222" spans="1:12" x14ac:dyDescent="0.25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</row>
    <row r="223" spans="1:12" x14ac:dyDescent="0.25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</row>
    <row r="224" spans="1:12" x14ac:dyDescent="0.25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</row>
    <row r="225" spans="1:12" x14ac:dyDescent="0.25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</row>
    <row r="226" spans="1:12" x14ac:dyDescent="0.25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</row>
    <row r="227" spans="1:12" x14ac:dyDescent="0.25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</row>
    <row r="228" spans="1:12" x14ac:dyDescent="0.25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</row>
    <row r="229" spans="1:12" x14ac:dyDescent="0.25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</row>
    <row r="230" spans="1:12" x14ac:dyDescent="0.25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</row>
    <row r="231" spans="1:12" x14ac:dyDescent="0.25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</row>
    <row r="232" spans="1:12" x14ac:dyDescent="0.25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</row>
    <row r="233" spans="1:12" x14ac:dyDescent="0.25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</row>
    <row r="234" spans="1:12" x14ac:dyDescent="0.25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</row>
    <row r="235" spans="1:12" x14ac:dyDescent="0.2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</row>
    <row r="236" spans="1:12" x14ac:dyDescent="0.25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</row>
    <row r="237" spans="1:12" x14ac:dyDescent="0.25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</row>
    <row r="238" spans="1:12" x14ac:dyDescent="0.25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</row>
    <row r="239" spans="1:12" x14ac:dyDescent="0.25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</row>
    <row r="240" spans="1:12" x14ac:dyDescent="0.25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</row>
    <row r="241" spans="1:12" x14ac:dyDescent="0.25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</row>
    <row r="242" spans="1:12" x14ac:dyDescent="0.25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</row>
    <row r="243" spans="1:12" x14ac:dyDescent="0.25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</row>
    <row r="244" spans="1:12" x14ac:dyDescent="0.25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</row>
    <row r="245" spans="1:12" x14ac:dyDescent="0.25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</row>
    <row r="246" spans="1:12" x14ac:dyDescent="0.25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</row>
    <row r="247" spans="1:12" x14ac:dyDescent="0.25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</row>
    <row r="248" spans="1:12" x14ac:dyDescent="0.25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</row>
    <row r="249" spans="1:12" x14ac:dyDescent="0.25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</row>
    <row r="250" spans="1:12" x14ac:dyDescent="0.25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</row>
    <row r="251" spans="1:12" x14ac:dyDescent="0.25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</row>
    <row r="252" spans="1:12" x14ac:dyDescent="0.25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</row>
    <row r="253" spans="1:12" x14ac:dyDescent="0.25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</row>
    <row r="254" spans="1:12" x14ac:dyDescent="0.25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</row>
    <row r="255" spans="1:12" x14ac:dyDescent="0.25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</row>
    <row r="256" spans="1:12" x14ac:dyDescent="0.25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</row>
    <row r="257" spans="1:12" x14ac:dyDescent="0.25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</row>
    <row r="258" spans="1:12" x14ac:dyDescent="0.25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</row>
    <row r="259" spans="1:12" x14ac:dyDescent="0.25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</row>
    <row r="260" spans="1:12" x14ac:dyDescent="0.25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</row>
    <row r="261" spans="1:12" x14ac:dyDescent="0.25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</row>
    <row r="262" spans="1:12" x14ac:dyDescent="0.25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</row>
    <row r="263" spans="1:12" x14ac:dyDescent="0.25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</row>
    <row r="264" spans="1:12" x14ac:dyDescent="0.25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</row>
    <row r="265" spans="1:12" x14ac:dyDescent="0.25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</row>
    <row r="266" spans="1:12" x14ac:dyDescent="0.25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</row>
    <row r="267" spans="1:12" x14ac:dyDescent="0.25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</row>
    <row r="268" spans="1:12" x14ac:dyDescent="0.25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</row>
    <row r="269" spans="1:12" x14ac:dyDescent="0.25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</row>
    <row r="270" spans="1:12" x14ac:dyDescent="0.25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</row>
    <row r="271" spans="1:12" x14ac:dyDescent="0.25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</row>
    <row r="272" spans="1:12" x14ac:dyDescent="0.25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</row>
    <row r="273" spans="1:12" x14ac:dyDescent="0.25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</row>
    <row r="274" spans="1:12" x14ac:dyDescent="0.25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</row>
    <row r="275" spans="1:12" x14ac:dyDescent="0.25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</row>
    <row r="276" spans="1:12" x14ac:dyDescent="0.25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</row>
    <row r="277" spans="1:12" x14ac:dyDescent="0.25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</row>
    <row r="278" spans="1:12" x14ac:dyDescent="0.25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</row>
    <row r="279" spans="1:12" x14ac:dyDescent="0.25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</row>
    <row r="280" spans="1:12" x14ac:dyDescent="0.25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</row>
    <row r="281" spans="1:12" x14ac:dyDescent="0.25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</row>
    <row r="282" spans="1:12" x14ac:dyDescent="0.25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</row>
    <row r="283" spans="1:12" x14ac:dyDescent="0.25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</row>
    <row r="284" spans="1:12" x14ac:dyDescent="0.25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</row>
    <row r="285" spans="1:12" x14ac:dyDescent="0.25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</row>
    <row r="286" spans="1:12" x14ac:dyDescent="0.25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</row>
    <row r="287" spans="1:12" x14ac:dyDescent="0.25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</row>
    <row r="288" spans="1:12" x14ac:dyDescent="0.25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</row>
    <row r="289" spans="1:12" x14ac:dyDescent="0.25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</row>
    <row r="290" spans="1:12" x14ac:dyDescent="0.25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</row>
    <row r="291" spans="1:12" x14ac:dyDescent="0.25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</row>
    <row r="292" spans="1:12" x14ac:dyDescent="0.25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</row>
    <row r="293" spans="1:12" x14ac:dyDescent="0.25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</row>
    <row r="294" spans="1:12" x14ac:dyDescent="0.25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</row>
    <row r="295" spans="1:12" x14ac:dyDescent="0.25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</row>
    <row r="296" spans="1:12" x14ac:dyDescent="0.25">
      <c r="A296" s="579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</row>
    <row r="297" spans="1:12" x14ac:dyDescent="0.25">
      <c r="A297" s="579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</row>
    <row r="298" spans="1:12" x14ac:dyDescent="0.25">
      <c r="A298" s="579"/>
      <c r="B298" s="580" t="str">
        <f>List!$B$216</f>
        <v>Ceník</v>
      </c>
      <c r="C298" s="581"/>
      <c r="D298" s="114"/>
      <c r="E298" s="582" t="s">
        <v>394</v>
      </c>
      <c r="F298" s="583"/>
      <c r="G298" s="584"/>
      <c r="H298" s="114"/>
      <c r="I298" s="114"/>
      <c r="J298" s="576" t="str">
        <f>List!$B$100</f>
        <v>Zpět na úvod</v>
      </c>
      <c r="K298" s="576"/>
      <c r="L298" s="114"/>
    </row>
    <row r="299" spans="1:12" x14ac:dyDescent="0.25">
      <c r="A299" s="579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</row>
    <row r="300" spans="1:12" x14ac:dyDescent="0.25">
      <c r="A300" s="579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</row>
    <row r="301" spans="1:12" x14ac:dyDescent="0.25">
      <c r="A301" s="579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</row>
    <row r="302" spans="1:12" x14ac:dyDescent="0.25">
      <c r="A302" s="579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</row>
    <row r="303" spans="1:12" x14ac:dyDescent="0.25">
      <c r="A303" s="579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</row>
    <row r="304" spans="1:12" x14ac:dyDescent="0.25">
      <c r="A304" s="579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</row>
    <row r="305" spans="1:12" x14ac:dyDescent="0.25">
      <c r="A305" s="579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</row>
    <row r="306" spans="1:12" x14ac:dyDescent="0.25">
      <c r="A306" s="579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</row>
    <row r="307" spans="1:12" x14ac:dyDescent="0.25">
      <c r="A307" s="579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</row>
    <row r="397" spans="1:11" x14ac:dyDescent="0.25">
      <c r="A397" s="577"/>
    </row>
    <row r="398" spans="1:11" ht="17.5" x14ac:dyDescent="0.35">
      <c r="A398" s="577"/>
      <c r="B398" s="207" t="str">
        <f>"     "&amp;List!$B$16&amp;": "&amp;List!$B$13</f>
        <v xml:space="preserve">     Nápověda: Úvod</v>
      </c>
      <c r="C398" s="7"/>
      <c r="D398" s="7"/>
      <c r="E398" s="7"/>
      <c r="F398" s="7"/>
      <c r="G398" s="7"/>
      <c r="H398" s="7"/>
      <c r="I398" s="7"/>
      <c r="J398" s="7"/>
      <c r="K398" s="58"/>
    </row>
    <row r="399" spans="1:11" x14ac:dyDescent="0.25">
      <c r="A399" s="577"/>
    </row>
    <row r="400" spans="1:11" x14ac:dyDescent="0.25">
      <c r="A400" s="577"/>
      <c r="B400" s="2" t="str">
        <f>List!B226&amp;":"</f>
        <v>Před prvním spuštěním:</v>
      </c>
    </row>
    <row r="401" spans="1:2" x14ac:dyDescent="0.25">
      <c r="A401" s="577"/>
    </row>
    <row r="402" spans="1:2" x14ac:dyDescent="0.25">
      <c r="A402" s="577"/>
      <c r="B402" s="2" t="str">
        <f>"1. "&amp;List!$B$227&amp;" ' "&amp;List!$B$24&amp;" '"</f>
        <v>1. Přejděte na  ' Základní údaje '</v>
      </c>
    </row>
    <row r="403" spans="1:2" x14ac:dyDescent="0.25">
      <c r="A403" s="577"/>
      <c r="B403" s="2" t="str">
        <f>"2. "&amp;List!$B$228</f>
        <v>2. Vyplňte identifikační údaje a výši slevy od prodejce</v>
      </c>
    </row>
    <row r="404" spans="1:2" x14ac:dyDescent="0.25">
      <c r="A404" s="577"/>
      <c r="B404" s="2" t="str">
        <f>"3. "&amp;List!$B$229</f>
        <v>3. Po vyplnění se vraťte na úvod a subor uložte nebo zavřete s potvrzením změn</v>
      </c>
    </row>
    <row r="405" spans="1:2" x14ac:dyDescent="0.25">
      <c r="A405" s="577"/>
      <c r="B405" s="2" t="str">
        <f>"    "&amp;List!$B$230</f>
        <v xml:space="preserve">    Identifikační údaje se budou zobrazovat v objednávkách</v>
      </c>
    </row>
    <row r="406" spans="1:2" x14ac:dyDescent="0.25">
      <c r="A406" s="577"/>
    </row>
    <row r="407" spans="1:2" x14ac:dyDescent="0.25">
      <c r="A407" s="577"/>
    </row>
    <row r="408" spans="1:2" x14ac:dyDescent="0.25">
      <c r="A408" s="577"/>
      <c r="B408" s="2" t="str">
        <f>List!B232</f>
        <v>Na úvodní obrazovce vyberte, jaké ceny se budou zobrazovat:</v>
      </c>
    </row>
    <row r="409" spans="1:2" x14ac:dyDescent="0.25">
      <c r="A409" s="577"/>
      <c r="B409" s="2" t="str">
        <f>" - "&amp;List!B233</f>
        <v xml:space="preserve"> - Základní (ceníkové) ceny bez slevy</v>
      </c>
    </row>
    <row r="410" spans="1:2" x14ac:dyDescent="0.25">
      <c r="A410" s="577"/>
      <c r="B410" s="2" t="str">
        <f>" - "&amp;List!$B$79&amp;" ("&amp;List!$B$83&amp;")"</f>
        <v xml:space="preserve"> - Nákupní ceny (Ceny se slevou od prodejce)</v>
      </c>
    </row>
    <row r="411" spans="1:2" x14ac:dyDescent="0.25">
      <c r="A411" s="577"/>
      <c r="B411" s="2" t="str">
        <f>" - "&amp;List!$B$82</f>
        <v xml:space="preserve"> - Ceny s volitelnou slevou</v>
      </c>
    </row>
    <row r="412" spans="1:2" ht="13" x14ac:dyDescent="0.3">
      <c r="A412" s="577"/>
      <c r="B412" s="251" t="str">
        <f>"     Tip: "&amp;List!B234</f>
        <v xml:space="preserve">     Tip: Zadáte-li slevu s mínusovým znamínkem, zobrazí se ceny o tuto hodnotu vyšší </v>
      </c>
    </row>
    <row r="413" spans="1:2" x14ac:dyDescent="0.25">
      <c r="A413" s="577"/>
    </row>
    <row r="414" spans="1:2" x14ac:dyDescent="0.25">
      <c r="A414" s="577"/>
      <c r="B414" s="2" t="str">
        <f>List!$B$236</f>
        <v>Vyberte barvu povrchové úpravy</v>
      </c>
    </row>
    <row r="415" spans="1:2" x14ac:dyDescent="0.25">
      <c r="A415" s="577"/>
      <c r="B415" s="2" t="str">
        <f>List!$B$237</f>
        <v>Vyberte způsob montáže čelního kování</v>
      </c>
    </row>
    <row r="416" spans="1:2" x14ac:dyDescent="0.25">
      <c r="A416" s="577"/>
    </row>
    <row r="417" spans="1:1" x14ac:dyDescent="0.25">
      <c r="A417" s="577"/>
    </row>
    <row r="418" spans="1:1" x14ac:dyDescent="0.25">
      <c r="A418" s="577"/>
    </row>
    <row r="419" spans="1:1" x14ac:dyDescent="0.25">
      <c r="A419" s="577"/>
    </row>
    <row r="420" spans="1:1" x14ac:dyDescent="0.25">
      <c r="A420" s="577"/>
    </row>
    <row r="421" spans="1:1" x14ac:dyDescent="0.25">
      <c r="A421" s="577"/>
    </row>
    <row r="422" spans="1:1" x14ac:dyDescent="0.25">
      <c r="A422" s="577"/>
    </row>
    <row r="423" spans="1:1" x14ac:dyDescent="0.25">
      <c r="A423" s="577"/>
    </row>
    <row r="424" spans="1:1" x14ac:dyDescent="0.25">
      <c r="A424" s="577"/>
    </row>
    <row r="425" spans="1:1" x14ac:dyDescent="0.25">
      <c r="A425" s="577"/>
    </row>
    <row r="426" spans="1:1" x14ac:dyDescent="0.25">
      <c r="A426" s="577"/>
    </row>
    <row r="427" spans="1:1" x14ac:dyDescent="0.25">
      <c r="A427" s="577"/>
    </row>
    <row r="428" spans="1:1" x14ac:dyDescent="0.25">
      <c r="A428" s="577"/>
    </row>
    <row r="429" spans="1:1" x14ac:dyDescent="0.25">
      <c r="A429" s="577"/>
    </row>
    <row r="430" spans="1:1" x14ac:dyDescent="0.25">
      <c r="A430" s="577"/>
    </row>
    <row r="431" spans="1:1" x14ac:dyDescent="0.25">
      <c r="A431" s="577"/>
    </row>
    <row r="432" spans="1:1" x14ac:dyDescent="0.25">
      <c r="A432" s="577"/>
    </row>
    <row r="433" spans="1:10" x14ac:dyDescent="0.25">
      <c r="A433" s="577"/>
      <c r="H433" s="573" t="str">
        <f>List!$B$100</f>
        <v>Zpět na úvod</v>
      </c>
      <c r="I433" s="573"/>
      <c r="J433" s="573"/>
    </row>
    <row r="434" spans="1:10" x14ac:dyDescent="0.25">
      <c r="A434" s="577"/>
    </row>
    <row r="435" spans="1:10" x14ac:dyDescent="0.25">
      <c r="A435" s="577"/>
    </row>
    <row r="436" spans="1:10" x14ac:dyDescent="0.25">
      <c r="A436" s="577"/>
    </row>
    <row r="437" spans="1:10" x14ac:dyDescent="0.25">
      <c r="A437" s="577"/>
    </row>
    <row r="438" spans="1:10" x14ac:dyDescent="0.25">
      <c r="A438" s="577"/>
    </row>
  </sheetData>
  <sheetProtection algorithmName="SHA-512" hashValue="x3KokpuZ9N9v2EZmJYybb/hQlCCN3+eeSW0IyYR6JMX8ZlaPT75lZhEmLh675r8isMG0rVDPQqwqFqH4J5FYhg==" saltValue="vbqkgN2LyeJlFvInOZ7dGQ==" spinCount="100000" sheet="1" objects="1" scenarios="1"/>
  <mergeCells count="25">
    <mergeCell ref="J298:K298"/>
    <mergeCell ref="C116:D116"/>
    <mergeCell ref="C117:E117"/>
    <mergeCell ref="A397:A438"/>
    <mergeCell ref="H433:J433"/>
    <mergeCell ref="A147:A190"/>
    <mergeCell ref="E152:G152"/>
    <mergeCell ref="A296:A307"/>
    <mergeCell ref="B298:C298"/>
    <mergeCell ref="E298:G298"/>
    <mergeCell ref="K3:K4"/>
    <mergeCell ref="A99:A133"/>
    <mergeCell ref="C102:E102"/>
    <mergeCell ref="C104:E104"/>
    <mergeCell ref="C105:E105"/>
    <mergeCell ref="C106:E106"/>
    <mergeCell ref="C108:E108"/>
    <mergeCell ref="C109:E109"/>
    <mergeCell ref="C110:E110"/>
    <mergeCell ref="C126:D126"/>
    <mergeCell ref="B19:C19"/>
    <mergeCell ref="C112:D112"/>
    <mergeCell ref="C113:D113"/>
    <mergeCell ref="B20:G20"/>
    <mergeCell ref="C115:D115"/>
  </mergeCells>
  <phoneticPr fontId="53" type="noConversion"/>
  <hyperlinks>
    <hyperlink ref="C126" location="HFww!A1" tooltip=" " display="HFww!A1"/>
    <hyperlink ref="C126:D126" location="Form!A1" tooltip=" " display="Form!A1"/>
    <hyperlink ref="K2" location="Form!A100" tooltip=" " display="Form!A100"/>
    <hyperlink ref="G21" location="Form!A150" tooltip=" " display="Form!A150"/>
    <hyperlink ref="E152" location="HFww!A1" tooltip=" " display="HFww!A1"/>
    <hyperlink ref="E152:G152" location="Form!A1" tooltip=" " display="Form!A1"/>
    <hyperlink ref="B298:C298" location="Price!A1" tooltip=" " display="Price!A1"/>
    <hyperlink ref="J298" location="Form!A1" tooltip=" " display="Form!A1"/>
    <hyperlink ref="E298:G298" location="List!A1" tooltip=" " display="List"/>
    <hyperlink ref="K7" location="Menu!A1" tooltip=" " display="Menu!A1"/>
    <hyperlink ref="K11" location="OL!A1" tooltip=" " display=" ORGA-LINE"/>
    <hyperlink ref="K9" location="Acs!A1" tooltip=" " display="Acs!A1"/>
    <hyperlink ref="H433" location="HFww!A1" tooltip=" " display="HFww!A1"/>
    <hyperlink ref="H433:J433" location="Form!A1" tooltip=" " display="Form!A1"/>
    <hyperlink ref="K17" location="Form!A400" tooltip=" " display="Form!A400"/>
    <hyperlink ref="K10" location="SD!A1" tooltip=" " display="SD!A1"/>
  </hyperlinks>
  <pageMargins left="0.7" right="0.7" top="0.78740157499999996" bottom="0.78740157499999996" header="0.3" footer="0.3"/>
  <pageSetup paperSize="9" orientation="portrait" horizontalDpi="4294967293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4" r:id="rId4" name="Drop Down 6">
              <controlPr defaultSize="0" autoLine="0" autoPict="0">
                <anchor moveWithCells="1">
                  <from>
                    <xdr:col>0</xdr:col>
                    <xdr:colOff>222250</xdr:colOff>
                    <xdr:row>15</xdr:row>
                    <xdr:rowOff>190500</xdr:rowOff>
                  </from>
                  <to>
                    <xdr:col>2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5" name="Drop Down 7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6" name="Drop Down 8">
              <controlPr defaultSize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7" name="Drop Down 9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40"/>
  <sheetViews>
    <sheetView showGridLines="0" showRowColHeaders="0" workbookViewId="0">
      <selection activeCell="N3" sqref="N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D, "&amp;List!$B$64</f>
        <v>Čelní výsuv D, podélný reling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851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852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853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854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305"/>
      <c r="C39" s="305"/>
      <c r="D39" s="305"/>
      <c r="E39" s="305"/>
      <c r="F39" s="305"/>
      <c r="G39" s="305"/>
      <c r="H39" s="141"/>
      <c r="I39" s="141"/>
      <c r="J39" s="141"/>
      <c r="K39" s="141"/>
      <c r="L39" s="141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3" x14ac:dyDescent="0.3">
      <c r="A40" s="114"/>
      <c r="B40" s="193" t="str">
        <f>List!$B$23&amp;": *"</f>
        <v>Volitelně: *</v>
      </c>
      <c r="C40" s="305"/>
      <c r="D40" s="305"/>
      <c r="E40" s="305"/>
      <c r="F40" s="305"/>
      <c r="G40" s="305"/>
      <c r="H40" s="114"/>
      <c r="I40" s="114"/>
      <c r="J40" s="114"/>
      <c r="K40" s="114"/>
      <c r="L40" s="114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ht="15" customHeight="1" x14ac:dyDescent="0.25">
      <c r="A41" s="114"/>
      <c r="B41" s="407" t="str">
        <f>Cen!A328</f>
        <v>Sada držáků zásuvného prvku D, bílošedá</v>
      </c>
      <c r="C41" s="407"/>
      <c r="D41" s="407"/>
      <c r="E41" s="407"/>
      <c r="F41" s="407"/>
      <c r="G41" s="407"/>
      <c r="H41" s="407" t="str">
        <f>Cen!B328</f>
        <v>Z36D0080</v>
      </c>
      <c r="I41" s="407" t="str">
        <f>Cen!C328</f>
        <v>WGR</v>
      </c>
      <c r="J41" s="408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14" t="str">
        <f>"     * "&amp;List!$B$148</f>
        <v xml:space="preserve">     * Sada držáků, pro vlastní zásuvný prvek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 t="str">
        <f>"       "&amp;List!$B$150&amp;"!"</f>
        <v xml:space="preserve">       Cena držáků zásuvného prvku není zahrnuta do cen jednotlivých výsuvů!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P45" s="123"/>
      <c r="Q45" s="123"/>
      <c r="R45" s="123"/>
      <c r="S45" s="385"/>
      <c r="T45" s="386"/>
      <c r="U45" s="387"/>
    </row>
    <row r="46" spans="1:21" ht="13" x14ac:dyDescent="0.3">
      <c r="B46" s="277" t="str">
        <f>IF(OR($K$14&gt;0, $L$14&gt;0), List!$B$196, " ")</f>
        <v xml:space="preserve"> </v>
      </c>
      <c r="C46" s="277"/>
      <c r="D46" s="277"/>
      <c r="E46" s="277"/>
      <c r="F46" s="277"/>
      <c r="G46" s="277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ht="13" x14ac:dyDescent="0.3">
      <c r="B47" s="277" t="str">
        <f>IF(OR($K$14&gt;0, $L$14&gt;0), List!$B$200, " ")</f>
        <v xml:space="preserve"> </v>
      </c>
      <c r="C47" s="277"/>
      <c r="D47" s="277"/>
      <c r="E47" s="277"/>
      <c r="F47" s="277"/>
      <c r="G47" s="277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6:21" x14ac:dyDescent="0.25"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6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6:21" x14ac:dyDescent="0.25">
      <c r="P51" s="123"/>
      <c r="Q51" s="123"/>
      <c r="R51" s="123"/>
      <c r="S51" s="385"/>
      <c r="T51" s="386"/>
      <c r="U51" s="387"/>
    </row>
    <row r="52" spans="16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6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6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6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6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6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>S57*T57</f>
        <v>0</v>
      </c>
    </row>
    <row r="58" spans="16:21" x14ac:dyDescent="0.25">
      <c r="P58" s="123"/>
      <c r="Q58" s="123"/>
      <c r="R58" s="123"/>
      <c r="S58" s="385"/>
      <c r="T58" s="386"/>
      <c r="U58" s="387"/>
    </row>
    <row r="59" spans="16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6:21" x14ac:dyDescent="0.25">
      <c r="P60" s="123"/>
      <c r="Q60" s="123"/>
      <c r="R60" s="123"/>
      <c r="S60" s="385"/>
      <c r="T60" s="386"/>
      <c r="U60" s="387"/>
    </row>
    <row r="63" spans="16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6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J41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/>
      <c r="Q79" s="123"/>
      <c r="R79" s="123"/>
      <c r="S79" s="385"/>
      <c r="T79" s="402"/>
      <c r="U79" s="387"/>
    </row>
    <row r="80" spans="16:21" x14ac:dyDescent="0.25">
      <c r="P80" s="123"/>
      <c r="Q80" s="123"/>
      <c r="R80" s="123"/>
      <c r="S80" s="385"/>
      <c r="T80" s="402"/>
      <c r="U80" s="387"/>
    </row>
    <row r="81" spans="16:21" x14ac:dyDescent="0.25">
      <c r="P81" s="123"/>
      <c r="Q81" s="123"/>
      <c r="R81" s="123"/>
      <c r="S81" s="385"/>
      <c r="T81" s="402"/>
      <c r="U81" s="387"/>
    </row>
    <row r="82" spans="16:21" x14ac:dyDescent="0.25">
      <c r="P82" s="123"/>
      <c r="Q82" s="123"/>
      <c r="R82" s="123"/>
      <c r="S82" s="385"/>
      <c r="T82" s="402"/>
      <c r="U82" s="387"/>
    </row>
    <row r="83" spans="16:21" x14ac:dyDescent="0.25">
      <c r="P83" s="123"/>
      <c r="Q83" s="123"/>
      <c r="R83" s="123"/>
      <c r="S83" s="385"/>
      <c r="T83" s="402"/>
      <c r="U83" s="387"/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SQtq0ppm3JC4sZf1H8DhgmbiuguLbxgUwNyDmFsUHYaW9bSJ6rfLrYI1swOYydTq16mP0/pRGDyG3Oz4Yj1xLQ==" saltValue="2A2OirRHqbApQRgmDN+jYQ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D310R!A100" tooltip=" " display="AD310R!A100"/>
    <hyperlink ref="N113" location="AD310R!A1" tooltip=" " display="AD310R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16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List!$B$49&amp;" D, "&amp;List!$B$62</f>
        <v>Vnitřní výsuv D, zásuvný prvek sklo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tr">
        <f>List!$B$32&amp;":"</f>
        <v>sklo:</v>
      </c>
      <c r="J6" s="117"/>
      <c r="K6" s="116" t="str">
        <f>Form!$O$8</f>
        <v>čiré</v>
      </c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/>
      <c r="J7" s="117"/>
      <c r="K7" s="116"/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114" t="str">
        <f>"* "&amp;List!$B$132&amp;":"</f>
        <v>* Přířezy prvků:</v>
      </c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114" t="str">
        <f>List!$C$136&amp;":   LW - 132"</f>
        <v>Přední díl:   LW - 132</v>
      </c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114" t="str">
        <f>List!$C$137&amp;":   LW - 122"</f>
        <v>Příčný reling:   LW - 122</v>
      </c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855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856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857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858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305"/>
      <c r="C39" s="305"/>
      <c r="D39" s="305"/>
      <c r="E39" s="305"/>
      <c r="F39" s="305"/>
      <c r="G39" s="305"/>
      <c r="H39" s="141"/>
      <c r="I39" s="141"/>
      <c r="J39" s="141"/>
      <c r="K39" s="141"/>
      <c r="L39" s="141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152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152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B55" s="114" t="str">
        <f>"       "&amp;List!$B$145</f>
        <v xml:space="preserve">       Pro každý výsuv je započítán jeden přední díl a jeden příčný reling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B56" s="114" t="str">
        <f>"       "&amp;List!$B$147</f>
        <v xml:space="preserve">       Potřebný počet předních dílů a relingů upravte v objednávce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H57" s="114"/>
      <c r="I57" s="114"/>
      <c r="J57" s="114"/>
      <c r="K57" s="114"/>
      <c r="L57" s="114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>S57*T57</f>
        <v>0</v>
      </c>
    </row>
    <row r="58" spans="1:21" ht="13" x14ac:dyDescent="0.3">
      <c r="B58" s="277" t="str">
        <f>IF(OR($K$14&gt;0, $L$14&gt;0), List!$B$196, " ")</f>
        <v xml:space="preserve"> </v>
      </c>
      <c r="C58" s="277"/>
      <c r="D58" s="277"/>
      <c r="E58" s="277"/>
      <c r="F58" s="277"/>
      <c r="G58" s="277"/>
      <c r="P58" s="123"/>
      <c r="Q58" s="123"/>
      <c r="R58" s="123"/>
      <c r="S58" s="385"/>
      <c r="T58" s="386"/>
      <c r="U58" s="387"/>
    </row>
    <row r="59" spans="1:21" ht="13" x14ac:dyDescent="0.3">
      <c r="B59" s="277" t="str">
        <f>IF(OR($K$14&gt;0, $L$14&gt;0), List!$B$200, " ")</f>
        <v xml:space="preserve"> </v>
      </c>
      <c r="C59" s="277"/>
      <c r="D59" s="277"/>
      <c r="E59" s="277"/>
      <c r="F59" s="277"/>
      <c r="G59" s="277"/>
      <c r="P59" s="402" t="str">
        <f>Cen!A189</f>
        <v>Držáky čela vnitřního výsuvu D bílošedé</v>
      </c>
      <c r="Q59" s="402" t="str">
        <f>Cen!B189</f>
        <v>ZIF.74D0</v>
      </c>
      <c r="R59" s="402" t="str">
        <f>Cen!C189</f>
        <v>WGR</v>
      </c>
      <c r="S59" s="385">
        <f>SUM($S$3:$S$11)</f>
        <v>0</v>
      </c>
      <c r="T59" s="402">
        <f>Cen!F189</f>
        <v>6.1373600000000001</v>
      </c>
      <c r="U59" s="387">
        <f t="shared" si="2"/>
        <v>0</v>
      </c>
    </row>
    <row r="60" spans="1:21" x14ac:dyDescent="0.25"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SUM($S$3:$S$11)</f>
        <v>0</v>
      </c>
      <c r="T60" s="402">
        <f>Cen!F194</f>
        <v>14.286440000000001</v>
      </c>
      <c r="U60" s="387">
        <f t="shared" si="2"/>
        <v>0</v>
      </c>
    </row>
    <row r="61" spans="1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SUM($S$3:$S$11)</f>
        <v>0</v>
      </c>
      <c r="T61" s="402">
        <f>Cen!F199</f>
        <v>6.6514599999999993</v>
      </c>
      <c r="U61" s="387">
        <f t="shared" si="2"/>
        <v>0</v>
      </c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Cen!A254</f>
        <v>Zásuvný prvek D, 270mm, čiré sko</v>
      </c>
      <c r="Q75" s="123" t="str">
        <f>Cen!B254</f>
        <v>Z37R237D</v>
      </c>
      <c r="R75" s="123" t="str">
        <f>Cen!C254</f>
        <v>KL</v>
      </c>
      <c r="S75" s="385">
        <f t="shared" ref="S75:S83" si="5">S3</f>
        <v>0</v>
      </c>
      <c r="T75" s="402">
        <f>Cen!F254</f>
        <v>9.78749</v>
      </c>
      <c r="U75" s="387">
        <f t="shared" ref="U75:U83" si="6">S75*T75</f>
        <v>0</v>
      </c>
    </row>
    <row r="76" spans="16:21" x14ac:dyDescent="0.25">
      <c r="P76" s="123" t="str">
        <f>Cen!A256</f>
        <v>Zásuvný prvek D, 300mm, čiré sko</v>
      </c>
      <c r="Q76" s="123" t="str">
        <f>Cen!B256</f>
        <v>Z37R267D</v>
      </c>
      <c r="R76" s="123" t="str">
        <f>Cen!C256</f>
        <v>KL</v>
      </c>
      <c r="S76" s="385">
        <f t="shared" si="5"/>
        <v>0</v>
      </c>
      <c r="T76" s="402">
        <f>Cen!F256</f>
        <v>10.956569999999999</v>
      </c>
      <c r="U76" s="387">
        <f t="shared" si="6"/>
        <v>0</v>
      </c>
    </row>
    <row r="77" spans="16:21" x14ac:dyDescent="0.25">
      <c r="P77" s="123" t="str">
        <f>Cen!A258</f>
        <v>Zásuvný prvek D, 350mm, čiré sko</v>
      </c>
      <c r="Q77" s="123" t="str">
        <f>Cen!B258</f>
        <v>Z37R317D</v>
      </c>
      <c r="R77" s="123" t="str">
        <f>Cen!C258</f>
        <v>KL</v>
      </c>
      <c r="S77" s="385">
        <f t="shared" si="5"/>
        <v>0</v>
      </c>
      <c r="T77" s="402">
        <f>Cen!F258</f>
        <v>10.55153</v>
      </c>
      <c r="U77" s="387">
        <f t="shared" si="6"/>
        <v>0</v>
      </c>
    </row>
    <row r="78" spans="16:21" x14ac:dyDescent="0.25">
      <c r="P78" s="123" t="str">
        <f>Cen!A260</f>
        <v>Zásuvný prvek D, 400mm, čiré sko</v>
      </c>
      <c r="Q78" s="123" t="str">
        <f>Cen!B260</f>
        <v>Z37R367D</v>
      </c>
      <c r="R78" s="123" t="str">
        <f>Cen!C260</f>
        <v>KL</v>
      </c>
      <c r="S78" s="385">
        <f t="shared" si="5"/>
        <v>0</v>
      </c>
      <c r="T78" s="402">
        <f>Cen!F260</f>
        <v>11.739190000000001</v>
      </c>
      <c r="U78" s="387">
        <f t="shared" si="6"/>
        <v>0</v>
      </c>
    </row>
    <row r="79" spans="16:21" x14ac:dyDescent="0.25">
      <c r="P79" s="123" t="str">
        <f>Cen!A262</f>
        <v>Zásuvný prvek D, 450mm, čiré sko</v>
      </c>
      <c r="Q79" s="123" t="str">
        <f>Cen!B262</f>
        <v>Z37R417D</v>
      </c>
      <c r="R79" s="123" t="str">
        <f>Cen!C262</f>
        <v>KL</v>
      </c>
      <c r="S79" s="385">
        <f t="shared" si="5"/>
        <v>0</v>
      </c>
      <c r="T79" s="402">
        <f>Cen!F262</f>
        <v>14.23917</v>
      </c>
      <c r="U79" s="387">
        <f t="shared" si="6"/>
        <v>0</v>
      </c>
    </row>
    <row r="80" spans="16:21" x14ac:dyDescent="0.25">
      <c r="P80" s="123" t="str">
        <f>Cen!A264</f>
        <v>Zásuvný prvek D, 500mm, čiré sko</v>
      </c>
      <c r="Q80" s="123" t="str">
        <f>Cen!B264</f>
        <v>Z37R467D</v>
      </c>
      <c r="R80" s="123" t="str">
        <f>Cen!C264</f>
        <v>KL</v>
      </c>
      <c r="S80" s="385">
        <f t="shared" si="5"/>
        <v>0</v>
      </c>
      <c r="T80" s="402">
        <f>Cen!F264</f>
        <v>11.697749999999999</v>
      </c>
      <c r="U80" s="387">
        <f t="shared" si="6"/>
        <v>0</v>
      </c>
    </row>
    <row r="81" spans="16:21" x14ac:dyDescent="0.25">
      <c r="P81" s="123" t="str">
        <f>Cen!A266</f>
        <v>Zásuvný prvek D, 550mm, čiré sko</v>
      </c>
      <c r="Q81" s="123" t="str">
        <f>Cen!B266</f>
        <v>Z37R517D</v>
      </c>
      <c r="R81" s="123" t="str">
        <f>Cen!C266</f>
        <v>KL</v>
      </c>
      <c r="S81" s="385">
        <f t="shared" si="5"/>
        <v>0</v>
      </c>
      <c r="T81" s="402">
        <f>Cen!F266</f>
        <v>13.304410000000001</v>
      </c>
      <c r="U81" s="387">
        <f t="shared" si="6"/>
        <v>0</v>
      </c>
    </row>
    <row r="82" spans="16:21" x14ac:dyDescent="0.25">
      <c r="P82" s="123" t="str">
        <f>Cen!A268</f>
        <v>Zásuvný prvek D, 600mm, čiré sko</v>
      </c>
      <c r="Q82" s="123" t="str">
        <f>Cen!B268</f>
        <v>Z37R567D</v>
      </c>
      <c r="R82" s="123" t="str">
        <f>Cen!C268</f>
        <v>KL</v>
      </c>
      <c r="S82" s="385">
        <f t="shared" si="5"/>
        <v>0</v>
      </c>
      <c r="T82" s="402">
        <f>Cen!F268</f>
        <v>14.08703</v>
      </c>
      <c r="U82" s="387">
        <f t="shared" si="6"/>
        <v>0</v>
      </c>
    </row>
    <row r="83" spans="16:21" x14ac:dyDescent="0.25">
      <c r="P83" s="123" t="str">
        <f>Cen!A270</f>
        <v>Zásuvný prvek D, 650mm, čiré sko</v>
      </c>
      <c r="Q83" s="123" t="str">
        <f>Cen!B270</f>
        <v>Z37R617D</v>
      </c>
      <c r="R83" s="123" t="str">
        <f>Cen!C270</f>
        <v>KL</v>
      </c>
      <c r="S83" s="385">
        <f t="shared" si="5"/>
        <v>0</v>
      </c>
      <c r="T83" s="402">
        <f>Cen!F270</f>
        <v>13.988720000000001</v>
      </c>
      <c r="U83" s="387">
        <f t="shared" si="6"/>
        <v>0</v>
      </c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  <row r="159" spans="21:22" x14ac:dyDescent="0.25">
      <c r="U159" s="2">
        <f>AD31VG!$J52</f>
        <v>0</v>
      </c>
      <c r="V159" s="2">
        <f>AD31VM!$J48</f>
        <v>0</v>
      </c>
    </row>
    <row r="160" spans="21:22" x14ac:dyDescent="0.25">
      <c r="U160" s="2">
        <f>AD31VG!$J53</f>
        <v>0</v>
      </c>
    </row>
  </sheetData>
  <sheetProtection algorithmName="SHA-512" hashValue="wmWv1p58eCFQEn5mr3oSPRo/CKZ9RgJaiwFdQL2yE3T+CYGAkqj2QcF3pRZwegoZ9xlje956TeEYGgLW5hVJRw==" saltValue="pXtTuRwC3+zlGS+UGioUpg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D31VG!A100" tooltip=" " display="AD31VG!A100"/>
    <hyperlink ref="N113" location="AD31VG!A1" tooltip=" " display="AD31VG!A1"/>
  </hyperlink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140"/>
  <sheetViews>
    <sheetView showGridLines="0" showRowColHeaders="0" workbookViewId="0">
      <selection activeCell="N3" sqref="N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List!$B$49&amp;" D, "&amp;List!$B$63</f>
        <v>Vnitřní výsuv D, kovový zásuvný prvek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IF($U$2=4, 0, SUM($D$19, $D$25))</f>
        <v>0</v>
      </c>
      <c r="T3" s="386">
        <f>Cen!F28</f>
        <v>16.219809999999999</v>
      </c>
      <c r="U3" s="387">
        <f t="shared" ref="U3:U38" si="0">S3*T3</f>
        <v>0</v>
      </c>
    </row>
    <row r="4" spans="1:22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IF($U$2=4, 0, SUM($E$19, $E$25))</f>
        <v>0</v>
      </c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IF($U$2=4, 0, SUM($F$19, $F$25))</f>
        <v>0</v>
      </c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IF($U$2=4, 0, SUM($G$19, $G$25))</f>
        <v>0</v>
      </c>
      <c r="T6" s="386">
        <f>Cen!F40</f>
        <v>16.366499999999998</v>
      </c>
      <c r="U6" s="387">
        <f t="shared" si="0"/>
        <v>0</v>
      </c>
    </row>
    <row r="7" spans="1:22" ht="13" thickBot="1" x14ac:dyDescent="0.3">
      <c r="A7" s="114"/>
      <c r="B7" s="114"/>
      <c r="C7" s="114"/>
      <c r="D7" s="114"/>
      <c r="E7" s="114"/>
      <c r="F7" s="114"/>
      <c r="G7" s="114"/>
      <c r="H7" s="114"/>
      <c r="I7" s="117"/>
      <c r="J7" s="117"/>
      <c r="K7" s="116"/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IF($U$2=4, 0, SUM($H$19:$H$20, $H$25:$H$26))</f>
        <v>0</v>
      </c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IF($U$2=4, 0, SUM($I$19:$I$20, $I$25:$I$26))</f>
        <v>0</v>
      </c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IF($U$2=4, 0, SUM($J$19:$J$20, $J$25:$J$26))</f>
        <v>0</v>
      </c>
      <c r="T9" s="386">
        <f>Cen!F52</f>
        <v>18.128509999999999</v>
      </c>
      <c r="U9" s="387">
        <f t="shared" si="0"/>
        <v>0</v>
      </c>
    </row>
    <row r="10" spans="1:22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IF($U$2=4, 0, SUM($K$19:$K$20, $K$25:$K$26))</f>
        <v>0</v>
      </c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114" t="str">
        <f>"* "&amp;List!$B$132&amp;":"</f>
        <v>* Přířezy prvků:</v>
      </c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IF($U$2=4, 0, SUM($L$20, $L$26))</f>
        <v>0</v>
      </c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114" t="str">
        <f>List!$C$136&amp;":   LW - 132"</f>
        <v>Přední díl:   LW - 132</v>
      </c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114" t="str">
        <f>List!$C$137&amp;":   LW - 122"</f>
        <v>Příčný reling:   LW - 122</v>
      </c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IF($U$2=4, 0, $D$19)</f>
        <v>0</v>
      </c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IF($U$2=4, 0, $E$19)</f>
        <v>0</v>
      </c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IF($U$2=4, 0, $F$19)</f>
        <v>0</v>
      </c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IF($U$2=4, 0, $G$19)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$H$19)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IF($U$2=4, 0, $H$20)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859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$I$19)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860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IF($U$2=4, 0, $I$20)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$J$19)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IF($U$2=4, 0, $J$20)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IF($U$2=4, 0, $K$19)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IF($U$2=4, 0, $K$20)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861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862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85">
        <f>IF($U$2=4, 0, $D$25)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85">
        <f>IF($U$2=4, 0, $E$25)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85">
        <f>IF($U$2=4, 0, $F$25)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85">
        <f>IF($U$2=4, 0, $G$25)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IF($U$2=4, 0, $H$25)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IF($U$2=4, 0, $H$26)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IF($U$2=4, 0, $I$25)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IF($U$2=4, 0, $I$26)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IF($U$2=4, 0, $J$25)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IF($U$2=4, 0, $J$26)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IF($U$2=4, 0, $K$25)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IF($U$2=4, 0, $K$26)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64" t="str">
        <f>List!B244&amp;": "</f>
        <v xml:space="preserve">Upozornění: </v>
      </c>
      <c r="D38" s="114" t="str">
        <f>List!B284</f>
        <v>Kovové zásuvné prvky pro NL 270 až 400mm se nevyrábí.</v>
      </c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217" t="str">
        <f>Cen!A121</f>
        <v>Korp. lišty TIP-ON BLUMOTION, 650mm, 65 kg</v>
      </c>
      <c r="Q38" s="217" t="str">
        <f>Cen!B121</f>
        <v>576.6501M</v>
      </c>
      <c r="R38" s="217" t="str">
        <f>Cen!C121</f>
        <v>ZN</v>
      </c>
      <c r="S38" s="394">
        <f>IF($U$2=4, 0, $L$26)</f>
        <v>0</v>
      </c>
      <c r="T38" s="395">
        <f>Cen!F121</f>
        <v>26.813510000000001</v>
      </c>
      <c r="U38" s="396">
        <f t="shared" si="0"/>
        <v>0</v>
      </c>
    </row>
    <row r="39" spans="1:21" ht="13" x14ac:dyDescent="0.3">
      <c r="A39" s="114"/>
      <c r="B39" s="305"/>
      <c r="C39" s="305"/>
      <c r="D39" s="141" t="str">
        <f>List!B285</f>
        <v>Do objednávky budou přidány prvky pro 450mm, které je potřeba na danou délku zkrátit.</v>
      </c>
      <c r="E39" s="305"/>
      <c r="F39" s="305"/>
      <c r="G39" s="305"/>
      <c r="H39" s="141"/>
      <c r="I39" s="141"/>
      <c r="J39" s="141"/>
      <c r="K39" s="141"/>
      <c r="L39" s="141"/>
      <c r="M39" s="114"/>
      <c r="N39" s="114"/>
      <c r="O39" s="114"/>
      <c r="P39" s="122"/>
      <c r="Q39" s="122"/>
      <c r="R39" s="122"/>
      <c r="S39" s="391"/>
      <c r="T39" s="392"/>
      <c r="U39" s="393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IF($U$2=4, 0, $D$30)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IF($U$2=4, 0, $E$30)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IF($U$2=4, 0, $F$30)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IF($U$2=4, 0, $G$30)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IF($U$2=4, 0, $H$30)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152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7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152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 t="shared" si="2"/>
        <v>0</v>
      </c>
    </row>
    <row r="54" spans="1:21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B55" s="114" t="str">
        <f>"       "&amp;List!$B$145</f>
        <v xml:space="preserve">       Pro každý výsuv je započítán jeden přední díl a jeden příčný reling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B56" s="114" t="str">
        <f>"       "&amp;List!$B$147</f>
        <v xml:space="preserve">       Potřebný počet předních dílů a relingů upravte v objednávce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H57" s="114"/>
      <c r="I57" s="114"/>
      <c r="J57" s="114"/>
      <c r="K57" s="114"/>
      <c r="L57" s="114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 t="shared" si="2"/>
        <v>0</v>
      </c>
    </row>
    <row r="58" spans="1:21" ht="13" x14ac:dyDescent="0.3">
      <c r="B58" s="277" t="str">
        <f>IF(OR($K$14&gt;0, $L$14&gt;0), List!$B$196, " ")</f>
        <v xml:space="preserve"> </v>
      </c>
      <c r="C58" s="277"/>
      <c r="D58" s="277"/>
      <c r="E58" s="277"/>
      <c r="F58" s="277"/>
      <c r="G58" s="277"/>
      <c r="P58" s="123"/>
      <c r="Q58" s="123"/>
      <c r="R58" s="123"/>
      <c r="S58" s="385"/>
      <c r="T58" s="386"/>
      <c r="U58" s="387"/>
    </row>
    <row r="59" spans="1:21" ht="13" x14ac:dyDescent="0.3">
      <c r="B59" s="277" t="str">
        <f>IF(OR($K$14&gt;0, $L$14&gt;0), List!$B$200, " ")</f>
        <v xml:space="preserve"> </v>
      </c>
      <c r="C59" s="277"/>
      <c r="D59" s="277"/>
      <c r="E59" s="277"/>
      <c r="F59" s="277"/>
      <c r="G59" s="277"/>
      <c r="P59" s="402" t="str">
        <f>Cen!A189</f>
        <v>Držáky čela vnitřního výsuvu D bílošedé</v>
      </c>
      <c r="Q59" s="402" t="str">
        <f>Cen!B189</f>
        <v>ZIF.74D0</v>
      </c>
      <c r="R59" s="402" t="str">
        <f>Cen!C189</f>
        <v>WGR</v>
      </c>
      <c r="S59" s="385">
        <f>SUM($S$3:$S$11)</f>
        <v>0</v>
      </c>
      <c r="T59" s="402">
        <f>Cen!F189</f>
        <v>6.1373600000000001</v>
      </c>
      <c r="U59" s="387">
        <f>S59*T59</f>
        <v>0</v>
      </c>
    </row>
    <row r="60" spans="1:21" x14ac:dyDescent="0.25"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SUM($S$3:$S$11)</f>
        <v>0</v>
      </c>
      <c r="T60" s="402">
        <f>Cen!F194</f>
        <v>14.286440000000001</v>
      </c>
      <c r="U60" s="387">
        <f t="shared" ref="U60:U61" si="3">S60*T60</f>
        <v>0</v>
      </c>
    </row>
    <row r="61" spans="1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SUM($S$3:$S$11)</f>
        <v>0</v>
      </c>
      <c r="T61" s="402">
        <f>Cen!F199</f>
        <v>6.6514599999999993</v>
      </c>
      <c r="U61" s="387">
        <f t="shared" si="3"/>
        <v>0</v>
      </c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4">S3</f>
        <v>0</v>
      </c>
      <c r="T63" s="402">
        <f>Cen!F215</f>
        <v>6.5190299999999999</v>
      </c>
      <c r="U63" s="387">
        <f t="shared" ref="U63:U71" si="5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4"/>
        <v>0</v>
      </c>
      <c r="T64" s="402">
        <f>Cen!F219</f>
        <v>6.62744</v>
      </c>
      <c r="U64" s="387">
        <f t="shared" si="5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4"/>
        <v>0</v>
      </c>
      <c r="T65" s="402">
        <f>Cen!F223</f>
        <v>6.7358200000000004</v>
      </c>
      <c r="U65" s="387">
        <f t="shared" si="5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4"/>
        <v>0</v>
      </c>
      <c r="T66" s="402">
        <f>Cen!F227</f>
        <v>6.8442100000000003</v>
      </c>
      <c r="U66" s="387">
        <f t="shared" si="5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4"/>
        <v>0</v>
      </c>
      <c r="T67" s="402">
        <f>Cen!F231</f>
        <v>6.2810499999999987</v>
      </c>
      <c r="U67" s="387">
        <f t="shared" si="5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4"/>
        <v>0</v>
      </c>
      <c r="T68" s="402">
        <f>Cen!F235</f>
        <v>6.3789800000000003</v>
      </c>
      <c r="U68" s="387">
        <f t="shared" si="5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4"/>
        <v>0</v>
      </c>
      <c r="T69" s="402">
        <f>Cen!F239</f>
        <v>7.3622199999999998</v>
      </c>
      <c r="U69" s="387">
        <f t="shared" si="5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4"/>
        <v>0</v>
      </c>
      <c r="T70" s="402">
        <f>Cen!F243</f>
        <v>6.9229999999999992</v>
      </c>
      <c r="U70" s="387">
        <f t="shared" si="5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4"/>
        <v>0</v>
      </c>
      <c r="T71" s="402">
        <f>Cen!F247</f>
        <v>7.9644300000000001</v>
      </c>
      <c r="U71" s="387">
        <f t="shared" si="5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 t="str">
        <f>Cen!A292</f>
        <v>Kovový zásuvný prvek D, 450mm, šedý</v>
      </c>
      <c r="Q79" s="123" t="str">
        <f>Cen!B292</f>
        <v>Z37A417D</v>
      </c>
      <c r="R79" s="123" t="str">
        <f>Cen!C292</f>
        <v>R906</v>
      </c>
      <c r="S79" s="385">
        <f>SUM(S3:S7)*2</f>
        <v>0</v>
      </c>
      <c r="T79" s="402">
        <f>Cen!F292</f>
        <v>6.1435899999999997</v>
      </c>
      <c r="U79" s="387">
        <f>S79*T79</f>
        <v>0</v>
      </c>
    </row>
    <row r="80" spans="16:21" x14ac:dyDescent="0.25">
      <c r="P80" s="123" t="str">
        <f>Cen!A295</f>
        <v>Kovový zásuvný prvek D, 500mm, šedý</v>
      </c>
      <c r="Q80" s="123" t="str">
        <f>Cen!B295</f>
        <v>Z37A467D</v>
      </c>
      <c r="R80" s="123" t="str">
        <f>Cen!C295</f>
        <v>R906</v>
      </c>
      <c r="S80" s="385">
        <f>S8*2</f>
        <v>0</v>
      </c>
      <c r="T80" s="402">
        <f>Cen!F295</f>
        <v>6.4565700000000001</v>
      </c>
      <c r="U80" s="387">
        <f>S80*T80</f>
        <v>0</v>
      </c>
    </row>
    <row r="81" spans="16:21" x14ac:dyDescent="0.25">
      <c r="P81" s="123" t="str">
        <f>Cen!A298</f>
        <v>Kovový zásuvný prvek D, 550mm, šedý</v>
      </c>
      <c r="Q81" s="123" t="str">
        <f>Cen!B298</f>
        <v>Z37A517D</v>
      </c>
      <c r="R81" s="123" t="str">
        <f>Cen!C298</f>
        <v>R906</v>
      </c>
      <c r="S81" s="385">
        <f>S9*2</f>
        <v>0</v>
      </c>
      <c r="T81" s="402">
        <f>Cen!F298</f>
        <v>6.9749699999999999</v>
      </c>
      <c r="U81" s="387">
        <f>S81*T81</f>
        <v>0</v>
      </c>
    </row>
    <row r="82" spans="16:21" x14ac:dyDescent="0.25">
      <c r="P82" s="123">
        <f>Cen!A301</f>
        <v>0</v>
      </c>
      <c r="Q82" s="123">
        <f>Cen!B301</f>
        <v>0</v>
      </c>
      <c r="R82" s="123">
        <f>Cen!C301</f>
        <v>0</v>
      </c>
      <c r="S82" s="385"/>
      <c r="T82" s="402">
        <f>Cen!F301</f>
        <v>0</v>
      </c>
      <c r="U82" s="387">
        <f>S82*T82</f>
        <v>0</v>
      </c>
    </row>
    <row r="83" spans="16:21" x14ac:dyDescent="0.25">
      <c r="P83" s="123" t="str">
        <f>Cen!A304</f>
        <v>Kovový zásuvný prvek D, 650mm, šedý</v>
      </c>
      <c r="Q83" s="123" t="str">
        <f>Cen!B304</f>
        <v>Z37A617D</v>
      </c>
      <c r="R83" s="123" t="str">
        <f>Cen!C304</f>
        <v>R906</v>
      </c>
      <c r="S83" s="385">
        <f>SUM(S10, S11)*2</f>
        <v>0</v>
      </c>
      <c r="T83" s="402">
        <f>Cen!F304</f>
        <v>8.0120000000000005</v>
      </c>
      <c r="U83" s="387">
        <f>S83*T83</f>
        <v>0</v>
      </c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  <c r="P103" s="114" t="str">
        <f>List!$B$289&amp;"!"</f>
        <v>Kovové zásuvné prvky pro nerez (Inox) se nevyrábí!</v>
      </c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  <c r="P104" s="114" t="str">
        <f>List!$B$290&amp;"!"</f>
        <v>Kování naplánované na tomto listu se neprojeví v objednávce!</v>
      </c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37M2Gd3PDkhYplBWyZZGKHaRTjIPiKoF8ZPueX+tRvUJa0cRCwwniVvFv+WIo8UzSR86RxHPuyZZCzijaimkug==" saltValue="ozSswr98IOQSJxXlAKtb1w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D31VM!A100" tooltip=" " display="AD31VM!A100"/>
    <hyperlink ref="N113" location="AD31VM!A1" tooltip=" " display="AD31VM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List!$B$49&amp;" D, "&amp;List!$B$64</f>
        <v>Vnitřní výsuv D, podélný reling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/>
      <c r="J7" s="117"/>
      <c r="K7" s="116"/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114" t="str">
        <f>"* "&amp;List!$B$132&amp;":"</f>
        <v>* Přířezy prvků:</v>
      </c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114" t="str">
        <f>List!$C$136&amp;":   LW - 132"</f>
        <v>Přední díl:   LW - 132</v>
      </c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114" t="str">
        <f>List!$C$137&amp;":   LW - 122"</f>
        <v>Příčný reling:   LW - 122</v>
      </c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863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864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865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866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0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3" x14ac:dyDescent="0.3">
      <c r="A40" s="114"/>
      <c r="B40" s="193" t="str">
        <f>List!$B$23&amp;": **"</f>
        <v>Volitelně: **</v>
      </c>
      <c r="C40" s="305"/>
      <c r="D40" s="305"/>
      <c r="E40" s="305"/>
      <c r="F40" s="305"/>
      <c r="G40" s="305"/>
      <c r="H40" s="114"/>
      <c r="I40" s="114"/>
      <c r="J40" s="114"/>
      <c r="K40" s="114"/>
      <c r="L40" s="114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ht="15.75" customHeight="1" x14ac:dyDescent="0.25">
      <c r="A41" s="114"/>
      <c r="B41" s="407" t="str">
        <f>Cen!A328</f>
        <v>Sada držáků zásuvného prvku D, bílošedá</v>
      </c>
      <c r="C41" s="407"/>
      <c r="D41" s="407"/>
      <c r="E41" s="407"/>
      <c r="F41" s="407"/>
      <c r="G41" s="407"/>
      <c r="H41" s="407" t="str">
        <f>Cen!B328</f>
        <v>Z36D0080</v>
      </c>
      <c r="I41" s="407" t="str">
        <f>Cen!C328</f>
        <v>WGR</v>
      </c>
      <c r="J41" s="408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14" t="str">
        <f>"      * "&amp;List!$B$145</f>
        <v xml:space="preserve">      * Pro každý výsuv je započítán jeden přední díl a jeden příčný reling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 t="str">
        <f>"        "&amp;List!$B$147</f>
        <v xml:space="preserve">        Potřebný počet předních dílů a relingů upravte v objednávce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14" t="str">
        <f>"    ** "&amp;List!$B$148</f>
        <v xml:space="preserve">    ** Sada držáků, pro vlastní zásuvný prvek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B46" s="114" t="str">
        <f>"       "&amp;List!$B$150&amp;"!"</f>
        <v xml:space="preserve">       Cena držáků zásuvného prvku není zahrnuta do cen jednotlivých výsuvů!</v>
      </c>
      <c r="C46" s="114"/>
      <c r="D46" s="114"/>
      <c r="E46" s="114"/>
      <c r="F46" s="114"/>
      <c r="G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ht="13" x14ac:dyDescent="0.3">
      <c r="B48" s="277" t="str">
        <f>IF(OR($K$14&gt;0, $L$14&gt;0), List!$B$196, " ")</f>
        <v xml:space="preserve"> </v>
      </c>
      <c r="C48" s="277"/>
      <c r="D48" s="277"/>
      <c r="E48" s="277"/>
      <c r="F48" s="277"/>
      <c r="G48" s="277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2:21" ht="13" x14ac:dyDescent="0.3">
      <c r="B49" s="277" t="str">
        <f>IF(OR($K$14&gt;0, $L$14&gt;0), List!$B$200, " ")</f>
        <v xml:space="preserve"> </v>
      </c>
      <c r="C49" s="277"/>
      <c r="D49" s="277"/>
      <c r="E49" s="277"/>
      <c r="F49" s="277"/>
      <c r="G49" s="277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2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2:21" x14ac:dyDescent="0.25">
      <c r="P51" s="123"/>
      <c r="Q51" s="123"/>
      <c r="R51" s="123"/>
      <c r="S51" s="385"/>
      <c r="T51" s="386"/>
      <c r="U51" s="387"/>
    </row>
    <row r="52" spans="2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7" si="2">S52*T52</f>
        <v>0</v>
      </c>
    </row>
    <row r="53" spans="2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 t="shared" si="2"/>
        <v>0</v>
      </c>
    </row>
    <row r="54" spans="2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2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2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2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 t="shared" si="2"/>
        <v>0</v>
      </c>
    </row>
    <row r="58" spans="2:21" x14ac:dyDescent="0.25">
      <c r="P58" s="123"/>
      <c r="Q58" s="123"/>
      <c r="R58" s="123"/>
      <c r="S58" s="385"/>
      <c r="T58" s="386"/>
      <c r="U58" s="387"/>
    </row>
    <row r="59" spans="2:21" x14ac:dyDescent="0.25">
      <c r="P59" s="402" t="str">
        <f>Cen!A189</f>
        <v>Držáky čela vnitřního výsuvu D bílošedé</v>
      </c>
      <c r="Q59" s="402" t="str">
        <f>Cen!B189</f>
        <v>ZIF.74D0</v>
      </c>
      <c r="R59" s="402" t="str">
        <f>Cen!C189</f>
        <v>WGR</v>
      </c>
      <c r="S59" s="385">
        <f>SUM($S$3:$S$11)</f>
        <v>0</v>
      </c>
      <c r="T59" s="402">
        <f>Cen!F189</f>
        <v>6.1373600000000001</v>
      </c>
      <c r="U59" s="387">
        <f>S59*T59</f>
        <v>0</v>
      </c>
    </row>
    <row r="60" spans="2:21" x14ac:dyDescent="0.25"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SUM($S$3:$S$11)</f>
        <v>0</v>
      </c>
      <c r="T60" s="402">
        <f>Cen!F194</f>
        <v>14.286440000000001</v>
      </c>
      <c r="U60" s="387">
        <f t="shared" ref="U60:U61" si="3">S60*T60</f>
        <v>0</v>
      </c>
    </row>
    <row r="61" spans="2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SUM($S$3:$S$11)</f>
        <v>0</v>
      </c>
      <c r="T61" s="402">
        <f>Cen!F199</f>
        <v>6.6514599999999993</v>
      </c>
      <c r="U61" s="387">
        <f t="shared" si="3"/>
        <v>0</v>
      </c>
    </row>
    <row r="63" spans="2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4">S3</f>
        <v>0</v>
      </c>
      <c r="T63" s="402">
        <f>Cen!F215</f>
        <v>6.5190299999999999</v>
      </c>
      <c r="U63" s="387">
        <f t="shared" ref="U63:U71" si="5">S63*T63</f>
        <v>0</v>
      </c>
    </row>
    <row r="64" spans="2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4"/>
        <v>0</v>
      </c>
      <c r="T64" s="402">
        <f>Cen!F219</f>
        <v>6.62744</v>
      </c>
      <c r="U64" s="387">
        <f t="shared" si="5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4"/>
        <v>0</v>
      </c>
      <c r="T65" s="402">
        <f>Cen!F223</f>
        <v>6.7358200000000004</v>
      </c>
      <c r="U65" s="387">
        <f t="shared" si="5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4"/>
        <v>0</v>
      </c>
      <c r="T66" s="402">
        <f>Cen!F227</f>
        <v>6.8442100000000003</v>
      </c>
      <c r="U66" s="387">
        <f t="shared" si="5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4"/>
        <v>0</v>
      </c>
      <c r="T67" s="402">
        <f>Cen!F231</f>
        <v>6.2810499999999987</v>
      </c>
      <c r="U67" s="387">
        <f t="shared" si="5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4"/>
        <v>0</v>
      </c>
      <c r="T68" s="402">
        <f>Cen!F235</f>
        <v>6.3789800000000003</v>
      </c>
      <c r="U68" s="387">
        <f t="shared" si="5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4"/>
        <v>0</v>
      </c>
      <c r="T69" s="402">
        <f>Cen!F239</f>
        <v>7.3622199999999998</v>
      </c>
      <c r="U69" s="387">
        <f t="shared" si="5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4"/>
        <v>0</v>
      </c>
      <c r="T70" s="402">
        <f>Cen!F243</f>
        <v>6.9229999999999992</v>
      </c>
      <c r="U70" s="387">
        <f t="shared" si="5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4"/>
        <v>0</v>
      </c>
      <c r="T71" s="402">
        <f>Cen!F247</f>
        <v>7.9644300000000001</v>
      </c>
      <c r="U71" s="387">
        <f t="shared" si="5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J41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/>
      <c r="Q79" s="123"/>
      <c r="R79" s="123"/>
      <c r="S79" s="385"/>
      <c r="T79" s="402"/>
      <c r="U79" s="387"/>
    </row>
    <row r="80" spans="16:21" x14ac:dyDescent="0.25">
      <c r="P80" s="123"/>
      <c r="Q80" s="123"/>
      <c r="R80" s="123"/>
      <c r="S80" s="385"/>
      <c r="T80" s="402"/>
      <c r="U80" s="387"/>
    </row>
    <row r="81" spans="16:21" x14ac:dyDescent="0.25">
      <c r="P81" s="123"/>
      <c r="Q81" s="123"/>
      <c r="R81" s="123"/>
      <c r="S81" s="385"/>
      <c r="T81" s="402"/>
      <c r="U81" s="387"/>
    </row>
    <row r="82" spans="16:21" x14ac:dyDescent="0.25">
      <c r="P82" s="123"/>
      <c r="Q82" s="123"/>
      <c r="R82" s="123"/>
      <c r="S82" s="385"/>
      <c r="T82" s="402"/>
      <c r="U82" s="387"/>
    </row>
    <row r="83" spans="16:21" x14ac:dyDescent="0.25">
      <c r="P83" s="123"/>
      <c r="Q83" s="123"/>
      <c r="R83" s="123"/>
      <c r="S83" s="385"/>
      <c r="T83" s="402"/>
      <c r="U83" s="387"/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6LYh0ow5NTjKBlg7Y2mqdUiwuM5Yv3AZiny5wZGGMfL7Yj4IPGhTup7iNPnOSV/x7FLmaClrBOrUvDC8ifQYtQ==" saltValue="K/RsnJ5ZKo/1qPa3loq+4Q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D31VR!A100" tooltip=" " display="AD31VR!A100"/>
    <hyperlink ref="N113" location="AD31VR!A1" tooltip=" " display="AD31VR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U140"/>
  <sheetViews>
    <sheetView showGridLines="0" showRowColHeader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C, "&amp;List!$B$62</f>
        <v>Čelní výsuv C, zásuvný prvek sklo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">
        <v>720</v>
      </c>
      <c r="J6" s="117"/>
      <c r="K6" s="116" t="s">
        <v>388</v>
      </c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910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911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912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913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x14ac:dyDescent="0.25">
      <c r="A39" s="114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:21" ht="13" x14ac:dyDescent="0.3">
      <c r="B53" s="277" t="str">
        <f>IF(OR($K$14&gt;0, $L$14&gt;0), List!$B$196, " ")</f>
        <v xml:space="preserve"> </v>
      </c>
      <c r="C53" s="277"/>
      <c r="D53" s="277"/>
      <c r="E53" s="277"/>
      <c r="F53" s="277"/>
      <c r="G53" s="277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ht="13" x14ac:dyDescent="0.3">
      <c r="B54" s="277" t="str">
        <f>IF(OR($K$14&gt;0, $L$14&gt;0), List!$B$200, " ")</f>
        <v xml:space="preserve"> </v>
      </c>
      <c r="C54" s="277"/>
      <c r="D54" s="277"/>
      <c r="E54" s="277"/>
      <c r="F54" s="277"/>
      <c r="G54" s="277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>
        <f>SUM($S$3:$S$11)</f>
        <v>0</v>
      </c>
      <c r="T56" s="386">
        <f>Cen!F158</f>
        <v>2.7871800000000002</v>
      </c>
      <c r="U56" s="387">
        <f t="shared" si="2"/>
        <v>0</v>
      </c>
    </row>
    <row r="57" spans="1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>S57*T57</f>
        <v>0</v>
      </c>
    </row>
    <row r="58" spans="1:21" x14ac:dyDescent="0.25">
      <c r="P58" s="123"/>
      <c r="Q58" s="123"/>
      <c r="R58" s="123"/>
      <c r="S58" s="385"/>
      <c r="T58" s="386"/>
      <c r="U58" s="387"/>
    </row>
    <row r="59" spans="1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:21" x14ac:dyDescent="0.25">
      <c r="P60" s="123"/>
      <c r="Q60" s="123"/>
      <c r="R60" s="123"/>
      <c r="S60" s="385"/>
      <c r="T60" s="386"/>
      <c r="U60" s="387"/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Cen!A324</f>
        <v>Sada držáků zásuvného prvku C, bílošedá</v>
      </c>
      <c r="Q73" s="123" t="str">
        <f>Cen!B324</f>
        <v>Z36C0080</v>
      </c>
      <c r="R73" s="123" t="str">
        <f>Cen!C324</f>
        <v>WGR</v>
      </c>
      <c r="S73" s="385">
        <f>SUM($S$3:$S$11)</f>
        <v>0</v>
      </c>
      <c r="T73" s="402">
        <f>Cen!F324</f>
        <v>2.3597199999999998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Cen!A273</f>
        <v>Zásuvný prvek C, 270mm, čiré sko</v>
      </c>
      <c r="Q75" s="123" t="str">
        <f>Cen!B273</f>
        <v>Z37R237C</v>
      </c>
      <c r="R75" s="123" t="str">
        <f>Cen!C273</f>
        <v>KL</v>
      </c>
      <c r="S75" s="385">
        <f t="shared" ref="S75:S83" si="5">S3</f>
        <v>0</v>
      </c>
      <c r="T75" s="402">
        <f>Cen!F273</f>
        <v>7.9598199999999997</v>
      </c>
      <c r="U75" s="387">
        <f t="shared" ref="U75:U83" si="6">S75*T75</f>
        <v>0</v>
      </c>
    </row>
    <row r="76" spans="16:21" x14ac:dyDescent="0.25">
      <c r="P76" s="123" t="str">
        <f>Cen!A275</f>
        <v>Zásuvný prvek C 300mm, čiré sko</v>
      </c>
      <c r="Q76" s="123" t="str">
        <f>Cen!B275</f>
        <v>Z37R267C</v>
      </c>
      <c r="R76" s="123" t="str">
        <f>Cen!C275</f>
        <v>KL</v>
      </c>
      <c r="S76" s="385">
        <f t="shared" si="5"/>
        <v>0</v>
      </c>
      <c r="T76" s="402">
        <f>Cen!F275</f>
        <v>8.3418399999999995</v>
      </c>
      <c r="U76" s="387">
        <f t="shared" si="6"/>
        <v>0</v>
      </c>
    </row>
    <row r="77" spans="16:21" x14ac:dyDescent="0.25">
      <c r="P77" s="123" t="str">
        <f>Cen!A277</f>
        <v>Zásuvný prvek C, 350mm, čiré sko</v>
      </c>
      <c r="Q77" s="123" t="str">
        <f>Cen!B277</f>
        <v>Z37R317C</v>
      </c>
      <c r="R77" s="123" t="str">
        <f>Cen!C277</f>
        <v>KL</v>
      </c>
      <c r="S77" s="385">
        <f t="shared" si="5"/>
        <v>0</v>
      </c>
      <c r="T77" s="402">
        <f>Cen!F277</f>
        <v>8.7239199999999997</v>
      </c>
      <c r="U77" s="387">
        <f t="shared" si="6"/>
        <v>0</v>
      </c>
    </row>
    <row r="78" spans="16:21" x14ac:dyDescent="0.25">
      <c r="P78" s="123" t="str">
        <f>Cen!A279</f>
        <v>Zásuvný prvek C, 400mm, čiré sko</v>
      </c>
      <c r="Q78" s="123" t="str">
        <f>Cen!B279</f>
        <v>Z37R367C</v>
      </c>
      <c r="R78" s="123" t="str">
        <f>Cen!C279</f>
        <v>KL</v>
      </c>
      <c r="S78" s="385">
        <f t="shared" si="5"/>
        <v>0</v>
      </c>
      <c r="T78" s="402">
        <f>Cen!F279</f>
        <v>9.1059199999999993</v>
      </c>
      <c r="U78" s="387">
        <f t="shared" si="6"/>
        <v>0</v>
      </c>
    </row>
    <row r="79" spans="16:21" x14ac:dyDescent="0.25">
      <c r="P79" s="123" t="str">
        <f>Cen!A281</f>
        <v>Zásuvný prvek C, 450mm, čiré sko</v>
      </c>
      <c r="Q79" s="123" t="str">
        <f>Cen!B281</f>
        <v>Z37R417C</v>
      </c>
      <c r="R79" s="123" t="str">
        <f>Cen!C281</f>
        <v>KL</v>
      </c>
      <c r="S79" s="385">
        <f t="shared" si="5"/>
        <v>0</v>
      </c>
      <c r="T79" s="402">
        <f>Cen!F281</f>
        <v>9.4879499999999997</v>
      </c>
      <c r="U79" s="387">
        <f t="shared" si="6"/>
        <v>0</v>
      </c>
    </row>
    <row r="80" spans="16:21" x14ac:dyDescent="0.25">
      <c r="P80" s="123" t="str">
        <f>Cen!A283</f>
        <v>Zásuvný prvek C, 500mm, čiré sko</v>
      </c>
      <c r="Q80" s="123" t="str">
        <f>Cen!B283</f>
        <v>Z37R467C</v>
      </c>
      <c r="R80" s="123" t="str">
        <f>Cen!C283</f>
        <v>KL</v>
      </c>
      <c r="S80" s="385">
        <f t="shared" si="5"/>
        <v>0</v>
      </c>
      <c r="T80" s="402">
        <f>Cen!F283</f>
        <v>10.56526</v>
      </c>
      <c r="U80" s="387">
        <f t="shared" si="6"/>
        <v>0</v>
      </c>
    </row>
    <row r="81" spans="16:21" x14ac:dyDescent="0.25">
      <c r="P81" s="123" t="str">
        <f>Cen!A285</f>
        <v>Zásuvný prvek C, 550mm, čiré sko</v>
      </c>
      <c r="Q81" s="123" t="str">
        <f>Cen!B285</f>
        <v>Z37R517C</v>
      </c>
      <c r="R81" s="123" t="str">
        <f>Cen!C285</f>
        <v>KL</v>
      </c>
      <c r="S81" s="385">
        <f t="shared" si="5"/>
        <v>0</v>
      </c>
      <c r="T81" s="402">
        <f>Cen!F285</f>
        <v>10.63378</v>
      </c>
      <c r="U81" s="387">
        <f t="shared" si="6"/>
        <v>0</v>
      </c>
    </row>
    <row r="82" spans="16:21" x14ac:dyDescent="0.25">
      <c r="P82" s="123" t="str">
        <f>Cen!A287</f>
        <v>Zásuvný prvek C, 600mm, čiré sko</v>
      </c>
      <c r="Q82" s="123" t="str">
        <f>Cen!B287</f>
        <v>Z37R567C</v>
      </c>
      <c r="R82" s="123" t="str">
        <f>Cen!C287</f>
        <v>KL</v>
      </c>
      <c r="S82" s="385">
        <f t="shared" si="5"/>
        <v>0</v>
      </c>
      <c r="T82" s="402">
        <f>Cen!F287</f>
        <v>11.39742</v>
      </c>
      <c r="U82" s="387">
        <f t="shared" si="6"/>
        <v>0</v>
      </c>
    </row>
    <row r="83" spans="16:21" x14ac:dyDescent="0.25">
      <c r="P83" s="123" t="str">
        <f>Cen!A289</f>
        <v>Zásuvný prvek C, 650mm, čiré sko</v>
      </c>
      <c r="Q83" s="123" t="str">
        <f>Cen!B289</f>
        <v>Z37R617C</v>
      </c>
      <c r="R83" s="123" t="str">
        <f>Cen!C289</f>
        <v>KL</v>
      </c>
      <c r="S83" s="385">
        <f t="shared" si="5"/>
        <v>0</v>
      </c>
      <c r="T83" s="402">
        <f>Cen!F289</f>
        <v>12.16109</v>
      </c>
      <c r="U83" s="387">
        <f t="shared" si="6"/>
        <v>0</v>
      </c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  <c r="I117" s="558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yQyQwyaXrLeWoV56TG9d5AhteIWbZkHn70KKqhdlbt+KbXhiNtRWRkA/9Nd2OEdc2gXy3SEWkoKUvzd+ZRlsYA==" saltValue="RZzhlq35QWgb/qUdaCzgaA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0G!A100" tooltip=" " display="AC310G!A100"/>
    <hyperlink ref="N113" location="AC310G!A1" tooltip=" " display="AC310G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V140"/>
  <sheetViews>
    <sheetView showGridLines="0" showRowColHeaders="0" workbookViewId="0">
      <selection activeCell="N3" sqref="N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2" width="9.1796875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C, "&amp;List!$B$63</f>
        <v>Čelní výsuv C, kovový zásuvný prvek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IF($U$2=4, 0, SUM($D$19, $D$25))</f>
        <v>0</v>
      </c>
      <c r="T3" s="386">
        <f>Cen!F28</f>
        <v>16.219809999999999</v>
      </c>
      <c r="U3" s="387">
        <f t="shared" ref="U3:U38" si="0">S3*T3</f>
        <v>0</v>
      </c>
    </row>
    <row r="4" spans="1:22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IF($U$2=4, 0, SUM($E$19, $E$25))</f>
        <v>0</v>
      </c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IF($U$2=4, 0, SUM($F$19, $F$25))</f>
        <v>0</v>
      </c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IF($U$2=4, 0, SUM($G$19, $G$25))</f>
        <v>0</v>
      </c>
      <c r="T6" s="386">
        <f>Cen!F40</f>
        <v>16.366499999999998</v>
      </c>
      <c r="U6" s="387">
        <f t="shared" si="0"/>
        <v>0</v>
      </c>
    </row>
    <row r="7" spans="1:22" ht="13" thickBot="1" x14ac:dyDescent="0.3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IF($U$2=4, 0, SUM($H$19:$H$20, $H$25:$H$26))</f>
        <v>0</v>
      </c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IF($U$2=4, 0, SUM($I$19:$I$20, $I$25:$I$26))</f>
        <v>0</v>
      </c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IF($U$2=4, 0, SUM($J$19:$J$20, $J$25:$J$26))</f>
        <v>0</v>
      </c>
      <c r="T9" s="386">
        <f>Cen!F52</f>
        <v>18.128509999999999</v>
      </c>
      <c r="U9" s="387">
        <f t="shared" si="0"/>
        <v>0</v>
      </c>
    </row>
    <row r="10" spans="1:22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IF($U$2=4, 0, SUM($K$19:$K$20, $K$25:$K$26))</f>
        <v>0</v>
      </c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IF($U$2=4, 0, SUM($L$20, $L$26))</f>
        <v>0</v>
      </c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IF($U$2=4, 0, $D$19)</f>
        <v>0</v>
      </c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IF($U$2=4, 0, $E$19)</f>
        <v>0</v>
      </c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IF($U$2=4, 0, $F$19)</f>
        <v>0</v>
      </c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IF($U$2=4, 0, $G$19)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$H$19)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IF($U$2=4, 0, $H$20)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906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$I$19)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907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IF($U$2=4, 0, $I$20)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$J$19)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IF($U$2=4, 0, $J$20)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IF($U$2=4, 0, $K$19)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IF($U$2=4, 0, $K$20)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908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909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85">
        <f>IF($U$2=4, 0, $D$25)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85">
        <f>IF($U$2=4, 0, $E$25)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85">
        <f>IF($U$2=4, 0, $F$25)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85">
        <f>IF($U$2=4, 0, $G$25)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IF($U$2=4, 0, $H$25)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IF($U$2=4, 0, $H$26)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IF($U$2=4, 0, $I$25)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IF($U$2=4, 0, $I$26)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IF($U$2=4, 0, $J$25)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IF($U$2=4, 0, $J$26)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IF($U$2=4, 0, $K$25)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IF($U$2=4, 0, $K$26)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64" t="str">
        <f>List!B244&amp;": "</f>
        <v xml:space="preserve">Upozornění: </v>
      </c>
      <c r="D38" s="114" t="str">
        <f>List!B284</f>
        <v>Kovové zásuvné prvky pro NL 270 až 400mm se nevyrábí.</v>
      </c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217" t="str">
        <f>Cen!A121</f>
        <v>Korp. lišty TIP-ON BLUMOTION, 650mm, 65 kg</v>
      </c>
      <c r="Q38" s="217" t="str">
        <f>Cen!B121</f>
        <v>576.6501M</v>
      </c>
      <c r="R38" s="217" t="str">
        <f>Cen!C121</f>
        <v>ZN</v>
      </c>
      <c r="S38" s="394">
        <f>IF($U$2=4, 0, $L$26)</f>
        <v>0</v>
      </c>
      <c r="T38" s="395">
        <f>Cen!F121</f>
        <v>26.813510000000001</v>
      </c>
      <c r="U38" s="396">
        <f t="shared" si="0"/>
        <v>0</v>
      </c>
    </row>
    <row r="39" spans="1:21" ht="13" x14ac:dyDescent="0.3">
      <c r="A39" s="114"/>
      <c r="B39" s="141"/>
      <c r="C39" s="305"/>
      <c r="D39" s="141" t="str">
        <f>List!B285</f>
        <v>Do objednávky budou přidány prvky pro 450mm, které je potřeba na danou délku zkrátit.</v>
      </c>
      <c r="E39" s="141"/>
      <c r="F39" s="141"/>
      <c r="G39" s="141"/>
      <c r="H39" s="141"/>
      <c r="I39" s="141"/>
      <c r="J39" s="141"/>
      <c r="K39" s="141"/>
      <c r="L39" s="141"/>
      <c r="M39" s="114"/>
      <c r="N39" s="114"/>
      <c r="O39" s="114"/>
      <c r="P39" s="122"/>
      <c r="Q39" s="122"/>
      <c r="R39" s="122"/>
      <c r="S39" s="391"/>
      <c r="T39" s="392"/>
      <c r="U39" s="393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IF($U$2=4, 0, $D$30)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IF($U$2=4, 0, $E$30)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IF($U$2=4, 0, $F$30)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IF($U$2=4, 0, $G$30)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IF($U$2=4, 0, $H$30)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:21" ht="13" x14ac:dyDescent="0.3">
      <c r="B53" s="277" t="str">
        <f>IF(OR($K$14&gt;0, $L$14&gt;0), List!$B$196, " ")</f>
        <v xml:space="preserve"> </v>
      </c>
      <c r="C53" s="277"/>
      <c r="D53" s="277"/>
      <c r="E53" s="277"/>
      <c r="F53" s="277"/>
      <c r="G53" s="277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ht="13" x14ac:dyDescent="0.3">
      <c r="B54" s="277" t="str">
        <f>IF(OR($K$14&gt;0, $L$14&gt;0), List!$B$200, " ")</f>
        <v xml:space="preserve"> </v>
      </c>
      <c r="C54" s="277"/>
      <c r="D54" s="277"/>
      <c r="E54" s="277"/>
      <c r="F54" s="277"/>
      <c r="G54" s="277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>
        <f>SUM($S$3:$S$11)</f>
        <v>0</v>
      </c>
      <c r="T56" s="386">
        <f>Cen!F158</f>
        <v>2.7871800000000002</v>
      </c>
      <c r="U56" s="387">
        <f t="shared" si="2"/>
        <v>0</v>
      </c>
    </row>
    <row r="57" spans="1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>S57*T57</f>
        <v>0</v>
      </c>
    </row>
    <row r="58" spans="1:21" x14ac:dyDescent="0.25">
      <c r="P58" s="123"/>
      <c r="Q58" s="123"/>
      <c r="R58" s="123"/>
      <c r="S58" s="385"/>
      <c r="T58" s="386"/>
      <c r="U58" s="387"/>
    </row>
    <row r="59" spans="1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:21" x14ac:dyDescent="0.25">
      <c r="P60" s="123"/>
      <c r="Q60" s="123"/>
      <c r="R60" s="123"/>
      <c r="S60" s="385"/>
      <c r="T60" s="386"/>
      <c r="U60" s="387"/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Cen!A324</f>
        <v>Sada držáků zásuvného prvku C, bílošedá</v>
      </c>
      <c r="Q73" s="123" t="str">
        <f>Cen!B324</f>
        <v>Z36C0080</v>
      </c>
      <c r="R73" s="123" t="str">
        <f>Cen!C324</f>
        <v>WGR</v>
      </c>
      <c r="S73" s="385">
        <f>SUM($S$3:$S$11)</f>
        <v>0</v>
      </c>
      <c r="T73" s="402">
        <f>Cen!F324</f>
        <v>2.3597199999999998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 t="str">
        <f>Cen!A308</f>
        <v>Kovový zásuvný prvek C, 450mm, šedý</v>
      </c>
      <c r="Q79" s="123" t="str">
        <f>Cen!B308</f>
        <v>Z37A417C</v>
      </c>
      <c r="R79" s="123" t="str">
        <f>Cen!C308</f>
        <v>R906</v>
      </c>
      <c r="S79" s="385">
        <f>SUM(S3:S7)*2</f>
        <v>0</v>
      </c>
      <c r="T79" s="402">
        <f>Cen!F308</f>
        <v>5.6445800000000013</v>
      </c>
      <c r="U79" s="387">
        <f>S79*T79</f>
        <v>0</v>
      </c>
    </row>
    <row r="80" spans="16:21" x14ac:dyDescent="0.25">
      <c r="P80" s="123" t="str">
        <f>Cen!A311</f>
        <v>Kovový zásuvný prvek C, 500mm, šedý</v>
      </c>
      <c r="Q80" s="123" t="str">
        <f>Cen!B311</f>
        <v>Z37A467C</v>
      </c>
      <c r="R80" s="123" t="str">
        <f>Cen!C311</f>
        <v>R906</v>
      </c>
      <c r="S80" s="385">
        <f>S8*2</f>
        <v>0</v>
      </c>
      <c r="T80" s="402">
        <f>Cen!F311</f>
        <v>5.8695899999999996</v>
      </c>
      <c r="U80" s="387">
        <f>S80*T80</f>
        <v>0</v>
      </c>
    </row>
    <row r="81" spans="16:21" x14ac:dyDescent="0.25">
      <c r="P81" s="123" t="str">
        <f>Cen!A314</f>
        <v>Kovový zásuvný prvek C, 550mm, šedý</v>
      </c>
      <c r="Q81" s="123" t="str">
        <f>Cen!B314</f>
        <v>Z37A517C</v>
      </c>
      <c r="R81" s="123" t="str">
        <f>Cen!C314</f>
        <v>R906</v>
      </c>
      <c r="S81" s="385">
        <f>S9*2</f>
        <v>0</v>
      </c>
      <c r="T81" s="402">
        <f>Cen!F314</f>
        <v>5.9517800000000003</v>
      </c>
      <c r="U81" s="387">
        <f>S81*T81</f>
        <v>0</v>
      </c>
    </row>
    <row r="82" spans="16:21" x14ac:dyDescent="0.25">
      <c r="P82" s="123">
        <f>Cen!A317</f>
        <v>0</v>
      </c>
      <c r="Q82" s="123">
        <f>Cen!B317</f>
        <v>0</v>
      </c>
      <c r="R82" s="123">
        <f>Cen!C317</f>
        <v>0</v>
      </c>
      <c r="S82" s="385"/>
      <c r="T82" s="402">
        <f>Cen!F317</f>
        <v>0</v>
      </c>
      <c r="U82" s="387">
        <f>S82*T82</f>
        <v>0</v>
      </c>
    </row>
    <row r="83" spans="16:21" x14ac:dyDescent="0.25">
      <c r="P83" s="123" t="str">
        <f>Cen!A320</f>
        <v>Kovový zásuvný prvek C, 650mm, šedý</v>
      </c>
      <c r="Q83" s="123" t="str">
        <f>Cen!B320</f>
        <v>Z37A617C</v>
      </c>
      <c r="R83" s="123" t="str">
        <f>Cen!C320</f>
        <v>R906</v>
      </c>
      <c r="S83" s="385">
        <f>SUM(S10, S11)*2</f>
        <v>0</v>
      </c>
      <c r="T83" s="402">
        <f>Cen!F320</f>
        <v>6.8881800000000002</v>
      </c>
      <c r="U83" s="387">
        <f>S83*T83</f>
        <v>0</v>
      </c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  <c r="P103" s="114" t="str">
        <f>List!$B$289&amp;"!"</f>
        <v>Kovové zásuvné prvky pro nerez (Inox) se nevyrábí!</v>
      </c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  <c r="P104" s="114" t="str">
        <f>List!$B$290&amp;"!"</f>
        <v>Kování naplánované na tomto listu se neprojeví v objednávce!</v>
      </c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z3Z5nEDUac/giElExpou/9QVWE/dmvYJZ3B4PrhuckN9y6m0GB1o+6ILsW3DK+fTSyFcOLE/UXP0Jxp7MWtMRQ==" saltValue="OcidvO2oMF4dRRrTJSEmBw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0M!A100" tooltip=" " display="AC310M!A100"/>
    <hyperlink ref="N113" location="AC310M!A1" tooltip=" " display="AC310M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C, "&amp;List!$B$64</f>
        <v>Čelní výsuv C, podélný reling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902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903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904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905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16" t="str">
        <f>List!$B$23&amp;": *"</f>
        <v>Volitelně: *</v>
      </c>
      <c r="C40" s="141"/>
      <c r="D40" s="141"/>
      <c r="E40" s="141"/>
      <c r="F40" s="141"/>
      <c r="G40" s="141"/>
      <c r="H40" s="114"/>
      <c r="I40" s="114"/>
      <c r="J40" s="114"/>
      <c r="K40" s="114"/>
      <c r="L40" s="114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ht="15" customHeight="1" x14ac:dyDescent="0.25">
      <c r="A41" s="114"/>
      <c r="B41" s="407" t="str">
        <f>Cen!A324</f>
        <v>Sada držáků zásuvného prvku C, bílošedá</v>
      </c>
      <c r="C41" s="407"/>
      <c r="D41" s="407"/>
      <c r="E41" s="407"/>
      <c r="F41" s="407"/>
      <c r="G41" s="407"/>
      <c r="H41" s="407" t="str">
        <f>Cen!B324</f>
        <v>Z36C0080</v>
      </c>
      <c r="I41" s="407" t="str">
        <f>Cen!C324</f>
        <v>WGR</v>
      </c>
      <c r="J41" s="408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14" t="str">
        <f>"     * "&amp;List!$B$148</f>
        <v xml:space="preserve">     * Sada držáků, pro vlastní zásuvný prvek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 t="str">
        <f>"       "&amp;List!$B$150&amp;"!"</f>
        <v xml:space="preserve">       Cena držáků zásuvného prvku není zahrnuta do cen jednotlivých výsuvů!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P45" s="123"/>
      <c r="Q45" s="123"/>
      <c r="R45" s="123"/>
      <c r="S45" s="385"/>
      <c r="T45" s="386"/>
      <c r="U45" s="387"/>
    </row>
    <row r="46" spans="1:21" ht="13" x14ac:dyDescent="0.3">
      <c r="B46" s="277" t="str">
        <f>IF(OR($K$14&gt;0, $L$14&gt;0), List!$B$196, " ")</f>
        <v xml:space="preserve"> </v>
      </c>
      <c r="C46" s="277"/>
      <c r="D46" s="277"/>
      <c r="E46" s="277"/>
      <c r="F46" s="277"/>
      <c r="G46" s="277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ht="13" x14ac:dyDescent="0.3">
      <c r="B47" s="277" t="str">
        <f>IF(OR($K$14&gt;0, $L$14&gt;0), List!$B$200, " ")</f>
        <v xml:space="preserve"> </v>
      </c>
      <c r="C47" s="277"/>
      <c r="D47" s="277"/>
      <c r="E47" s="277"/>
      <c r="F47" s="277"/>
      <c r="G47" s="277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6:21" x14ac:dyDescent="0.25"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6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6:21" x14ac:dyDescent="0.25">
      <c r="P51" s="123"/>
      <c r="Q51" s="123"/>
      <c r="R51" s="123"/>
      <c r="S51" s="385"/>
      <c r="T51" s="386"/>
      <c r="U51" s="387"/>
    </row>
    <row r="52" spans="16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6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6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6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6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>
        <f>SUM($S$3:$S$11)</f>
        <v>0</v>
      </c>
      <c r="T56" s="386">
        <f>Cen!F158</f>
        <v>2.7871800000000002</v>
      </c>
      <c r="U56" s="387">
        <f t="shared" si="2"/>
        <v>0</v>
      </c>
    </row>
    <row r="57" spans="16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>S57*T57</f>
        <v>0</v>
      </c>
    </row>
    <row r="58" spans="16:21" x14ac:dyDescent="0.25">
      <c r="P58" s="123"/>
      <c r="Q58" s="123"/>
      <c r="R58" s="123"/>
      <c r="S58" s="385"/>
      <c r="T58" s="386"/>
      <c r="U58" s="387"/>
    </row>
    <row r="59" spans="16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6:21" x14ac:dyDescent="0.25">
      <c r="P60" s="123"/>
      <c r="Q60" s="123"/>
      <c r="R60" s="123"/>
      <c r="S60" s="385"/>
      <c r="T60" s="386"/>
      <c r="U60" s="387"/>
    </row>
    <row r="63" spans="16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6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Cen!A324</f>
        <v>Sada držáků zásuvného prvku C, bílošedá</v>
      </c>
      <c r="Q73" s="123" t="str">
        <f>Cen!B324</f>
        <v>Z36C0080</v>
      </c>
      <c r="R73" s="123" t="str">
        <f>Cen!C324</f>
        <v>WGR</v>
      </c>
      <c r="S73" s="385">
        <f>J41</f>
        <v>0</v>
      </c>
      <c r="T73" s="402">
        <f>Cen!F324</f>
        <v>2.3597199999999998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/>
      <c r="Q79" s="123"/>
      <c r="R79" s="123"/>
      <c r="S79" s="385"/>
      <c r="T79" s="402"/>
      <c r="U79" s="387"/>
    </row>
    <row r="80" spans="16:21" x14ac:dyDescent="0.25">
      <c r="P80" s="123"/>
      <c r="Q80" s="123"/>
      <c r="R80" s="123"/>
      <c r="S80" s="385"/>
      <c r="T80" s="402"/>
      <c r="U80" s="387"/>
    </row>
    <row r="81" spans="16:21" x14ac:dyDescent="0.25">
      <c r="P81" s="123"/>
      <c r="Q81" s="123"/>
      <c r="R81" s="123"/>
      <c r="S81" s="385"/>
      <c r="T81" s="402"/>
      <c r="U81" s="387"/>
    </row>
    <row r="82" spans="16:21" x14ac:dyDescent="0.25">
      <c r="P82" s="123"/>
      <c r="Q82" s="123"/>
      <c r="R82" s="123"/>
      <c r="S82" s="385"/>
      <c r="T82" s="402"/>
      <c r="U82" s="387"/>
    </row>
    <row r="83" spans="16:21" x14ac:dyDescent="0.25">
      <c r="P83" s="123"/>
      <c r="Q83" s="123"/>
      <c r="R83" s="123"/>
      <c r="S83" s="385"/>
      <c r="T83" s="402"/>
      <c r="U83" s="387"/>
    </row>
    <row r="89" spans="16:21" x14ac:dyDescent="0.25">
      <c r="P89" s="114"/>
    </row>
    <row r="90" spans="16:21" x14ac:dyDescent="0.25">
      <c r="P90" s="114"/>
      <c r="U90" s="436">
        <f>SUM(U3:U89)</f>
        <v>0</v>
      </c>
    </row>
    <row r="91" spans="16:21" x14ac:dyDescent="0.25">
      <c r="P91" s="114"/>
    </row>
    <row r="92" spans="16:21" x14ac:dyDescent="0.25">
      <c r="P92" s="114"/>
    </row>
    <row r="93" spans="16:21" x14ac:dyDescent="0.25">
      <c r="P93" s="114"/>
    </row>
    <row r="94" spans="16:21" x14ac:dyDescent="0.25">
      <c r="P94" s="114"/>
    </row>
    <row r="95" spans="16:21" x14ac:dyDescent="0.25">
      <c r="P95" s="114"/>
    </row>
    <row r="96" spans="16:21" x14ac:dyDescent="0.25">
      <c r="P96" s="114"/>
    </row>
    <row r="97" spans="1:16" x14ac:dyDescent="0.25">
      <c r="P97" s="114"/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q3ZEu5HTX77uCYZfmcrTgRkL41lUPTBy42p2mNlDZrZ/IHj54s5jzgiCC6PJiOa8PYoD0uPvjLsg6L3EPvEXxw==" saltValue="RI9wQ3WSCZawTPlQ6e1Frw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0R!A100" tooltip=" " display="AC310R!A100"/>
    <hyperlink ref="N113" location="AC310R!A1" tooltip=" " display="AC310R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U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List!$B$49&amp;" C, "&amp;List!$B$63</f>
        <v>Vnitřní výsuv C, kovový zásuvný prvek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">
        <v>720</v>
      </c>
      <c r="J6" s="117"/>
      <c r="K6" s="116" t="s">
        <v>388</v>
      </c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/>
      <c r="J7" s="117"/>
      <c r="K7" s="116"/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114" t="str">
        <f>"* "&amp;List!$B$132&amp;":"</f>
        <v>* Přířezy prvků:</v>
      </c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114" t="str">
        <f>List!$C$136&amp;":   LW - 132"</f>
        <v>Přední díl:   LW - 132</v>
      </c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114" t="str">
        <f>List!$C$137&amp;":   LW - 122"</f>
        <v>Příčný reling:   LW - 122</v>
      </c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898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899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900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901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305"/>
      <c r="C39" s="305"/>
      <c r="D39" s="114" t="str">
        <f>List!$B$145</f>
        <v>Pro každý výsuv je započítán jeden přední díl a jeden příčný reling</v>
      </c>
      <c r="E39" s="305"/>
      <c r="F39" s="305"/>
      <c r="G39" s="305"/>
      <c r="H39" s="141"/>
      <c r="I39" s="141"/>
      <c r="J39" s="141"/>
      <c r="K39" s="141"/>
      <c r="L39" s="141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14" t="str">
        <f>List!$B$147</f>
        <v>Potřebný počet předních dílů a relingů upravte v objednávce</v>
      </c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152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152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B55" s="114" t="str">
        <f>"       "&amp;List!$B$145</f>
        <v xml:space="preserve">       Pro každý výsuv je započítán jeden přední díl a jeden příčný reling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B56" s="114" t="str">
        <f>"       "&amp;List!$B$147</f>
        <v xml:space="preserve">       Potřebný počet předních dílů a relingů upravte v objednávce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>
        <f>SUM($S$3:$S$11)</f>
        <v>0</v>
      </c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H57" s="114"/>
      <c r="I57" s="114"/>
      <c r="J57" s="114"/>
      <c r="K57" s="114"/>
      <c r="L57" s="114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>S57*T57</f>
        <v>0</v>
      </c>
    </row>
    <row r="58" spans="1:21" ht="13" x14ac:dyDescent="0.3">
      <c r="B58" s="277" t="str">
        <f>IF(OR($K$14&gt;0, $L$14&gt;0), List!$B$196, " ")</f>
        <v xml:space="preserve"> </v>
      </c>
      <c r="C58" s="277"/>
      <c r="D58" s="277"/>
      <c r="E58" s="277"/>
      <c r="F58" s="277"/>
      <c r="G58" s="277"/>
      <c r="P58" s="123"/>
      <c r="Q58" s="123"/>
      <c r="R58" s="123"/>
      <c r="S58" s="385"/>
      <c r="T58" s="386"/>
      <c r="U58" s="387"/>
    </row>
    <row r="59" spans="1:21" ht="13" x14ac:dyDescent="0.3">
      <c r="B59" s="277" t="str">
        <f>IF(OR($K$14&gt;0, $L$14&gt;0), List!$B$200, " ")</f>
        <v xml:space="preserve"> </v>
      </c>
      <c r="C59" s="277"/>
      <c r="D59" s="277"/>
      <c r="E59" s="277"/>
      <c r="F59" s="277"/>
      <c r="G59" s="277"/>
      <c r="P59" s="402" t="str">
        <f>Cen!A185</f>
        <v>Držáky čela vnitřního výsuvu C, bílošedé</v>
      </c>
      <c r="Q59" s="402" t="str">
        <f>Cen!B185</f>
        <v>ZIF.74C0</v>
      </c>
      <c r="R59" s="402" t="str">
        <f>Cen!C185</f>
        <v>WGR</v>
      </c>
      <c r="S59" s="385">
        <f>SUM($S$3:$S$11)</f>
        <v>0</v>
      </c>
      <c r="T59" s="402">
        <f>Cen!F185</f>
        <v>5.8567799999999997</v>
      </c>
      <c r="U59" s="387">
        <f t="shared" si="2"/>
        <v>0</v>
      </c>
    </row>
    <row r="60" spans="1:21" x14ac:dyDescent="0.25"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SUM($S$3:$S$11)</f>
        <v>0</v>
      </c>
      <c r="T60" s="402">
        <f>Cen!F194</f>
        <v>14.286440000000001</v>
      </c>
      <c r="U60" s="387">
        <f t="shared" si="2"/>
        <v>0</v>
      </c>
    </row>
    <row r="61" spans="1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SUM($S$3:$S$11)</f>
        <v>0</v>
      </c>
      <c r="T61" s="402">
        <f>Cen!F199</f>
        <v>6.6514599999999993</v>
      </c>
      <c r="U61" s="387">
        <f t="shared" si="2"/>
        <v>0</v>
      </c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Cen!A324</f>
        <v>Sada držáků zásuvného prvku C, bílošedá</v>
      </c>
      <c r="Q73" s="123" t="str">
        <f>Cen!B324</f>
        <v>Z36C0080</v>
      </c>
      <c r="R73" s="123" t="str">
        <f>Cen!C324</f>
        <v>WGR</v>
      </c>
      <c r="S73" s="385">
        <f>SUM($S$3:$S$11)</f>
        <v>0</v>
      </c>
      <c r="T73" s="402">
        <f>Cen!F324</f>
        <v>2.3597199999999998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Cen!A273</f>
        <v>Zásuvný prvek C, 270mm, čiré sko</v>
      </c>
      <c r="Q75" s="123" t="str">
        <f>Cen!B273</f>
        <v>Z37R237C</v>
      </c>
      <c r="R75" s="123" t="str">
        <f>Cen!C273</f>
        <v>KL</v>
      </c>
      <c r="S75" s="385">
        <f t="shared" ref="S75:S83" si="5">S3</f>
        <v>0</v>
      </c>
      <c r="T75" s="402">
        <f>Cen!F273</f>
        <v>7.9598199999999997</v>
      </c>
      <c r="U75" s="387">
        <f t="shared" ref="U75:U83" si="6">S75*T75</f>
        <v>0</v>
      </c>
    </row>
    <row r="76" spans="16:21" x14ac:dyDescent="0.25">
      <c r="P76" s="123" t="str">
        <f>Cen!A275</f>
        <v>Zásuvný prvek C 300mm, čiré sko</v>
      </c>
      <c r="Q76" s="123" t="str">
        <f>Cen!B275</f>
        <v>Z37R267C</v>
      </c>
      <c r="R76" s="123" t="str">
        <f>Cen!C275</f>
        <v>KL</v>
      </c>
      <c r="S76" s="385">
        <f t="shared" si="5"/>
        <v>0</v>
      </c>
      <c r="T76" s="402">
        <f>Cen!F275</f>
        <v>8.3418399999999995</v>
      </c>
      <c r="U76" s="387">
        <f t="shared" si="6"/>
        <v>0</v>
      </c>
    </row>
    <row r="77" spans="16:21" x14ac:dyDescent="0.25">
      <c r="P77" s="123" t="str">
        <f>Cen!A277</f>
        <v>Zásuvný prvek C, 350mm, čiré sko</v>
      </c>
      <c r="Q77" s="123" t="str">
        <f>Cen!B277</f>
        <v>Z37R317C</v>
      </c>
      <c r="R77" s="123" t="str">
        <f>Cen!C277</f>
        <v>KL</v>
      </c>
      <c r="S77" s="385">
        <f t="shared" si="5"/>
        <v>0</v>
      </c>
      <c r="T77" s="402">
        <f>Cen!F277</f>
        <v>8.7239199999999997</v>
      </c>
      <c r="U77" s="387">
        <f t="shared" si="6"/>
        <v>0</v>
      </c>
    </row>
    <row r="78" spans="16:21" x14ac:dyDescent="0.25">
      <c r="P78" s="123" t="str">
        <f>Cen!A279</f>
        <v>Zásuvný prvek C, 400mm, čiré sko</v>
      </c>
      <c r="Q78" s="123" t="str">
        <f>Cen!B279</f>
        <v>Z37R367C</v>
      </c>
      <c r="R78" s="123" t="str">
        <f>Cen!C279</f>
        <v>KL</v>
      </c>
      <c r="S78" s="385">
        <f t="shared" si="5"/>
        <v>0</v>
      </c>
      <c r="T78" s="402">
        <f>Cen!F279</f>
        <v>9.1059199999999993</v>
      </c>
      <c r="U78" s="387">
        <f t="shared" si="6"/>
        <v>0</v>
      </c>
    </row>
    <row r="79" spans="16:21" x14ac:dyDescent="0.25">
      <c r="P79" s="123" t="str">
        <f>Cen!A281</f>
        <v>Zásuvný prvek C, 450mm, čiré sko</v>
      </c>
      <c r="Q79" s="123" t="str">
        <f>Cen!B281</f>
        <v>Z37R417C</v>
      </c>
      <c r="R79" s="123" t="str">
        <f>Cen!C281</f>
        <v>KL</v>
      </c>
      <c r="S79" s="385">
        <f t="shared" si="5"/>
        <v>0</v>
      </c>
      <c r="T79" s="402">
        <f>Cen!F281</f>
        <v>9.4879499999999997</v>
      </c>
      <c r="U79" s="387">
        <f t="shared" si="6"/>
        <v>0</v>
      </c>
    </row>
    <row r="80" spans="16:21" x14ac:dyDescent="0.25">
      <c r="P80" s="123" t="str">
        <f>Cen!A283</f>
        <v>Zásuvný prvek C, 500mm, čiré sko</v>
      </c>
      <c r="Q80" s="123" t="str">
        <f>Cen!B283</f>
        <v>Z37R467C</v>
      </c>
      <c r="R80" s="123" t="str">
        <f>Cen!C283</f>
        <v>KL</v>
      </c>
      <c r="S80" s="385">
        <f t="shared" si="5"/>
        <v>0</v>
      </c>
      <c r="T80" s="402">
        <f>Cen!F283</f>
        <v>10.56526</v>
      </c>
      <c r="U80" s="387">
        <f t="shared" si="6"/>
        <v>0</v>
      </c>
    </row>
    <row r="81" spans="16:21" x14ac:dyDescent="0.25">
      <c r="P81" s="123" t="str">
        <f>Cen!A285</f>
        <v>Zásuvný prvek C, 550mm, čiré sko</v>
      </c>
      <c r="Q81" s="123" t="str">
        <f>Cen!B285</f>
        <v>Z37R517C</v>
      </c>
      <c r="R81" s="123" t="str">
        <f>Cen!C285</f>
        <v>KL</v>
      </c>
      <c r="S81" s="385">
        <f t="shared" si="5"/>
        <v>0</v>
      </c>
      <c r="T81" s="402">
        <f>Cen!F285</f>
        <v>10.63378</v>
      </c>
      <c r="U81" s="387">
        <f t="shared" si="6"/>
        <v>0</v>
      </c>
    </row>
    <row r="82" spans="16:21" x14ac:dyDescent="0.25">
      <c r="P82" s="123" t="str">
        <f>Cen!A287</f>
        <v>Zásuvný prvek C, 600mm, čiré sko</v>
      </c>
      <c r="Q82" s="123" t="str">
        <f>Cen!B287</f>
        <v>Z37R567C</v>
      </c>
      <c r="R82" s="123" t="str">
        <f>Cen!C287</f>
        <v>KL</v>
      </c>
      <c r="S82" s="385">
        <f t="shared" si="5"/>
        <v>0</v>
      </c>
      <c r="T82" s="402">
        <f>Cen!F287</f>
        <v>11.39742</v>
      </c>
      <c r="U82" s="387">
        <f t="shared" si="6"/>
        <v>0</v>
      </c>
    </row>
    <row r="83" spans="16:21" x14ac:dyDescent="0.25">
      <c r="P83" s="123" t="str">
        <f>Cen!A289</f>
        <v>Zásuvný prvek C, 650mm, čiré sko</v>
      </c>
      <c r="Q83" s="123" t="str">
        <f>Cen!B289</f>
        <v>Z37R617C</v>
      </c>
      <c r="R83" s="123" t="str">
        <f>Cen!C289</f>
        <v>KL</v>
      </c>
      <c r="S83" s="385">
        <f t="shared" si="5"/>
        <v>0</v>
      </c>
      <c r="T83" s="402">
        <f>Cen!F289</f>
        <v>12.16109</v>
      </c>
      <c r="U83" s="387">
        <f t="shared" si="6"/>
        <v>0</v>
      </c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6.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XAIwM+gIfspza3K097KIQgHt/47DFOYUVeRgT+ogJ05YnF/a+kI0lHmF+pc9+eghHUMxbx4K+F4Xlavdt4fNkg==" saltValue="aq3RjLFm5DUx/iaijevn7Q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VG!A100" tooltip=" " display="AC31VG!A100"/>
    <hyperlink ref="N113" location="AC31VG!A1" tooltip=" " display="AC31VG!A1"/>
  </hyperlinks>
  <pageMargins left="0.7" right="0.7" top="0.78740157499999996" bottom="0.78740157499999996" header="0.3" footer="0.3"/>
  <pageSetup paperSize="9" orientation="landscape" verticalDpi="599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V140"/>
  <sheetViews>
    <sheetView showGridLines="0" showRowColHeaders="0" workbookViewId="0">
      <selection activeCell="N13" sqref="N13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List!$B$49&amp;" C, "&amp;List!$B$63</f>
        <v>Vnitřní výsuv C, kovový zásuvný prvek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IF($U$2=4, 0, SUM($D$19, $D$25))</f>
        <v>0</v>
      </c>
      <c r="T3" s="386">
        <f>Cen!F28</f>
        <v>16.219809999999999</v>
      </c>
      <c r="U3" s="387">
        <f t="shared" ref="U3:U38" si="0">S3*T3</f>
        <v>0</v>
      </c>
    </row>
    <row r="4" spans="1:22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IF($U$2=4, 0, SUM($E$19, $E$25))</f>
        <v>0</v>
      </c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IF($U$2=4, 0, SUM($F$19, $F$25))</f>
        <v>0</v>
      </c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IF($U$2=4, 0, SUM($G$19, $G$25))</f>
        <v>0</v>
      </c>
      <c r="T6" s="386">
        <f>Cen!F40</f>
        <v>16.366499999999998</v>
      </c>
      <c r="U6" s="387">
        <f t="shared" si="0"/>
        <v>0</v>
      </c>
    </row>
    <row r="7" spans="1:22" ht="13" thickBot="1" x14ac:dyDescent="0.3">
      <c r="A7" s="114"/>
      <c r="B7" s="114"/>
      <c r="C7" s="114"/>
      <c r="D7" s="114"/>
      <c r="E7" s="114"/>
      <c r="F7" s="114"/>
      <c r="G7" s="114"/>
      <c r="H7" s="114"/>
      <c r="I7" s="117"/>
      <c r="J7" s="117"/>
      <c r="K7" s="116"/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IF($U$2=4, 0, SUM($H$19:$H$20, $H$25:$H$26))</f>
        <v>0</v>
      </c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IF($U$2=4, 0, SUM($I$19:$I$20, $I$25:$I$26))</f>
        <v>0</v>
      </c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IF($U$2=4, 0, SUM($J$19:$J$20, $J$25:$J$26))</f>
        <v>0</v>
      </c>
      <c r="T9" s="386">
        <f>Cen!F52</f>
        <v>18.128509999999999</v>
      </c>
      <c r="U9" s="387">
        <f t="shared" si="0"/>
        <v>0</v>
      </c>
    </row>
    <row r="10" spans="1:22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IF($U$2=4, 0, SUM($K$19:$K$20, $K$25:$K$26))</f>
        <v>0</v>
      </c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114" t="str">
        <f>"* "&amp;List!$B$132&amp;":"</f>
        <v>* Přířezy prvků:</v>
      </c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IF($U$2=4, 0, SUM($L$20, $L$26))</f>
        <v>0</v>
      </c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114" t="str">
        <f>List!$C$136&amp;":   LW - 132"</f>
        <v>Přední díl:   LW - 132</v>
      </c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114" t="str">
        <f>List!$C$137&amp;":   LW - 122"</f>
        <v>Příčný reling:   LW - 122</v>
      </c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IF($U$2=4, 0, $D$19)</f>
        <v>0</v>
      </c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14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IF($U$2=4, 0, $E$19)</f>
        <v>0</v>
      </c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IF($U$2=4, 0, $F$19)</f>
        <v>0</v>
      </c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IF($U$2=4, 0, $G$19)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$H$19)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IF($U$2=4, 0, $H$20)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894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$I$19)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895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IF($U$2=4, 0, $I$20)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$J$19)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IF($U$2=4, 0, $J$20)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IF($U$2=4, 0, $K$19)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IF($U$2=4, 0, $K$20)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896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897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85">
        <f>IF($U$2=4, 0, $D$25)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85">
        <f>IF($U$2=4, 0, $E$25)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85">
        <f>IF($U$2=4, 0, $F$25)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85">
        <f>IF($U$2=4, 0, $G$25)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IF($U$2=4, 0, $H$25)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IF($U$2=4, 0, $H$26)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IF($U$2=4, 0, $I$25)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IF($U$2=4, 0, $I$26)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IF($U$2=4, 0, $J$25)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IF($U$2=4, 0, $J$26)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IF($U$2=4, 0, $K$25)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IF($U$2=4, 0, $K$26)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64" t="str">
        <f>List!B244&amp;": "</f>
        <v xml:space="preserve">Upozornění: </v>
      </c>
      <c r="D38" s="114" t="str">
        <f>List!B284</f>
        <v>Kovové zásuvné prvky pro NL 270 až 400mm se nevyrábí.</v>
      </c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217" t="str">
        <f>Cen!A121</f>
        <v>Korp. lišty TIP-ON BLUMOTION, 650mm, 65 kg</v>
      </c>
      <c r="Q38" s="217" t="str">
        <f>Cen!B121</f>
        <v>576.6501M</v>
      </c>
      <c r="R38" s="217" t="str">
        <f>Cen!C121</f>
        <v>ZN</v>
      </c>
      <c r="S38" s="394">
        <f>IF($U$2=4, 0, $L$26)</f>
        <v>0</v>
      </c>
      <c r="T38" s="395">
        <f>Cen!F121</f>
        <v>26.813510000000001</v>
      </c>
      <c r="U38" s="396">
        <f t="shared" si="0"/>
        <v>0</v>
      </c>
    </row>
    <row r="39" spans="1:21" ht="13" x14ac:dyDescent="0.3">
      <c r="A39" s="114"/>
      <c r="B39" s="305"/>
      <c r="C39" s="305"/>
      <c r="D39" s="141" t="str">
        <f>List!B285</f>
        <v>Do objednávky budou přidány prvky pro 450mm, které je potřeba na danou délku zkrátit.</v>
      </c>
      <c r="E39" s="305"/>
      <c r="F39" s="305"/>
      <c r="G39" s="305"/>
      <c r="H39" s="141"/>
      <c r="I39" s="141"/>
      <c r="J39" s="141"/>
      <c r="K39" s="141"/>
      <c r="L39" s="141"/>
      <c r="M39" s="114"/>
      <c r="N39" s="114"/>
      <c r="O39" s="114"/>
      <c r="P39" s="122"/>
      <c r="Q39" s="122"/>
      <c r="R39" s="122"/>
      <c r="S39" s="391"/>
      <c r="T39" s="392"/>
      <c r="U39" s="393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IF($U$2=4, 0, $D$30)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14" t="str">
        <f>List!$B$145</f>
        <v>Pro každý výsuv je započítán jeden přední díl a jeden příčný reling</v>
      </c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IF($U$2=4, 0, $E$30)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14" t="str">
        <f>List!$B$147</f>
        <v>Potřebný počet předních dílů a relingů upravte v objednávce</v>
      </c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IF($U$2=4, 0, $F$30)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IF($U$2=4, 0, $G$30)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IF($U$2=4, 0, $H$30)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152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152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>
        <f>SUM($S$3:$S$11)</f>
        <v>0</v>
      </c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H57" s="114"/>
      <c r="I57" s="114"/>
      <c r="J57" s="114"/>
      <c r="K57" s="114"/>
      <c r="L57" s="114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>S57*T57</f>
        <v>0</v>
      </c>
    </row>
    <row r="58" spans="1:21" ht="13" x14ac:dyDescent="0.3">
      <c r="B58" s="277" t="str">
        <f>IF(OR($K$14&gt;0, $L$14&gt;0), List!$B$196, " ")</f>
        <v xml:space="preserve"> </v>
      </c>
      <c r="C58" s="277"/>
      <c r="D58" s="277"/>
      <c r="E58" s="277"/>
      <c r="F58" s="277"/>
      <c r="G58" s="277"/>
      <c r="P58" s="123"/>
      <c r="Q58" s="123"/>
      <c r="R58" s="123"/>
      <c r="S58" s="385"/>
      <c r="T58" s="386"/>
      <c r="U58" s="387"/>
    </row>
    <row r="59" spans="1:21" ht="13" x14ac:dyDescent="0.3">
      <c r="B59" s="277" t="str">
        <f>IF(OR($K$14&gt;0, $L$14&gt;0), List!$B$200, " ")</f>
        <v xml:space="preserve"> </v>
      </c>
      <c r="C59" s="277"/>
      <c r="D59" s="277"/>
      <c r="E59" s="277"/>
      <c r="F59" s="277"/>
      <c r="G59" s="277"/>
      <c r="P59" s="402" t="str">
        <f>Cen!A185</f>
        <v>Držáky čela vnitřního výsuvu C, bílošedé</v>
      </c>
      <c r="Q59" s="402" t="str">
        <f>Cen!B185</f>
        <v>ZIF.74C0</v>
      </c>
      <c r="R59" s="402" t="str">
        <f>Cen!C185</f>
        <v>WGR</v>
      </c>
      <c r="S59" s="385">
        <f>SUM($S$3:$S$11)</f>
        <v>0</v>
      </c>
      <c r="T59" s="402">
        <f>Cen!F185</f>
        <v>5.8567799999999997</v>
      </c>
      <c r="U59" s="387">
        <f t="shared" si="2"/>
        <v>0</v>
      </c>
    </row>
    <row r="60" spans="1:21" x14ac:dyDescent="0.25"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SUM($S$3:$S$11)</f>
        <v>0</v>
      </c>
      <c r="T60" s="402">
        <f>Cen!F194</f>
        <v>14.286440000000001</v>
      </c>
      <c r="U60" s="387">
        <f t="shared" si="2"/>
        <v>0</v>
      </c>
    </row>
    <row r="61" spans="1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SUM($S$3:$S$11)</f>
        <v>0</v>
      </c>
      <c r="T61" s="402">
        <f>Cen!F199</f>
        <v>6.6514599999999993</v>
      </c>
      <c r="U61" s="387">
        <f t="shared" si="2"/>
        <v>0</v>
      </c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Cen!A324</f>
        <v>Sada držáků zásuvného prvku C, bílošedá</v>
      </c>
      <c r="Q73" s="123" t="str">
        <f>Cen!B324</f>
        <v>Z36C0080</v>
      </c>
      <c r="R73" s="123" t="str">
        <f>Cen!C324</f>
        <v>WGR</v>
      </c>
      <c r="S73" s="385">
        <f>SUM($S$3:$S$11)</f>
        <v>0</v>
      </c>
      <c r="T73" s="402">
        <f>Cen!F324</f>
        <v>2.3597199999999998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>
        <f t="shared" ref="U75:U83" si="5">S75*T75</f>
        <v>0</v>
      </c>
    </row>
    <row r="76" spans="16:21" x14ac:dyDescent="0.25">
      <c r="P76" s="123"/>
      <c r="Q76" s="123"/>
      <c r="R76" s="123"/>
      <c r="S76" s="385"/>
      <c r="T76" s="402"/>
      <c r="U76" s="387">
        <f t="shared" si="5"/>
        <v>0</v>
      </c>
    </row>
    <row r="77" spans="16:21" x14ac:dyDescent="0.25">
      <c r="P77" s="123"/>
      <c r="Q77" s="123"/>
      <c r="R77" s="123"/>
      <c r="S77" s="385"/>
      <c r="T77" s="402"/>
      <c r="U77" s="387">
        <f t="shared" si="5"/>
        <v>0</v>
      </c>
    </row>
    <row r="78" spans="16:21" x14ac:dyDescent="0.25">
      <c r="P78" s="123"/>
      <c r="Q78" s="123"/>
      <c r="R78" s="123"/>
      <c r="S78" s="385"/>
      <c r="T78" s="402"/>
      <c r="U78" s="387">
        <f t="shared" si="5"/>
        <v>0</v>
      </c>
    </row>
    <row r="79" spans="16:21" x14ac:dyDescent="0.25">
      <c r="P79" s="123" t="str">
        <f>Cen!A308</f>
        <v>Kovový zásuvný prvek C, 450mm, šedý</v>
      </c>
      <c r="Q79" s="123" t="str">
        <f>Cen!B308</f>
        <v>Z37A417C</v>
      </c>
      <c r="R79" s="123" t="str">
        <f>Cen!C308</f>
        <v>R906</v>
      </c>
      <c r="S79" s="385">
        <f>SUM(S3:S7)*2</f>
        <v>0</v>
      </c>
      <c r="T79" s="402">
        <f>Cen!F308</f>
        <v>5.6445800000000013</v>
      </c>
      <c r="U79" s="387">
        <f t="shared" si="5"/>
        <v>0</v>
      </c>
    </row>
    <row r="80" spans="16:21" x14ac:dyDescent="0.25">
      <c r="P80" s="123" t="str">
        <f>Cen!A311</f>
        <v>Kovový zásuvný prvek C, 500mm, šedý</v>
      </c>
      <c r="Q80" s="123" t="str">
        <f>Cen!B311</f>
        <v>Z37A467C</v>
      </c>
      <c r="R80" s="123" t="str">
        <f>Cen!C311</f>
        <v>R906</v>
      </c>
      <c r="S80" s="385">
        <f>S8</f>
        <v>0</v>
      </c>
      <c r="T80" s="402">
        <f>Cen!F311</f>
        <v>5.8695899999999996</v>
      </c>
      <c r="U80" s="387">
        <f t="shared" si="5"/>
        <v>0</v>
      </c>
    </row>
    <row r="81" spans="16:21" x14ac:dyDescent="0.25">
      <c r="P81" s="123" t="str">
        <f>Cen!A314</f>
        <v>Kovový zásuvný prvek C, 550mm, šedý</v>
      </c>
      <c r="Q81" s="123" t="str">
        <f>Cen!B314</f>
        <v>Z37A517C</v>
      </c>
      <c r="R81" s="123" t="str">
        <f>Cen!C314</f>
        <v>R906</v>
      </c>
      <c r="S81" s="385">
        <f>S9</f>
        <v>0</v>
      </c>
      <c r="T81" s="402">
        <f>Cen!F314</f>
        <v>5.9517800000000003</v>
      </c>
      <c r="U81" s="387">
        <f t="shared" si="5"/>
        <v>0</v>
      </c>
    </row>
    <row r="82" spans="16:21" x14ac:dyDescent="0.25">
      <c r="P82" s="123">
        <f>Cen!A317</f>
        <v>0</v>
      </c>
      <c r="Q82" s="123">
        <f>Cen!B317</f>
        <v>0</v>
      </c>
      <c r="R82" s="123">
        <f>Cen!C317</f>
        <v>0</v>
      </c>
      <c r="S82" s="385"/>
      <c r="T82" s="402">
        <f>Cen!F317</f>
        <v>0</v>
      </c>
      <c r="U82" s="387">
        <f t="shared" si="5"/>
        <v>0</v>
      </c>
    </row>
    <row r="83" spans="16:21" x14ac:dyDescent="0.25">
      <c r="P83" s="123" t="str">
        <f>Cen!A320</f>
        <v>Kovový zásuvný prvek C, 650mm, šedý</v>
      </c>
      <c r="Q83" s="123" t="str">
        <f>Cen!B320</f>
        <v>Z37A617C</v>
      </c>
      <c r="R83" s="123" t="str">
        <f>Cen!C320</f>
        <v>R906</v>
      </c>
      <c r="S83" s="385">
        <f>SUM(S10, S11)*2</f>
        <v>0</v>
      </c>
      <c r="T83" s="402">
        <f>Cen!F320</f>
        <v>6.8881800000000002</v>
      </c>
      <c r="U83" s="387">
        <f t="shared" si="5"/>
        <v>0</v>
      </c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  <c r="P103" s="114" t="str">
        <f>List!$B$289&amp;"!"</f>
        <v>Kovové zásuvné prvky pro nerez (Inox) se nevyrábí!</v>
      </c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  <c r="P104" s="114" t="str">
        <f>List!$B$290&amp;"!"</f>
        <v>Kování naplánované na tomto listu se neprojeví v objednávce!</v>
      </c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SZOj6YICzSDapaGfzIruBv28Ww3e6R5M4bEpnKgfr+/yXa/ufSirKjuXrfHvyZs/6Dd9spObOCO5qxuguwizKg==" saltValue="Ovpe/43gdF3+2VK+JFJxsw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VM!A100" tooltip=" " display="AC31VM!A100"/>
    <hyperlink ref="N113" location="AC31VM!A1" tooltip=" " display="AC31VM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U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List!$B$49&amp;" C, "&amp;List!$B$64</f>
        <v>Vnitřní výsuv C, podélný reling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/>
      <c r="J7" s="117"/>
      <c r="K7" s="116"/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114" t="str">
        <f>"* "&amp;List!$B$132&amp;":"</f>
        <v>* Přířezy prvků:</v>
      </c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114" t="str">
        <f>List!$C$136&amp;":   LW - 132"</f>
        <v>Přední díl:   LW - 132</v>
      </c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114" t="str">
        <f>List!$C$137&amp;":   LW - 122"</f>
        <v>Příčný reling:   LW - 122</v>
      </c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890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891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892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893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3" x14ac:dyDescent="0.3">
      <c r="A40" s="114"/>
      <c r="B40" s="193" t="str">
        <f>List!$B$23&amp;": **"</f>
        <v>Volitelně: **</v>
      </c>
      <c r="C40" s="305"/>
      <c r="D40" s="305"/>
      <c r="E40" s="305"/>
      <c r="F40" s="305"/>
      <c r="G40" s="305"/>
      <c r="H40" s="114"/>
      <c r="I40" s="114"/>
      <c r="J40" s="114"/>
      <c r="K40" s="114"/>
      <c r="L40" s="114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ht="15" customHeight="1" x14ac:dyDescent="0.25">
      <c r="A41" s="114"/>
      <c r="B41" s="407" t="str">
        <f>Cen!A324</f>
        <v>Sada držáků zásuvného prvku C, bílošedá</v>
      </c>
      <c r="C41" s="407"/>
      <c r="D41" s="407"/>
      <c r="E41" s="407"/>
      <c r="F41" s="407"/>
      <c r="G41" s="407"/>
      <c r="H41" s="407" t="str">
        <f>Cen!B324</f>
        <v>Z36C0080</v>
      </c>
      <c r="I41" s="407" t="str">
        <f>Cen!C324</f>
        <v>WGR</v>
      </c>
      <c r="J41" s="408"/>
      <c r="K41" s="410"/>
      <c r="L41" s="410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14" t="str">
        <f>"      * "&amp;List!$B$145</f>
        <v xml:space="preserve">      * Pro každý výsuv je započítán jeden přední díl a jeden příčný reling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 t="str">
        <f>"        "&amp;List!$B$147</f>
        <v xml:space="preserve">        Potřebný počet předních dílů a relingů upravte v objednávce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14" t="str">
        <f>"    ** "&amp;List!$B$148</f>
        <v xml:space="preserve">    ** Sada držáků, pro vlastní zásuvný prvek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B46" s="114" t="str">
        <f>"       "&amp;List!$B$150&amp;"!"</f>
        <v xml:space="preserve">       Cena držáků zásuvného prvku není zahrnuta do cen jednotlivých výsuvů!</v>
      </c>
      <c r="C46" s="114"/>
      <c r="D46" s="114"/>
      <c r="E46" s="114"/>
      <c r="F46" s="114"/>
      <c r="G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ht="13" x14ac:dyDescent="0.3">
      <c r="B48" s="277" t="str">
        <f>IF(OR($K$14&gt;0, $L$14&gt;0), List!$B$196, " ")</f>
        <v xml:space="preserve"> </v>
      </c>
      <c r="C48" s="277"/>
      <c r="D48" s="277"/>
      <c r="E48" s="277"/>
      <c r="F48" s="277"/>
      <c r="G48" s="277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2:21" ht="13" x14ac:dyDescent="0.3">
      <c r="B49" s="277" t="str">
        <f>IF(OR($K$14&gt;0, $L$14&gt;0), List!$B$200, " ")</f>
        <v xml:space="preserve"> </v>
      </c>
      <c r="C49" s="277"/>
      <c r="D49" s="277"/>
      <c r="E49" s="277"/>
      <c r="F49" s="277"/>
      <c r="G49" s="277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2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2:21" x14ac:dyDescent="0.25">
      <c r="P51" s="123"/>
      <c r="Q51" s="123"/>
      <c r="R51" s="123"/>
      <c r="S51" s="385"/>
      <c r="T51" s="386"/>
      <c r="U51" s="387"/>
    </row>
    <row r="52" spans="2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2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2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2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2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>
        <f>SUM($S$3:$S$11)</f>
        <v>0</v>
      </c>
      <c r="T56" s="386">
        <f>Cen!F158</f>
        <v>2.7871800000000002</v>
      </c>
      <c r="U56" s="387">
        <f t="shared" si="2"/>
        <v>0</v>
      </c>
    </row>
    <row r="57" spans="2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>S57*T57</f>
        <v>0</v>
      </c>
    </row>
    <row r="58" spans="2:21" x14ac:dyDescent="0.25">
      <c r="P58" s="123"/>
      <c r="Q58" s="123"/>
      <c r="R58" s="123"/>
      <c r="S58" s="385"/>
      <c r="T58" s="386"/>
      <c r="U58" s="387"/>
    </row>
    <row r="59" spans="2:21" x14ac:dyDescent="0.25">
      <c r="P59" s="402" t="str">
        <f>Cen!A185</f>
        <v>Držáky čela vnitřního výsuvu C, bílošedé</v>
      </c>
      <c r="Q59" s="402" t="str">
        <f>Cen!B185</f>
        <v>ZIF.74C0</v>
      </c>
      <c r="R59" s="402" t="str">
        <f>Cen!C185</f>
        <v>WGR</v>
      </c>
      <c r="S59" s="385">
        <f>SUM($S$3:$S$11)</f>
        <v>0</v>
      </c>
      <c r="T59" s="402">
        <f>Cen!F185</f>
        <v>5.8567799999999997</v>
      </c>
      <c r="U59" s="387">
        <f t="shared" si="2"/>
        <v>0</v>
      </c>
    </row>
    <row r="60" spans="2:21" x14ac:dyDescent="0.25"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SUM($S$3:$S$11)</f>
        <v>0</v>
      </c>
      <c r="T60" s="402">
        <f>Cen!F194</f>
        <v>14.286440000000001</v>
      </c>
      <c r="U60" s="387">
        <f t="shared" si="2"/>
        <v>0</v>
      </c>
    </row>
    <row r="61" spans="2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SUM($S$3:$S$11)</f>
        <v>0</v>
      </c>
      <c r="T61" s="402">
        <f>Cen!F199</f>
        <v>6.6514599999999993</v>
      </c>
      <c r="U61" s="387">
        <f t="shared" si="2"/>
        <v>0</v>
      </c>
    </row>
    <row r="63" spans="2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2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Cen!A324</f>
        <v>Sada držáků zásuvného prvku C, bílošedá</v>
      </c>
      <c r="Q73" s="123" t="str">
        <f>Cen!B324</f>
        <v>Z36C0080</v>
      </c>
      <c r="R73" s="123" t="str">
        <f>Cen!C324</f>
        <v>WGR</v>
      </c>
      <c r="S73" s="385">
        <f>J41</f>
        <v>0</v>
      </c>
      <c r="T73" s="402">
        <f>Cen!F324</f>
        <v>2.3597199999999998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>
        <f t="shared" ref="U75:U78" si="5">S75*T75</f>
        <v>0</v>
      </c>
    </row>
    <row r="76" spans="16:21" x14ac:dyDescent="0.25">
      <c r="P76" s="123"/>
      <c r="Q76" s="123"/>
      <c r="R76" s="123"/>
      <c r="S76" s="385"/>
      <c r="T76" s="402"/>
      <c r="U76" s="387">
        <f t="shared" si="5"/>
        <v>0</v>
      </c>
    </row>
    <row r="77" spans="16:21" x14ac:dyDescent="0.25">
      <c r="P77" s="123"/>
      <c r="Q77" s="123"/>
      <c r="R77" s="123"/>
      <c r="S77" s="385"/>
      <c r="T77" s="402"/>
      <c r="U77" s="387">
        <f t="shared" si="5"/>
        <v>0</v>
      </c>
    </row>
    <row r="78" spans="16:21" x14ac:dyDescent="0.25">
      <c r="P78" s="123"/>
      <c r="Q78" s="123"/>
      <c r="R78" s="123"/>
      <c r="S78" s="385"/>
      <c r="T78" s="402"/>
      <c r="U78" s="387">
        <f t="shared" si="5"/>
        <v>0</v>
      </c>
    </row>
    <row r="79" spans="16:21" x14ac:dyDescent="0.25">
      <c r="P79" s="123"/>
      <c r="Q79" s="123"/>
      <c r="R79" s="123"/>
      <c r="S79" s="385"/>
      <c r="T79" s="402"/>
      <c r="U79" s="387"/>
    </row>
    <row r="80" spans="16:21" x14ac:dyDescent="0.25">
      <c r="P80" s="123"/>
      <c r="Q80" s="123"/>
      <c r="R80" s="123"/>
      <c r="S80" s="385"/>
      <c r="T80" s="402"/>
      <c r="U80" s="387"/>
    </row>
    <row r="81" spans="16:21" x14ac:dyDescent="0.25">
      <c r="P81" s="123"/>
      <c r="Q81" s="123"/>
      <c r="R81" s="123"/>
      <c r="S81" s="385"/>
      <c r="T81" s="402"/>
      <c r="U81" s="387"/>
    </row>
    <row r="82" spans="16:21" x14ac:dyDescent="0.25">
      <c r="P82" s="123"/>
      <c r="Q82" s="123"/>
      <c r="R82" s="123"/>
      <c r="S82" s="385"/>
      <c r="T82" s="402"/>
      <c r="U82" s="387"/>
    </row>
    <row r="83" spans="16:21" x14ac:dyDescent="0.25">
      <c r="P83" s="123"/>
      <c r="Q83" s="123"/>
      <c r="R83" s="123"/>
      <c r="S83" s="385"/>
      <c r="T83" s="402"/>
      <c r="U83" s="387"/>
    </row>
    <row r="87" spans="16:21" x14ac:dyDescent="0.25">
      <c r="P87" s="114"/>
    </row>
    <row r="88" spans="16:21" x14ac:dyDescent="0.25">
      <c r="P88" s="114"/>
    </row>
    <row r="89" spans="16:21" x14ac:dyDescent="0.25">
      <c r="P89" s="114"/>
    </row>
    <row r="90" spans="16:21" x14ac:dyDescent="0.25">
      <c r="P90" s="114"/>
      <c r="U90" s="436">
        <f>SUM(U3:U89)</f>
        <v>0</v>
      </c>
    </row>
    <row r="91" spans="16:21" x14ac:dyDescent="0.25">
      <c r="P91" s="114"/>
    </row>
    <row r="92" spans="16:21" x14ac:dyDescent="0.25">
      <c r="P92" s="114"/>
    </row>
    <row r="93" spans="16:21" x14ac:dyDescent="0.25">
      <c r="P93" s="114"/>
    </row>
    <row r="94" spans="16:21" x14ac:dyDescent="0.25">
      <c r="P94" s="114"/>
    </row>
    <row r="95" spans="16:21" x14ac:dyDescent="0.25">
      <c r="P95" s="114"/>
    </row>
    <row r="96" spans="16:21" x14ac:dyDescent="0.25">
      <c r="P96" s="114"/>
    </row>
    <row r="97" spans="1:16" x14ac:dyDescent="0.25">
      <c r="P97" s="114"/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6.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rjyzlqQqsufEDaAhhhAPwjkH3AP1uVdEDq/DSpN7o5J162QnLM9chbmTDwea1zV8DhEAr5dfCJOVZd4XioKjUA==" saltValue="v8TjCQCG6oHy86yZqCDpqA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C31VR!A100" tooltip=" " display="AC31VR!A100"/>
    <hyperlink ref="N113" location="AC31VR!A1" tooltip=" " display="AC31VR!A1"/>
  </hyperlink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U240"/>
  <sheetViews>
    <sheetView showGridLines="0" showRowColHeaders="0" zoomScaleNormal="100" workbookViewId="0">
      <selection activeCell="R16" sqref="R16"/>
    </sheetView>
  </sheetViews>
  <sheetFormatPr defaultColWidth="9.1796875" defaultRowHeight="12.5" x14ac:dyDescent="0.25"/>
  <cols>
    <col min="1" max="1" width="2.54296875" style="2" customWidth="1"/>
    <col min="2" max="3" width="9.1796875" style="2"/>
    <col min="4" max="4" width="7.1796875" style="2" customWidth="1"/>
    <col min="5" max="5" width="9.1796875" style="2"/>
    <col min="6" max="6" width="9.7265625" style="2" customWidth="1"/>
    <col min="7" max="7" width="2.81640625" style="2" customWidth="1"/>
    <col min="8" max="9" width="9.1796875" style="2"/>
    <col min="10" max="10" width="7.1796875" style="2" customWidth="1"/>
    <col min="11" max="11" width="9.1796875" style="2"/>
    <col min="12" max="12" width="9.7265625" style="2" customWidth="1"/>
    <col min="13" max="13" width="2.81640625" style="2" customWidth="1"/>
    <col min="14" max="15" width="9.1796875" style="2"/>
    <col min="16" max="16" width="7.1796875" style="2" customWidth="1"/>
    <col min="17" max="17" width="9.1796875" style="2"/>
    <col min="18" max="18" width="9.7265625" style="2" customWidth="1"/>
    <col min="19" max="19" width="3.54296875" style="2" customWidth="1"/>
    <col min="20" max="20" width="25.7265625" style="2" customWidth="1"/>
    <col min="21" max="16384" width="9.1796875" style="2"/>
  </cols>
  <sheetData>
    <row r="1" spans="1:21" ht="22.5" customHeight="1" x14ac:dyDescent="0.4">
      <c r="A1" s="114"/>
      <c r="B1" s="136" t="str">
        <f>List!$B$53</f>
        <v>Zásuvky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14"/>
      <c r="T1" s="191" t="str">
        <f>List!$B$4</f>
        <v>Výběr zásuvek a výsuvů</v>
      </c>
      <c r="U1" s="114"/>
    </row>
    <row r="2" spans="1:21" ht="15" customHeight="1" x14ac:dyDescent="0.35">
      <c r="A2" s="114"/>
      <c r="B2" s="114"/>
      <c r="C2" s="140"/>
      <c r="D2" s="140"/>
      <c r="E2" s="140"/>
      <c r="F2" s="146" t="str">
        <f>List!$B$46&amp;" N  "</f>
        <v xml:space="preserve">Zásuvka N  </v>
      </c>
      <c r="G2" s="114"/>
      <c r="H2" s="114"/>
      <c r="I2" s="140"/>
      <c r="J2" s="140"/>
      <c r="K2" s="140"/>
      <c r="L2" s="146" t="str">
        <f>List!$B$46&amp;" M  "</f>
        <v xml:space="preserve">Zásuvka M  </v>
      </c>
      <c r="M2" s="114"/>
      <c r="N2" s="114"/>
      <c r="O2" s="140"/>
      <c r="P2" s="140"/>
      <c r="Q2" s="140"/>
      <c r="R2" s="146" t="str">
        <f>List!$B$46&amp;" K  "</f>
        <v xml:space="preserve">Zásuvka K  </v>
      </c>
      <c r="S2" s="114"/>
      <c r="T2" s="2" t="str">
        <f>List!$B$11&amp;":"</f>
        <v>Zpět na:</v>
      </c>
      <c r="U2" s="114"/>
    </row>
    <row r="3" spans="1:21" ht="13.5" customHeight="1" x14ac:dyDescent="0.3">
      <c r="A3" s="114"/>
      <c r="B3" s="141"/>
      <c r="C3" s="141"/>
      <c r="D3" s="141"/>
      <c r="E3" s="142" t="str">
        <f>List!$B$71&amp;":"</f>
        <v>označení:</v>
      </c>
      <c r="F3" s="159" t="s">
        <v>345</v>
      </c>
      <c r="G3" s="114"/>
      <c r="H3" s="141"/>
      <c r="I3" s="141"/>
      <c r="J3" s="141"/>
      <c r="K3" s="142" t="str">
        <f>List!$B$71&amp;":"</f>
        <v>označení:</v>
      </c>
      <c r="L3" s="159" t="s">
        <v>349</v>
      </c>
      <c r="M3" s="114"/>
      <c r="N3" s="114"/>
      <c r="O3" s="114"/>
      <c r="P3" s="114"/>
      <c r="Q3" s="142" t="str">
        <f>List!$B$71&amp;":"</f>
        <v>označení:</v>
      </c>
      <c r="R3" s="159" t="s">
        <v>350</v>
      </c>
      <c r="S3" s="114"/>
      <c r="T3" s="154" t="str">
        <f>" "&amp;List!$B$13</f>
        <v xml:space="preserve"> Úvod</v>
      </c>
      <c r="U3" s="114"/>
    </row>
    <row r="4" spans="1:21" ht="13.5" customHeight="1" x14ac:dyDescent="0.25">
      <c r="A4" s="114"/>
      <c r="B4" s="141"/>
      <c r="C4" s="141"/>
      <c r="D4" s="141"/>
      <c r="E4" s="114"/>
      <c r="F4" s="143"/>
      <c r="G4" s="114"/>
      <c r="H4" s="141"/>
      <c r="I4" s="141"/>
      <c r="J4" s="141"/>
      <c r="K4" s="114"/>
      <c r="L4" s="143"/>
      <c r="M4" s="114"/>
      <c r="N4" s="114"/>
      <c r="O4" s="114"/>
      <c r="P4" s="114"/>
      <c r="Q4" s="114"/>
      <c r="R4" s="143"/>
      <c r="S4" s="114"/>
      <c r="U4" s="114"/>
    </row>
    <row r="5" spans="1:21" ht="13.5" customHeight="1" x14ac:dyDescent="0.25">
      <c r="A5" s="114"/>
      <c r="B5" s="141"/>
      <c r="C5" s="141"/>
      <c r="D5" s="141"/>
      <c r="E5" s="142" t="str">
        <f>List!$B$72&amp;":"</f>
        <v>bočnice:</v>
      </c>
      <c r="F5" s="144" t="s">
        <v>346</v>
      </c>
      <c r="G5" s="114"/>
      <c r="H5" s="141"/>
      <c r="I5" s="141"/>
      <c r="J5" s="141"/>
      <c r="K5" s="142" t="str">
        <f>List!$B$72&amp;":"</f>
        <v>bočnice:</v>
      </c>
      <c r="L5" s="144" t="s">
        <v>329</v>
      </c>
      <c r="M5" s="114"/>
      <c r="N5" s="114"/>
      <c r="O5" s="114"/>
      <c r="P5" s="114"/>
      <c r="Q5" s="142" t="str">
        <f>List!$B$72&amp;":"</f>
        <v>bočnice:</v>
      </c>
      <c r="R5" s="144" t="s">
        <v>351</v>
      </c>
      <c r="S5" s="114"/>
      <c r="T5" s="2" t="str">
        <f>List!$B$12&amp;":"</f>
        <v>Pokračovat na:</v>
      </c>
      <c r="U5" s="114"/>
    </row>
    <row r="6" spans="1:21" ht="14.25" customHeight="1" thickBot="1" x14ac:dyDescent="0.3">
      <c r="A6" s="114"/>
      <c r="B6" s="141"/>
      <c r="C6" s="141"/>
      <c r="D6" s="141"/>
      <c r="E6" s="142" t="str">
        <f>List!$B$73&amp;":"</f>
        <v>potřebný prostor:</v>
      </c>
      <c r="F6" s="144" t="s">
        <v>347</v>
      </c>
      <c r="G6" s="114"/>
      <c r="H6" s="141"/>
      <c r="I6" s="141"/>
      <c r="J6" s="141"/>
      <c r="K6" s="142" t="str">
        <f>List!$B$73&amp;":"</f>
        <v>potřebný prostor:</v>
      </c>
      <c r="L6" s="144" t="s">
        <v>348</v>
      </c>
      <c r="M6" s="114"/>
      <c r="N6" s="114"/>
      <c r="O6" s="114"/>
      <c r="P6" s="114"/>
      <c r="Q6" s="142" t="str">
        <f>List!$B$73&amp;":"</f>
        <v>potřebný prostor:</v>
      </c>
      <c r="R6" s="144" t="s">
        <v>722</v>
      </c>
      <c r="S6" s="114"/>
      <c r="T6" s="149" t="str">
        <f>" "&amp;List!$B$5</f>
        <v xml:space="preserve"> Výběr doplňků</v>
      </c>
      <c r="U6" s="114"/>
    </row>
    <row r="7" spans="1:21" ht="14.25" customHeight="1" thickBot="1" x14ac:dyDescent="0.35">
      <c r="A7" s="114"/>
      <c r="B7" s="136" t="str">
        <f>List!$B$54</f>
        <v>Vnitřní zásuvky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4"/>
      <c r="T7" s="149" t="str">
        <f>" "&amp;List!$B$6</f>
        <v xml:space="preserve"> Výběr SERVO-DRIVE</v>
      </c>
      <c r="U7" s="114"/>
    </row>
    <row r="8" spans="1:21" ht="14.25" customHeight="1" thickBot="1" x14ac:dyDescent="0.4">
      <c r="A8" s="114"/>
      <c r="B8" s="141"/>
      <c r="C8" s="141"/>
      <c r="D8" s="141"/>
      <c r="E8" s="141"/>
      <c r="F8" s="143"/>
      <c r="G8" s="114"/>
      <c r="H8" s="114"/>
      <c r="I8" s="140"/>
      <c r="J8" s="140"/>
      <c r="K8" s="140"/>
      <c r="L8" s="146" t="str">
        <f>List!$B$47&amp;" M  "</f>
        <v xml:space="preserve">Vnitřní zásuvka M  </v>
      </c>
      <c r="M8" s="114"/>
      <c r="N8" s="114"/>
      <c r="O8" s="140"/>
      <c r="P8" s="140"/>
      <c r="Q8" s="140"/>
      <c r="R8" s="146" t="str">
        <f>List!$B$47&amp;" K  "</f>
        <v xml:space="preserve">Vnitřní zásuvka K  </v>
      </c>
      <c r="S8" s="114"/>
      <c r="T8" s="265" t="str">
        <f>" "&amp;List!$B$7</f>
        <v xml:space="preserve"> Výběr ORGA-LINE</v>
      </c>
      <c r="U8" s="114"/>
    </row>
    <row r="9" spans="1:21" ht="13.5" customHeight="1" x14ac:dyDescent="0.3">
      <c r="A9" s="114"/>
      <c r="B9" s="141"/>
      <c r="C9" s="141"/>
      <c r="D9" s="141"/>
      <c r="E9" s="141"/>
      <c r="F9" s="143"/>
      <c r="G9" s="114"/>
      <c r="H9" s="141"/>
      <c r="I9" s="141"/>
      <c r="J9" s="141"/>
      <c r="K9" s="142" t="str">
        <f>List!$B$71&amp;":"</f>
        <v>označení:</v>
      </c>
      <c r="L9" s="159" t="s">
        <v>353</v>
      </c>
      <c r="M9" s="114"/>
      <c r="N9" s="141"/>
      <c r="O9" s="141"/>
      <c r="P9" s="141"/>
      <c r="Q9" s="142" t="str">
        <f>List!$B$71&amp;":"</f>
        <v>označení:</v>
      </c>
      <c r="R9" s="159" t="s">
        <v>354</v>
      </c>
      <c r="S9" s="114"/>
      <c r="T9" s="253" t="str">
        <f>" "&amp;List!$B$18</f>
        <v xml:space="preserve"> Souhrn</v>
      </c>
      <c r="U9" s="114"/>
    </row>
    <row r="10" spans="1:21" ht="13.5" customHeight="1" x14ac:dyDescent="0.25">
      <c r="A10" s="114"/>
      <c r="B10" s="141"/>
      <c r="C10" s="141"/>
      <c r="D10" s="141"/>
      <c r="E10" s="141"/>
      <c r="F10" s="143"/>
      <c r="G10" s="114"/>
      <c r="H10" s="141"/>
      <c r="I10" s="141"/>
      <c r="J10" s="141"/>
      <c r="K10" s="114"/>
      <c r="L10" s="143"/>
      <c r="M10" s="114"/>
      <c r="N10" s="141"/>
      <c r="O10" s="141"/>
      <c r="P10" s="141"/>
      <c r="Q10" s="114"/>
      <c r="R10" s="143"/>
      <c r="S10" s="114"/>
      <c r="U10" s="114"/>
    </row>
    <row r="11" spans="1:21" ht="13.5" customHeight="1" x14ac:dyDescent="0.25">
      <c r="A11" s="114"/>
      <c r="B11" s="141"/>
      <c r="C11" s="141"/>
      <c r="D11" s="141"/>
      <c r="E11" s="141"/>
      <c r="F11" s="143"/>
      <c r="G11" s="114"/>
      <c r="H11" s="141"/>
      <c r="I11" s="141"/>
      <c r="J11" s="141"/>
      <c r="K11" s="142" t="str">
        <f>List!$B$72&amp;":"</f>
        <v>bočnice:</v>
      </c>
      <c r="L11" s="144" t="s">
        <v>329</v>
      </c>
      <c r="M11" s="114"/>
      <c r="N11" s="141"/>
      <c r="O11" s="141"/>
      <c r="P11" s="141"/>
      <c r="Q11" s="142" t="str">
        <f>List!$B$72&amp;":"</f>
        <v>bočnice:</v>
      </c>
      <c r="R11" s="144" t="s">
        <v>351</v>
      </c>
      <c r="S11" s="114"/>
      <c r="U11" s="114"/>
    </row>
    <row r="12" spans="1:21" ht="13.5" customHeight="1" x14ac:dyDescent="0.25">
      <c r="A12" s="114"/>
      <c r="B12" s="141"/>
      <c r="C12" s="141"/>
      <c r="D12" s="141"/>
      <c r="E12" s="141"/>
      <c r="F12" s="143"/>
      <c r="G12" s="114"/>
      <c r="H12" s="141"/>
      <c r="I12" s="141"/>
      <c r="J12" s="141"/>
      <c r="K12" s="142" t="str">
        <f>List!$B$73&amp;":"</f>
        <v>potřebný prostor:</v>
      </c>
      <c r="L12" s="144" t="s">
        <v>355</v>
      </c>
      <c r="M12" s="114"/>
      <c r="N12" s="141"/>
      <c r="O12" s="141"/>
      <c r="P12" s="141"/>
      <c r="Q12" s="142" t="str">
        <f>List!$B$73&amp;":"</f>
        <v>potřebný prostor:</v>
      </c>
      <c r="R12" s="144" t="s">
        <v>356</v>
      </c>
      <c r="S12" s="114"/>
      <c r="T12" s="154" t="str">
        <f>" "&amp;List!$B$16</f>
        <v xml:space="preserve"> Nápověda</v>
      </c>
      <c r="U12" s="114"/>
    </row>
    <row r="13" spans="1:21" ht="13.5" customHeight="1" x14ac:dyDescent="0.25">
      <c r="A13" s="114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14"/>
      <c r="T13" s="114"/>
      <c r="U13" s="145"/>
    </row>
    <row r="14" spans="1:21" ht="28.5" customHeight="1" x14ac:dyDescent="0.3">
      <c r="A14" s="114"/>
      <c r="B14" s="136" t="str">
        <f>List!$B$55&amp;" D "</f>
        <v xml:space="preserve">Čelní výsuvy D 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14"/>
      <c r="T14" s="145"/>
      <c r="U14" s="114"/>
    </row>
    <row r="15" spans="1:21" ht="31.5" customHeight="1" x14ac:dyDescent="0.35">
      <c r="A15" s="114"/>
      <c r="B15" s="138"/>
      <c r="C15" s="138"/>
      <c r="D15" s="138"/>
      <c r="E15" s="138"/>
      <c r="F15" s="139" t="str">
        <f>List!$B$62&amp;"  "</f>
        <v xml:space="preserve">zásuvný prvek sklo  </v>
      </c>
      <c r="G15" s="114"/>
      <c r="H15" s="140"/>
      <c r="I15" s="140"/>
      <c r="J15" s="140"/>
      <c r="K15" s="140"/>
      <c r="L15" s="139" t="str">
        <f>List!$B$63&amp;"  "</f>
        <v xml:space="preserve">kovový zásuvný prvek  </v>
      </c>
      <c r="M15" s="114"/>
      <c r="N15" s="140"/>
      <c r="O15" s="140"/>
      <c r="P15" s="140"/>
      <c r="Q15" s="140"/>
      <c r="R15" s="139" t="str">
        <f>List!$B$64&amp;"  "</f>
        <v xml:space="preserve">podélný reling  </v>
      </c>
      <c r="S15" s="141"/>
      <c r="T15" s="114"/>
      <c r="U15" s="114"/>
    </row>
    <row r="16" spans="1:21" ht="15" customHeight="1" x14ac:dyDescent="0.3">
      <c r="A16" s="114"/>
      <c r="B16" s="141"/>
      <c r="C16" s="141"/>
      <c r="D16" s="141"/>
      <c r="E16" s="142" t="str">
        <f>List!$B$71&amp;":"</f>
        <v>označení:</v>
      </c>
      <c r="F16" s="159" t="s">
        <v>465</v>
      </c>
      <c r="G16" s="114"/>
      <c r="H16" s="141"/>
      <c r="I16" s="141"/>
      <c r="J16" s="141"/>
      <c r="K16" s="142" t="str">
        <f>List!$B$71&amp;":"</f>
        <v>označení:</v>
      </c>
      <c r="L16" s="159" t="s">
        <v>800</v>
      </c>
      <c r="M16" s="114"/>
      <c r="N16" s="114"/>
      <c r="O16" s="114"/>
      <c r="P16" s="114"/>
      <c r="Q16" s="142" t="str">
        <f>List!$B$71&amp;":"</f>
        <v>označení:</v>
      </c>
      <c r="R16" s="159" t="s">
        <v>342</v>
      </c>
      <c r="S16" s="114"/>
      <c r="T16" s="114"/>
      <c r="U16" s="114"/>
    </row>
    <row r="17" spans="1:21" ht="13.5" customHeight="1" x14ac:dyDescent="0.25">
      <c r="A17" s="114"/>
      <c r="B17" s="141"/>
      <c r="C17" s="141"/>
      <c r="D17" s="141"/>
      <c r="E17" s="114"/>
      <c r="F17" s="143"/>
      <c r="G17" s="114"/>
      <c r="H17" s="141"/>
      <c r="I17" s="141"/>
      <c r="J17" s="141"/>
      <c r="K17" s="114"/>
      <c r="L17" s="143"/>
      <c r="M17" s="114"/>
      <c r="N17" s="114"/>
      <c r="O17" s="114"/>
      <c r="P17" s="114"/>
      <c r="Q17" s="114"/>
      <c r="R17" s="143"/>
      <c r="S17" s="114"/>
      <c r="T17" s="114"/>
      <c r="U17" s="114"/>
    </row>
    <row r="18" spans="1:21" ht="13.5" customHeight="1" x14ac:dyDescent="0.25">
      <c r="A18" s="114"/>
      <c r="B18" s="141"/>
      <c r="C18" s="141"/>
      <c r="D18" s="141"/>
      <c r="E18" s="142" t="str">
        <f>List!$B$72&amp;":"</f>
        <v>bočnice:</v>
      </c>
      <c r="F18" s="144" t="s">
        <v>329</v>
      </c>
      <c r="G18" s="114"/>
      <c r="H18" s="141"/>
      <c r="I18" s="141"/>
      <c r="J18" s="141"/>
      <c r="K18" s="142" t="str">
        <f>List!$B$72&amp;":"</f>
        <v>bočnice:</v>
      </c>
      <c r="L18" s="144" t="s">
        <v>329</v>
      </c>
      <c r="M18" s="114"/>
      <c r="N18" s="114"/>
      <c r="O18" s="114"/>
      <c r="P18" s="114"/>
      <c r="Q18" s="142" t="str">
        <f>List!$B$72&amp;":"</f>
        <v>bočnice:</v>
      </c>
      <c r="R18" s="144" t="s">
        <v>329</v>
      </c>
      <c r="S18" s="114"/>
      <c r="T18" s="114"/>
      <c r="U18" s="114"/>
    </row>
    <row r="19" spans="1:21" ht="13.5" customHeight="1" x14ac:dyDescent="0.25">
      <c r="A19" s="114"/>
      <c r="B19" s="141"/>
      <c r="C19" s="141"/>
      <c r="D19" s="141"/>
      <c r="E19" s="142" t="str">
        <f>List!$B$73&amp;":"</f>
        <v>potřebný prostor:</v>
      </c>
      <c r="F19" s="144" t="s">
        <v>328</v>
      </c>
      <c r="G19" s="114"/>
      <c r="H19" s="141"/>
      <c r="I19" s="141"/>
      <c r="J19" s="141"/>
      <c r="K19" s="142" t="str">
        <f>List!$B$73&amp;":"</f>
        <v>potřebný prostor:</v>
      </c>
      <c r="L19" s="144" t="s">
        <v>328</v>
      </c>
      <c r="M19" s="114"/>
      <c r="N19" s="114"/>
      <c r="O19" s="114"/>
      <c r="P19" s="114"/>
      <c r="Q19" s="142" t="str">
        <f>List!$B$73&amp;":"</f>
        <v>potřebný prostor:</v>
      </c>
      <c r="R19" s="144" t="s">
        <v>328</v>
      </c>
      <c r="S19" s="114"/>
      <c r="T19" s="114"/>
      <c r="U19" s="114"/>
    </row>
    <row r="20" spans="1:21" ht="13.5" customHeight="1" x14ac:dyDescent="0.25">
      <c r="A20" s="114"/>
      <c r="B20" s="141"/>
      <c r="C20" s="141"/>
      <c r="D20" s="141"/>
      <c r="E20" s="142"/>
      <c r="F20" s="147"/>
      <c r="G20" s="114"/>
      <c r="H20" s="141"/>
      <c r="I20" s="141"/>
      <c r="J20" s="141"/>
      <c r="K20" s="142"/>
      <c r="L20" s="147"/>
      <c r="M20" s="114"/>
      <c r="N20" s="114"/>
      <c r="O20" s="114"/>
      <c r="P20" s="114"/>
      <c r="Q20" s="142"/>
      <c r="R20" s="147"/>
      <c r="S20" s="114"/>
      <c r="T20" s="114"/>
      <c r="U20" s="114"/>
    </row>
    <row r="21" spans="1:21" ht="28.5" customHeight="1" x14ac:dyDescent="0.3">
      <c r="A21" s="114"/>
      <c r="B21" s="136" t="str">
        <f>List!$B$56&amp;" D "</f>
        <v xml:space="preserve">Vnitřní výsuvy D 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41"/>
      <c r="T21" s="114"/>
      <c r="U21" s="114"/>
    </row>
    <row r="22" spans="1:21" ht="13.5" customHeight="1" x14ac:dyDescent="0.35">
      <c r="A22" s="114"/>
      <c r="B22" s="140"/>
      <c r="C22" s="140"/>
      <c r="D22" s="140"/>
      <c r="E22" s="140"/>
      <c r="F22" s="139" t="str">
        <f>List!$B$62&amp;"  "</f>
        <v xml:space="preserve">zásuvný prvek sklo  </v>
      </c>
      <c r="G22" s="114"/>
      <c r="H22" s="140"/>
      <c r="I22" s="140"/>
      <c r="J22" s="140"/>
      <c r="K22" s="140"/>
      <c r="L22" s="139" t="str">
        <f>List!$B$63&amp;"  "</f>
        <v xml:space="preserve">kovový zásuvný prvek  </v>
      </c>
      <c r="M22" s="114"/>
      <c r="N22" s="140"/>
      <c r="O22" s="140"/>
      <c r="P22" s="140"/>
      <c r="Q22" s="140"/>
      <c r="R22" s="139" t="str">
        <f>List!$B$64&amp;"  "</f>
        <v xml:space="preserve">podélný reling  </v>
      </c>
      <c r="S22" s="114"/>
      <c r="T22" s="141"/>
      <c r="U22" s="114"/>
    </row>
    <row r="23" spans="1:21" ht="13.5" customHeight="1" x14ac:dyDescent="0.3">
      <c r="A23" s="114"/>
      <c r="B23" s="141"/>
      <c r="C23" s="141"/>
      <c r="D23" s="141"/>
      <c r="E23" s="142" t="str">
        <f>List!$B$71&amp;":"</f>
        <v>označení:</v>
      </c>
      <c r="F23" s="159" t="s">
        <v>343</v>
      </c>
      <c r="G23" s="114"/>
      <c r="H23" s="141"/>
      <c r="I23" s="141"/>
      <c r="J23" s="141"/>
      <c r="K23" s="142" t="str">
        <f>List!$B$71&amp;":"</f>
        <v>označení:</v>
      </c>
      <c r="L23" s="159" t="s">
        <v>801</v>
      </c>
      <c r="M23" s="114"/>
      <c r="N23" s="141"/>
      <c r="O23" s="141"/>
      <c r="P23" s="141"/>
      <c r="Q23" s="142" t="str">
        <f>List!$B$71&amp;":"</f>
        <v>označení:</v>
      </c>
      <c r="R23" s="159" t="s">
        <v>344</v>
      </c>
      <c r="S23" s="114"/>
      <c r="T23" s="114"/>
      <c r="U23" s="114"/>
    </row>
    <row r="24" spans="1:21" ht="13.5" customHeight="1" x14ac:dyDescent="0.25">
      <c r="A24" s="114"/>
      <c r="B24" s="141"/>
      <c r="C24" s="141"/>
      <c r="D24" s="141"/>
      <c r="E24" s="114"/>
      <c r="F24" s="143"/>
      <c r="G24" s="114"/>
      <c r="H24" s="141"/>
      <c r="I24" s="141"/>
      <c r="J24" s="141"/>
      <c r="K24" s="114"/>
      <c r="L24" s="143"/>
      <c r="M24" s="114"/>
      <c r="N24" s="141"/>
      <c r="O24" s="141"/>
      <c r="P24" s="141"/>
      <c r="Q24" s="114"/>
      <c r="R24" s="143"/>
      <c r="S24" s="114"/>
      <c r="T24" s="114"/>
      <c r="U24" s="114"/>
    </row>
    <row r="25" spans="1:21" ht="13.5" customHeight="1" x14ac:dyDescent="0.25">
      <c r="A25" s="114"/>
      <c r="B25" s="141"/>
      <c r="C25" s="141"/>
      <c r="D25" s="141"/>
      <c r="E25" s="142" t="str">
        <f>List!$B$72&amp;":"</f>
        <v>bočnice:</v>
      </c>
      <c r="F25" s="144" t="s">
        <v>329</v>
      </c>
      <c r="G25" s="114"/>
      <c r="H25" s="141"/>
      <c r="I25" s="141"/>
      <c r="J25" s="141"/>
      <c r="K25" s="142" t="str">
        <f>List!$B$72&amp;":"</f>
        <v>bočnice:</v>
      </c>
      <c r="L25" s="144" t="s">
        <v>329</v>
      </c>
      <c r="M25" s="114"/>
      <c r="N25" s="141"/>
      <c r="O25" s="141"/>
      <c r="P25" s="141"/>
      <c r="Q25" s="142" t="str">
        <f>List!$B$72&amp;":"</f>
        <v>bočnice:</v>
      </c>
      <c r="R25" s="144" t="s">
        <v>329</v>
      </c>
      <c r="S25" s="114"/>
      <c r="T25" s="114"/>
      <c r="U25" s="114"/>
    </row>
    <row r="26" spans="1:21" ht="13.5" customHeight="1" x14ac:dyDescent="0.25">
      <c r="A26" s="114"/>
      <c r="B26" s="141"/>
      <c r="C26" s="141"/>
      <c r="D26" s="141"/>
      <c r="E26" s="142" t="str">
        <f>List!$B$73&amp;":"</f>
        <v>potřebný prostor:</v>
      </c>
      <c r="F26" s="144" t="s">
        <v>328</v>
      </c>
      <c r="G26" s="114"/>
      <c r="H26" s="141"/>
      <c r="I26" s="141"/>
      <c r="J26" s="141"/>
      <c r="K26" s="142" t="str">
        <f>List!$B$73&amp;":"</f>
        <v>potřebný prostor:</v>
      </c>
      <c r="L26" s="144" t="s">
        <v>328</v>
      </c>
      <c r="M26" s="114"/>
      <c r="N26" s="141"/>
      <c r="O26" s="141"/>
      <c r="P26" s="141"/>
      <c r="Q26" s="142" t="str">
        <f>List!$B$73&amp;":"</f>
        <v>potřebný prostor:</v>
      </c>
      <c r="R26" s="144" t="s">
        <v>328</v>
      </c>
      <c r="S26" s="114"/>
      <c r="T26" s="114"/>
      <c r="U26" s="114"/>
    </row>
    <row r="27" spans="1:21" ht="13.5" customHeight="1" x14ac:dyDescent="0.25">
      <c r="A27" s="114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14"/>
      <c r="U27" s="114"/>
    </row>
    <row r="28" spans="1:21" ht="31.5" customHeight="1" x14ac:dyDescent="0.3">
      <c r="A28" s="114"/>
      <c r="B28" s="136" t="str">
        <f>List!$B$55&amp;" C "</f>
        <v xml:space="preserve">Čelní výsuvy C 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41"/>
      <c r="T28" s="114"/>
      <c r="U28" s="114"/>
    </row>
    <row r="29" spans="1:21" ht="13.5" customHeight="1" x14ac:dyDescent="0.35">
      <c r="A29" s="114"/>
      <c r="B29" s="140"/>
      <c r="C29" s="140"/>
      <c r="D29" s="140"/>
      <c r="E29" s="140"/>
      <c r="F29" s="139" t="str">
        <f>List!$B$62&amp;"  "</f>
        <v xml:space="preserve">zásuvný prvek sklo  </v>
      </c>
      <c r="G29" s="114"/>
      <c r="H29" s="140"/>
      <c r="I29" s="140"/>
      <c r="J29" s="140"/>
      <c r="K29" s="140"/>
      <c r="L29" s="139" t="str">
        <f>List!$B$63&amp;"  "</f>
        <v xml:space="preserve">kovový zásuvný prvek  </v>
      </c>
      <c r="M29" s="114"/>
      <c r="N29" s="140"/>
      <c r="O29" s="140"/>
      <c r="P29" s="140"/>
      <c r="Q29" s="140"/>
      <c r="R29" s="139" t="str">
        <f>List!$B$64&amp;"  "</f>
        <v xml:space="preserve">podélný reling  </v>
      </c>
      <c r="S29" s="114"/>
      <c r="T29" s="114"/>
      <c r="U29" s="114"/>
    </row>
    <row r="30" spans="1:21" ht="13.5" customHeight="1" x14ac:dyDescent="0.3">
      <c r="A30" s="114"/>
      <c r="B30" s="141"/>
      <c r="C30" s="141"/>
      <c r="D30" s="141"/>
      <c r="E30" s="142" t="str">
        <f>List!$B$71&amp;":"</f>
        <v>označení:</v>
      </c>
      <c r="F30" s="159" t="s">
        <v>264</v>
      </c>
      <c r="G30" s="114"/>
      <c r="H30" s="141"/>
      <c r="I30" s="141"/>
      <c r="J30" s="141"/>
      <c r="K30" s="142" t="str">
        <f>List!$B$71&amp;":"</f>
        <v>označení:</v>
      </c>
      <c r="L30" s="159" t="s">
        <v>802</v>
      </c>
      <c r="M30" s="114"/>
      <c r="N30" s="114"/>
      <c r="O30" s="114"/>
      <c r="P30" s="114"/>
      <c r="Q30" s="142" t="str">
        <f>List!$B$71&amp;":"</f>
        <v>označení:</v>
      </c>
      <c r="R30" s="159" t="s">
        <v>358</v>
      </c>
      <c r="S30" s="114"/>
      <c r="T30" s="114"/>
      <c r="U30" s="114"/>
    </row>
    <row r="31" spans="1:21" ht="13.5" customHeight="1" x14ac:dyDescent="0.25">
      <c r="A31" s="114"/>
      <c r="B31" s="141"/>
      <c r="C31" s="141"/>
      <c r="D31" s="141"/>
      <c r="E31" s="114"/>
      <c r="F31" s="143"/>
      <c r="G31" s="114"/>
      <c r="H31" s="141"/>
      <c r="I31" s="141"/>
      <c r="J31" s="141"/>
      <c r="K31" s="114"/>
      <c r="L31" s="143"/>
      <c r="M31" s="114"/>
      <c r="N31" s="114"/>
      <c r="O31" s="114"/>
      <c r="P31" s="114"/>
      <c r="Q31" s="114"/>
      <c r="R31" s="144"/>
      <c r="S31" s="114"/>
      <c r="T31" s="114"/>
      <c r="U31" s="114"/>
    </row>
    <row r="32" spans="1:21" ht="13.5" customHeight="1" x14ac:dyDescent="0.25">
      <c r="A32" s="114"/>
      <c r="B32" s="141"/>
      <c r="C32" s="141"/>
      <c r="D32" s="141"/>
      <c r="E32" s="142" t="str">
        <f>List!$B$72&amp;":"</f>
        <v>bočnice:</v>
      </c>
      <c r="F32" s="144" t="s">
        <v>329</v>
      </c>
      <c r="G32" s="114"/>
      <c r="H32" s="141"/>
      <c r="I32" s="141"/>
      <c r="J32" s="141"/>
      <c r="K32" s="142" t="str">
        <f>List!$B$72&amp;":"</f>
        <v>bočnice:</v>
      </c>
      <c r="L32" s="144" t="s">
        <v>329</v>
      </c>
      <c r="M32" s="114"/>
      <c r="N32" s="114"/>
      <c r="O32" s="114"/>
      <c r="P32" s="114"/>
      <c r="Q32" s="142" t="str">
        <f>List!$B$72&amp;":"</f>
        <v>bočnice:</v>
      </c>
      <c r="R32" s="144" t="s">
        <v>329</v>
      </c>
      <c r="S32" s="114"/>
      <c r="T32" s="114"/>
      <c r="U32" s="114"/>
    </row>
    <row r="33" spans="1:21" ht="13.5" customHeight="1" x14ac:dyDescent="0.25">
      <c r="A33" s="114"/>
      <c r="B33" s="141"/>
      <c r="C33" s="141"/>
      <c r="D33" s="141"/>
      <c r="E33" s="142" t="str">
        <f>List!$B$73&amp;":"</f>
        <v>potřebný prostor:</v>
      </c>
      <c r="F33" s="144" t="s">
        <v>360</v>
      </c>
      <c r="G33" s="114"/>
      <c r="H33" s="141"/>
      <c r="I33" s="141"/>
      <c r="J33" s="141"/>
      <c r="K33" s="142" t="str">
        <f>List!$B$73&amp;":"</f>
        <v>potřebný prostor:</v>
      </c>
      <c r="L33" s="144" t="s">
        <v>360</v>
      </c>
      <c r="M33" s="114"/>
      <c r="N33" s="114"/>
      <c r="O33" s="114"/>
      <c r="P33" s="114"/>
      <c r="Q33" s="142" t="str">
        <f>List!$B$73&amp;":"</f>
        <v>potřebný prostor:</v>
      </c>
      <c r="R33" s="144" t="s">
        <v>360</v>
      </c>
      <c r="S33" s="114"/>
      <c r="T33" s="114"/>
      <c r="U33" s="114"/>
    </row>
    <row r="34" spans="1:21" ht="31.5" customHeight="1" x14ac:dyDescent="0.3">
      <c r="A34" s="114"/>
      <c r="B34" s="136" t="str">
        <f>List!$B$56&amp;" C "</f>
        <v xml:space="preserve">Vnitřní výsuvy C 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4"/>
      <c r="T34" s="114"/>
      <c r="U34" s="114"/>
    </row>
    <row r="35" spans="1:21" ht="13.5" customHeight="1" x14ac:dyDescent="0.35">
      <c r="A35" s="114"/>
      <c r="B35" s="140"/>
      <c r="C35" s="140"/>
      <c r="D35" s="140"/>
      <c r="E35" s="140"/>
      <c r="F35" s="139" t="str">
        <f>List!$B$62&amp;"  "</f>
        <v xml:space="preserve">zásuvný prvek sklo  </v>
      </c>
      <c r="G35" s="114"/>
      <c r="H35" s="140"/>
      <c r="I35" s="140"/>
      <c r="J35" s="140"/>
      <c r="K35" s="140"/>
      <c r="L35" s="139" t="str">
        <f>List!$B$63&amp;"  "</f>
        <v xml:space="preserve">kovový zásuvný prvek  </v>
      </c>
      <c r="M35" s="114"/>
      <c r="N35" s="140"/>
      <c r="O35" s="140"/>
      <c r="P35" s="140"/>
      <c r="Q35" s="140"/>
      <c r="R35" s="139" t="str">
        <f>List!$B$64&amp;"  "</f>
        <v xml:space="preserve">podélný reling  </v>
      </c>
      <c r="S35" s="114"/>
      <c r="T35" s="114"/>
      <c r="U35" s="114"/>
    </row>
    <row r="36" spans="1:21" ht="13.5" customHeight="1" x14ac:dyDescent="0.3">
      <c r="A36" s="114"/>
      <c r="B36" s="141"/>
      <c r="C36" s="141"/>
      <c r="D36" s="141"/>
      <c r="E36" s="142" t="str">
        <f>List!$B$71&amp;":"</f>
        <v>označení:</v>
      </c>
      <c r="F36" s="159" t="s">
        <v>721</v>
      </c>
      <c r="G36" s="114"/>
      <c r="H36" s="141"/>
      <c r="I36" s="141"/>
      <c r="J36" s="141"/>
      <c r="K36" s="142" t="str">
        <f>List!$B$71&amp;":"</f>
        <v>označení:</v>
      </c>
      <c r="L36" s="159" t="s">
        <v>803</v>
      </c>
      <c r="M36" s="114"/>
      <c r="N36" s="141"/>
      <c r="O36" s="141"/>
      <c r="P36" s="141"/>
      <c r="Q36" s="142" t="str">
        <f>List!$B$71&amp;":"</f>
        <v>označení:</v>
      </c>
      <c r="R36" s="159" t="s">
        <v>359</v>
      </c>
      <c r="S36" s="114"/>
      <c r="T36" s="114"/>
      <c r="U36" s="114"/>
    </row>
    <row r="37" spans="1:21" ht="13.5" customHeight="1" x14ac:dyDescent="0.25">
      <c r="A37" s="114"/>
      <c r="B37" s="141"/>
      <c r="C37" s="141"/>
      <c r="D37" s="141"/>
      <c r="E37" s="114"/>
      <c r="F37" s="143"/>
      <c r="G37" s="114"/>
      <c r="H37" s="141"/>
      <c r="I37" s="141"/>
      <c r="J37" s="141"/>
      <c r="K37" s="114"/>
      <c r="L37" s="143"/>
      <c r="M37" s="114"/>
      <c r="N37" s="141"/>
      <c r="O37" s="141"/>
      <c r="P37" s="141"/>
      <c r="Q37" s="114"/>
      <c r="R37" s="143"/>
      <c r="S37" s="114"/>
      <c r="T37" s="114"/>
      <c r="U37" s="114"/>
    </row>
    <row r="38" spans="1:21" ht="13.5" customHeight="1" x14ac:dyDescent="0.25">
      <c r="A38" s="114"/>
      <c r="B38" s="141"/>
      <c r="C38" s="141"/>
      <c r="D38" s="141"/>
      <c r="E38" s="142" t="str">
        <f>List!$B$72&amp;":"</f>
        <v>bočnice:</v>
      </c>
      <c r="F38" s="144" t="s">
        <v>329</v>
      </c>
      <c r="G38" s="114"/>
      <c r="H38" s="141"/>
      <c r="I38" s="141"/>
      <c r="J38" s="141"/>
      <c r="K38" s="142" t="str">
        <f>List!$B$72&amp;":"</f>
        <v>bočnice:</v>
      </c>
      <c r="L38" s="144" t="s">
        <v>329</v>
      </c>
      <c r="M38" s="114"/>
      <c r="N38" s="141"/>
      <c r="O38" s="141"/>
      <c r="P38" s="141"/>
      <c r="Q38" s="142" t="str">
        <f>List!$B$72&amp;":"</f>
        <v>bočnice:</v>
      </c>
      <c r="R38" s="144" t="s">
        <v>329</v>
      </c>
      <c r="S38" s="114"/>
      <c r="T38" s="114"/>
      <c r="U38" s="114"/>
    </row>
    <row r="39" spans="1:21" ht="13.5" customHeight="1" x14ac:dyDescent="0.25">
      <c r="A39" s="114"/>
      <c r="B39" s="141"/>
      <c r="C39" s="141"/>
      <c r="D39" s="141"/>
      <c r="E39" s="142" t="str">
        <f>List!$B$73&amp;":"</f>
        <v>potřebný prostor:</v>
      </c>
      <c r="F39" s="144" t="s">
        <v>360</v>
      </c>
      <c r="G39" s="114"/>
      <c r="H39" s="141"/>
      <c r="I39" s="141"/>
      <c r="J39" s="141"/>
      <c r="K39" s="142" t="str">
        <f>List!$B$73&amp;":"</f>
        <v>potřebný prostor:</v>
      </c>
      <c r="L39" s="144" t="s">
        <v>360</v>
      </c>
      <c r="M39" s="114"/>
      <c r="N39" s="141"/>
      <c r="O39" s="141"/>
      <c r="P39" s="141"/>
      <c r="Q39" s="142" t="str">
        <f>List!$B$73&amp;":"</f>
        <v>potřebný prostor:</v>
      </c>
      <c r="R39" s="144" t="s">
        <v>360</v>
      </c>
      <c r="S39" s="114"/>
      <c r="T39" s="114"/>
      <c r="U39" s="114"/>
    </row>
    <row r="40" spans="1:21" ht="13.5" customHeight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</row>
    <row r="41" spans="1:21" ht="13.5" customHeight="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14"/>
      <c r="T41" s="114"/>
      <c r="U41" s="114"/>
    </row>
    <row r="42" spans="1:21" ht="28.5" customHeight="1" x14ac:dyDescent="0.3">
      <c r="A42" s="114"/>
      <c r="B42" s="136" t="str">
        <f>List!$B$46&amp;" SPACE CORNER "&amp;List!$B$67</f>
        <v>Zásuvka SPACE CORNER se SYNCROMOTION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4"/>
      <c r="T42" s="114"/>
      <c r="U42" s="114"/>
    </row>
    <row r="43" spans="1:21" ht="13.5" customHeight="1" x14ac:dyDescent="0.35">
      <c r="A43" s="114"/>
      <c r="B43" s="141"/>
      <c r="C43" s="141"/>
      <c r="D43" s="141"/>
      <c r="E43" s="140"/>
      <c r="F43" s="146" t="str">
        <f>List!$B$46&amp;" M  "</f>
        <v xml:space="preserve">Zásuvka M  </v>
      </c>
      <c r="G43" s="141"/>
      <c r="H43" s="114"/>
      <c r="I43" s="114"/>
      <c r="J43" s="114"/>
      <c r="K43" s="114"/>
      <c r="L43" s="114"/>
      <c r="M43" s="141"/>
      <c r="N43" s="141"/>
      <c r="O43" s="114"/>
      <c r="P43" s="114"/>
      <c r="Q43" s="114"/>
      <c r="R43" s="114"/>
      <c r="S43" s="114"/>
      <c r="T43" s="114"/>
      <c r="U43" s="114"/>
    </row>
    <row r="44" spans="1:21" ht="13.5" customHeight="1" x14ac:dyDescent="0.3">
      <c r="A44" s="114"/>
      <c r="B44" s="141"/>
      <c r="C44" s="141"/>
      <c r="D44" s="141"/>
      <c r="E44" s="142" t="str">
        <f>List!$B$71&amp;":"</f>
        <v>označení:</v>
      </c>
      <c r="F44" s="159" t="s">
        <v>305</v>
      </c>
      <c r="G44" s="141"/>
      <c r="H44" s="114"/>
      <c r="I44" s="114"/>
      <c r="J44" s="114"/>
      <c r="K44" s="114"/>
      <c r="L44" s="114"/>
      <c r="M44" s="141"/>
      <c r="N44" s="141"/>
      <c r="O44" s="114"/>
      <c r="P44" s="114"/>
      <c r="Q44" s="114"/>
      <c r="R44" s="114"/>
      <c r="S44" s="114"/>
      <c r="T44" s="114"/>
      <c r="U44" s="114"/>
    </row>
    <row r="45" spans="1:21" ht="13.5" customHeight="1" x14ac:dyDescent="0.25">
      <c r="A45" s="114"/>
      <c r="B45" s="141"/>
      <c r="C45" s="141"/>
      <c r="D45" s="141"/>
      <c r="E45" s="114"/>
      <c r="F45" s="143"/>
      <c r="G45" s="141"/>
      <c r="H45" s="114"/>
      <c r="I45" s="114"/>
      <c r="J45" s="114"/>
      <c r="K45" s="114"/>
      <c r="L45" s="114"/>
      <c r="M45" s="141"/>
      <c r="N45" s="141"/>
      <c r="O45" s="114"/>
      <c r="P45" s="114"/>
      <c r="Q45" s="114"/>
      <c r="R45" s="114"/>
      <c r="S45" s="114"/>
      <c r="T45" s="114"/>
      <c r="U45" s="114"/>
    </row>
    <row r="46" spans="1:21" ht="13.5" customHeight="1" x14ac:dyDescent="0.25">
      <c r="A46" s="114"/>
      <c r="B46" s="141"/>
      <c r="C46" s="141"/>
      <c r="D46" s="141"/>
      <c r="E46" s="142" t="str">
        <f>List!$B$72&amp;":"</f>
        <v>bočnice:</v>
      </c>
      <c r="F46" s="144" t="s">
        <v>329</v>
      </c>
      <c r="G46" s="141"/>
      <c r="H46" s="114"/>
      <c r="I46" s="114"/>
      <c r="J46" s="114"/>
      <c r="K46" s="114"/>
      <c r="L46" s="114"/>
      <c r="M46" s="141"/>
      <c r="N46" s="141"/>
      <c r="O46" s="114"/>
      <c r="P46" s="114"/>
      <c r="Q46" s="114"/>
      <c r="R46" s="114"/>
      <c r="S46" s="114"/>
      <c r="T46" s="114"/>
      <c r="U46" s="114"/>
    </row>
    <row r="47" spans="1:21" ht="13.5" customHeight="1" x14ac:dyDescent="0.25">
      <c r="A47" s="114"/>
      <c r="B47" s="141"/>
      <c r="C47" s="141"/>
      <c r="D47" s="141"/>
      <c r="E47" s="142" t="str">
        <f>List!$B$73&amp;":"</f>
        <v>potřebný prostor:</v>
      </c>
      <c r="F47" s="144" t="s">
        <v>348</v>
      </c>
      <c r="G47" s="141"/>
      <c r="H47" s="114"/>
      <c r="I47" s="114"/>
      <c r="J47" s="114"/>
      <c r="K47" s="114"/>
      <c r="L47" s="114"/>
      <c r="M47" s="141"/>
      <c r="N47" s="141"/>
      <c r="O47" s="114"/>
      <c r="P47" s="114"/>
      <c r="Q47" s="114"/>
      <c r="R47" s="114"/>
      <c r="S47" s="114"/>
      <c r="T47" s="114"/>
      <c r="U47" s="114"/>
    </row>
    <row r="48" spans="1:21" ht="13.5" customHeight="1" x14ac:dyDescent="0.25">
      <c r="A48" s="114"/>
      <c r="B48" s="141"/>
      <c r="C48" s="141"/>
      <c r="D48" s="141"/>
      <c r="E48" s="142"/>
      <c r="F48" s="147"/>
      <c r="G48" s="141"/>
      <c r="H48" s="114"/>
      <c r="I48" s="114"/>
      <c r="J48" s="114"/>
      <c r="K48" s="114"/>
      <c r="L48" s="114"/>
      <c r="M48" s="141"/>
      <c r="N48" s="141"/>
      <c r="O48" s="114"/>
      <c r="P48" s="114"/>
      <c r="Q48" s="114"/>
      <c r="R48" s="114"/>
      <c r="S48" s="114"/>
      <c r="T48" s="114"/>
      <c r="U48" s="114"/>
    </row>
    <row r="49" spans="1:21" ht="31.5" customHeight="1" x14ac:dyDescent="0.3">
      <c r="A49" s="114"/>
      <c r="B49" s="136" t="str">
        <f>List!$B$55&amp;" SPACE CORNER "&amp;List!$B$67&amp;" - D "</f>
        <v xml:space="preserve">Čelní výsuvy SPACE CORNER se SYNCROMOTION - D 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4"/>
      <c r="T49" s="114"/>
      <c r="U49" s="114"/>
    </row>
    <row r="50" spans="1:21" ht="13.5" customHeight="1" x14ac:dyDescent="0.35">
      <c r="A50" s="114"/>
      <c r="B50" s="140"/>
      <c r="C50" s="140"/>
      <c r="D50" s="140"/>
      <c r="E50" s="140"/>
      <c r="F50" s="139" t="str">
        <f>List!$B$62&amp;"  "</f>
        <v xml:space="preserve">zásuvný prvek sklo  </v>
      </c>
      <c r="G50" s="114"/>
      <c r="H50" s="140"/>
      <c r="I50" s="140"/>
      <c r="J50" s="140"/>
      <c r="K50" s="140"/>
      <c r="L50" s="139" t="str">
        <f>List!$B$63&amp;"  "</f>
        <v xml:space="preserve">kovový zásuvný prvek  </v>
      </c>
      <c r="M50" s="114"/>
      <c r="N50" s="140"/>
      <c r="O50" s="140"/>
      <c r="P50" s="140"/>
      <c r="Q50" s="140"/>
      <c r="R50" s="139" t="str">
        <f>List!$B$64&amp;"  "</f>
        <v xml:space="preserve">podélný reling  </v>
      </c>
      <c r="S50" s="114"/>
      <c r="T50" s="114"/>
      <c r="U50" s="114"/>
    </row>
    <row r="51" spans="1:21" ht="13.5" customHeight="1" x14ac:dyDescent="0.3">
      <c r="A51" s="114"/>
      <c r="B51" s="141"/>
      <c r="C51" s="141"/>
      <c r="D51" s="141"/>
      <c r="E51" s="142" t="str">
        <f>List!$B$71&amp;":"</f>
        <v>označení:</v>
      </c>
      <c r="F51" s="159" t="s">
        <v>311</v>
      </c>
      <c r="G51" s="114"/>
      <c r="H51" s="141"/>
      <c r="I51" s="141"/>
      <c r="J51" s="141"/>
      <c r="K51" s="142" t="str">
        <f>List!$B$71&amp;":"</f>
        <v>označení:</v>
      </c>
      <c r="L51" s="159" t="s">
        <v>804</v>
      </c>
      <c r="M51" s="114"/>
      <c r="N51" s="114"/>
      <c r="O51" s="114"/>
      <c r="P51" s="114"/>
      <c r="Q51" s="142" t="str">
        <f>List!$B$71&amp;":"</f>
        <v>označení:</v>
      </c>
      <c r="R51" s="159" t="s">
        <v>313</v>
      </c>
      <c r="S51" s="114"/>
      <c r="T51" s="114"/>
      <c r="U51" s="114"/>
    </row>
    <row r="52" spans="1:21" ht="13.5" customHeight="1" x14ac:dyDescent="0.25">
      <c r="A52" s="114"/>
      <c r="B52" s="141"/>
      <c r="C52" s="141"/>
      <c r="D52" s="141"/>
      <c r="E52" s="114"/>
      <c r="F52" s="143"/>
      <c r="G52" s="114"/>
      <c r="H52" s="141"/>
      <c r="I52" s="141"/>
      <c r="J52" s="141"/>
      <c r="K52" s="114"/>
      <c r="L52" s="143"/>
      <c r="M52" s="114"/>
      <c r="N52" s="114"/>
      <c r="O52" s="114"/>
      <c r="P52" s="114"/>
      <c r="Q52" s="114"/>
      <c r="R52" s="143"/>
      <c r="S52" s="114"/>
      <c r="T52" s="114"/>
      <c r="U52" s="114"/>
    </row>
    <row r="53" spans="1:21" ht="13.5" customHeight="1" x14ac:dyDescent="0.25">
      <c r="A53" s="114"/>
      <c r="B53" s="141"/>
      <c r="C53" s="141"/>
      <c r="D53" s="141"/>
      <c r="E53" s="142" t="str">
        <f>List!$B$72&amp;":"</f>
        <v>bočnice:</v>
      </c>
      <c r="F53" s="144" t="s">
        <v>329</v>
      </c>
      <c r="G53" s="114"/>
      <c r="H53" s="141"/>
      <c r="I53" s="141"/>
      <c r="J53" s="141"/>
      <c r="K53" s="142" t="str">
        <f>List!$B$72&amp;":"</f>
        <v>bočnice:</v>
      </c>
      <c r="L53" s="144" t="s">
        <v>329</v>
      </c>
      <c r="M53" s="114"/>
      <c r="N53" s="114"/>
      <c r="O53" s="114"/>
      <c r="P53" s="114"/>
      <c r="Q53" s="142" t="str">
        <f>List!$B$72&amp;":"</f>
        <v>bočnice:</v>
      </c>
      <c r="R53" s="144" t="s">
        <v>329</v>
      </c>
      <c r="S53" s="114"/>
      <c r="T53" s="114"/>
      <c r="U53" s="114"/>
    </row>
    <row r="54" spans="1:21" ht="13.5" customHeight="1" x14ac:dyDescent="0.25">
      <c r="A54" s="114"/>
      <c r="B54" s="141"/>
      <c r="C54" s="141"/>
      <c r="D54" s="141"/>
      <c r="E54" s="142" t="str">
        <f>List!$B$73&amp;":"</f>
        <v>potřebný prostor:</v>
      </c>
      <c r="F54" s="144" t="s">
        <v>328</v>
      </c>
      <c r="G54" s="114"/>
      <c r="H54" s="141"/>
      <c r="I54" s="141"/>
      <c r="J54" s="141"/>
      <c r="K54" s="142" t="str">
        <f>List!$B$73&amp;":"</f>
        <v>potřebný prostor:</v>
      </c>
      <c r="L54" s="144" t="s">
        <v>328</v>
      </c>
      <c r="M54" s="114"/>
      <c r="N54" s="114"/>
      <c r="O54" s="114"/>
      <c r="P54" s="114"/>
      <c r="Q54" s="142" t="str">
        <f>List!$B$73&amp;":"</f>
        <v>potřebný prostor:</v>
      </c>
      <c r="R54" s="144" t="s">
        <v>328</v>
      </c>
      <c r="S54" s="114"/>
      <c r="T54" s="114"/>
      <c r="U54" s="114"/>
    </row>
    <row r="55" spans="1:21" ht="28.5" customHeight="1" x14ac:dyDescent="0.3">
      <c r="A55" s="114"/>
      <c r="B55" s="136" t="str">
        <f>List!$B$46&amp;" SPACE CORNER "&amp;List!$B$68</f>
        <v>Zásuvka SPACE CORNER s nehybnými čely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4"/>
      <c r="T55" s="114"/>
      <c r="U55" s="114"/>
    </row>
    <row r="56" spans="1:21" ht="13.5" customHeight="1" x14ac:dyDescent="0.35">
      <c r="A56" s="114"/>
      <c r="B56" s="141"/>
      <c r="C56" s="141"/>
      <c r="D56" s="141"/>
      <c r="E56" s="140"/>
      <c r="F56" s="146" t="str">
        <f>List!$B$46&amp;" M  "</f>
        <v xml:space="preserve">Zásuvka M  </v>
      </c>
      <c r="G56" s="141"/>
      <c r="H56" s="114"/>
      <c r="I56" s="114"/>
      <c r="J56" s="114"/>
      <c r="K56" s="114"/>
      <c r="L56" s="114"/>
      <c r="M56" s="141"/>
      <c r="N56" s="141"/>
      <c r="O56" s="114"/>
      <c r="P56" s="114"/>
      <c r="Q56" s="114"/>
      <c r="R56" s="114"/>
      <c r="S56" s="114"/>
      <c r="T56" s="114"/>
      <c r="U56" s="114"/>
    </row>
    <row r="57" spans="1:21" ht="13.5" customHeight="1" x14ac:dyDescent="0.3">
      <c r="A57" s="114"/>
      <c r="B57" s="141"/>
      <c r="C57" s="141"/>
      <c r="D57" s="141"/>
      <c r="E57" s="142" t="str">
        <f>List!$B$71&amp;":"</f>
        <v>označení:</v>
      </c>
      <c r="F57" s="159" t="s">
        <v>382</v>
      </c>
      <c r="G57" s="141"/>
      <c r="H57" s="114"/>
      <c r="I57" s="114"/>
      <c r="J57" s="114"/>
      <c r="K57" s="114"/>
      <c r="L57" s="114"/>
      <c r="M57" s="141"/>
      <c r="N57" s="141"/>
      <c r="O57" s="114"/>
      <c r="P57" s="114"/>
      <c r="Q57" s="114"/>
      <c r="R57" s="114"/>
      <c r="S57" s="114"/>
      <c r="T57" s="114"/>
      <c r="U57" s="114"/>
    </row>
    <row r="58" spans="1:21" ht="13.5" customHeight="1" x14ac:dyDescent="0.25">
      <c r="A58" s="114"/>
      <c r="B58" s="141"/>
      <c r="C58" s="141"/>
      <c r="D58" s="141"/>
      <c r="E58" s="114"/>
      <c r="F58" s="143"/>
      <c r="G58" s="141"/>
      <c r="H58" s="114"/>
      <c r="I58" s="114"/>
      <c r="J58" s="114"/>
      <c r="K58" s="114"/>
      <c r="L58" s="114"/>
      <c r="M58" s="141"/>
      <c r="N58" s="141"/>
      <c r="O58" s="114"/>
      <c r="P58" s="114"/>
      <c r="Q58" s="114"/>
      <c r="R58" s="114"/>
      <c r="S58" s="114"/>
      <c r="T58" s="114"/>
      <c r="U58" s="114"/>
    </row>
    <row r="59" spans="1:21" ht="13.5" customHeight="1" x14ac:dyDescent="0.25">
      <c r="A59" s="114"/>
      <c r="B59" s="141"/>
      <c r="C59" s="141"/>
      <c r="D59" s="141"/>
      <c r="E59" s="142" t="str">
        <f>List!$B$72&amp;":"</f>
        <v>bočnice:</v>
      </c>
      <c r="F59" s="144" t="s">
        <v>329</v>
      </c>
      <c r="G59" s="141"/>
      <c r="H59" s="114"/>
      <c r="I59" s="114"/>
      <c r="J59" s="114"/>
      <c r="K59" s="114"/>
      <c r="L59" s="114"/>
      <c r="M59" s="141"/>
      <c r="N59" s="141"/>
      <c r="O59" s="114"/>
      <c r="P59" s="114"/>
      <c r="Q59" s="114"/>
      <c r="R59" s="114"/>
      <c r="S59" s="114"/>
      <c r="T59" s="114"/>
      <c r="U59" s="114"/>
    </row>
    <row r="60" spans="1:21" ht="13.5" customHeight="1" x14ac:dyDescent="0.25">
      <c r="A60" s="114"/>
      <c r="B60" s="141"/>
      <c r="C60" s="141"/>
      <c r="D60" s="141"/>
      <c r="E60" s="142" t="str">
        <f>List!$B$73&amp;":"</f>
        <v>potřebný prostor:</v>
      </c>
      <c r="F60" s="144" t="s">
        <v>348</v>
      </c>
      <c r="G60" s="141"/>
      <c r="H60" s="114"/>
      <c r="I60" s="114"/>
      <c r="J60" s="114"/>
      <c r="K60" s="114"/>
      <c r="L60" s="114"/>
      <c r="M60" s="141"/>
      <c r="N60" s="141"/>
      <c r="O60" s="114"/>
      <c r="P60" s="114"/>
      <c r="Q60" s="114"/>
      <c r="R60" s="114"/>
      <c r="S60" s="114"/>
      <c r="T60" s="114"/>
      <c r="U60" s="114"/>
    </row>
    <row r="61" spans="1:21" ht="13.5" customHeight="1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</row>
    <row r="62" spans="1:21" ht="30" customHeight="1" x14ac:dyDescent="0.3">
      <c r="A62" s="114"/>
      <c r="B62" s="136" t="str">
        <f>List!$B$55&amp;" SPACE CORNER "&amp;List!$B$68&amp;" - D "</f>
        <v xml:space="preserve">Čelní výsuvy SPACE CORNER s nehybnými čely - D </v>
      </c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14"/>
      <c r="T62" s="114"/>
      <c r="U62" s="114"/>
    </row>
    <row r="63" spans="1:21" ht="13.5" customHeight="1" x14ac:dyDescent="0.35">
      <c r="A63" s="114"/>
      <c r="B63" s="140"/>
      <c r="C63" s="140"/>
      <c r="D63" s="140"/>
      <c r="E63" s="140"/>
      <c r="F63" s="139" t="str">
        <f>List!$B$62&amp;"  "</f>
        <v xml:space="preserve">zásuvný prvek sklo  </v>
      </c>
      <c r="G63" s="114"/>
      <c r="H63" s="140"/>
      <c r="I63" s="140"/>
      <c r="J63" s="140"/>
      <c r="K63" s="140"/>
      <c r="L63" s="139" t="str">
        <f>List!$B$63&amp;"  "</f>
        <v xml:space="preserve">kovový zásuvný prvek  </v>
      </c>
      <c r="M63" s="114"/>
      <c r="N63" s="140"/>
      <c r="O63" s="140"/>
      <c r="P63" s="140"/>
      <c r="Q63" s="140"/>
      <c r="R63" s="139" t="str">
        <f>List!$B$64&amp;"  "</f>
        <v xml:space="preserve">podélný reling  </v>
      </c>
      <c r="S63" s="114"/>
      <c r="T63" s="114"/>
      <c r="U63" s="114"/>
    </row>
    <row r="64" spans="1:21" ht="13.5" customHeight="1" x14ac:dyDescent="0.3">
      <c r="A64" s="114"/>
      <c r="B64" s="141"/>
      <c r="C64" s="141"/>
      <c r="D64" s="141"/>
      <c r="E64" s="142" t="str">
        <f>List!$B$71&amp;":"</f>
        <v>označení:</v>
      </c>
      <c r="F64" s="159" t="s">
        <v>371</v>
      </c>
      <c r="G64" s="114"/>
      <c r="H64" s="141"/>
      <c r="I64" s="141"/>
      <c r="J64" s="141"/>
      <c r="K64" s="142" t="str">
        <f>List!$B$71&amp;":"</f>
        <v>označení:</v>
      </c>
      <c r="L64" s="159" t="s">
        <v>805</v>
      </c>
      <c r="M64" s="114"/>
      <c r="N64" s="114"/>
      <c r="O64" s="114"/>
      <c r="P64" s="114"/>
      <c r="Q64" s="142" t="str">
        <f>List!$B$71&amp;":"</f>
        <v>označení:</v>
      </c>
      <c r="R64" s="159" t="s">
        <v>372</v>
      </c>
      <c r="S64" s="114"/>
      <c r="T64" s="114"/>
      <c r="U64" s="114"/>
    </row>
    <row r="65" spans="1:21" ht="13.5" customHeight="1" x14ac:dyDescent="0.25">
      <c r="A65" s="114"/>
      <c r="B65" s="141"/>
      <c r="C65" s="141"/>
      <c r="D65" s="141"/>
      <c r="E65" s="114"/>
      <c r="F65" s="143"/>
      <c r="G65" s="114"/>
      <c r="H65" s="141"/>
      <c r="I65" s="141"/>
      <c r="J65" s="141"/>
      <c r="K65" s="114"/>
      <c r="L65" s="143"/>
      <c r="M65" s="114"/>
      <c r="N65" s="114"/>
      <c r="O65" s="114"/>
      <c r="P65" s="114"/>
      <c r="Q65" s="114"/>
      <c r="R65" s="143"/>
      <c r="S65" s="114"/>
      <c r="T65" s="114"/>
      <c r="U65" s="114"/>
    </row>
    <row r="66" spans="1:21" ht="13.5" customHeight="1" x14ac:dyDescent="0.25">
      <c r="A66" s="114"/>
      <c r="B66" s="141"/>
      <c r="C66" s="141"/>
      <c r="D66" s="141"/>
      <c r="E66" s="142" t="str">
        <f>List!$B$72&amp;":"</f>
        <v>bočnice:</v>
      </c>
      <c r="F66" s="144" t="s">
        <v>329</v>
      </c>
      <c r="G66" s="114"/>
      <c r="H66" s="141"/>
      <c r="I66" s="141"/>
      <c r="J66" s="141"/>
      <c r="K66" s="142" t="str">
        <f>List!$B$72&amp;":"</f>
        <v>bočnice:</v>
      </c>
      <c r="L66" s="144" t="s">
        <v>329</v>
      </c>
      <c r="M66" s="114"/>
      <c r="N66" s="114"/>
      <c r="O66" s="114"/>
      <c r="P66" s="114"/>
      <c r="Q66" s="142" t="str">
        <f>List!$B$72&amp;":"</f>
        <v>bočnice:</v>
      </c>
      <c r="R66" s="144" t="s">
        <v>329</v>
      </c>
      <c r="S66" s="114"/>
      <c r="T66" s="114"/>
      <c r="U66" s="114"/>
    </row>
    <row r="67" spans="1:21" ht="13.5" customHeight="1" x14ac:dyDescent="0.25">
      <c r="A67" s="114"/>
      <c r="B67" s="141"/>
      <c r="C67" s="141"/>
      <c r="D67" s="141"/>
      <c r="E67" s="142" t="str">
        <f>List!$B$73&amp;":"</f>
        <v>potřebný prostor:</v>
      </c>
      <c r="F67" s="144" t="s">
        <v>328</v>
      </c>
      <c r="G67" s="114"/>
      <c r="H67" s="141"/>
      <c r="I67" s="141"/>
      <c r="J67" s="141"/>
      <c r="K67" s="142" t="str">
        <f>List!$B$73&amp;":"</f>
        <v>potřebný prostor:</v>
      </c>
      <c r="L67" s="144" t="s">
        <v>328</v>
      </c>
      <c r="M67" s="114"/>
      <c r="N67" s="114"/>
      <c r="O67" s="114"/>
      <c r="P67" s="114"/>
      <c r="Q67" s="142" t="str">
        <f>List!$B$73&amp;":"</f>
        <v>potřebný prostor:</v>
      </c>
      <c r="R67" s="144" t="s">
        <v>328</v>
      </c>
      <c r="S67" s="114"/>
      <c r="T67" s="114"/>
      <c r="U67" s="114"/>
    </row>
    <row r="68" spans="1:21" ht="13.5" customHeight="1" x14ac:dyDescent="0.25">
      <c r="A68" s="114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14"/>
      <c r="P68" s="114"/>
      <c r="Q68" s="114"/>
      <c r="R68" s="114"/>
      <c r="S68" s="114"/>
      <c r="T68" s="114"/>
      <c r="U68" s="114"/>
    </row>
    <row r="69" spans="1:21" ht="30" customHeight="1" x14ac:dyDescent="0.3">
      <c r="A69" s="114"/>
      <c r="B69" s="136" t="str">
        <f>List!$B$57</f>
        <v>Dřezové zásuvky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4"/>
      <c r="T69" s="114"/>
      <c r="U69" s="114"/>
    </row>
    <row r="70" spans="1:21" ht="13.5" customHeight="1" x14ac:dyDescent="0.35">
      <c r="A70" s="114"/>
      <c r="B70" s="141"/>
      <c r="C70" s="141"/>
      <c r="D70" s="141"/>
      <c r="E70" s="140"/>
      <c r="F70" s="146" t="str">
        <f>List!$B$50&amp;" M  "</f>
        <v xml:space="preserve">Dřezová zásuvka M  </v>
      </c>
      <c r="G70" s="141"/>
      <c r="H70" s="114"/>
      <c r="I70" s="114"/>
      <c r="J70" s="114"/>
      <c r="K70" s="114"/>
      <c r="L70" s="114"/>
      <c r="M70" s="141"/>
      <c r="N70" s="141"/>
      <c r="O70" s="114"/>
      <c r="P70" s="114"/>
      <c r="Q70" s="114"/>
      <c r="R70" s="114"/>
      <c r="S70" s="114"/>
      <c r="T70" s="114"/>
      <c r="U70" s="114"/>
    </row>
    <row r="71" spans="1:21" ht="13.5" customHeight="1" x14ac:dyDescent="0.3">
      <c r="A71" s="114"/>
      <c r="B71" s="141"/>
      <c r="C71" s="141"/>
      <c r="D71" s="141"/>
      <c r="E71" s="142" t="str">
        <f>List!$B$71&amp;":"</f>
        <v>označení:</v>
      </c>
      <c r="F71" s="159" t="s">
        <v>377</v>
      </c>
      <c r="G71" s="141"/>
      <c r="H71" s="114"/>
      <c r="I71" s="114"/>
      <c r="J71" s="114"/>
      <c r="K71" s="114"/>
      <c r="L71" s="114"/>
      <c r="M71" s="141"/>
      <c r="N71" s="141"/>
      <c r="O71" s="114"/>
      <c r="P71" s="114"/>
      <c r="Q71" s="114"/>
      <c r="R71" s="114"/>
      <c r="S71" s="114"/>
      <c r="T71" s="114"/>
      <c r="U71" s="114"/>
    </row>
    <row r="72" spans="1:21" ht="13.5" customHeight="1" x14ac:dyDescent="0.25">
      <c r="A72" s="114"/>
      <c r="B72" s="141"/>
      <c r="C72" s="141"/>
      <c r="D72" s="141"/>
      <c r="E72" s="114"/>
      <c r="F72" s="143"/>
      <c r="G72" s="141"/>
      <c r="H72" s="114"/>
      <c r="I72" s="114"/>
      <c r="J72" s="114"/>
      <c r="K72" s="114"/>
      <c r="L72" s="114"/>
      <c r="M72" s="141"/>
      <c r="N72" s="141"/>
      <c r="O72" s="114"/>
      <c r="P72" s="114"/>
      <c r="Q72" s="114"/>
      <c r="R72" s="114"/>
      <c r="S72" s="114"/>
      <c r="T72" s="114"/>
      <c r="U72" s="114"/>
    </row>
    <row r="73" spans="1:21" ht="13.5" customHeight="1" x14ac:dyDescent="0.25">
      <c r="A73" s="114"/>
      <c r="B73" s="141"/>
      <c r="C73" s="141"/>
      <c r="D73" s="141"/>
      <c r="E73" s="142" t="str">
        <f>List!$B$72&amp;":"</f>
        <v>bočnice:</v>
      </c>
      <c r="F73" s="144" t="s">
        <v>329</v>
      </c>
      <c r="G73" s="141"/>
      <c r="H73" s="114"/>
      <c r="I73" s="114"/>
      <c r="J73" s="114"/>
      <c r="K73" s="114"/>
      <c r="L73" s="114"/>
      <c r="M73" s="141"/>
      <c r="N73" s="141"/>
      <c r="O73" s="114"/>
      <c r="P73" s="114"/>
      <c r="Q73" s="114"/>
      <c r="R73" s="114"/>
      <c r="S73" s="114"/>
      <c r="T73" s="114"/>
      <c r="U73" s="114"/>
    </row>
    <row r="74" spans="1:21" ht="13.5" customHeight="1" x14ac:dyDescent="0.25">
      <c r="A74" s="114"/>
      <c r="B74" s="141"/>
      <c r="C74" s="141"/>
      <c r="D74" s="141"/>
      <c r="E74" s="142" t="str">
        <f>List!$B$73&amp;":"</f>
        <v>potřebný prostor:</v>
      </c>
      <c r="F74" s="144" t="s">
        <v>348</v>
      </c>
      <c r="G74" s="141"/>
      <c r="H74" s="114"/>
      <c r="I74" s="114"/>
      <c r="J74" s="114"/>
      <c r="K74" s="114"/>
      <c r="L74" s="114"/>
      <c r="M74" s="141"/>
      <c r="N74" s="141"/>
      <c r="O74" s="114"/>
      <c r="P74" s="114"/>
      <c r="Q74" s="114"/>
      <c r="R74" s="114"/>
      <c r="S74" s="114"/>
      <c r="T74" s="114"/>
      <c r="U74" s="114"/>
    </row>
    <row r="75" spans="1:21" ht="13.5" customHeight="1" x14ac:dyDescent="0.25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</row>
    <row r="76" spans="1:21" ht="27" customHeight="1" x14ac:dyDescent="0.3">
      <c r="A76" s="114"/>
      <c r="B76" s="136" t="str">
        <f>List!$B$58&amp;" - D "</f>
        <v xml:space="preserve">Dřezové výsuvy - D </v>
      </c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14"/>
      <c r="T76" s="114"/>
      <c r="U76" s="114"/>
    </row>
    <row r="77" spans="1:21" ht="13.5" customHeight="1" x14ac:dyDescent="0.35">
      <c r="A77" s="114"/>
      <c r="B77" s="140"/>
      <c r="C77" s="140"/>
      <c r="D77" s="140"/>
      <c r="E77" s="140"/>
      <c r="F77" s="139" t="str">
        <f>List!$B$62&amp;"  "</f>
        <v xml:space="preserve">zásuvný prvek sklo  </v>
      </c>
      <c r="G77" s="114"/>
      <c r="H77" s="140"/>
      <c r="I77" s="140"/>
      <c r="J77" s="140"/>
      <c r="K77" s="140"/>
      <c r="L77" s="139" t="str">
        <f>List!$B$63&amp;"  "</f>
        <v xml:space="preserve">kovový zásuvný prvek  </v>
      </c>
      <c r="M77" s="114"/>
      <c r="N77" s="140"/>
      <c r="O77" s="140"/>
      <c r="P77" s="140"/>
      <c r="Q77" s="140"/>
      <c r="R77" s="139" t="str">
        <f>List!$B$64&amp;"  "</f>
        <v xml:space="preserve">podélný reling  </v>
      </c>
      <c r="S77" s="114"/>
      <c r="T77" s="114"/>
      <c r="U77" s="114"/>
    </row>
    <row r="78" spans="1:21" ht="13.5" customHeight="1" x14ac:dyDescent="0.3">
      <c r="A78" s="114"/>
      <c r="B78" s="141"/>
      <c r="C78" s="141"/>
      <c r="D78" s="141"/>
      <c r="E78" s="142" t="str">
        <f>List!$B$71&amp;":"</f>
        <v>označení:</v>
      </c>
      <c r="F78" s="159" t="s">
        <v>383</v>
      </c>
      <c r="G78" s="114"/>
      <c r="H78" s="141"/>
      <c r="I78" s="141"/>
      <c r="J78" s="141"/>
      <c r="K78" s="142" t="str">
        <f>List!$B$71&amp;":"</f>
        <v>označení:</v>
      </c>
      <c r="L78" s="159" t="s">
        <v>806</v>
      </c>
      <c r="M78" s="114"/>
      <c r="N78" s="114"/>
      <c r="O78" s="114"/>
      <c r="P78" s="114"/>
      <c r="Q78" s="142" t="str">
        <f>List!$B$71&amp;":"</f>
        <v>označení:</v>
      </c>
      <c r="R78" s="159" t="s">
        <v>379</v>
      </c>
      <c r="S78" s="114"/>
      <c r="T78" s="114"/>
      <c r="U78" s="114"/>
    </row>
    <row r="79" spans="1:21" ht="13.5" customHeight="1" x14ac:dyDescent="0.25">
      <c r="A79" s="114"/>
      <c r="B79" s="141"/>
      <c r="C79" s="141"/>
      <c r="D79" s="141"/>
      <c r="E79" s="114"/>
      <c r="F79" s="143"/>
      <c r="G79" s="114"/>
      <c r="H79" s="141"/>
      <c r="I79" s="141"/>
      <c r="J79" s="141"/>
      <c r="K79" s="114"/>
      <c r="L79" s="143"/>
      <c r="M79" s="114"/>
      <c r="N79" s="114"/>
      <c r="O79" s="114"/>
      <c r="P79" s="114"/>
      <c r="Q79" s="114"/>
      <c r="R79" s="143"/>
      <c r="S79" s="114"/>
      <c r="T79" s="114"/>
      <c r="U79" s="114"/>
    </row>
    <row r="80" spans="1:21" ht="13.5" customHeight="1" x14ac:dyDescent="0.25">
      <c r="A80" s="114"/>
      <c r="B80" s="141"/>
      <c r="C80" s="141"/>
      <c r="D80" s="141"/>
      <c r="E80" s="142" t="str">
        <f>List!$B$72&amp;":"</f>
        <v>bočnice:</v>
      </c>
      <c r="F80" s="144" t="s">
        <v>329</v>
      </c>
      <c r="G80" s="114"/>
      <c r="H80" s="141"/>
      <c r="I80" s="141"/>
      <c r="J80" s="141"/>
      <c r="K80" s="142" t="str">
        <f>List!$B$72&amp;":"</f>
        <v>bočnice:</v>
      </c>
      <c r="L80" s="144" t="s">
        <v>329</v>
      </c>
      <c r="M80" s="114"/>
      <c r="N80" s="114"/>
      <c r="O80" s="114"/>
      <c r="P80" s="114"/>
      <c r="Q80" s="142" t="str">
        <f>List!$B$72&amp;":"</f>
        <v>bočnice:</v>
      </c>
      <c r="R80" s="144" t="s">
        <v>329</v>
      </c>
      <c r="S80" s="114"/>
      <c r="T80" s="114"/>
      <c r="U80" s="114"/>
    </row>
    <row r="81" spans="1:21" ht="13.5" customHeight="1" x14ac:dyDescent="0.25">
      <c r="A81" s="114"/>
      <c r="B81" s="141"/>
      <c r="C81" s="141"/>
      <c r="D81" s="141"/>
      <c r="E81" s="142" t="str">
        <f>List!$B$73&amp;":"</f>
        <v>potřebný prostor:</v>
      </c>
      <c r="F81" s="144" t="s">
        <v>328</v>
      </c>
      <c r="G81" s="114"/>
      <c r="H81" s="141"/>
      <c r="I81" s="141"/>
      <c r="J81" s="141"/>
      <c r="K81" s="142" t="str">
        <f>List!$B$73&amp;":"</f>
        <v>potřebný prostor:</v>
      </c>
      <c r="L81" s="144" t="s">
        <v>328</v>
      </c>
      <c r="M81" s="114"/>
      <c r="N81" s="114"/>
      <c r="O81" s="114"/>
      <c r="P81" s="114"/>
      <c r="Q81" s="142" t="str">
        <f>List!$B$73&amp;":"</f>
        <v>potřebný prostor:</v>
      </c>
      <c r="R81" s="144" t="s">
        <v>328</v>
      </c>
      <c r="S81" s="114"/>
      <c r="T81" s="114"/>
      <c r="U81" s="114"/>
    </row>
    <row r="82" spans="1:21" ht="13.5" customHeight="1" x14ac:dyDescent="0.25">
      <c r="A82" s="114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14"/>
      <c r="P82" s="114"/>
      <c r="Q82" s="114"/>
      <c r="R82" s="114"/>
      <c r="S82" s="114"/>
      <c r="T82" s="114"/>
      <c r="U82" s="114"/>
    </row>
    <row r="83" spans="1:21" ht="28.5" customHeight="1" x14ac:dyDescent="0.3">
      <c r="A83" s="114"/>
      <c r="B83" s="136" t="str">
        <f>List!$B$55&amp;" "&amp;List!$B$59&amp;", "&amp;List!$B$60&amp;" D+M "</f>
        <v xml:space="preserve">Čelní výsuvy pro úzké korpusy, sestava D+M </v>
      </c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4"/>
      <c r="T83" s="114"/>
      <c r="U83" s="114"/>
    </row>
    <row r="84" spans="1:21" ht="13.5" customHeight="1" x14ac:dyDescent="0.35">
      <c r="A84" s="114"/>
      <c r="B84" s="140"/>
      <c r="C84" s="140"/>
      <c r="D84" s="140"/>
      <c r="E84" s="140"/>
      <c r="F84" s="139" t="str">
        <f>List!$B$62&amp;"  "</f>
        <v xml:space="preserve">zásuvný prvek sklo  </v>
      </c>
      <c r="G84" s="114"/>
      <c r="H84" s="140"/>
      <c r="I84" s="140"/>
      <c r="J84" s="140"/>
      <c r="K84" s="140"/>
      <c r="L84" s="139" t="str">
        <f>List!$B$63&amp;"  "</f>
        <v xml:space="preserve">kovový zásuvný prvek  </v>
      </c>
      <c r="M84" s="114"/>
      <c r="N84" s="140"/>
      <c r="O84" s="140"/>
      <c r="P84" s="140"/>
      <c r="Q84" s="140"/>
      <c r="R84" s="139" t="str">
        <f>List!$B$64&amp;"  "</f>
        <v xml:space="preserve">podélný reling  </v>
      </c>
      <c r="S84" s="114"/>
      <c r="T84" s="114"/>
      <c r="U84" s="114"/>
    </row>
    <row r="85" spans="1:21" ht="13.5" customHeight="1" x14ac:dyDescent="0.3">
      <c r="A85" s="114"/>
      <c r="B85" s="141"/>
      <c r="C85" s="141"/>
      <c r="D85" s="141"/>
      <c r="E85" s="164" t="s">
        <v>274</v>
      </c>
      <c r="F85" s="159" t="s">
        <v>85</v>
      </c>
      <c r="G85" s="114"/>
      <c r="H85" s="141"/>
      <c r="I85" s="141"/>
      <c r="J85" s="141"/>
      <c r="K85" s="142" t="str">
        <f>List!$B$71&amp;":"</f>
        <v>označení:</v>
      </c>
      <c r="L85" s="159" t="s">
        <v>808</v>
      </c>
      <c r="M85" s="114"/>
      <c r="N85" s="141"/>
      <c r="O85" s="141"/>
      <c r="P85" s="141"/>
      <c r="Q85" s="142" t="str">
        <f>List!$B$71&amp;":"</f>
        <v>označení:</v>
      </c>
      <c r="R85" s="159" t="s">
        <v>87</v>
      </c>
      <c r="S85" s="114"/>
      <c r="T85" s="114"/>
      <c r="U85" s="114"/>
    </row>
    <row r="86" spans="1:21" ht="13.5" customHeight="1" x14ac:dyDescent="0.25">
      <c r="A86" s="114"/>
      <c r="B86" s="141"/>
      <c r="C86" s="141"/>
      <c r="D86" s="141"/>
      <c r="E86" s="114"/>
      <c r="F86" s="143"/>
      <c r="G86" s="114"/>
      <c r="H86" s="141"/>
      <c r="I86" s="141"/>
      <c r="J86" s="141"/>
      <c r="K86" s="114"/>
      <c r="L86" s="143"/>
      <c r="M86" s="114"/>
      <c r="N86" s="141"/>
      <c r="O86" s="141"/>
      <c r="P86" s="141"/>
      <c r="Q86" s="114"/>
      <c r="R86" s="143"/>
      <c r="S86" s="114"/>
      <c r="T86" s="114"/>
      <c r="U86" s="114"/>
    </row>
    <row r="87" spans="1:21" ht="13.5" customHeight="1" x14ac:dyDescent="0.25">
      <c r="A87" s="114"/>
      <c r="B87" s="141"/>
      <c r="C87" s="141"/>
      <c r="D87" s="141"/>
      <c r="E87" s="164" t="s">
        <v>275</v>
      </c>
      <c r="F87" s="144" t="s">
        <v>329</v>
      </c>
      <c r="G87" s="114"/>
      <c r="H87" s="141"/>
      <c r="I87" s="141"/>
      <c r="J87" s="141"/>
      <c r="K87" s="142" t="str">
        <f>List!$B$72&amp;":"</f>
        <v>bočnice:</v>
      </c>
      <c r="L87" s="144" t="s">
        <v>329</v>
      </c>
      <c r="M87" s="114"/>
      <c r="N87" s="141"/>
      <c r="O87" s="141"/>
      <c r="P87" s="141"/>
      <c r="Q87" s="142" t="str">
        <f>List!$B$72&amp;":"</f>
        <v>bočnice:</v>
      </c>
      <c r="R87" s="144" t="s">
        <v>329</v>
      </c>
      <c r="S87" s="114"/>
      <c r="T87" s="114"/>
      <c r="U87" s="114"/>
    </row>
    <row r="88" spans="1:21" ht="13.5" customHeight="1" x14ac:dyDescent="0.25">
      <c r="A88" s="114"/>
      <c r="B88" s="141"/>
      <c r="C88" s="141"/>
      <c r="D88" s="141"/>
      <c r="E88" s="164" t="s">
        <v>276</v>
      </c>
      <c r="F88" s="144" t="s">
        <v>218</v>
      </c>
      <c r="G88" s="114"/>
      <c r="H88" s="141"/>
      <c r="I88" s="141"/>
      <c r="J88" s="141"/>
      <c r="K88" s="142" t="str">
        <f>List!$B$73&amp;":"</f>
        <v>potřebný prostor:</v>
      </c>
      <c r="L88" s="144" t="s">
        <v>218</v>
      </c>
      <c r="M88" s="114"/>
      <c r="N88" s="141"/>
      <c r="O88" s="141"/>
      <c r="P88" s="141"/>
      <c r="Q88" s="142" t="str">
        <f>List!$B$73&amp;":"</f>
        <v>potřebný prostor:</v>
      </c>
      <c r="R88" s="144" t="s">
        <v>218</v>
      </c>
      <c r="S88" s="114"/>
      <c r="T88" s="114"/>
      <c r="U88" s="114"/>
    </row>
    <row r="89" spans="1:21" ht="30" customHeight="1" x14ac:dyDescent="0.3">
      <c r="A89" s="114"/>
      <c r="B89" s="136" t="str">
        <f>List!$B$55&amp;" "&amp;List!$B$59&amp;", "&amp;List!$B$60&amp;" D+D "</f>
        <v xml:space="preserve">Čelní výsuvy pro úzké korpusy, sestava D+D 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41"/>
      <c r="T89" s="114"/>
      <c r="U89" s="114"/>
    </row>
    <row r="90" spans="1:21" ht="13.5" customHeight="1" x14ac:dyDescent="0.35">
      <c r="A90" s="114"/>
      <c r="B90" s="437"/>
      <c r="C90" s="437"/>
      <c r="D90" s="437"/>
      <c r="E90" s="437"/>
      <c r="F90" s="438" t="str">
        <f>List!$B$62&amp;"  "</f>
        <v xml:space="preserve">zásuvný prvek sklo  </v>
      </c>
      <c r="G90" s="256"/>
      <c r="H90" s="437"/>
      <c r="I90" s="437"/>
      <c r="J90" s="437"/>
      <c r="K90" s="437"/>
      <c r="L90" s="438" t="str">
        <f>List!$B$63&amp;"  "</f>
        <v xml:space="preserve">kovový zásuvný prvek  </v>
      </c>
      <c r="M90" s="256"/>
      <c r="N90" s="437"/>
      <c r="O90" s="437"/>
      <c r="P90" s="437"/>
      <c r="Q90" s="437"/>
      <c r="R90" s="438" t="str">
        <f>List!$B$64&amp;"  "</f>
        <v xml:space="preserve">podélný reling  </v>
      </c>
      <c r="S90" s="114"/>
      <c r="T90" s="114"/>
      <c r="U90" s="114"/>
    </row>
    <row r="91" spans="1:21" ht="13.5" customHeight="1" x14ac:dyDescent="0.3">
      <c r="A91" s="114"/>
      <c r="B91" s="183"/>
      <c r="C91" s="183"/>
      <c r="D91" s="183"/>
      <c r="E91" s="439" t="s">
        <v>274</v>
      </c>
      <c r="F91" s="159" t="s">
        <v>88</v>
      </c>
      <c r="G91" s="256"/>
      <c r="H91" s="183"/>
      <c r="I91" s="183"/>
      <c r="J91" s="183"/>
      <c r="K91" s="440" t="str">
        <f>List!$B$71&amp;":"</f>
        <v>označení:</v>
      </c>
      <c r="L91" s="159" t="s">
        <v>807</v>
      </c>
      <c r="M91" s="256"/>
      <c r="N91" s="256"/>
      <c r="O91" s="256"/>
      <c r="P91" s="256"/>
      <c r="Q91" s="440" t="str">
        <f>List!$B$71&amp;":"</f>
        <v>označení:</v>
      </c>
      <c r="R91" s="159" t="s">
        <v>90</v>
      </c>
      <c r="S91" s="114"/>
      <c r="T91" s="114"/>
      <c r="U91" s="114"/>
    </row>
    <row r="92" spans="1:21" ht="13.5" customHeight="1" x14ac:dyDescent="0.25">
      <c r="A92" s="114"/>
      <c r="B92" s="183"/>
      <c r="C92" s="183"/>
      <c r="D92" s="183"/>
      <c r="E92" s="256"/>
      <c r="F92" s="186"/>
      <c r="G92" s="256"/>
      <c r="H92" s="183"/>
      <c r="I92" s="183"/>
      <c r="J92" s="183"/>
      <c r="K92" s="256"/>
      <c r="L92" s="186"/>
      <c r="M92" s="256"/>
      <c r="N92" s="256"/>
      <c r="O92" s="256"/>
      <c r="P92" s="256"/>
      <c r="Q92" s="256"/>
      <c r="R92" s="441"/>
      <c r="S92" s="114"/>
      <c r="T92" s="114"/>
      <c r="U92" s="114"/>
    </row>
    <row r="93" spans="1:21" ht="13.5" customHeight="1" x14ac:dyDescent="0.25">
      <c r="A93" s="114"/>
      <c r="B93" s="183"/>
      <c r="C93" s="183"/>
      <c r="D93" s="183"/>
      <c r="E93" s="439" t="s">
        <v>275</v>
      </c>
      <c r="F93" s="441" t="s">
        <v>329</v>
      </c>
      <c r="G93" s="256"/>
      <c r="H93" s="183"/>
      <c r="I93" s="183"/>
      <c r="J93" s="183"/>
      <c r="K93" s="440" t="str">
        <f>List!$B$72&amp;":"</f>
        <v>bočnice:</v>
      </c>
      <c r="L93" s="441" t="s">
        <v>329</v>
      </c>
      <c r="M93" s="256"/>
      <c r="N93" s="256"/>
      <c r="O93" s="256"/>
      <c r="P93" s="256"/>
      <c r="Q93" s="440" t="str">
        <f>List!$B$72&amp;":"</f>
        <v>bočnice:</v>
      </c>
      <c r="R93" s="441" t="s">
        <v>329</v>
      </c>
      <c r="S93" s="114"/>
      <c r="T93" s="114"/>
      <c r="U93" s="114"/>
    </row>
    <row r="94" spans="1:21" ht="13.5" customHeight="1" x14ac:dyDescent="0.25">
      <c r="A94" s="114"/>
      <c r="B94" s="183"/>
      <c r="C94" s="183"/>
      <c r="D94" s="183"/>
      <c r="E94" s="439" t="s">
        <v>276</v>
      </c>
      <c r="F94" s="441" t="s">
        <v>217</v>
      </c>
      <c r="G94" s="256"/>
      <c r="H94" s="183"/>
      <c r="I94" s="183"/>
      <c r="J94" s="183"/>
      <c r="K94" s="440" t="str">
        <f>List!$B$73&amp;":"</f>
        <v>potřebný prostor:</v>
      </c>
      <c r="L94" s="441" t="s">
        <v>217</v>
      </c>
      <c r="M94" s="256"/>
      <c r="N94" s="256"/>
      <c r="O94" s="256"/>
      <c r="P94" s="256"/>
      <c r="Q94" s="440" t="str">
        <f>List!$B$73&amp;":"</f>
        <v>potřebný prostor:</v>
      </c>
      <c r="R94" s="441" t="s">
        <v>217</v>
      </c>
      <c r="S94" s="114"/>
      <c r="T94" s="114"/>
      <c r="U94" s="114"/>
    </row>
    <row r="95" spans="1:21" ht="13.5" customHeight="1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</row>
    <row r="96" spans="1:21" ht="28.5" customHeight="1" x14ac:dyDescent="0.3">
      <c r="A96" s="114"/>
      <c r="B96" s="136" t="s">
        <v>216</v>
      </c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4"/>
      <c r="T96" s="114"/>
      <c r="U96" s="114"/>
    </row>
    <row r="97" spans="1:21" ht="13.5" customHeight="1" x14ac:dyDescent="0.35">
      <c r="A97" s="114"/>
      <c r="B97" s="140"/>
      <c r="C97" s="140"/>
      <c r="D97" s="140"/>
      <c r="E97" s="140"/>
      <c r="F97" s="139" t="str">
        <f>List!$B$62&amp;"  "</f>
        <v xml:space="preserve">zásuvný prvek sklo  </v>
      </c>
      <c r="G97" s="114"/>
      <c r="H97" s="140"/>
      <c r="I97" s="140"/>
      <c r="J97" s="140"/>
      <c r="K97" s="140"/>
      <c r="L97" s="139" t="str">
        <f>List!$B$63&amp;"  "</f>
        <v xml:space="preserve">kovový zásuvný prvek  </v>
      </c>
      <c r="M97" s="114"/>
      <c r="N97" s="140"/>
      <c r="O97" s="140"/>
      <c r="P97" s="140"/>
      <c r="Q97" s="140"/>
      <c r="R97" s="139" t="str">
        <f>List!$B$64&amp;"  "</f>
        <v xml:space="preserve">podélný reling  </v>
      </c>
      <c r="S97" s="114"/>
      <c r="T97" s="114"/>
      <c r="U97" s="114"/>
    </row>
    <row r="98" spans="1:21" ht="13.5" customHeight="1" x14ac:dyDescent="0.3">
      <c r="A98" s="114"/>
      <c r="B98" s="141"/>
      <c r="C98" s="141"/>
      <c r="D98" s="141"/>
      <c r="E98" s="164" t="s">
        <v>274</v>
      </c>
      <c r="F98" s="159" t="s">
        <v>249</v>
      </c>
      <c r="G98" s="114"/>
      <c r="H98" s="141"/>
      <c r="I98" s="141"/>
      <c r="J98" s="141"/>
      <c r="K98" s="142" t="str">
        <f>List!$B$71&amp;":"</f>
        <v>označení:</v>
      </c>
      <c r="L98" s="159" t="s">
        <v>809</v>
      </c>
      <c r="M98" s="114"/>
      <c r="N98" s="141"/>
      <c r="O98" s="141"/>
      <c r="P98" s="141"/>
      <c r="Q98" s="142" t="str">
        <f>List!$B$71&amp;":"</f>
        <v>označení:</v>
      </c>
      <c r="R98" s="159" t="s">
        <v>212</v>
      </c>
      <c r="S98" s="114"/>
      <c r="T98" s="114"/>
      <c r="U98" s="114"/>
    </row>
    <row r="99" spans="1:21" ht="13.5" customHeight="1" x14ac:dyDescent="0.25">
      <c r="A99" s="114"/>
      <c r="B99" s="141"/>
      <c r="C99" s="141"/>
      <c r="D99" s="141"/>
      <c r="E99" s="114"/>
      <c r="F99" s="143"/>
      <c r="G99" s="114"/>
      <c r="H99" s="141"/>
      <c r="I99" s="141"/>
      <c r="J99" s="141"/>
      <c r="K99" s="114"/>
      <c r="L99" s="143"/>
      <c r="M99" s="114"/>
      <c r="N99" s="141"/>
      <c r="O99" s="141"/>
      <c r="P99" s="141"/>
      <c r="Q99" s="114"/>
      <c r="R99" s="143"/>
      <c r="S99" s="114"/>
      <c r="T99" s="114"/>
      <c r="U99" s="114"/>
    </row>
    <row r="100" spans="1:21" ht="13.5" customHeight="1" x14ac:dyDescent="0.25">
      <c r="A100" s="114"/>
      <c r="B100" s="141"/>
      <c r="C100" s="141"/>
      <c r="D100" s="141"/>
      <c r="E100" s="164" t="s">
        <v>275</v>
      </c>
      <c r="F100" s="144" t="s">
        <v>329</v>
      </c>
      <c r="G100" s="114"/>
      <c r="H100" s="141"/>
      <c r="I100" s="141"/>
      <c r="J100" s="141"/>
      <c r="K100" s="142" t="str">
        <f>List!$B$72&amp;":"</f>
        <v>bočnice:</v>
      </c>
      <c r="L100" s="144" t="s">
        <v>329</v>
      </c>
      <c r="M100" s="114"/>
      <c r="N100" s="141"/>
      <c r="O100" s="141"/>
      <c r="P100" s="141"/>
      <c r="Q100" s="142" t="str">
        <f>List!$B$72&amp;":"</f>
        <v>bočnice:</v>
      </c>
      <c r="R100" s="144" t="s">
        <v>329</v>
      </c>
      <c r="S100" s="114"/>
      <c r="T100" s="114"/>
      <c r="U100" s="114"/>
    </row>
    <row r="101" spans="1:21" ht="13.5" customHeight="1" x14ac:dyDescent="0.25">
      <c r="A101" s="114"/>
      <c r="B101" s="141"/>
      <c r="C101" s="141"/>
      <c r="D101" s="141"/>
      <c r="E101" s="164" t="s">
        <v>276</v>
      </c>
      <c r="F101" s="144" t="s">
        <v>220</v>
      </c>
      <c r="G101" s="114"/>
      <c r="H101" s="141"/>
      <c r="I101" s="141"/>
      <c r="J101" s="141"/>
      <c r="K101" s="142" t="str">
        <f>List!$B$73&amp;":"</f>
        <v>potřebný prostor:</v>
      </c>
      <c r="L101" s="144" t="s">
        <v>220</v>
      </c>
      <c r="M101" s="114"/>
      <c r="N101" s="141"/>
      <c r="O101" s="141"/>
      <c r="P101" s="141"/>
      <c r="Q101" s="142" t="str">
        <f>List!$B$73&amp;":"</f>
        <v>potřebný prostor:</v>
      </c>
      <c r="R101" s="144" t="s">
        <v>220</v>
      </c>
      <c r="S101" s="114"/>
      <c r="T101" s="114"/>
      <c r="U101" s="114"/>
    </row>
    <row r="102" spans="1:21" ht="13.5" customHeight="1" x14ac:dyDescent="0.25">
      <c r="A102" s="114"/>
      <c r="B102" s="114"/>
      <c r="C102" s="114"/>
      <c r="D102" s="114"/>
      <c r="E102" s="114"/>
      <c r="F102" s="143"/>
      <c r="G102" s="114"/>
      <c r="H102" s="114"/>
      <c r="I102" s="114"/>
      <c r="J102" s="114"/>
      <c r="K102" s="114"/>
      <c r="L102" s="143"/>
      <c r="M102" s="114"/>
      <c r="N102" s="114"/>
      <c r="O102" s="114"/>
      <c r="P102" s="114"/>
      <c r="Q102" s="114"/>
      <c r="R102" s="143"/>
      <c r="S102" s="114"/>
      <c r="T102" s="114"/>
      <c r="U102" s="114"/>
    </row>
    <row r="103" spans="1:21" ht="13.5" customHeight="1" x14ac:dyDescent="0.25">
      <c r="A103" s="114"/>
      <c r="B103" s="114"/>
      <c r="C103" s="114"/>
      <c r="D103" s="114"/>
      <c r="E103" s="114"/>
      <c r="F103" s="143"/>
      <c r="G103" s="114"/>
      <c r="H103" s="114"/>
      <c r="I103" s="114"/>
      <c r="J103" s="114"/>
      <c r="K103" s="114"/>
      <c r="L103" s="143"/>
      <c r="M103" s="114"/>
      <c r="N103" s="114"/>
      <c r="O103" s="114"/>
      <c r="P103" s="114"/>
      <c r="Q103" s="114"/>
      <c r="R103" s="143"/>
      <c r="S103" s="114"/>
      <c r="T103" s="114"/>
      <c r="U103" s="114"/>
    </row>
    <row r="104" spans="1:21" ht="13.5" customHeight="1" x14ac:dyDescent="0.25">
      <c r="A104" s="114"/>
      <c r="B104" s="114"/>
      <c r="C104" s="114"/>
      <c r="D104" s="114"/>
      <c r="E104" s="114"/>
      <c r="F104" s="143"/>
      <c r="G104" s="114"/>
      <c r="H104" s="114"/>
      <c r="I104" s="114"/>
      <c r="J104" s="114"/>
      <c r="K104" s="114"/>
      <c r="L104" s="143"/>
      <c r="M104" s="114"/>
      <c r="N104" s="114"/>
      <c r="O104" s="114"/>
      <c r="P104" s="114"/>
      <c r="Q104" s="114"/>
      <c r="R104" s="143"/>
      <c r="S104" s="114"/>
      <c r="T104" s="114"/>
      <c r="U104" s="114"/>
    </row>
    <row r="105" spans="1:21" ht="30" customHeight="1" x14ac:dyDescent="0.3">
      <c r="A105" s="114"/>
      <c r="B105" s="136" t="s">
        <v>215</v>
      </c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41"/>
      <c r="T105" s="114"/>
      <c r="U105" s="114"/>
    </row>
    <row r="106" spans="1:21" ht="13.5" customHeight="1" x14ac:dyDescent="0.35">
      <c r="A106" s="114"/>
      <c r="B106" s="140"/>
      <c r="C106" s="140"/>
      <c r="D106" s="140"/>
      <c r="E106" s="140"/>
      <c r="F106" s="139" t="str">
        <f>List!$B$62&amp;"  "</f>
        <v xml:space="preserve">zásuvný prvek sklo  </v>
      </c>
      <c r="G106" s="114"/>
      <c r="H106" s="140"/>
      <c r="I106" s="140"/>
      <c r="J106" s="140"/>
      <c r="K106" s="140"/>
      <c r="L106" s="139" t="str">
        <f>List!$B$63&amp;"  "</f>
        <v xml:space="preserve">kovový zásuvný prvek  </v>
      </c>
      <c r="M106" s="114"/>
      <c r="N106" s="140"/>
      <c r="O106" s="140"/>
      <c r="P106" s="140"/>
      <c r="Q106" s="140"/>
      <c r="R106" s="139" t="str">
        <f>List!$B$64&amp;"  "</f>
        <v xml:space="preserve">podélný reling  </v>
      </c>
      <c r="S106" s="114"/>
      <c r="T106" s="114"/>
      <c r="U106" s="114"/>
    </row>
    <row r="107" spans="1:21" ht="13.5" customHeight="1" x14ac:dyDescent="0.3">
      <c r="A107" s="114"/>
      <c r="B107" s="141"/>
      <c r="C107" s="141"/>
      <c r="D107" s="141"/>
      <c r="E107" s="164" t="s">
        <v>274</v>
      </c>
      <c r="F107" s="159" t="s">
        <v>210</v>
      </c>
      <c r="G107" s="114"/>
      <c r="H107" s="141"/>
      <c r="I107" s="141"/>
      <c r="J107" s="141"/>
      <c r="K107" s="142" t="str">
        <f>List!$B$71&amp;":"</f>
        <v>označení:</v>
      </c>
      <c r="L107" s="159" t="s">
        <v>807</v>
      </c>
      <c r="M107" s="114"/>
      <c r="N107" s="114"/>
      <c r="O107" s="114"/>
      <c r="P107" s="114"/>
      <c r="Q107" s="142" t="str">
        <f>List!$B$71&amp;":"</f>
        <v>označení:</v>
      </c>
      <c r="R107" s="159" t="s">
        <v>90</v>
      </c>
      <c r="S107" s="114"/>
      <c r="T107" s="114"/>
      <c r="U107" s="114"/>
    </row>
    <row r="108" spans="1:21" ht="13.5" customHeight="1" x14ac:dyDescent="0.25">
      <c r="A108" s="114"/>
      <c r="B108" s="141"/>
      <c r="C108" s="141"/>
      <c r="D108" s="141"/>
      <c r="E108" s="114"/>
      <c r="F108" s="143"/>
      <c r="G108" s="114"/>
      <c r="H108" s="141"/>
      <c r="I108" s="141"/>
      <c r="J108" s="141"/>
      <c r="K108" s="114"/>
      <c r="L108" s="143"/>
      <c r="M108" s="114"/>
      <c r="N108" s="114"/>
      <c r="O108" s="114"/>
      <c r="P108" s="114"/>
      <c r="Q108" s="114"/>
      <c r="R108" s="144"/>
      <c r="S108" s="114"/>
      <c r="T108" s="114"/>
      <c r="U108" s="114"/>
    </row>
    <row r="109" spans="1:21" ht="13.5" customHeight="1" x14ac:dyDescent="0.25">
      <c r="A109" s="114"/>
      <c r="B109" s="141"/>
      <c r="C109" s="141"/>
      <c r="D109" s="141"/>
      <c r="E109" s="164" t="s">
        <v>275</v>
      </c>
      <c r="F109" s="144" t="s">
        <v>329</v>
      </c>
      <c r="G109" s="114"/>
      <c r="H109" s="141"/>
      <c r="I109" s="141"/>
      <c r="J109" s="141"/>
      <c r="K109" s="142" t="str">
        <f>List!$B$72&amp;":"</f>
        <v>bočnice:</v>
      </c>
      <c r="L109" s="144" t="s">
        <v>329</v>
      </c>
      <c r="M109" s="114"/>
      <c r="N109" s="114"/>
      <c r="O109" s="114"/>
      <c r="P109" s="114"/>
      <c r="Q109" s="142" t="str">
        <f>List!$B$72&amp;":"</f>
        <v>bočnice:</v>
      </c>
      <c r="R109" s="144" t="s">
        <v>329</v>
      </c>
      <c r="S109" s="114"/>
      <c r="T109" s="114"/>
      <c r="U109" s="114"/>
    </row>
    <row r="110" spans="1:21" ht="13.5" customHeight="1" x14ac:dyDescent="0.25">
      <c r="A110" s="114"/>
      <c r="B110" s="141"/>
      <c r="C110" s="141"/>
      <c r="D110" s="141"/>
      <c r="E110" s="164" t="s">
        <v>276</v>
      </c>
      <c r="F110" s="144" t="s">
        <v>219</v>
      </c>
      <c r="G110" s="114"/>
      <c r="H110" s="141"/>
      <c r="I110" s="141"/>
      <c r="J110" s="141"/>
      <c r="K110" s="142" t="str">
        <f>List!$B$73&amp;":"</f>
        <v>potřebný prostor:</v>
      </c>
      <c r="L110" s="144" t="s">
        <v>219</v>
      </c>
      <c r="M110" s="114"/>
      <c r="N110" s="114"/>
      <c r="O110" s="114"/>
      <c r="P110" s="114"/>
      <c r="Q110" s="142" t="str">
        <f>List!$B$73&amp;":"</f>
        <v>potřebný prostor:</v>
      </c>
      <c r="R110" s="144" t="s">
        <v>219</v>
      </c>
      <c r="S110" s="114"/>
      <c r="T110" s="114"/>
      <c r="U110" s="114"/>
    </row>
    <row r="111" spans="1:21" ht="13.5" customHeight="1" x14ac:dyDescent="0.25">
      <c r="A111" s="114"/>
      <c r="B111" s="141"/>
      <c r="C111" s="141"/>
      <c r="D111" s="141"/>
      <c r="E111" s="164"/>
      <c r="F111" s="144"/>
      <c r="G111" s="114"/>
      <c r="H111" s="141"/>
      <c r="I111" s="141"/>
      <c r="J111" s="141"/>
      <c r="K111" s="142"/>
      <c r="L111" s="144"/>
      <c r="M111" s="114"/>
      <c r="N111" s="114"/>
      <c r="O111" s="114"/>
      <c r="P111" s="114"/>
      <c r="Q111" s="142"/>
      <c r="R111" s="144"/>
      <c r="S111" s="114"/>
      <c r="T111" s="114"/>
      <c r="U111" s="114"/>
    </row>
    <row r="112" spans="1:21" ht="13.5" customHeight="1" x14ac:dyDescent="0.25">
      <c r="A112" s="114"/>
      <c r="B112" s="141"/>
      <c r="C112" s="141"/>
      <c r="D112" s="141"/>
      <c r="E112" s="164"/>
      <c r="F112" s="144"/>
      <c r="G112" s="114"/>
      <c r="H112" s="141"/>
      <c r="I112" s="141"/>
      <c r="J112" s="141"/>
      <c r="K112" s="142"/>
      <c r="L112" s="144"/>
      <c r="M112" s="114"/>
      <c r="N112" s="114"/>
      <c r="O112" s="114"/>
      <c r="P112" s="114"/>
      <c r="Q112" s="142"/>
      <c r="R112" s="144"/>
      <c r="S112" s="114"/>
      <c r="T112" s="114"/>
      <c r="U112" s="114"/>
    </row>
    <row r="113" spans="1:21" ht="13.5" customHeight="1" x14ac:dyDescent="0.25">
      <c r="A113" s="114"/>
      <c r="B113" s="141"/>
      <c r="C113" s="141"/>
      <c r="D113" s="141"/>
      <c r="E113" s="164"/>
      <c r="F113" s="144"/>
      <c r="G113" s="114"/>
      <c r="H113" s="141"/>
      <c r="I113" s="141"/>
      <c r="J113" s="141"/>
      <c r="K113" s="142"/>
      <c r="L113" s="144"/>
      <c r="M113" s="114"/>
      <c r="N113" s="114"/>
      <c r="O113" s="114"/>
      <c r="P113" s="114"/>
      <c r="Q113" s="142"/>
      <c r="R113" s="144"/>
      <c r="S113" s="114"/>
      <c r="T113" s="114"/>
      <c r="U113" s="114"/>
    </row>
    <row r="114" spans="1:21" ht="13.5" customHeight="1" x14ac:dyDescent="0.25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</row>
    <row r="115" spans="1:21" ht="13.5" customHeight="1" x14ac:dyDescent="0.25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</row>
    <row r="116" spans="1:21" ht="13.5" customHeight="1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</row>
    <row r="117" spans="1:21" ht="13.5" customHeight="1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</row>
    <row r="118" spans="1:21" ht="13.5" customHeight="1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</row>
    <row r="119" spans="1:21" ht="13.5" customHeight="1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</row>
    <row r="120" spans="1:21" ht="13.5" customHeight="1" x14ac:dyDescent="0.25">
      <c r="T120" s="114"/>
    </row>
    <row r="121" spans="1:21" ht="13.5" customHeight="1" x14ac:dyDescent="0.25"/>
    <row r="122" spans="1:21" ht="13.5" customHeight="1" x14ac:dyDescent="0.25"/>
    <row r="123" spans="1:21" ht="13.5" customHeight="1" x14ac:dyDescent="0.25"/>
    <row r="124" spans="1:21" ht="13.5" customHeight="1" x14ac:dyDescent="0.25"/>
    <row r="199" spans="1:2" x14ac:dyDescent="0.25">
      <c r="A199" s="577"/>
    </row>
    <row r="200" spans="1:2" ht="15.5" x14ac:dyDescent="0.35">
      <c r="A200" s="577"/>
      <c r="B200" s="252" t="str">
        <f>"      "&amp;List!$B$16&amp;": "&amp;List!$B$4</f>
        <v xml:space="preserve">      Nápověda: Výběr zásuvek a výsuvů</v>
      </c>
    </row>
    <row r="201" spans="1:2" x14ac:dyDescent="0.25">
      <c r="A201" s="577"/>
    </row>
    <row r="202" spans="1:2" x14ac:dyDescent="0.25">
      <c r="A202" s="577"/>
      <c r="B202" s="2" t="str">
        <f>List!$B$239</f>
        <v>Kliknutím na označení vyberte požadovaný výsuv</v>
      </c>
    </row>
    <row r="203" spans="1:2" x14ac:dyDescent="0.25">
      <c r="A203" s="577"/>
    </row>
    <row r="204" spans="1:2" x14ac:dyDescent="0.25">
      <c r="A204" s="577"/>
    </row>
    <row r="205" spans="1:2" x14ac:dyDescent="0.25">
      <c r="A205" s="577"/>
    </row>
    <row r="206" spans="1:2" x14ac:dyDescent="0.25">
      <c r="A206" s="577"/>
    </row>
    <row r="207" spans="1:2" x14ac:dyDescent="0.25">
      <c r="A207" s="577"/>
    </row>
    <row r="208" spans="1:2" x14ac:dyDescent="0.25">
      <c r="A208" s="577"/>
    </row>
    <row r="209" spans="1:8" x14ac:dyDescent="0.25">
      <c r="A209" s="577"/>
    </row>
    <row r="210" spans="1:8" x14ac:dyDescent="0.25">
      <c r="A210" s="577"/>
    </row>
    <row r="211" spans="1:8" x14ac:dyDescent="0.25">
      <c r="A211" s="577"/>
    </row>
    <row r="212" spans="1:8" x14ac:dyDescent="0.25">
      <c r="A212" s="577"/>
    </row>
    <row r="213" spans="1:8" x14ac:dyDescent="0.25">
      <c r="A213" s="577"/>
    </row>
    <row r="214" spans="1:8" x14ac:dyDescent="0.25">
      <c r="A214" s="577"/>
    </row>
    <row r="215" spans="1:8" x14ac:dyDescent="0.25">
      <c r="A215" s="577"/>
    </row>
    <row r="216" spans="1:8" x14ac:dyDescent="0.25">
      <c r="A216" s="577"/>
    </row>
    <row r="217" spans="1:8" x14ac:dyDescent="0.25">
      <c r="A217" s="577"/>
    </row>
    <row r="218" spans="1:8" x14ac:dyDescent="0.25">
      <c r="A218" s="577"/>
    </row>
    <row r="219" spans="1:8" x14ac:dyDescent="0.25">
      <c r="A219" s="577"/>
      <c r="F219" s="585" t="str">
        <f>List!$B$100</f>
        <v>Zpět na úvod</v>
      </c>
      <c r="G219" s="585"/>
      <c r="H219" s="585"/>
    </row>
    <row r="220" spans="1:8" x14ac:dyDescent="0.25">
      <c r="A220" s="577"/>
    </row>
    <row r="221" spans="1:8" x14ac:dyDescent="0.25">
      <c r="A221" s="577"/>
    </row>
    <row r="222" spans="1:8" x14ac:dyDescent="0.25">
      <c r="A222" s="577"/>
    </row>
    <row r="223" spans="1:8" x14ac:dyDescent="0.25">
      <c r="A223" s="577"/>
    </row>
    <row r="224" spans="1:8" x14ac:dyDescent="0.25">
      <c r="A224" s="577"/>
    </row>
    <row r="225" spans="1:1" x14ac:dyDescent="0.25">
      <c r="A225" s="577"/>
    </row>
    <row r="226" spans="1:1" x14ac:dyDescent="0.25">
      <c r="A226" s="577"/>
    </row>
    <row r="227" spans="1:1" x14ac:dyDescent="0.25">
      <c r="A227" s="577"/>
    </row>
    <row r="228" spans="1:1" x14ac:dyDescent="0.25">
      <c r="A228" s="577"/>
    </row>
    <row r="229" spans="1:1" x14ac:dyDescent="0.25">
      <c r="A229" s="577"/>
    </row>
    <row r="230" spans="1:1" x14ac:dyDescent="0.25">
      <c r="A230" s="577"/>
    </row>
    <row r="231" spans="1:1" x14ac:dyDescent="0.25">
      <c r="A231" s="577"/>
    </row>
    <row r="232" spans="1:1" x14ac:dyDescent="0.25">
      <c r="A232" s="577"/>
    </row>
    <row r="233" spans="1:1" x14ac:dyDescent="0.25">
      <c r="A233" s="577"/>
    </row>
    <row r="234" spans="1:1" x14ac:dyDescent="0.25">
      <c r="A234" s="577"/>
    </row>
    <row r="235" spans="1:1" x14ac:dyDescent="0.25">
      <c r="A235" s="577"/>
    </row>
    <row r="236" spans="1:1" x14ac:dyDescent="0.25">
      <c r="A236" s="577"/>
    </row>
    <row r="237" spans="1:1" x14ac:dyDescent="0.25">
      <c r="A237" s="577"/>
    </row>
    <row r="238" spans="1:1" x14ac:dyDescent="0.25">
      <c r="A238" s="577"/>
    </row>
    <row r="239" spans="1:1" x14ac:dyDescent="0.25">
      <c r="A239" s="577"/>
    </row>
    <row r="240" spans="1:1" x14ac:dyDescent="0.25">
      <c r="A240" s="577"/>
    </row>
  </sheetData>
  <sheetProtection algorithmName="SHA-512" hashValue="vOcWUFTDASsB8DdBEapuvf4ftk0JLFmnMn8Lh6ZZei5jg6RtvujkDeZPTySaDnkPSKgY8I6L3AOGs+VK27xe2w==" saltValue="UMRmlnoXvd/6KwPodlVJcQ==" spinCount="100000" sheet="1" objects="1" scenarios="1"/>
  <mergeCells count="2">
    <mergeCell ref="A199:A240"/>
    <mergeCell ref="F219:H219"/>
  </mergeCells>
  <phoneticPr fontId="53" type="noConversion"/>
  <hyperlinks>
    <hyperlink ref="F16" location="AD310G!A1" tooltip=" " display="AD 310G"/>
    <hyperlink ref="T3" location="Form!A1" tooltip=" " display="Form!A1"/>
    <hyperlink ref="T8" location="OL!A1" tooltip=" " display="ORGA-LINE"/>
    <hyperlink ref="T6" location="Acs!A1" tooltip=" " display="Acs!A1"/>
    <hyperlink ref="L16" location="AD310M!A1" tooltip=" " display="AD 310M"/>
    <hyperlink ref="R16" location="AD310R!A1" tooltip=" " display="AD 310R"/>
    <hyperlink ref="F23" location="AD31VG!A1" tooltip=" " display="AD 31VG"/>
    <hyperlink ref="L23" location="AD31VM!A1" tooltip=" " display="AD 31VM"/>
    <hyperlink ref="R23" location="AD31VR!A1" tooltip=" " display="AD 31VR"/>
    <hyperlink ref="L3" location="'AM300'!A1" tooltip=" " display="AM 300"/>
    <hyperlink ref="L9" location="AM30V!A1" tooltip=" " display="AM 30V"/>
    <hyperlink ref="F3" location="'AN300'!A1" tooltip=" " display="AN 300"/>
    <hyperlink ref="R3" location="'AK300'!A1" tooltip=" " display="AK 300"/>
    <hyperlink ref="R9" location="AK30V!A1" tooltip=" " display="AK 30V"/>
    <hyperlink ref="L30" location="AC310M!A1" tooltip=" " display="AC 310M"/>
    <hyperlink ref="R30" location="AC310R!A1" tooltip=" " display="AC 310R"/>
    <hyperlink ref="L36" location="AC31VM!A1" tooltip=" " display="AC 31VM"/>
    <hyperlink ref="R36" location="AC31VR!A1" tooltip=" " display="AC 31VR"/>
    <hyperlink ref="F51" location="AD535SG!A1" tooltip=" " display="AD 535SG"/>
    <hyperlink ref="L51" location="AD535SM!A1" tooltip=" " display="AD 535SM"/>
    <hyperlink ref="R51" location="AD535SR!A1" tooltip=" " display="AC 535SR"/>
    <hyperlink ref="F44" location="AM530S!A1" tooltip=" " display="AM 350S"/>
    <hyperlink ref="F64" location="AD535G!A1" tooltip=" " display="AD 535G"/>
    <hyperlink ref="L64" location="AD535M!A1" tooltip=" " display="AD 535M"/>
    <hyperlink ref="R64" location="AD535R!A1" tooltip=" " display="AC 535R"/>
    <hyperlink ref="F57" location="'AM530'!A1" tooltip=" " display="AM 530"/>
    <hyperlink ref="F78" location="AD342G!A1" tooltip=" " display="AD 342G"/>
    <hyperlink ref="L78" location="AD342M!A1" tooltip=" " display="AD 342M"/>
    <hyperlink ref="R78" location="AD342R!A1" tooltip=" " display="AC 342R"/>
    <hyperlink ref="F71" location="'AM340'!A1" tooltip=" " display="AM 340"/>
    <hyperlink ref="F91" location="ADD32G!A1" tooltip=" " display="AD D32G"/>
    <hyperlink ref="L91" location="ADD32M!A1" tooltip=" " display="AD D32M"/>
    <hyperlink ref="R91" location="ADD32R!A1" tooltip=" " display="AD D32R"/>
    <hyperlink ref="F85" location="ADM30G!A1" tooltip=" " display="AD M30G"/>
    <hyperlink ref="L85" location="ADM30M!A1" tooltip=" " display="AD M30M"/>
    <hyperlink ref="R85" location="ADM30R!A1" tooltip=" " display="AD M30R"/>
    <hyperlink ref="F107" location="ADD45G!A1" tooltip=" " display="AD D45G"/>
    <hyperlink ref="L107" location="ADD45M!A1" tooltip=" " display="AD D32M"/>
    <hyperlink ref="R107" location="ADD45R!A1" tooltip=" " display="AD D32R"/>
    <hyperlink ref="F98" location="ADM45G!A1" tooltip=" " display="AD M45G"/>
    <hyperlink ref="L98" location="ADM45M!A1" tooltip=" " display="AD M30M"/>
    <hyperlink ref="R98" location="ADM45R!A1" tooltip=" " display="AD M30R"/>
    <hyperlink ref="T12" location="Menu!A200" tooltip=" " display="Menu!A200"/>
    <hyperlink ref="F219" location="HFww!A1" tooltip=" " display="HFww!A1"/>
    <hyperlink ref="F219:H219" location="Menu!A1" tooltip=" " display="Menu!A1"/>
    <hyperlink ref="T9" location="Sum!A1" tooltip=" " display="Sum!A1"/>
    <hyperlink ref="T7" location="SD!A1" tooltip=" " display="SD!A1"/>
    <hyperlink ref="F30" location="AC310G!A1" tooltip=" " display="AC 310G"/>
    <hyperlink ref="F36" location="AC31VG!A1" tooltip=" " display="AC 310VG"/>
  </hyperlinks>
  <pageMargins left="0.39370078740157483" right="0.39370078740157483" top="0.47244094488188981" bottom="0.59055118110236227" header="0.31496062992125984" footer="0.31496062992125984"/>
  <pageSetup paperSize="9" scale="98" orientation="landscape" verticalDpi="200" r:id="rId1"/>
  <rowBreaks count="2" manualBreakCount="2">
    <brk id="33" min="1" max="17" man="1"/>
    <brk id="60" min="1" max="17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1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List!$B$46&amp;" SPACE CORNER "&amp;List!$B$67&amp;" - M"</f>
        <v>Zásuvka SPACE CORNER se SYNCROMOTION - M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25" customHeight="1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/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25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430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">
        <v>431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/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/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/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$L$20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183"/>
      <c r="J14" s="303"/>
      <c r="K14" s="314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1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/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/>
      <c r="E18" s="286"/>
      <c r="F18" s="286"/>
      <c r="G18" s="286"/>
      <c r="H18" s="286"/>
      <c r="I18" s="286"/>
      <c r="J18" s="286"/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/>
      <c r="C19" s="291" t="s">
        <v>447</v>
      </c>
      <c r="D19" s="301"/>
      <c r="E19" s="301"/>
      <c r="F19" s="301"/>
      <c r="G19" s="301"/>
      <c r="H19" s="301"/>
      <c r="I19" s="301"/>
      <c r="J19" s="301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/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889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/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P26" s="123"/>
      <c r="Q26" s="123"/>
      <c r="R26" s="123"/>
      <c r="S26" s="385"/>
      <c r="T26" s="386"/>
      <c r="U26" s="387"/>
    </row>
    <row r="27" spans="1:21" x14ac:dyDescent="0.25">
      <c r="P27" s="123" t="str">
        <f>Cen!A349</f>
        <v>Držáky zadní stěny M SPACE-CORNER, šedé</v>
      </c>
      <c r="Q27" s="123" t="str">
        <f>Cen!B349</f>
        <v>Z30M000S.45</v>
      </c>
      <c r="R27" s="123" t="str">
        <f>Cen!C349</f>
        <v>R906</v>
      </c>
      <c r="S27" s="385">
        <f>SUM($S$3:$S$11)</f>
        <v>0</v>
      </c>
      <c r="T27" s="402">
        <f>Cen!F349</f>
        <v>2.7293500000000002</v>
      </c>
      <c r="U27" s="387">
        <f>S27*T27</f>
        <v>0</v>
      </c>
    </row>
    <row r="28" spans="1:21" x14ac:dyDescent="0.25">
      <c r="P28" s="123" t="str">
        <f>Cen!A353</f>
        <v>Držáky zadní stěny D SPACE-CORNER, šedé</v>
      </c>
      <c r="Q28" s="123" t="str">
        <f>Cen!B353</f>
        <v>Z30D000SL45</v>
      </c>
      <c r="R28" s="123" t="str">
        <f>Cen!C353</f>
        <v>R906</v>
      </c>
      <c r="S28" s="385"/>
      <c r="T28" s="402">
        <f>Cen!F353</f>
        <v>3.9593700000000003</v>
      </c>
      <c r="U28" s="387">
        <f>S28*T28</f>
        <v>0</v>
      </c>
    </row>
    <row r="29" spans="1:21" x14ac:dyDescent="0.25">
      <c r="P29" s="123"/>
      <c r="Q29" s="123"/>
      <c r="R29" s="123"/>
      <c r="S29" s="385"/>
      <c r="T29" s="386"/>
      <c r="U29" s="387"/>
    </row>
    <row r="30" spans="1:21" x14ac:dyDescent="0.25">
      <c r="P30" s="402" t="str">
        <f>Cen!A343</f>
        <v>Sada kování SYNCROMOTION, M, šedá</v>
      </c>
      <c r="Q30" s="402" t="str">
        <f>Cen!B343</f>
        <v>Z33M00E0A6</v>
      </c>
      <c r="R30" s="402" t="str">
        <f>Cen!C343</f>
        <v>R737</v>
      </c>
      <c r="S30" s="385">
        <f>SUM($S$3:$S$11)</f>
        <v>0</v>
      </c>
      <c r="T30" s="402">
        <f>Cen!F343</f>
        <v>40.633789999999998</v>
      </c>
      <c r="U30" s="387">
        <f>S30*T30</f>
        <v>0</v>
      </c>
    </row>
    <row r="31" spans="1:21" x14ac:dyDescent="0.25">
      <c r="P31" s="402" t="str">
        <f>Cen!A346</f>
        <v>Sada kování SYNCROMOTION, D, šedá</v>
      </c>
      <c r="Q31" s="402" t="str">
        <f>Cen!B346</f>
        <v>Z33D00E0A6</v>
      </c>
      <c r="R31" s="402" t="str">
        <f>Cen!C346</f>
        <v>R737</v>
      </c>
      <c r="S31" s="385"/>
      <c r="T31" s="402">
        <f>Cen!F346</f>
        <v>55.538930000000001</v>
      </c>
      <c r="U31" s="387">
        <f>S31*T31</f>
        <v>0</v>
      </c>
    </row>
    <row r="34" spans="16:21" x14ac:dyDescent="0.25">
      <c r="P34" s="123"/>
      <c r="Q34" s="123"/>
      <c r="R34" s="123"/>
      <c r="S34" s="385"/>
      <c r="T34" s="402"/>
      <c r="U34" s="387"/>
    </row>
    <row r="35" spans="16:21" x14ac:dyDescent="0.25">
      <c r="P35" s="123"/>
      <c r="Q35" s="123"/>
      <c r="R35" s="123"/>
      <c r="S35" s="385"/>
      <c r="T35" s="402"/>
      <c r="U35" s="387"/>
    </row>
    <row r="36" spans="16:21" x14ac:dyDescent="0.25">
      <c r="P36" s="123"/>
      <c r="Q36" s="123"/>
      <c r="R36" s="123"/>
      <c r="S36" s="385"/>
      <c r="T36" s="402"/>
      <c r="U36" s="387"/>
    </row>
    <row r="37" spans="16:21" x14ac:dyDescent="0.25">
      <c r="P37" s="123"/>
      <c r="Q37" s="123"/>
      <c r="R37" s="123"/>
      <c r="S37" s="385"/>
      <c r="T37" s="402"/>
      <c r="U37" s="387"/>
    </row>
    <row r="38" spans="16:21" x14ac:dyDescent="0.25">
      <c r="P38" s="123"/>
      <c r="Q38" s="123"/>
      <c r="R38" s="123"/>
      <c r="S38" s="385"/>
      <c r="T38" s="402"/>
      <c r="U38" s="387"/>
    </row>
    <row r="39" spans="16:21" x14ac:dyDescent="0.25">
      <c r="P39" s="123"/>
      <c r="Q39" s="123"/>
      <c r="R39" s="123"/>
      <c r="S39" s="385"/>
      <c r="T39" s="402"/>
      <c r="U39" s="387"/>
    </row>
    <row r="40" spans="16:21" x14ac:dyDescent="0.25">
      <c r="P40" s="123"/>
      <c r="Q40" s="123"/>
      <c r="R40" s="123"/>
      <c r="S40" s="385"/>
      <c r="T40" s="402"/>
      <c r="U40" s="387"/>
    </row>
    <row r="41" spans="16:21" x14ac:dyDescent="0.25">
      <c r="P41" s="123"/>
      <c r="Q41" s="123"/>
      <c r="R41" s="123"/>
      <c r="S41" s="385"/>
      <c r="T41" s="402"/>
      <c r="U41" s="387"/>
    </row>
    <row r="42" spans="16:21" x14ac:dyDescent="0.25">
      <c r="P42" s="123"/>
      <c r="Q42" s="123"/>
      <c r="R42" s="123"/>
      <c r="S42" s="385"/>
      <c r="T42" s="402"/>
      <c r="U42" s="387"/>
    </row>
    <row r="43" spans="16:21" x14ac:dyDescent="0.25">
      <c r="P43" s="123"/>
      <c r="Q43" s="123"/>
      <c r="R43" s="123"/>
      <c r="S43" s="385"/>
      <c r="T43" s="402"/>
      <c r="U43" s="387"/>
    </row>
    <row r="44" spans="16:21" x14ac:dyDescent="0.25">
      <c r="P44" s="123"/>
      <c r="Q44" s="123"/>
      <c r="R44" s="123"/>
      <c r="S44" s="385"/>
      <c r="T44" s="402"/>
      <c r="U44" s="387"/>
    </row>
    <row r="45" spans="16:21" x14ac:dyDescent="0.25">
      <c r="P45" s="123"/>
      <c r="Q45" s="123"/>
      <c r="R45" s="123"/>
      <c r="S45" s="385"/>
      <c r="T45" s="402"/>
      <c r="U45" s="387"/>
    </row>
    <row r="46" spans="16:21" x14ac:dyDescent="0.25">
      <c r="P46" s="123"/>
      <c r="Q46" s="123"/>
      <c r="R46" s="123"/>
      <c r="S46" s="385"/>
      <c r="T46" s="402"/>
      <c r="U46" s="387"/>
    </row>
    <row r="47" spans="16:21" x14ac:dyDescent="0.25">
      <c r="P47" s="123"/>
      <c r="Q47" s="123"/>
      <c r="R47" s="123"/>
      <c r="S47" s="385"/>
      <c r="T47" s="402"/>
      <c r="U47" s="387"/>
    </row>
    <row r="48" spans="16:21" x14ac:dyDescent="0.25">
      <c r="P48" s="123"/>
      <c r="Q48" s="123"/>
      <c r="R48" s="123"/>
      <c r="S48" s="385"/>
      <c r="T48" s="402"/>
      <c r="U48" s="387"/>
    </row>
    <row r="49" spans="16:21" x14ac:dyDescent="0.25">
      <c r="P49" s="123"/>
      <c r="Q49" s="123"/>
      <c r="R49" s="123"/>
      <c r="S49" s="385"/>
      <c r="T49" s="402"/>
      <c r="U49" s="387"/>
    </row>
    <row r="50" spans="16:21" x14ac:dyDescent="0.25">
      <c r="P50" s="123"/>
      <c r="Q50" s="123"/>
      <c r="R50" s="123"/>
      <c r="S50" s="385"/>
      <c r="T50" s="402"/>
      <c r="U50" s="387"/>
    </row>
    <row r="51" spans="16:21" x14ac:dyDescent="0.25">
      <c r="P51" s="123"/>
      <c r="Q51" s="123"/>
      <c r="R51" s="123"/>
      <c r="S51" s="385"/>
      <c r="T51" s="402"/>
      <c r="U51" s="387"/>
    </row>
    <row r="52" spans="16:21" x14ac:dyDescent="0.25">
      <c r="P52" s="123"/>
      <c r="Q52" s="123"/>
      <c r="R52" s="123"/>
      <c r="S52" s="385"/>
      <c r="T52" s="402"/>
      <c r="U52" s="387"/>
    </row>
    <row r="53" spans="16:21" x14ac:dyDescent="0.25">
      <c r="P53" s="123"/>
      <c r="Q53" s="123"/>
      <c r="R53" s="123"/>
      <c r="S53" s="385"/>
      <c r="T53" s="402"/>
      <c r="U53" s="387"/>
    </row>
    <row r="54" spans="16:21" x14ac:dyDescent="0.25">
      <c r="P54" s="123"/>
      <c r="Q54" s="123"/>
      <c r="R54" s="123"/>
      <c r="S54" s="385"/>
      <c r="T54" s="402"/>
      <c r="U54" s="387"/>
    </row>
    <row r="60" spans="16:21" x14ac:dyDescent="0.25">
      <c r="U60" s="152">
        <f>SUM(U3:U58)</f>
        <v>0</v>
      </c>
    </row>
  </sheetData>
  <sheetProtection algorithmName="SHA-512" hashValue="5yipDvDDRhAsk/yjwNV2Z9gImo6m7ppdhVL0xQGW0KY4tVfkk0yNNijzs60hDzLU/8s8JSxQMmfw0dYcUQO9Fw==" saltValue="7OpUseU4D1ASk9xox6Xa3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U83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1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SPACE CORNER "&amp;List!$B$67&amp;" - D"</f>
        <v>Čelní výsuv SPACE CORNER se SYNCROMOTION - D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25" customHeight="1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List!$B$62</f>
        <v>zásuvný prvek sklo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25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430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tr">
        <f>List!$B$32&amp;":"</f>
        <v>sklo:</v>
      </c>
      <c r="J6" s="117"/>
      <c r="K6" s="116" t="str">
        <f>Form!$O$8</f>
        <v>čiré</v>
      </c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">
        <v>431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/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/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/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$L$20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183"/>
      <c r="J14" s="303"/>
      <c r="K14" s="18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/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/>
      <c r="E18" s="286"/>
      <c r="F18" s="286"/>
      <c r="G18" s="286"/>
      <c r="H18" s="286"/>
      <c r="I18" s="286"/>
      <c r="J18" s="286"/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/>
      <c r="C19" s="291" t="s">
        <v>447</v>
      </c>
      <c r="D19" s="301"/>
      <c r="E19" s="301"/>
      <c r="F19" s="301"/>
      <c r="G19" s="301"/>
      <c r="H19" s="301"/>
      <c r="I19" s="301"/>
      <c r="J19" s="301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/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939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/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3"/>
      <c r="Q26" s="123"/>
      <c r="R26" s="123"/>
      <c r="S26" s="385"/>
      <c r="T26" s="386"/>
      <c r="U26" s="387"/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Cen!A349</f>
        <v>Držáky zadní stěny M SPACE-CORNER, šedé</v>
      </c>
      <c r="Q27" s="123" t="str">
        <f>Cen!B349</f>
        <v>Z30M000S.45</v>
      </c>
      <c r="R27" s="123" t="str">
        <f>Cen!C349</f>
        <v>R906</v>
      </c>
      <c r="S27" s="385"/>
      <c r="T27" s="402">
        <f>Cen!F349</f>
        <v>2.7293500000000002</v>
      </c>
      <c r="U27" s="387">
        <f>S27*T27</f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Cen!A353</f>
        <v>Držáky zadní stěny D SPACE-CORNER, šedé</v>
      </c>
      <c r="Q28" s="123" t="str">
        <f>Cen!B353</f>
        <v>Z30D000SL45</v>
      </c>
      <c r="R28" s="123" t="str">
        <f>Cen!C353</f>
        <v>R906</v>
      </c>
      <c r="S28" s="385">
        <f>SUM($S$3:$S$11)</f>
        <v>0</v>
      </c>
      <c r="T28" s="402">
        <f>Cen!F353</f>
        <v>3.9593700000000003</v>
      </c>
      <c r="U28" s="387">
        <f>S28*T28</f>
        <v>0</v>
      </c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/>
      <c r="Q29" s="123"/>
      <c r="R29" s="123"/>
      <c r="S29" s="385"/>
      <c r="T29" s="386"/>
      <c r="U29" s="387"/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402" t="str">
        <f>Cen!A343</f>
        <v>Sada kování SYNCROMOTION, M, šedá</v>
      </c>
      <c r="Q30" s="402" t="str">
        <f>Cen!B343</f>
        <v>Z33M00E0A6</v>
      </c>
      <c r="R30" s="402" t="str">
        <f>Cen!C343</f>
        <v>R737</v>
      </c>
      <c r="S30" s="385"/>
      <c r="T30" s="402">
        <f>Cen!F343</f>
        <v>40.633789999999998</v>
      </c>
      <c r="U30" s="387">
        <f>S30*T30</f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402" t="str">
        <f>Cen!A346</f>
        <v>Sada kování SYNCROMOTION, D, šedá</v>
      </c>
      <c r="Q31" s="402" t="str">
        <f>Cen!B346</f>
        <v>Z33D00E0A6</v>
      </c>
      <c r="R31" s="402" t="str">
        <f>Cen!C346</f>
        <v>R737</v>
      </c>
      <c r="S31" s="385">
        <f>SUM($S$3:$S$11)</f>
        <v>0</v>
      </c>
      <c r="T31" s="402">
        <f>Cen!F346</f>
        <v>55.538930000000001</v>
      </c>
      <c r="U31" s="387">
        <f>S31*T31</f>
        <v>0</v>
      </c>
    </row>
    <row r="32" spans="1:2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x14ac:dyDescent="0.25">
      <c r="A33" s="114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14"/>
      <c r="N33" s="114"/>
      <c r="O33" s="114"/>
    </row>
    <row r="34" spans="1:21" x14ac:dyDescent="0.25">
      <c r="A34" s="114"/>
      <c r="B34" s="141"/>
      <c r="C34" s="141"/>
      <c r="D34" s="141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/>
      <c r="Q34" s="123"/>
      <c r="R34" s="123"/>
      <c r="S34" s="385"/>
      <c r="T34" s="402"/>
      <c r="U34" s="387"/>
    </row>
    <row r="35" spans="1:21" x14ac:dyDescent="0.25">
      <c r="A35" s="114"/>
      <c r="B35" s="141"/>
      <c r="C35" s="141"/>
      <c r="D35" s="141"/>
      <c r="E35" s="141"/>
      <c r="F35" s="141"/>
      <c r="G35" s="141"/>
      <c r="H35" s="141"/>
      <c r="I35" s="141"/>
      <c r="J35" s="147"/>
      <c r="K35" s="152"/>
      <c r="L35" s="152"/>
      <c r="M35" s="114"/>
      <c r="N35" s="114"/>
      <c r="O35" s="114"/>
      <c r="P35" s="123"/>
      <c r="Q35" s="123"/>
      <c r="R35" s="123"/>
      <c r="S35" s="385"/>
      <c r="T35" s="402"/>
      <c r="U35" s="387"/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7"/>
      <c r="K36" s="152"/>
      <c r="L36" s="152"/>
      <c r="M36" s="114"/>
      <c r="N36" s="114"/>
      <c r="O36" s="114"/>
      <c r="P36" s="123"/>
      <c r="Q36" s="123"/>
      <c r="R36" s="123"/>
      <c r="S36" s="385"/>
      <c r="T36" s="402"/>
      <c r="U36" s="387"/>
    </row>
    <row r="37" spans="1:21" x14ac:dyDescent="0.25">
      <c r="A37" s="114"/>
      <c r="B37" s="141"/>
      <c r="C37" s="141"/>
      <c r="D37" s="141"/>
      <c r="E37" s="141"/>
      <c r="F37" s="141"/>
      <c r="G37" s="141"/>
      <c r="H37" s="141"/>
      <c r="I37" s="141"/>
      <c r="J37" s="147"/>
      <c r="K37" s="152"/>
      <c r="L37" s="152"/>
      <c r="M37" s="114"/>
      <c r="N37" s="114"/>
      <c r="O37" s="114"/>
      <c r="P37" s="123"/>
      <c r="Q37" s="123"/>
      <c r="R37" s="123"/>
      <c r="S37" s="385"/>
      <c r="T37" s="402"/>
      <c r="U37" s="387"/>
    </row>
    <row r="38" spans="1:21" x14ac:dyDescent="0.25">
      <c r="A38" s="114"/>
      <c r="B38" s="141"/>
      <c r="C38" s="141"/>
      <c r="D38" s="141"/>
      <c r="E38" s="141"/>
      <c r="F38" s="141"/>
      <c r="G38" s="141"/>
      <c r="H38" s="141"/>
      <c r="I38" s="141"/>
      <c r="J38" s="147"/>
      <c r="K38" s="152"/>
      <c r="L38" s="152"/>
      <c r="M38" s="114"/>
      <c r="N38" s="114"/>
      <c r="O38" s="114"/>
      <c r="P38" s="123"/>
      <c r="Q38" s="123"/>
      <c r="R38" s="123"/>
      <c r="S38" s="385"/>
      <c r="T38" s="402"/>
      <c r="U38" s="387"/>
    </row>
    <row r="39" spans="1:21" x14ac:dyDescent="0.25">
      <c r="A39" s="114"/>
      <c r="B39" s="141"/>
      <c r="C39" s="141"/>
      <c r="D39" s="141"/>
      <c r="E39" s="141"/>
      <c r="F39" s="141"/>
      <c r="G39" s="141"/>
      <c r="H39" s="141"/>
      <c r="I39" s="141"/>
      <c r="J39" s="147"/>
      <c r="K39" s="152"/>
      <c r="L39" s="152"/>
      <c r="M39" s="114"/>
      <c r="N39" s="114"/>
      <c r="O39" s="114"/>
      <c r="P39" s="123"/>
      <c r="Q39" s="123"/>
      <c r="R39" s="123"/>
      <c r="S39" s="385"/>
      <c r="T39" s="402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152"/>
      <c r="L40" s="152"/>
      <c r="M40" s="114"/>
      <c r="N40" s="114"/>
      <c r="O40" s="114"/>
      <c r="P40" s="123"/>
      <c r="Q40" s="123"/>
      <c r="R40" s="123"/>
      <c r="S40" s="385"/>
      <c r="T40" s="402"/>
      <c r="U40" s="387"/>
    </row>
    <row r="41" spans="1:2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23" t="str">
        <f>Cen!A243</f>
        <v>Podélný reling vlevo/vpravo, 600mm, šedý</v>
      </c>
      <c r="Q41" s="123" t="str">
        <f>Cen!B243</f>
        <v>ZRG.537RSIC</v>
      </c>
      <c r="R41" s="123" t="str">
        <f>Cen!C243</f>
        <v>R906</v>
      </c>
      <c r="S41" s="385">
        <f>S10</f>
        <v>0</v>
      </c>
      <c r="T41" s="402">
        <f>Cen!F243</f>
        <v>6.9229999999999992</v>
      </c>
      <c r="U41" s="387">
        <f>S41*T41</f>
        <v>0</v>
      </c>
    </row>
    <row r="42" spans="1:2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23" t="str">
        <f>Cen!A247</f>
        <v>Podélný reling vlevo/vpravo, 650mm, šedý</v>
      </c>
      <c r="Q42" s="123" t="str">
        <f>Cen!B247</f>
        <v>ZRG.587RSIC</v>
      </c>
      <c r="R42" s="123" t="str">
        <f>Cen!C247</f>
        <v>R906</v>
      </c>
      <c r="S42" s="385">
        <f>S11</f>
        <v>0</v>
      </c>
      <c r="T42" s="402">
        <f>Cen!F247</f>
        <v>7.9644300000000001</v>
      </c>
      <c r="U42" s="387">
        <f>S42*T42</f>
        <v>0</v>
      </c>
    </row>
    <row r="43" spans="1:2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/>
      <c r="Q43" s="123"/>
      <c r="R43" s="123"/>
      <c r="S43" s="385"/>
      <c r="T43" s="402"/>
      <c r="U43" s="387"/>
    </row>
    <row r="44" spans="1:2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Cen!A328</f>
        <v>Sada držáků zásuvného prvku D, bílošedá</v>
      </c>
      <c r="Q44" s="123" t="str">
        <f>Cen!B328</f>
        <v>Z36D0080</v>
      </c>
      <c r="R44" s="123" t="str">
        <f>Cen!C328</f>
        <v>WGR</v>
      </c>
      <c r="S44" s="385">
        <f>SUM($S$3:$S$11)</f>
        <v>0</v>
      </c>
      <c r="T44" s="402">
        <f>Cen!F328</f>
        <v>2.4851200000000002</v>
      </c>
      <c r="U44" s="387">
        <f>S44*T44</f>
        <v>0</v>
      </c>
    </row>
    <row r="45" spans="1:21" x14ac:dyDescent="0.25">
      <c r="P45" s="123"/>
      <c r="Q45" s="123"/>
      <c r="R45" s="123"/>
      <c r="S45" s="385"/>
      <c r="T45" s="402"/>
      <c r="U45" s="387"/>
    </row>
    <row r="46" spans="1:21" x14ac:dyDescent="0.25">
      <c r="P46" s="123"/>
      <c r="Q46" s="123"/>
      <c r="R46" s="123"/>
      <c r="S46" s="385"/>
      <c r="T46" s="402"/>
      <c r="U46" s="387"/>
    </row>
    <row r="47" spans="1:21" x14ac:dyDescent="0.25">
      <c r="P47" s="123"/>
      <c r="Q47" s="123"/>
      <c r="R47" s="123"/>
      <c r="S47" s="385"/>
      <c r="T47" s="402"/>
      <c r="U47" s="387"/>
    </row>
    <row r="48" spans="1:21" x14ac:dyDescent="0.25">
      <c r="P48" s="123"/>
      <c r="Q48" s="123"/>
      <c r="R48" s="123"/>
      <c r="S48" s="385"/>
      <c r="T48" s="402"/>
      <c r="U48" s="387"/>
    </row>
    <row r="49" spans="16:21" x14ac:dyDescent="0.25">
      <c r="P49" s="123"/>
      <c r="Q49" s="123"/>
      <c r="R49" s="123"/>
      <c r="S49" s="385"/>
      <c r="T49" s="402"/>
      <c r="U49" s="387"/>
    </row>
    <row r="50" spans="16:21" x14ac:dyDescent="0.25">
      <c r="P50" s="123"/>
      <c r="Q50" s="123"/>
      <c r="R50" s="123"/>
      <c r="S50" s="385"/>
      <c r="T50" s="402"/>
      <c r="U50" s="387"/>
    </row>
    <row r="51" spans="16:21" x14ac:dyDescent="0.25">
      <c r="P51" s="123"/>
      <c r="Q51" s="123"/>
      <c r="R51" s="123"/>
      <c r="S51" s="385"/>
      <c r="T51" s="402"/>
      <c r="U51" s="387"/>
    </row>
    <row r="52" spans="16:21" x14ac:dyDescent="0.25">
      <c r="P52" s="123"/>
      <c r="Q52" s="123"/>
      <c r="R52" s="123"/>
      <c r="S52" s="385"/>
      <c r="T52" s="402"/>
      <c r="U52" s="387"/>
    </row>
    <row r="53" spans="16:21" x14ac:dyDescent="0.25">
      <c r="P53" s="123" t="str">
        <f>Cen!A268</f>
        <v>Zásuvný prvek D, 600mm, čiré sko</v>
      </c>
      <c r="Q53" s="123" t="str">
        <f>Cen!B268</f>
        <v>Z37R567D</v>
      </c>
      <c r="R53" s="123" t="str">
        <f>Cen!C268</f>
        <v>KL</v>
      </c>
      <c r="S53" s="385">
        <f>S10</f>
        <v>0</v>
      </c>
      <c r="T53" s="402">
        <f>Cen!F268</f>
        <v>14.08703</v>
      </c>
      <c r="U53" s="387">
        <f>S53*T53</f>
        <v>0</v>
      </c>
    </row>
    <row r="54" spans="16:21" x14ac:dyDescent="0.25">
      <c r="P54" s="123" t="str">
        <f>Cen!A270</f>
        <v>Zásuvný prvek D, 650mm, čiré sko</v>
      </c>
      <c r="Q54" s="123" t="str">
        <f>Cen!B270</f>
        <v>Z37R617D</v>
      </c>
      <c r="R54" s="123" t="str">
        <f>Cen!C270</f>
        <v>KL</v>
      </c>
      <c r="S54" s="385">
        <f>S11</f>
        <v>0</v>
      </c>
      <c r="T54" s="402">
        <f>Cen!F270</f>
        <v>13.988720000000001</v>
      </c>
      <c r="U54" s="387">
        <f>S54*T54</f>
        <v>0</v>
      </c>
    </row>
    <row r="55" spans="16:21" x14ac:dyDescent="0.25">
      <c r="P55" s="141"/>
      <c r="Q55" s="141"/>
      <c r="R55" s="141"/>
      <c r="S55" s="147"/>
      <c r="T55" s="358"/>
      <c r="U55" s="152"/>
    </row>
    <row r="56" spans="16:21" x14ac:dyDescent="0.25">
      <c r="P56" s="141"/>
      <c r="Q56" s="141"/>
      <c r="R56" s="141"/>
      <c r="S56" s="147"/>
      <c r="T56" s="358"/>
      <c r="U56" s="152"/>
    </row>
    <row r="57" spans="16:21" x14ac:dyDescent="0.25">
      <c r="P57" s="141"/>
      <c r="Q57" s="141"/>
      <c r="R57" s="141"/>
      <c r="S57" s="147"/>
      <c r="T57" s="358"/>
      <c r="U57" s="152"/>
    </row>
    <row r="58" spans="16:21" x14ac:dyDescent="0.25">
      <c r="P58" s="141"/>
      <c r="Q58" s="141"/>
      <c r="R58" s="141"/>
      <c r="S58" s="147"/>
      <c r="T58" s="358"/>
      <c r="U58" s="152"/>
    </row>
    <row r="59" spans="16:21" x14ac:dyDescent="0.25">
      <c r="P59" s="141"/>
      <c r="Q59" s="141"/>
      <c r="R59" s="141"/>
      <c r="S59" s="147"/>
      <c r="T59" s="358"/>
      <c r="U59" s="152"/>
    </row>
    <row r="60" spans="16:21" x14ac:dyDescent="0.25">
      <c r="P60" s="141"/>
      <c r="Q60" s="141"/>
      <c r="R60" s="141"/>
      <c r="S60" s="147"/>
      <c r="T60" s="358"/>
      <c r="U60" s="152">
        <f>SUM(U3:U58)</f>
        <v>0</v>
      </c>
    </row>
    <row r="61" spans="16:21" x14ac:dyDescent="0.25">
      <c r="P61" s="39"/>
      <c r="Q61" s="39"/>
      <c r="R61" s="39"/>
      <c r="S61" s="39"/>
      <c r="T61" s="39"/>
      <c r="U61" s="39"/>
    </row>
    <row r="62" spans="16:21" x14ac:dyDescent="0.25">
      <c r="P62" s="39"/>
      <c r="Q62" s="39"/>
      <c r="R62" s="39"/>
      <c r="S62" s="39"/>
      <c r="T62" s="39"/>
      <c r="U62" s="39"/>
    </row>
    <row r="63" spans="16:21" x14ac:dyDescent="0.25">
      <c r="P63" s="141"/>
      <c r="Q63" s="141"/>
      <c r="R63" s="141"/>
      <c r="S63" s="147"/>
      <c r="T63" s="398"/>
      <c r="U63" s="152"/>
    </row>
    <row r="64" spans="16:21" x14ac:dyDescent="0.25">
      <c r="P64" s="141"/>
      <c r="Q64" s="141"/>
      <c r="R64" s="141"/>
      <c r="S64" s="147"/>
      <c r="T64" s="398"/>
      <c r="U64" s="152"/>
    </row>
    <row r="65" spans="16:21" x14ac:dyDescent="0.25">
      <c r="P65" s="141"/>
      <c r="Q65" s="141"/>
      <c r="R65" s="141"/>
      <c r="S65" s="147"/>
      <c r="T65" s="398"/>
      <c r="U65" s="152"/>
    </row>
    <row r="66" spans="16:21" x14ac:dyDescent="0.25">
      <c r="P66" s="141"/>
      <c r="Q66" s="141"/>
      <c r="R66" s="141"/>
      <c r="S66" s="147"/>
      <c r="T66" s="398"/>
      <c r="U66" s="152"/>
    </row>
    <row r="67" spans="16:21" x14ac:dyDescent="0.25">
      <c r="P67" s="141"/>
      <c r="Q67" s="141"/>
      <c r="R67" s="141"/>
      <c r="S67" s="147"/>
      <c r="T67" s="398"/>
      <c r="U67" s="152"/>
    </row>
    <row r="68" spans="16:21" x14ac:dyDescent="0.25">
      <c r="P68" s="141"/>
      <c r="Q68" s="141"/>
      <c r="R68" s="141"/>
      <c r="S68" s="147"/>
      <c r="T68" s="398"/>
      <c r="U68" s="152"/>
    </row>
    <row r="69" spans="16:21" x14ac:dyDescent="0.25">
      <c r="P69" s="141"/>
      <c r="Q69" s="141"/>
      <c r="R69" s="141"/>
      <c r="S69" s="147"/>
      <c r="T69" s="398"/>
      <c r="U69" s="152"/>
    </row>
    <row r="70" spans="16:21" x14ac:dyDescent="0.25">
      <c r="P70" s="141"/>
      <c r="Q70" s="141"/>
      <c r="R70" s="141"/>
      <c r="S70" s="147"/>
      <c r="T70" s="398"/>
      <c r="U70" s="152"/>
    </row>
    <row r="71" spans="16:21" x14ac:dyDescent="0.25">
      <c r="P71" s="141"/>
      <c r="Q71" s="141"/>
      <c r="R71" s="141"/>
      <c r="S71" s="147"/>
      <c r="T71" s="398"/>
      <c r="U71" s="152"/>
    </row>
    <row r="72" spans="16:21" x14ac:dyDescent="0.25">
      <c r="P72" s="141"/>
      <c r="Q72" s="141"/>
      <c r="R72" s="141"/>
      <c r="S72" s="147"/>
      <c r="T72" s="398"/>
      <c r="U72" s="152"/>
    </row>
    <row r="73" spans="16:21" x14ac:dyDescent="0.25">
      <c r="P73" s="141"/>
      <c r="Q73" s="141"/>
      <c r="R73" s="141"/>
      <c r="S73" s="147"/>
      <c r="T73" s="398"/>
      <c r="U73" s="152"/>
    </row>
    <row r="74" spans="16:21" x14ac:dyDescent="0.25">
      <c r="P74" s="141"/>
      <c r="Q74" s="141"/>
      <c r="R74" s="141"/>
      <c r="S74" s="147"/>
      <c r="T74" s="398"/>
      <c r="U74" s="152"/>
    </row>
    <row r="75" spans="16:21" x14ac:dyDescent="0.25">
      <c r="P75" s="141"/>
      <c r="Q75" s="141"/>
      <c r="R75" s="141"/>
      <c r="S75" s="147"/>
      <c r="T75" s="398"/>
      <c r="U75" s="152"/>
    </row>
    <row r="76" spans="16:21" x14ac:dyDescent="0.25">
      <c r="P76" s="141"/>
      <c r="Q76" s="141"/>
      <c r="R76" s="141"/>
      <c r="S76" s="147"/>
      <c r="T76" s="398"/>
      <c r="U76" s="152"/>
    </row>
    <row r="77" spans="16:21" x14ac:dyDescent="0.25">
      <c r="P77" s="141"/>
      <c r="Q77" s="141"/>
      <c r="R77" s="141"/>
      <c r="S77" s="147"/>
      <c r="T77" s="398"/>
      <c r="U77" s="152"/>
    </row>
    <row r="78" spans="16:21" x14ac:dyDescent="0.25">
      <c r="P78" s="141"/>
      <c r="Q78" s="141"/>
      <c r="R78" s="141"/>
      <c r="S78" s="147"/>
      <c r="T78" s="398"/>
      <c r="U78" s="152"/>
    </row>
    <row r="79" spans="16:21" x14ac:dyDescent="0.25">
      <c r="P79" s="141"/>
      <c r="Q79" s="141"/>
      <c r="R79" s="141"/>
      <c r="S79" s="147"/>
      <c r="T79" s="398"/>
      <c r="U79" s="152"/>
    </row>
    <row r="80" spans="16:21" x14ac:dyDescent="0.25">
      <c r="P80" s="141"/>
      <c r="Q80" s="141"/>
      <c r="R80" s="141"/>
      <c r="S80" s="147"/>
      <c r="T80" s="398"/>
      <c r="U80" s="152"/>
    </row>
    <row r="81" spans="16:21" x14ac:dyDescent="0.25">
      <c r="P81" s="141"/>
      <c r="Q81" s="141"/>
      <c r="R81" s="141"/>
      <c r="S81" s="147"/>
      <c r="T81" s="398"/>
      <c r="U81" s="152"/>
    </row>
    <row r="82" spans="16:21" x14ac:dyDescent="0.25">
      <c r="P82" s="141"/>
      <c r="Q82" s="141"/>
      <c r="R82" s="141"/>
      <c r="S82" s="147"/>
      <c r="T82" s="398"/>
      <c r="U82" s="152"/>
    </row>
    <row r="83" spans="16:21" x14ac:dyDescent="0.25">
      <c r="P83" s="141"/>
      <c r="Q83" s="141"/>
      <c r="R83" s="141"/>
      <c r="S83" s="147"/>
      <c r="T83" s="398"/>
      <c r="U83" s="152"/>
    </row>
  </sheetData>
  <sheetProtection algorithmName="SHA-512" hashValue="d/MbEKGEgOKW6rthkV0W0ojQz4pOSua2RLwG+i+WjFbYMC4dGAD8ZLAGloY0c9R1Ec+c7/zjUvQf2jJaOzaqrw==" saltValue="70rdndcHpjygWMvrzSRmK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V104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1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SPACE CORNER "&amp;List!$B$67&amp;" - D"</f>
        <v>Čelní výsuv SPACE CORNER se SYNCROMOTION - D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7.25" customHeight="1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List!$B$63</f>
        <v>kovový zásuvný prvek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25" si="0">S3*T3</f>
        <v>0</v>
      </c>
    </row>
    <row r="4" spans="1:22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430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2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">
        <v>431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/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/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/>
      <c r="T9" s="386">
        <f>Cen!F52</f>
        <v>18.128509999999999</v>
      </c>
      <c r="U9" s="387">
        <f t="shared" si="0"/>
        <v>0</v>
      </c>
    </row>
    <row r="10" spans="1:22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IF($U$2=4, 0, SUM($K$19:$K$20))</f>
        <v>0</v>
      </c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IF($U$2=4, 0, $L$20)</f>
        <v>0</v>
      </c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14"/>
      <c r="I14" s="183"/>
      <c r="J14" s="303"/>
      <c r="K14" s="18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/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/>
      <c r="E18" s="286"/>
      <c r="F18" s="286"/>
      <c r="G18" s="286"/>
      <c r="H18" s="286"/>
      <c r="I18" s="286"/>
      <c r="J18" s="286"/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/>
      <c r="C19" s="291" t="s">
        <v>447</v>
      </c>
      <c r="D19" s="301"/>
      <c r="E19" s="301"/>
      <c r="F19" s="301"/>
      <c r="G19" s="301"/>
      <c r="H19" s="301"/>
      <c r="I19" s="301"/>
      <c r="J19" s="301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/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940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/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IF($U$2=4, 0, $K$20)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3"/>
      <c r="Q26" s="123"/>
      <c r="R26" s="123"/>
      <c r="S26" s="385"/>
      <c r="T26" s="386"/>
      <c r="U26" s="387"/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Cen!A349</f>
        <v>Držáky zadní stěny M SPACE-CORNER, šedé</v>
      </c>
      <c r="Q27" s="123" t="str">
        <f>Cen!B349</f>
        <v>Z30M000S.45</v>
      </c>
      <c r="R27" s="123" t="str">
        <f>Cen!C349</f>
        <v>R906</v>
      </c>
      <c r="S27" s="385"/>
      <c r="T27" s="402">
        <f>Cen!F349</f>
        <v>2.7293500000000002</v>
      </c>
      <c r="U27" s="387">
        <f>S27*T27</f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Cen!A353</f>
        <v>Držáky zadní stěny D SPACE-CORNER, šedé</v>
      </c>
      <c r="Q28" s="123" t="str">
        <f>Cen!B353</f>
        <v>Z30D000SL45</v>
      </c>
      <c r="R28" s="123" t="str">
        <f>Cen!C353</f>
        <v>R906</v>
      </c>
      <c r="S28" s="385">
        <f>SUM($S$3:$S$11)</f>
        <v>0</v>
      </c>
      <c r="T28" s="402">
        <f>Cen!F353</f>
        <v>3.9593700000000003</v>
      </c>
      <c r="U28" s="387">
        <f>S28*T28</f>
        <v>0</v>
      </c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/>
      <c r="Q29" s="123"/>
      <c r="R29" s="123"/>
      <c r="S29" s="385"/>
      <c r="T29" s="386"/>
      <c r="U29" s="387"/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402" t="str">
        <f>Cen!A343</f>
        <v>Sada kování SYNCROMOTION, M, šedá</v>
      </c>
      <c r="Q30" s="402" t="str">
        <f>Cen!B343</f>
        <v>Z33M00E0A6</v>
      </c>
      <c r="R30" s="402" t="str">
        <f>Cen!C343</f>
        <v>R737</v>
      </c>
      <c r="S30" s="385"/>
      <c r="T30" s="402">
        <f>Cen!F343</f>
        <v>40.633789999999998</v>
      </c>
      <c r="U30" s="387">
        <f>S30*T30</f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402" t="str">
        <f>Cen!A346</f>
        <v>Sada kování SYNCROMOTION, D, šedá</v>
      </c>
      <c r="Q31" s="402" t="str">
        <f>Cen!B346</f>
        <v>Z33D00E0A6</v>
      </c>
      <c r="R31" s="402" t="str">
        <f>Cen!C346</f>
        <v>R737</v>
      </c>
      <c r="S31" s="385">
        <f>SUM($S$3:$S$11)</f>
        <v>0</v>
      </c>
      <c r="T31" s="402">
        <f>Cen!F346</f>
        <v>55.538930000000001</v>
      </c>
      <c r="U31" s="387">
        <f>S31*T31</f>
        <v>0</v>
      </c>
    </row>
    <row r="32" spans="1:2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x14ac:dyDescent="0.25">
      <c r="A33" s="114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14"/>
      <c r="N33" s="114"/>
      <c r="O33" s="114"/>
    </row>
    <row r="34" spans="1:21" x14ac:dyDescent="0.25">
      <c r="A34" s="114"/>
      <c r="B34" s="141"/>
      <c r="C34" s="141"/>
      <c r="D34" s="141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/>
      <c r="Q34" s="123"/>
      <c r="R34" s="123"/>
      <c r="S34" s="385"/>
      <c r="T34" s="402"/>
      <c r="U34" s="387"/>
    </row>
    <row r="35" spans="1:21" x14ac:dyDescent="0.25">
      <c r="A35" s="114"/>
      <c r="B35" s="141"/>
      <c r="C35" s="141"/>
      <c r="D35" s="141"/>
      <c r="E35" s="141"/>
      <c r="F35" s="141"/>
      <c r="G35" s="141"/>
      <c r="H35" s="141"/>
      <c r="I35" s="141"/>
      <c r="J35" s="147"/>
      <c r="K35" s="152"/>
      <c r="L35" s="152"/>
      <c r="M35" s="114"/>
      <c r="N35" s="114"/>
      <c r="O35" s="114"/>
      <c r="P35" s="123"/>
      <c r="Q35" s="123"/>
      <c r="R35" s="123"/>
      <c r="S35" s="385"/>
      <c r="T35" s="402"/>
      <c r="U35" s="387"/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7"/>
      <c r="K36" s="152"/>
      <c r="L36" s="152"/>
      <c r="M36" s="114"/>
      <c r="N36" s="114"/>
      <c r="O36" s="114"/>
      <c r="P36" s="123"/>
      <c r="Q36" s="123"/>
      <c r="R36" s="123"/>
      <c r="S36" s="385"/>
      <c r="T36" s="402"/>
      <c r="U36" s="387"/>
    </row>
    <row r="37" spans="1:21" x14ac:dyDescent="0.25">
      <c r="A37" s="114"/>
      <c r="B37" s="141"/>
      <c r="C37" s="141"/>
      <c r="D37" s="141"/>
      <c r="E37" s="141"/>
      <c r="F37" s="141"/>
      <c r="G37" s="141"/>
      <c r="H37" s="141"/>
      <c r="I37" s="141"/>
      <c r="J37" s="147"/>
      <c r="K37" s="152"/>
      <c r="L37" s="152"/>
      <c r="M37" s="114"/>
      <c r="N37" s="114"/>
      <c r="O37" s="114"/>
      <c r="P37" s="123"/>
      <c r="Q37" s="123"/>
      <c r="R37" s="123"/>
      <c r="S37" s="385"/>
      <c r="T37" s="402"/>
      <c r="U37" s="387"/>
    </row>
    <row r="38" spans="1:21" x14ac:dyDescent="0.25">
      <c r="A38" s="114"/>
      <c r="B38" s="141"/>
      <c r="C38" s="141"/>
      <c r="D38" s="141"/>
      <c r="E38" s="141"/>
      <c r="F38" s="141"/>
      <c r="G38" s="141"/>
      <c r="H38" s="141"/>
      <c r="I38" s="141"/>
      <c r="J38" s="147"/>
      <c r="K38" s="152"/>
      <c r="L38" s="152"/>
      <c r="M38" s="114"/>
      <c r="N38" s="114"/>
      <c r="O38" s="114"/>
      <c r="P38" s="123"/>
      <c r="Q38" s="123"/>
      <c r="R38" s="123"/>
      <c r="S38" s="385"/>
      <c r="T38" s="402"/>
      <c r="U38" s="387"/>
    </row>
    <row r="39" spans="1:21" x14ac:dyDescent="0.25">
      <c r="A39" s="114"/>
      <c r="B39" s="141"/>
      <c r="C39" s="141"/>
      <c r="D39" s="141"/>
      <c r="E39" s="141"/>
      <c r="F39" s="141"/>
      <c r="G39" s="141"/>
      <c r="H39" s="141"/>
      <c r="I39" s="141"/>
      <c r="J39" s="147"/>
      <c r="K39" s="152"/>
      <c r="L39" s="152"/>
      <c r="M39" s="114"/>
      <c r="N39" s="114"/>
      <c r="O39" s="114"/>
      <c r="P39" s="123"/>
      <c r="Q39" s="123"/>
      <c r="R39" s="123"/>
      <c r="S39" s="385"/>
      <c r="T39" s="402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152"/>
      <c r="L40" s="152"/>
      <c r="M40" s="114"/>
      <c r="N40" s="114"/>
      <c r="O40" s="114"/>
      <c r="P40" s="123"/>
      <c r="Q40" s="123"/>
      <c r="R40" s="123"/>
      <c r="S40" s="385"/>
      <c r="T40" s="402"/>
      <c r="U40" s="387"/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14"/>
      <c r="N41" s="114"/>
      <c r="O41" s="114"/>
      <c r="P41" s="123" t="str">
        <f>Cen!A243</f>
        <v>Podélný reling vlevo/vpravo, 600mm, šedý</v>
      </c>
      <c r="Q41" s="123" t="str">
        <f>Cen!B243</f>
        <v>ZRG.537RSIC</v>
      </c>
      <c r="R41" s="123" t="str">
        <f>Cen!C243</f>
        <v>R906</v>
      </c>
      <c r="S41" s="385">
        <f>S10</f>
        <v>0</v>
      </c>
      <c r="T41" s="402">
        <f>Cen!F243</f>
        <v>6.9229999999999992</v>
      </c>
      <c r="U41" s="387">
        <f>S41*T41</f>
        <v>0</v>
      </c>
    </row>
    <row r="42" spans="1:2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23" t="str">
        <f>Cen!A247</f>
        <v>Podélný reling vlevo/vpravo, 650mm, šedý</v>
      </c>
      <c r="Q42" s="123" t="str">
        <f>Cen!B247</f>
        <v>ZRG.587RSIC</v>
      </c>
      <c r="R42" s="123" t="str">
        <f>Cen!C247</f>
        <v>R906</v>
      </c>
      <c r="S42" s="385">
        <f>S11</f>
        <v>0</v>
      </c>
      <c r="T42" s="402">
        <f>Cen!F247</f>
        <v>7.9644300000000001</v>
      </c>
      <c r="U42" s="387">
        <f>S42*T42</f>
        <v>0</v>
      </c>
    </row>
    <row r="43" spans="1:2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/>
      <c r="Q43" s="123"/>
      <c r="R43" s="123"/>
      <c r="S43" s="385"/>
      <c r="T43" s="402"/>
      <c r="U43" s="387"/>
    </row>
    <row r="44" spans="1:2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Cen!A328</f>
        <v>Sada držáků zásuvného prvku D, bílošedá</v>
      </c>
      <c r="Q44" s="123" t="str">
        <f>Cen!B328</f>
        <v>Z36D0080</v>
      </c>
      <c r="R44" s="123" t="str">
        <f>Cen!C328</f>
        <v>WGR</v>
      </c>
      <c r="S44" s="385">
        <f>SUM($S$3:$S$11)</f>
        <v>0</v>
      </c>
      <c r="T44" s="402">
        <f>Cen!F328</f>
        <v>2.4851200000000002</v>
      </c>
      <c r="U44" s="387">
        <f>S44*T44</f>
        <v>0</v>
      </c>
    </row>
    <row r="45" spans="1:21" x14ac:dyDescent="0.25">
      <c r="P45" s="123"/>
      <c r="Q45" s="123"/>
      <c r="R45" s="123"/>
      <c r="S45" s="385"/>
      <c r="T45" s="402"/>
      <c r="U45" s="387"/>
    </row>
    <row r="46" spans="1:21" x14ac:dyDescent="0.25">
      <c r="P46" s="123"/>
      <c r="Q46" s="123"/>
      <c r="R46" s="123"/>
      <c r="S46" s="385"/>
      <c r="T46" s="402"/>
      <c r="U46" s="387"/>
    </row>
    <row r="47" spans="1:21" x14ac:dyDescent="0.25">
      <c r="P47" s="123"/>
      <c r="Q47" s="123"/>
      <c r="R47" s="123"/>
      <c r="S47" s="385"/>
      <c r="T47" s="402"/>
      <c r="U47" s="387"/>
    </row>
    <row r="48" spans="1:21" x14ac:dyDescent="0.25">
      <c r="P48" s="123"/>
      <c r="Q48" s="123"/>
      <c r="R48" s="123"/>
      <c r="S48" s="385"/>
      <c r="T48" s="402"/>
      <c r="U48" s="387"/>
    </row>
    <row r="49" spans="16:21" x14ac:dyDescent="0.25">
      <c r="P49" s="123"/>
      <c r="Q49" s="123"/>
      <c r="R49" s="123"/>
      <c r="S49" s="385"/>
      <c r="T49" s="402"/>
      <c r="U49" s="387"/>
    </row>
    <row r="50" spans="16:21" x14ac:dyDescent="0.25">
      <c r="P50" s="123"/>
      <c r="Q50" s="123"/>
      <c r="R50" s="123"/>
      <c r="S50" s="385"/>
      <c r="T50" s="402"/>
      <c r="U50" s="387"/>
    </row>
    <row r="51" spans="16:21" x14ac:dyDescent="0.25">
      <c r="P51" s="123"/>
      <c r="Q51" s="123"/>
      <c r="R51" s="123"/>
      <c r="S51" s="385"/>
      <c r="T51" s="402"/>
      <c r="U51" s="387"/>
    </row>
    <row r="52" spans="16:21" x14ac:dyDescent="0.25">
      <c r="P52" s="123"/>
      <c r="Q52" s="123"/>
      <c r="R52" s="123"/>
      <c r="S52" s="385"/>
      <c r="T52" s="402"/>
      <c r="U52" s="387"/>
    </row>
    <row r="53" spans="16:21" x14ac:dyDescent="0.25">
      <c r="P53" s="123">
        <f>Cen!A301</f>
        <v>0</v>
      </c>
      <c r="Q53" s="123">
        <f>Cen!B301</f>
        <v>0</v>
      </c>
      <c r="R53" s="123">
        <f>Cen!C301</f>
        <v>0</v>
      </c>
      <c r="S53" s="385"/>
      <c r="T53" s="402">
        <f>Cen!F301</f>
        <v>0</v>
      </c>
      <c r="U53" s="387">
        <f>S53*T53</f>
        <v>0</v>
      </c>
    </row>
    <row r="54" spans="16:21" x14ac:dyDescent="0.25">
      <c r="P54" s="123" t="str">
        <f>Cen!A304</f>
        <v>Kovový zásuvný prvek D, 650mm, šedý</v>
      </c>
      <c r="Q54" s="123" t="str">
        <f>Cen!B304</f>
        <v>Z37A617D</v>
      </c>
      <c r="R54" s="123" t="str">
        <f>Cen!C304</f>
        <v>R906</v>
      </c>
      <c r="S54" s="385">
        <f>SUM(S10,S11)*2</f>
        <v>0</v>
      </c>
      <c r="T54" s="402">
        <f>Cen!F304</f>
        <v>8.0120000000000005</v>
      </c>
      <c r="U54" s="387">
        <f>S54*T54</f>
        <v>0</v>
      </c>
    </row>
    <row r="60" spans="16:21" x14ac:dyDescent="0.25">
      <c r="U60" s="152">
        <f>SUM(U3:U58)</f>
        <v>0</v>
      </c>
    </row>
    <row r="103" spans="16:16" x14ac:dyDescent="0.25">
      <c r="P103" s="114" t="str">
        <f>List!$B$289&amp;"!"</f>
        <v>Kovové zásuvné prvky pro nerez (Inox) se nevyrábí!</v>
      </c>
    </row>
    <row r="104" spans="16:16" x14ac:dyDescent="0.25">
      <c r="P104" s="114" t="str">
        <f>List!$B$290&amp;"!"</f>
        <v>Kování naplánované na tomto listu se neprojeví v objednávce!</v>
      </c>
    </row>
  </sheetData>
  <sheetProtection algorithmName="SHA-512" hashValue="9M9ClOKeUDt45lfuYhlQ1tu28N0n5Piij3a1a4myz1IbBrX7WrqLddBNOUda6nZlzJ6QtTUfyWn20vY681Suig==" saltValue="5oSqmYCwSEVNqxaXsZBme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1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SPACE CORNER "&amp;List!$B$67&amp;" - D"</f>
        <v>Čelní výsuv SPACE CORNER se SYNCROMOTION - D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25" customHeight="1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List!$B$64</f>
        <v>podélný reling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25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430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">
        <v>431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/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/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/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$L$20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183"/>
      <c r="J14" s="303"/>
      <c r="K14" s="18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/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/>
      <c r="E18" s="286"/>
      <c r="F18" s="286"/>
      <c r="G18" s="286"/>
      <c r="H18" s="286"/>
      <c r="I18" s="286"/>
      <c r="J18" s="286"/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/>
      <c r="C19" s="291" t="s">
        <v>447</v>
      </c>
      <c r="D19" s="301"/>
      <c r="E19" s="301"/>
      <c r="F19" s="301"/>
      <c r="G19" s="301"/>
      <c r="H19" s="301"/>
      <c r="I19" s="301"/>
      <c r="J19" s="301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/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941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/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3"/>
      <c r="Q26" s="123"/>
      <c r="R26" s="123"/>
      <c r="S26" s="385"/>
      <c r="T26" s="386"/>
      <c r="U26" s="387"/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Cen!A349</f>
        <v>Držáky zadní stěny M SPACE-CORNER, šedé</v>
      </c>
      <c r="Q27" s="123" t="str">
        <f>Cen!B349</f>
        <v>Z30M000S.45</v>
      </c>
      <c r="R27" s="123" t="str">
        <f>Cen!C349</f>
        <v>R906</v>
      </c>
      <c r="S27" s="385"/>
      <c r="T27" s="402">
        <f>Cen!F349</f>
        <v>2.7293500000000002</v>
      </c>
      <c r="U27" s="387">
        <f>S27*T27</f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Cen!A353</f>
        <v>Držáky zadní stěny D SPACE-CORNER, šedé</v>
      </c>
      <c r="Q28" s="123" t="str">
        <f>Cen!B353</f>
        <v>Z30D000SL45</v>
      </c>
      <c r="R28" s="123" t="str">
        <f>Cen!C353</f>
        <v>R906</v>
      </c>
      <c r="S28" s="385">
        <f>SUM($S$3:$S$11)</f>
        <v>0</v>
      </c>
      <c r="T28" s="402">
        <f>Cen!F353</f>
        <v>3.9593700000000003</v>
      </c>
      <c r="U28" s="387">
        <f>S28*T28</f>
        <v>0</v>
      </c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/>
      <c r="Q29" s="123"/>
      <c r="R29" s="123"/>
      <c r="S29" s="385"/>
      <c r="T29" s="386"/>
      <c r="U29" s="387"/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402" t="str">
        <f>Cen!A343</f>
        <v>Sada kování SYNCROMOTION, M, šedá</v>
      </c>
      <c r="Q30" s="402" t="str">
        <f>Cen!B343</f>
        <v>Z33M00E0A6</v>
      </c>
      <c r="R30" s="402" t="str">
        <f>Cen!C343</f>
        <v>R737</v>
      </c>
      <c r="S30" s="385"/>
      <c r="T30" s="402">
        <f>Cen!F343</f>
        <v>40.633789999999998</v>
      </c>
      <c r="U30" s="387">
        <f>S30*T30</f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402" t="str">
        <f>Cen!A346</f>
        <v>Sada kování SYNCROMOTION, D, šedá</v>
      </c>
      <c r="Q31" s="402" t="str">
        <f>Cen!B346</f>
        <v>Z33D00E0A6</v>
      </c>
      <c r="R31" s="402" t="str">
        <f>Cen!C346</f>
        <v>R737</v>
      </c>
      <c r="S31" s="385">
        <f>SUM($S$3:$S$11)</f>
        <v>0</v>
      </c>
      <c r="T31" s="402">
        <f>Cen!F346</f>
        <v>55.538930000000001</v>
      </c>
      <c r="U31" s="387">
        <f>S31*T31</f>
        <v>0</v>
      </c>
    </row>
    <row r="32" spans="1:2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ht="13" x14ac:dyDescent="0.3">
      <c r="A33" s="114"/>
      <c r="B33" s="193" t="str">
        <f>List!$B$23&amp;": *"</f>
        <v>Volitelně: *</v>
      </c>
      <c r="C33" s="305"/>
      <c r="D33" s="305"/>
      <c r="E33" s="305"/>
      <c r="F33" s="305"/>
      <c r="G33" s="305"/>
      <c r="H33" s="114"/>
      <c r="I33" s="114"/>
      <c r="J33" s="114"/>
      <c r="K33" s="114"/>
      <c r="L33" s="114"/>
      <c r="M33" s="114"/>
      <c r="N33" s="114"/>
      <c r="O33" s="114"/>
    </row>
    <row r="34" spans="1:21" ht="15" customHeight="1" x14ac:dyDescent="0.25">
      <c r="A34" s="114"/>
      <c r="B34" s="407" t="str">
        <f>Cen!A328</f>
        <v>Sada držáků zásuvného prvku D, bílošedá</v>
      </c>
      <c r="C34" s="407"/>
      <c r="D34" s="407"/>
      <c r="E34" s="407"/>
      <c r="F34" s="407"/>
      <c r="G34" s="407"/>
      <c r="H34" s="407" t="str">
        <f>Cen!B328</f>
        <v>Z36D0080</v>
      </c>
      <c r="I34" s="407" t="str">
        <f>Cen!C328</f>
        <v>WGR</v>
      </c>
      <c r="J34" s="408"/>
      <c r="K34" s="410"/>
      <c r="L34" s="410"/>
      <c r="M34" s="114"/>
      <c r="N34" s="114"/>
      <c r="O34" s="114"/>
      <c r="P34" s="123"/>
      <c r="Q34" s="123"/>
      <c r="R34" s="123"/>
      <c r="S34" s="385"/>
      <c r="T34" s="402"/>
      <c r="U34" s="387"/>
    </row>
    <row r="35" spans="1:2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23"/>
      <c r="Q35" s="123"/>
      <c r="R35" s="123"/>
      <c r="S35" s="385"/>
      <c r="T35" s="402"/>
      <c r="U35" s="387"/>
    </row>
    <row r="36" spans="1:21" x14ac:dyDescent="0.25">
      <c r="A36" s="114"/>
      <c r="B36" s="114" t="str">
        <f>"     * "&amp;List!$B$148</f>
        <v xml:space="preserve">     * Sada držáků, pro vlastní zásuvný prvek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23"/>
      <c r="Q36" s="123"/>
      <c r="R36" s="123"/>
      <c r="S36" s="385"/>
      <c r="T36" s="402"/>
      <c r="U36" s="387"/>
    </row>
    <row r="37" spans="1:21" x14ac:dyDescent="0.25">
      <c r="A37" s="114"/>
      <c r="B37" s="114" t="str">
        <f>"       "&amp;List!$B$150&amp;"!"</f>
        <v xml:space="preserve">       Cena držáků zásuvného prvku není zahrnuta do cen jednotlivých výsuvů!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/>
      <c r="Q37" s="123"/>
      <c r="R37" s="123"/>
      <c r="S37" s="385"/>
      <c r="T37" s="402"/>
      <c r="U37" s="387"/>
    </row>
    <row r="38" spans="1:21" x14ac:dyDescent="0.25">
      <c r="P38" s="123"/>
      <c r="Q38" s="123"/>
      <c r="R38" s="123"/>
      <c r="S38" s="385"/>
      <c r="T38" s="402"/>
      <c r="U38" s="387"/>
    </row>
    <row r="39" spans="1:21" x14ac:dyDescent="0.25">
      <c r="P39" s="123"/>
      <c r="Q39" s="123"/>
      <c r="R39" s="123"/>
      <c r="S39" s="385"/>
      <c r="T39" s="402"/>
      <c r="U39" s="387"/>
    </row>
    <row r="40" spans="1:21" x14ac:dyDescent="0.25">
      <c r="P40" s="123"/>
      <c r="Q40" s="123"/>
      <c r="R40" s="123"/>
      <c r="S40" s="385"/>
      <c r="T40" s="402"/>
      <c r="U40" s="387"/>
    </row>
    <row r="41" spans="1:21" x14ac:dyDescent="0.25">
      <c r="P41" s="123" t="str">
        <f>Cen!A243</f>
        <v>Podélný reling vlevo/vpravo, 600mm, šedý</v>
      </c>
      <c r="Q41" s="123" t="str">
        <f>Cen!B243</f>
        <v>ZRG.537RSIC</v>
      </c>
      <c r="R41" s="123" t="str">
        <f>Cen!C243</f>
        <v>R906</v>
      </c>
      <c r="S41" s="385">
        <f>S10</f>
        <v>0</v>
      </c>
      <c r="T41" s="402">
        <f>Cen!F243</f>
        <v>6.9229999999999992</v>
      </c>
      <c r="U41" s="387">
        <f>S41*T41</f>
        <v>0</v>
      </c>
    </row>
    <row r="42" spans="1:21" x14ac:dyDescent="0.25">
      <c r="P42" s="123" t="str">
        <f>Cen!A247</f>
        <v>Podélný reling vlevo/vpravo, 650mm, šedý</v>
      </c>
      <c r="Q42" s="123" t="str">
        <f>Cen!B247</f>
        <v>ZRG.587RSIC</v>
      </c>
      <c r="R42" s="123" t="str">
        <f>Cen!C247</f>
        <v>R906</v>
      </c>
      <c r="S42" s="385">
        <f>S11</f>
        <v>0</v>
      </c>
      <c r="T42" s="402">
        <f>Cen!F247</f>
        <v>7.9644300000000001</v>
      </c>
      <c r="U42" s="387">
        <f>S42*T42</f>
        <v>0</v>
      </c>
    </row>
    <row r="43" spans="1:21" x14ac:dyDescent="0.25">
      <c r="P43" s="123"/>
      <c r="Q43" s="123"/>
      <c r="R43" s="123"/>
      <c r="S43" s="385"/>
      <c r="T43" s="402"/>
      <c r="U43" s="387"/>
    </row>
    <row r="44" spans="1:21" x14ac:dyDescent="0.25">
      <c r="P44" s="123" t="str">
        <f>Cen!A328</f>
        <v>Sada držáků zásuvného prvku D, bílošedá</v>
      </c>
      <c r="Q44" s="123" t="str">
        <f>Cen!B328</f>
        <v>Z36D0080</v>
      </c>
      <c r="R44" s="123" t="str">
        <f>Cen!C328</f>
        <v>WGR</v>
      </c>
      <c r="S44" s="385">
        <f>$J$34</f>
        <v>0</v>
      </c>
      <c r="T44" s="402">
        <f>Cen!F328</f>
        <v>2.4851200000000002</v>
      </c>
      <c r="U44" s="387">
        <f>S44*T44</f>
        <v>0</v>
      </c>
    </row>
    <row r="45" spans="1:21" x14ac:dyDescent="0.25">
      <c r="P45" s="123"/>
      <c r="Q45" s="123"/>
      <c r="R45" s="123"/>
      <c r="S45" s="385"/>
      <c r="T45" s="402"/>
      <c r="U45" s="387"/>
    </row>
    <row r="46" spans="1:21" x14ac:dyDescent="0.25">
      <c r="P46" s="123"/>
      <c r="Q46" s="123"/>
      <c r="R46" s="123"/>
      <c r="S46" s="385"/>
      <c r="T46" s="402"/>
      <c r="U46" s="387"/>
    </row>
    <row r="47" spans="1:21" x14ac:dyDescent="0.25">
      <c r="P47" s="123"/>
      <c r="Q47" s="123"/>
      <c r="R47" s="123"/>
      <c r="S47" s="385"/>
      <c r="T47" s="402"/>
      <c r="U47" s="387"/>
    </row>
    <row r="48" spans="1:21" x14ac:dyDescent="0.25">
      <c r="P48" s="123"/>
      <c r="Q48" s="123"/>
      <c r="R48" s="123"/>
      <c r="S48" s="385"/>
      <c r="T48" s="402"/>
      <c r="U48" s="387"/>
    </row>
    <row r="49" spans="16:21" x14ac:dyDescent="0.25">
      <c r="P49" s="123"/>
      <c r="Q49" s="123"/>
      <c r="R49" s="123"/>
      <c r="S49" s="385"/>
      <c r="T49" s="402"/>
      <c r="U49" s="387"/>
    </row>
    <row r="50" spans="16:21" x14ac:dyDescent="0.25">
      <c r="P50" s="123"/>
      <c r="Q50" s="123"/>
      <c r="R50" s="123"/>
      <c r="S50" s="385"/>
      <c r="T50" s="402"/>
      <c r="U50" s="387"/>
    </row>
    <row r="51" spans="16:21" x14ac:dyDescent="0.25">
      <c r="P51" s="123"/>
      <c r="Q51" s="123"/>
      <c r="R51" s="123"/>
      <c r="S51" s="385"/>
      <c r="T51" s="402"/>
      <c r="U51" s="387"/>
    </row>
    <row r="52" spans="16:21" x14ac:dyDescent="0.25">
      <c r="P52" s="123"/>
      <c r="Q52" s="123"/>
      <c r="R52" s="123"/>
      <c r="S52" s="385"/>
      <c r="T52" s="402"/>
      <c r="U52" s="387"/>
    </row>
    <row r="53" spans="16:21" x14ac:dyDescent="0.25">
      <c r="P53" s="123"/>
      <c r="Q53" s="123"/>
      <c r="R53" s="123"/>
      <c r="S53" s="385"/>
      <c r="T53" s="402"/>
      <c r="U53" s="387"/>
    </row>
    <row r="54" spans="16:21" x14ac:dyDescent="0.25">
      <c r="P54" s="123"/>
      <c r="Q54" s="123"/>
      <c r="R54" s="123"/>
      <c r="S54" s="385"/>
      <c r="T54" s="402"/>
      <c r="U54" s="387"/>
    </row>
    <row r="60" spans="16:21" x14ac:dyDescent="0.25">
      <c r="U60" s="152">
        <f>SUM(U3:U58)</f>
        <v>0</v>
      </c>
    </row>
  </sheetData>
  <sheetProtection algorithmName="SHA-512" hashValue="jT3uFSwUsYxOHcltxt86WMT35XFqEbsg9eZUDG/SpcVuUv5a81EEB1nmiQKkiRlIDNTVlHEUtXa/sa5bWvcGMw==" saltValue="bSsAEomy2yUh+dVR7dc8K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1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List!$B$46&amp;" SPACE CORNER "&amp;List!$B$68&amp;" - M"</f>
        <v>Zásuvka SPACE CORNER s nehybnými čely - M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25" customHeight="1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/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25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430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List!B68</f>
        <v>s nehybnými čely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/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/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/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$L$20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183"/>
      <c r="J14" s="303"/>
      <c r="K14" s="18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/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/>
      <c r="E18" s="286"/>
      <c r="F18" s="286"/>
      <c r="G18" s="286"/>
      <c r="H18" s="286"/>
      <c r="I18" s="286"/>
      <c r="J18" s="286"/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/>
      <c r="C19" s="291" t="s">
        <v>447</v>
      </c>
      <c r="D19" s="301"/>
      <c r="E19" s="301"/>
      <c r="F19" s="301"/>
      <c r="G19" s="301"/>
      <c r="H19" s="301"/>
      <c r="I19" s="301"/>
      <c r="J19" s="301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/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889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/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3"/>
      <c r="Q26" s="123"/>
      <c r="R26" s="123"/>
      <c r="S26" s="385"/>
      <c r="T26" s="386"/>
      <c r="U26" s="387"/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/>
      <c r="Q27" s="123"/>
      <c r="R27" s="123"/>
      <c r="S27" s="385"/>
      <c r="T27" s="402"/>
      <c r="U27" s="387"/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/>
      <c r="Q28" s="123"/>
      <c r="R28" s="123"/>
      <c r="S28" s="385"/>
      <c r="T28" s="402"/>
      <c r="U28" s="387"/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/>
      <c r="Q29" s="123"/>
      <c r="R29" s="123"/>
      <c r="S29" s="385"/>
      <c r="T29" s="386"/>
      <c r="U29" s="387"/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402" t="str">
        <f>Cen!A334</f>
        <v>Sada kování SPACE CORNER, M, šedá</v>
      </c>
      <c r="Q30" s="402" t="str">
        <f>Cen!B334</f>
        <v>ZSF.340E.M1</v>
      </c>
      <c r="R30" s="402" t="str">
        <f>Cen!C334</f>
        <v>ST/6</v>
      </c>
      <c r="S30" s="385">
        <f>SUM($S$3:$S$11)</f>
        <v>0</v>
      </c>
      <c r="T30" s="402">
        <f>Cen!F334</f>
        <v>11.78777</v>
      </c>
      <c r="U30" s="387">
        <f>S30*T30</f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402" t="str">
        <f>Cen!A338</f>
        <v>Sada kování SPACE CORNER, D, šedá</v>
      </c>
      <c r="Q31" s="402" t="str">
        <f>Cen!B338</f>
        <v>ZSF.345E.D1</v>
      </c>
      <c r="R31" s="402" t="str">
        <f>Cen!C338</f>
        <v>ST/6</v>
      </c>
      <c r="S31" s="385"/>
      <c r="T31" s="402">
        <f>Cen!F338</f>
        <v>16.024339999999999</v>
      </c>
      <c r="U31" s="387">
        <f>S31*T31</f>
        <v>0</v>
      </c>
    </row>
    <row r="32" spans="1:2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ht="13" x14ac:dyDescent="0.3">
      <c r="A33" s="114"/>
      <c r="B33" s="305"/>
      <c r="C33" s="305"/>
      <c r="D33" s="305"/>
      <c r="E33" s="305"/>
      <c r="F33" s="305"/>
      <c r="G33" s="305"/>
      <c r="H33" s="141"/>
      <c r="I33" s="141"/>
      <c r="J33" s="141"/>
      <c r="K33" s="141"/>
      <c r="L33" s="141"/>
      <c r="M33" s="114"/>
      <c r="N33" s="114"/>
      <c r="O33" s="114"/>
    </row>
    <row r="34" spans="1:21" x14ac:dyDescent="0.25">
      <c r="A34" s="114"/>
      <c r="B34" s="141"/>
      <c r="C34" s="141"/>
      <c r="D34" s="141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/>
      <c r="Q34" s="123"/>
      <c r="R34" s="123"/>
      <c r="S34" s="385"/>
      <c r="T34" s="402"/>
      <c r="U34" s="387"/>
    </row>
    <row r="35" spans="1:21" x14ac:dyDescent="0.25">
      <c r="A35" s="114"/>
      <c r="B35" s="141"/>
      <c r="C35" s="141"/>
      <c r="D35" s="141"/>
      <c r="E35" s="141"/>
      <c r="F35" s="141"/>
      <c r="G35" s="141"/>
      <c r="H35" s="141"/>
      <c r="I35" s="141"/>
      <c r="J35" s="147"/>
      <c r="K35" s="152"/>
      <c r="L35" s="152"/>
      <c r="M35" s="114"/>
      <c r="N35" s="114"/>
      <c r="O35" s="114"/>
      <c r="P35" s="123"/>
      <c r="Q35" s="123"/>
      <c r="R35" s="123"/>
      <c r="S35" s="385"/>
      <c r="T35" s="402"/>
      <c r="U35" s="387"/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7"/>
      <c r="K36" s="152"/>
      <c r="L36" s="152"/>
      <c r="M36" s="114"/>
      <c r="N36" s="114"/>
      <c r="O36" s="114"/>
      <c r="P36" s="123"/>
      <c r="Q36" s="123"/>
      <c r="R36" s="123"/>
      <c r="S36" s="385"/>
      <c r="T36" s="402"/>
      <c r="U36" s="387"/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/>
      <c r="Q37" s="123"/>
      <c r="R37" s="123"/>
      <c r="S37" s="385"/>
      <c r="T37" s="402"/>
      <c r="U37" s="387"/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/>
      <c r="Q38" s="123"/>
      <c r="R38" s="123"/>
      <c r="S38" s="385"/>
      <c r="T38" s="402"/>
      <c r="U38" s="387"/>
    </row>
    <row r="39" spans="1:21" x14ac:dyDescent="0.25">
      <c r="P39" s="123"/>
      <c r="Q39" s="123"/>
      <c r="R39" s="123"/>
      <c r="S39" s="385"/>
      <c r="T39" s="402"/>
      <c r="U39" s="387"/>
    </row>
    <row r="40" spans="1:21" x14ac:dyDescent="0.25">
      <c r="P40" s="123"/>
      <c r="Q40" s="123"/>
      <c r="R40" s="123"/>
      <c r="S40" s="385"/>
      <c r="T40" s="402"/>
      <c r="U40" s="387"/>
    </row>
    <row r="41" spans="1:21" x14ac:dyDescent="0.25">
      <c r="P41" s="123"/>
      <c r="Q41" s="123"/>
      <c r="R41" s="123"/>
      <c r="S41" s="385"/>
      <c r="T41" s="402"/>
      <c r="U41" s="387"/>
    </row>
    <row r="42" spans="1:21" x14ac:dyDescent="0.25">
      <c r="P42" s="123"/>
      <c r="Q42" s="123"/>
      <c r="R42" s="123"/>
      <c r="S42" s="385"/>
      <c r="T42" s="402"/>
      <c r="U42" s="387"/>
    </row>
    <row r="43" spans="1:21" x14ac:dyDescent="0.25">
      <c r="P43" s="123"/>
      <c r="Q43" s="123"/>
      <c r="R43" s="123"/>
      <c r="S43" s="385"/>
      <c r="T43" s="402"/>
      <c r="U43" s="387"/>
    </row>
    <row r="44" spans="1:21" x14ac:dyDescent="0.25">
      <c r="P44" s="123"/>
      <c r="Q44" s="123"/>
      <c r="R44" s="123"/>
      <c r="S44" s="385"/>
      <c r="T44" s="402"/>
      <c r="U44" s="387"/>
    </row>
    <row r="45" spans="1:21" x14ac:dyDescent="0.25">
      <c r="P45" s="123"/>
      <c r="Q45" s="123"/>
      <c r="R45" s="123"/>
      <c r="S45" s="385"/>
      <c r="T45" s="402"/>
      <c r="U45" s="387"/>
    </row>
    <row r="46" spans="1:21" x14ac:dyDescent="0.25">
      <c r="P46" s="123"/>
      <c r="Q46" s="123"/>
      <c r="R46" s="123"/>
      <c r="S46" s="385"/>
      <c r="T46" s="402"/>
      <c r="U46" s="387"/>
    </row>
    <row r="47" spans="1:21" x14ac:dyDescent="0.25">
      <c r="P47" s="123"/>
      <c r="Q47" s="123"/>
      <c r="R47" s="123"/>
      <c r="S47" s="385"/>
      <c r="T47" s="402"/>
      <c r="U47" s="387"/>
    </row>
    <row r="48" spans="1:21" x14ac:dyDescent="0.25">
      <c r="P48" s="123"/>
      <c r="Q48" s="123"/>
      <c r="R48" s="123"/>
      <c r="S48" s="385"/>
      <c r="T48" s="402"/>
      <c r="U48" s="387"/>
    </row>
    <row r="49" spans="16:21" x14ac:dyDescent="0.25">
      <c r="P49" s="123"/>
      <c r="Q49" s="123"/>
      <c r="R49" s="123"/>
      <c r="S49" s="385"/>
      <c r="T49" s="402"/>
      <c r="U49" s="387"/>
    </row>
    <row r="50" spans="16:21" x14ac:dyDescent="0.25">
      <c r="P50" s="123"/>
      <c r="Q50" s="123"/>
      <c r="R50" s="123"/>
      <c r="S50" s="385"/>
      <c r="T50" s="402"/>
      <c r="U50" s="387"/>
    </row>
    <row r="51" spans="16:21" x14ac:dyDescent="0.25">
      <c r="P51" s="123"/>
      <c r="Q51" s="123"/>
      <c r="R51" s="123"/>
      <c r="S51" s="385"/>
      <c r="T51" s="402"/>
      <c r="U51" s="387"/>
    </row>
    <row r="52" spans="16:21" x14ac:dyDescent="0.25">
      <c r="P52" s="123"/>
      <c r="Q52" s="123"/>
      <c r="R52" s="123"/>
      <c r="S52" s="385"/>
      <c r="T52" s="402"/>
      <c r="U52" s="387"/>
    </row>
    <row r="53" spans="16:21" x14ac:dyDescent="0.25">
      <c r="P53" s="123"/>
      <c r="Q53" s="123"/>
      <c r="R53" s="123"/>
      <c r="S53" s="385"/>
      <c r="T53" s="402"/>
      <c r="U53" s="387"/>
    </row>
    <row r="54" spans="16:21" x14ac:dyDescent="0.25">
      <c r="P54" s="123"/>
      <c r="Q54" s="123"/>
      <c r="R54" s="123"/>
      <c r="S54" s="385"/>
      <c r="T54" s="402"/>
      <c r="U54" s="387"/>
    </row>
    <row r="60" spans="16:21" x14ac:dyDescent="0.25">
      <c r="U60" s="152">
        <f>SUM(U3:U58)</f>
        <v>0</v>
      </c>
    </row>
  </sheetData>
  <sheetProtection algorithmName="SHA-512" hashValue="Q2DPYNw81DkROJxidv0gKq5qc5plKGm288kiEd8s85dGzgyvYwPhp2BHdhIUggFgXfF4iXkB4II4Q6YEWVXIhA==" saltValue="JIdVhSFnDQttqM6ijZXvz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1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SPACE CORNER "&amp;List!$B$68&amp;" - D"</f>
        <v>Čelní výsuv SPACE CORNER s nehybnými čely - D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25" customHeight="1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List!$B$62</f>
        <v>zásuvný prvek sklo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25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430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tr">
        <f>List!$B$32&amp;":"</f>
        <v>sklo:</v>
      </c>
      <c r="J6" s="117"/>
      <c r="K6" s="116" t="str">
        <f>Form!$O$8</f>
        <v>čiré</v>
      </c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List!B68</f>
        <v>s nehybnými čely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/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/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/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$L$20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183"/>
      <c r="J14" s="303"/>
      <c r="K14" s="18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/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/>
      <c r="E18" s="286"/>
      <c r="F18" s="286"/>
      <c r="G18" s="286"/>
      <c r="H18" s="286"/>
      <c r="I18" s="286"/>
      <c r="J18" s="286"/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/>
      <c r="C19" s="291" t="s">
        <v>447</v>
      </c>
      <c r="D19" s="301"/>
      <c r="E19" s="301"/>
      <c r="F19" s="301"/>
      <c r="G19" s="301"/>
      <c r="H19" s="301"/>
      <c r="I19" s="301"/>
      <c r="J19" s="301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/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889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/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3"/>
      <c r="Q26" s="123"/>
      <c r="R26" s="123"/>
      <c r="S26" s="385"/>
      <c r="T26" s="386"/>
      <c r="U26" s="387"/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/>
      <c r="Q27" s="123"/>
      <c r="R27" s="123"/>
      <c r="S27" s="385"/>
      <c r="T27" s="402"/>
      <c r="U27" s="387"/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/>
      <c r="Q28" s="123"/>
      <c r="R28" s="123"/>
      <c r="S28" s="385"/>
      <c r="T28" s="402"/>
      <c r="U28" s="387"/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/>
      <c r="Q29" s="123"/>
      <c r="R29" s="123"/>
      <c r="S29" s="385"/>
      <c r="T29" s="386"/>
      <c r="U29" s="387"/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402" t="str">
        <f>Cen!A334</f>
        <v>Sada kování SPACE CORNER, M, šedá</v>
      </c>
      <c r="Q30" s="402" t="str">
        <f>Cen!B334</f>
        <v>ZSF.340E.M1</v>
      </c>
      <c r="R30" s="402" t="str">
        <f>Cen!C334</f>
        <v>ST/6</v>
      </c>
      <c r="S30" s="385"/>
      <c r="T30" s="402">
        <f>Cen!F334</f>
        <v>11.78777</v>
      </c>
      <c r="U30" s="387">
        <f>S30*T30</f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402" t="str">
        <f>Cen!A338</f>
        <v>Sada kování SPACE CORNER, D, šedá</v>
      </c>
      <c r="Q31" s="402" t="str">
        <f>Cen!B338</f>
        <v>ZSF.345E.D1</v>
      </c>
      <c r="R31" s="402" t="str">
        <f>Cen!C338</f>
        <v>ST/6</v>
      </c>
      <c r="S31" s="385">
        <f>SUM($S$3:$S$11)</f>
        <v>0</v>
      </c>
      <c r="T31" s="402">
        <f>Cen!F338</f>
        <v>16.024339999999999</v>
      </c>
      <c r="U31" s="387">
        <f>S31*T31</f>
        <v>0</v>
      </c>
    </row>
    <row r="32" spans="1:21" x14ac:dyDescent="0.25">
      <c r="A32" s="114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14"/>
      <c r="N32" s="114"/>
      <c r="O32" s="114"/>
    </row>
    <row r="33" spans="1:21" ht="13" x14ac:dyDescent="0.3">
      <c r="A33" s="114"/>
      <c r="B33" s="305"/>
      <c r="C33" s="305"/>
      <c r="D33" s="305"/>
      <c r="E33" s="305"/>
      <c r="F33" s="305"/>
      <c r="G33" s="305"/>
      <c r="H33" s="141"/>
      <c r="I33" s="141"/>
      <c r="J33" s="141"/>
      <c r="K33" s="141"/>
      <c r="L33" s="141"/>
      <c r="M33" s="114"/>
      <c r="N33" s="114"/>
      <c r="O33" s="114"/>
    </row>
    <row r="34" spans="1:21" x14ac:dyDescent="0.25">
      <c r="A34" s="114"/>
      <c r="B34" s="141"/>
      <c r="C34" s="141"/>
      <c r="D34" s="141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/>
      <c r="Q34" s="123"/>
      <c r="R34" s="123"/>
      <c r="S34" s="385"/>
      <c r="T34" s="402"/>
      <c r="U34" s="387"/>
    </row>
    <row r="35" spans="1:21" x14ac:dyDescent="0.25">
      <c r="A35" s="114"/>
      <c r="B35" s="141"/>
      <c r="C35" s="141"/>
      <c r="D35" s="141"/>
      <c r="E35" s="141"/>
      <c r="F35" s="141"/>
      <c r="G35" s="141"/>
      <c r="H35" s="141"/>
      <c r="I35" s="141"/>
      <c r="J35" s="147"/>
      <c r="K35" s="152"/>
      <c r="L35" s="152"/>
      <c r="M35" s="114"/>
      <c r="N35" s="114"/>
      <c r="O35" s="114"/>
      <c r="P35" s="123"/>
      <c r="Q35" s="123"/>
      <c r="R35" s="123"/>
      <c r="S35" s="385"/>
      <c r="T35" s="402"/>
      <c r="U35" s="387"/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7"/>
      <c r="K36" s="152"/>
      <c r="L36" s="152"/>
      <c r="M36" s="114"/>
      <c r="N36" s="114"/>
      <c r="O36" s="114"/>
      <c r="P36" s="123"/>
      <c r="Q36" s="123"/>
      <c r="R36" s="123"/>
      <c r="S36" s="385"/>
      <c r="T36" s="402"/>
      <c r="U36" s="387"/>
    </row>
    <row r="37" spans="1:21" x14ac:dyDescent="0.25">
      <c r="A37" s="114"/>
      <c r="B37" s="141"/>
      <c r="C37" s="141"/>
      <c r="D37" s="141"/>
      <c r="E37" s="141"/>
      <c r="F37" s="141"/>
      <c r="G37" s="141"/>
      <c r="H37" s="141"/>
      <c r="I37" s="141"/>
      <c r="J37" s="147"/>
      <c r="K37" s="152"/>
      <c r="L37" s="152"/>
      <c r="M37" s="114"/>
      <c r="N37" s="114"/>
      <c r="O37" s="114"/>
      <c r="P37" s="123"/>
      <c r="Q37" s="123"/>
      <c r="R37" s="123"/>
      <c r="S37" s="385"/>
      <c r="T37" s="402"/>
      <c r="U37" s="387"/>
    </row>
    <row r="38" spans="1:21" x14ac:dyDescent="0.25">
      <c r="A38" s="114"/>
      <c r="B38" s="141"/>
      <c r="C38" s="141"/>
      <c r="D38" s="141"/>
      <c r="E38" s="141"/>
      <c r="F38" s="141"/>
      <c r="G38" s="141"/>
      <c r="H38" s="141"/>
      <c r="I38" s="141"/>
      <c r="J38" s="147"/>
      <c r="K38" s="152"/>
      <c r="L38" s="152"/>
      <c r="M38" s="114"/>
      <c r="N38" s="114"/>
      <c r="O38" s="114"/>
      <c r="P38" s="123"/>
      <c r="Q38" s="123"/>
      <c r="R38" s="123"/>
      <c r="S38" s="385"/>
      <c r="T38" s="402"/>
      <c r="U38" s="387"/>
    </row>
    <row r="39" spans="1:21" x14ac:dyDescent="0.25">
      <c r="A39" s="114"/>
      <c r="B39" s="141"/>
      <c r="C39" s="141"/>
      <c r="D39" s="141"/>
      <c r="E39" s="141"/>
      <c r="F39" s="141"/>
      <c r="G39" s="141"/>
      <c r="H39" s="141"/>
      <c r="I39" s="141"/>
      <c r="J39" s="147"/>
      <c r="K39" s="152"/>
      <c r="L39" s="152"/>
      <c r="M39" s="114"/>
      <c r="N39" s="114"/>
      <c r="O39" s="114"/>
      <c r="P39" s="123"/>
      <c r="Q39" s="123"/>
      <c r="R39" s="123"/>
      <c r="S39" s="385"/>
      <c r="T39" s="402"/>
      <c r="U39" s="387"/>
    </row>
    <row r="40" spans="1:2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23"/>
      <c r="Q40" s="123"/>
      <c r="R40" s="123"/>
      <c r="S40" s="385"/>
      <c r="T40" s="402"/>
      <c r="U40" s="387"/>
    </row>
    <row r="41" spans="1:2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23" t="str">
        <f>Cen!A243</f>
        <v>Podélný reling vlevo/vpravo, 600mm, šedý</v>
      </c>
      <c r="Q41" s="123" t="str">
        <f>Cen!B243</f>
        <v>ZRG.537RSIC</v>
      </c>
      <c r="R41" s="123" t="str">
        <f>Cen!C243</f>
        <v>R906</v>
      </c>
      <c r="S41" s="385">
        <f>S10</f>
        <v>0</v>
      </c>
      <c r="T41" s="402">
        <f>Cen!F243</f>
        <v>6.9229999999999992</v>
      </c>
      <c r="U41" s="387">
        <f>S41*T41</f>
        <v>0</v>
      </c>
    </row>
    <row r="42" spans="1:2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23" t="str">
        <f>Cen!A247</f>
        <v>Podélný reling vlevo/vpravo, 650mm, šedý</v>
      </c>
      <c r="Q42" s="123" t="str">
        <f>Cen!B247</f>
        <v>ZRG.587RSIC</v>
      </c>
      <c r="R42" s="123" t="str">
        <f>Cen!C247</f>
        <v>R906</v>
      </c>
      <c r="S42" s="385">
        <f>S11</f>
        <v>0</v>
      </c>
      <c r="T42" s="402">
        <f>Cen!F247</f>
        <v>7.9644300000000001</v>
      </c>
      <c r="U42" s="387">
        <f>S42*T42</f>
        <v>0</v>
      </c>
    </row>
    <row r="43" spans="1:2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/>
      <c r="Q43" s="123"/>
      <c r="R43" s="123"/>
      <c r="S43" s="385"/>
      <c r="T43" s="402"/>
      <c r="U43" s="387"/>
    </row>
    <row r="44" spans="1:21" x14ac:dyDescent="0.25">
      <c r="P44" s="123" t="str">
        <f>Cen!A328</f>
        <v>Sada držáků zásuvného prvku D, bílošedá</v>
      </c>
      <c r="Q44" s="123" t="str">
        <f>Cen!B328</f>
        <v>Z36D0080</v>
      </c>
      <c r="R44" s="123" t="str">
        <f>Cen!C328</f>
        <v>WGR</v>
      </c>
      <c r="S44" s="385">
        <f>SUM($S$3:$S$11)</f>
        <v>0</v>
      </c>
      <c r="T44" s="402">
        <f>Cen!F328</f>
        <v>2.4851200000000002</v>
      </c>
      <c r="U44" s="387">
        <f>S44*T44</f>
        <v>0</v>
      </c>
    </row>
    <row r="45" spans="1:21" x14ac:dyDescent="0.25">
      <c r="P45" s="123"/>
      <c r="Q45" s="123"/>
      <c r="R45" s="123"/>
      <c r="S45" s="385"/>
      <c r="T45" s="402"/>
      <c r="U45" s="387"/>
    </row>
    <row r="46" spans="1:21" x14ac:dyDescent="0.25">
      <c r="P46" s="123"/>
      <c r="Q46" s="123"/>
      <c r="R46" s="123"/>
      <c r="S46" s="385"/>
      <c r="T46" s="402"/>
      <c r="U46" s="387"/>
    </row>
    <row r="47" spans="1:21" x14ac:dyDescent="0.25">
      <c r="P47" s="123"/>
      <c r="Q47" s="123"/>
      <c r="R47" s="123"/>
      <c r="S47" s="385"/>
      <c r="T47" s="402"/>
      <c r="U47" s="387"/>
    </row>
    <row r="48" spans="1:21" x14ac:dyDescent="0.25">
      <c r="P48" s="123"/>
      <c r="Q48" s="123"/>
      <c r="R48" s="123"/>
      <c r="S48" s="385"/>
      <c r="T48" s="402"/>
      <c r="U48" s="387"/>
    </row>
    <row r="49" spans="16:21" x14ac:dyDescent="0.25">
      <c r="P49" s="123"/>
      <c r="Q49" s="123"/>
      <c r="R49" s="123"/>
      <c r="S49" s="385"/>
      <c r="T49" s="402"/>
      <c r="U49" s="387"/>
    </row>
    <row r="50" spans="16:21" x14ac:dyDescent="0.25">
      <c r="P50" s="123"/>
      <c r="Q50" s="123"/>
      <c r="R50" s="123"/>
      <c r="S50" s="385"/>
      <c r="T50" s="402"/>
      <c r="U50" s="387"/>
    </row>
    <row r="51" spans="16:21" x14ac:dyDescent="0.25">
      <c r="P51" s="123"/>
      <c r="Q51" s="123"/>
      <c r="R51" s="123"/>
      <c r="S51" s="385"/>
      <c r="T51" s="402"/>
      <c r="U51" s="387"/>
    </row>
    <row r="52" spans="16:21" x14ac:dyDescent="0.25">
      <c r="P52" s="123"/>
      <c r="Q52" s="123"/>
      <c r="R52" s="123"/>
      <c r="S52" s="385"/>
      <c r="T52" s="402"/>
      <c r="U52" s="387"/>
    </row>
    <row r="53" spans="16:21" x14ac:dyDescent="0.25">
      <c r="P53" s="123" t="str">
        <f>Cen!A268</f>
        <v>Zásuvný prvek D, 600mm, čiré sko</v>
      </c>
      <c r="Q53" s="123" t="str">
        <f>Cen!B268</f>
        <v>Z37R567D</v>
      </c>
      <c r="R53" s="123" t="str">
        <f>Cen!C268</f>
        <v>KL</v>
      </c>
      <c r="S53" s="385">
        <f>S10</f>
        <v>0</v>
      </c>
      <c r="T53" s="402">
        <f>Cen!F268</f>
        <v>14.08703</v>
      </c>
      <c r="U53" s="387">
        <f>S53*T53</f>
        <v>0</v>
      </c>
    </row>
    <row r="54" spans="16:21" x14ac:dyDescent="0.25">
      <c r="P54" s="123" t="str">
        <f>Cen!A270</f>
        <v>Zásuvný prvek D, 650mm, čiré sko</v>
      </c>
      <c r="Q54" s="123" t="str">
        <f>Cen!B270</f>
        <v>Z37R617D</v>
      </c>
      <c r="R54" s="123" t="str">
        <f>Cen!C270</f>
        <v>KL</v>
      </c>
      <c r="S54" s="385">
        <f>S11</f>
        <v>0</v>
      </c>
      <c r="T54" s="402">
        <f>Cen!F270</f>
        <v>13.988720000000001</v>
      </c>
      <c r="U54" s="387">
        <f>S54*T54</f>
        <v>0</v>
      </c>
    </row>
    <row r="60" spans="16:21" x14ac:dyDescent="0.25">
      <c r="U60" s="152">
        <f>SUM(U3:U58)</f>
        <v>0</v>
      </c>
    </row>
  </sheetData>
  <sheetProtection algorithmName="SHA-512" hashValue="7ldzeDWb/I0TBpb+ibEtrMtcSXOvyhUB9sWkx5P0SZ1K5uDH6IdHcJbsRvS18Eq0qiVGzYbT8BEN/I4x3LEGeg==" saltValue="TKw23x8YinbOg+m8Rt+6J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V104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1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SPACE CORNER "&amp;List!$B$68&amp;" - D"</f>
        <v>Čelní výsuv SPACE CORNER s nehybnými čely - D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7.25" customHeight="1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List!$B$63</f>
        <v>kovový zásuvný prvek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25" si="0">S3*T3</f>
        <v>0</v>
      </c>
    </row>
    <row r="4" spans="1:22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430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2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List!B68</f>
        <v>s nehybnými čely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/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/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/>
      <c r="T9" s="386">
        <f>Cen!F52</f>
        <v>18.128509999999999</v>
      </c>
      <c r="U9" s="387">
        <f t="shared" si="0"/>
        <v>0</v>
      </c>
    </row>
    <row r="10" spans="1:22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IF($U$2=4, 0, SUM($K$19:$K$20))</f>
        <v>0</v>
      </c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IF($U$2=4, 0, $L$20)</f>
        <v>0</v>
      </c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14"/>
      <c r="I14" s="183"/>
      <c r="J14" s="303"/>
      <c r="K14" s="18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/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/>
      <c r="E18" s="286"/>
      <c r="F18" s="286"/>
      <c r="G18" s="286"/>
      <c r="H18" s="286"/>
      <c r="I18" s="286"/>
      <c r="J18" s="286"/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/>
      <c r="C19" s="291" t="s">
        <v>447</v>
      </c>
      <c r="D19" s="301"/>
      <c r="E19" s="301"/>
      <c r="F19" s="301"/>
      <c r="G19" s="301"/>
      <c r="H19" s="301"/>
      <c r="I19" s="301"/>
      <c r="J19" s="301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/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942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/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IF($U$2=4, 0, $K$20)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3"/>
      <c r="Q26" s="123"/>
      <c r="R26" s="123"/>
      <c r="S26" s="385"/>
      <c r="T26" s="386"/>
      <c r="U26" s="387"/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/>
      <c r="Q27" s="123"/>
      <c r="R27" s="123"/>
      <c r="S27" s="385"/>
      <c r="T27" s="402"/>
      <c r="U27" s="387"/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/>
      <c r="Q28" s="123"/>
      <c r="R28" s="123"/>
      <c r="S28" s="385"/>
      <c r="T28" s="402"/>
      <c r="U28" s="387"/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/>
      <c r="Q29" s="123"/>
      <c r="R29" s="123"/>
      <c r="S29" s="385"/>
      <c r="T29" s="386"/>
      <c r="U29" s="387"/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402" t="str">
        <f>Cen!A334</f>
        <v>Sada kování SPACE CORNER, M, šedá</v>
      </c>
      <c r="Q30" s="402" t="str">
        <f>Cen!B334</f>
        <v>ZSF.340E.M1</v>
      </c>
      <c r="R30" s="402" t="str">
        <f>Cen!C334</f>
        <v>ST/6</v>
      </c>
      <c r="S30" s="385"/>
      <c r="T30" s="402">
        <f>Cen!F334</f>
        <v>11.78777</v>
      </c>
      <c r="U30" s="387">
        <f>S30*T30</f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402" t="str">
        <f>Cen!A338</f>
        <v>Sada kování SPACE CORNER, D, šedá</v>
      </c>
      <c r="Q31" s="402" t="str">
        <f>Cen!B338</f>
        <v>ZSF.345E.D1</v>
      </c>
      <c r="R31" s="402" t="str">
        <f>Cen!C338</f>
        <v>ST/6</v>
      </c>
      <c r="S31" s="385">
        <f>SUM($S$3:$S$11)</f>
        <v>0</v>
      </c>
      <c r="T31" s="402">
        <f>Cen!F338</f>
        <v>16.024339999999999</v>
      </c>
      <c r="U31" s="387">
        <f>S31*T31</f>
        <v>0</v>
      </c>
    </row>
    <row r="32" spans="1:2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ht="13" x14ac:dyDescent="0.3">
      <c r="A33" s="114"/>
      <c r="B33" s="305"/>
      <c r="C33" s="305"/>
      <c r="D33" s="305"/>
      <c r="E33" s="305"/>
      <c r="F33" s="305"/>
      <c r="G33" s="305"/>
      <c r="H33" s="141"/>
      <c r="I33" s="141"/>
      <c r="J33" s="141"/>
      <c r="K33" s="141"/>
      <c r="L33" s="141"/>
      <c r="M33" s="114"/>
      <c r="N33" s="114"/>
      <c r="O33" s="114"/>
    </row>
    <row r="34" spans="1:21" x14ac:dyDescent="0.25">
      <c r="A34" s="114"/>
      <c r="B34" s="141"/>
      <c r="C34" s="141"/>
      <c r="D34" s="141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/>
      <c r="Q34" s="123"/>
      <c r="R34" s="123"/>
      <c r="S34" s="385"/>
      <c r="T34" s="402"/>
      <c r="U34" s="387"/>
    </row>
    <row r="35" spans="1:21" x14ac:dyDescent="0.25">
      <c r="A35" s="114"/>
      <c r="B35" s="141"/>
      <c r="C35" s="141"/>
      <c r="D35" s="141"/>
      <c r="E35" s="141"/>
      <c r="F35" s="141"/>
      <c r="G35" s="141"/>
      <c r="H35" s="141"/>
      <c r="I35" s="141"/>
      <c r="J35" s="147"/>
      <c r="K35" s="152"/>
      <c r="L35" s="152"/>
      <c r="M35" s="114"/>
      <c r="N35" s="114"/>
      <c r="O35" s="114"/>
      <c r="P35" s="123"/>
      <c r="Q35" s="123"/>
      <c r="R35" s="123"/>
      <c r="S35" s="385"/>
      <c r="T35" s="402"/>
      <c r="U35" s="387"/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7"/>
      <c r="K36" s="152"/>
      <c r="L36" s="152"/>
      <c r="M36" s="114"/>
      <c r="N36" s="114"/>
      <c r="O36" s="114"/>
      <c r="P36" s="123"/>
      <c r="Q36" s="123"/>
      <c r="R36" s="123"/>
      <c r="S36" s="385"/>
      <c r="T36" s="402"/>
      <c r="U36" s="387"/>
    </row>
    <row r="37" spans="1:21" x14ac:dyDescent="0.25">
      <c r="A37" s="114"/>
      <c r="B37" s="141"/>
      <c r="C37" s="141"/>
      <c r="D37" s="141"/>
      <c r="E37" s="141"/>
      <c r="F37" s="141"/>
      <c r="G37" s="141"/>
      <c r="H37" s="141"/>
      <c r="I37" s="141"/>
      <c r="J37" s="147"/>
      <c r="K37" s="152"/>
      <c r="L37" s="152"/>
      <c r="M37" s="114"/>
      <c r="N37" s="114"/>
      <c r="O37" s="114"/>
      <c r="P37" s="123"/>
      <c r="Q37" s="123"/>
      <c r="R37" s="123"/>
      <c r="S37" s="385"/>
      <c r="T37" s="402"/>
      <c r="U37" s="387"/>
    </row>
    <row r="38" spans="1:21" x14ac:dyDescent="0.25">
      <c r="A38" s="114"/>
      <c r="B38" s="141"/>
      <c r="C38" s="141"/>
      <c r="D38" s="141"/>
      <c r="E38" s="141"/>
      <c r="F38" s="141"/>
      <c r="G38" s="141"/>
      <c r="H38" s="141"/>
      <c r="I38" s="141"/>
      <c r="J38" s="147"/>
      <c r="K38" s="152"/>
      <c r="L38" s="152"/>
      <c r="M38" s="114"/>
      <c r="N38" s="114"/>
      <c r="O38" s="114"/>
      <c r="P38" s="123"/>
      <c r="Q38" s="123"/>
      <c r="R38" s="123"/>
      <c r="S38" s="385"/>
      <c r="T38" s="402"/>
      <c r="U38" s="387"/>
    </row>
    <row r="39" spans="1:21" x14ac:dyDescent="0.25">
      <c r="A39" s="114"/>
      <c r="B39" s="141"/>
      <c r="C39" s="141"/>
      <c r="D39" s="141"/>
      <c r="E39" s="141"/>
      <c r="F39" s="141"/>
      <c r="G39" s="141"/>
      <c r="H39" s="141"/>
      <c r="I39" s="141"/>
      <c r="J39" s="147"/>
      <c r="K39" s="152"/>
      <c r="L39" s="152"/>
      <c r="M39" s="114"/>
      <c r="N39" s="114"/>
      <c r="O39" s="114"/>
      <c r="P39" s="123"/>
      <c r="Q39" s="123"/>
      <c r="R39" s="123"/>
      <c r="S39" s="385"/>
      <c r="T39" s="402"/>
      <c r="U39" s="387"/>
    </row>
    <row r="40" spans="1:2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23"/>
      <c r="Q40" s="123"/>
      <c r="R40" s="123"/>
      <c r="S40" s="385"/>
      <c r="T40" s="402"/>
      <c r="U40" s="387"/>
    </row>
    <row r="41" spans="1:2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23" t="str">
        <f>Cen!A243</f>
        <v>Podélný reling vlevo/vpravo, 600mm, šedý</v>
      </c>
      <c r="Q41" s="123" t="str">
        <f>Cen!B243</f>
        <v>ZRG.537RSIC</v>
      </c>
      <c r="R41" s="123" t="str">
        <f>Cen!C243</f>
        <v>R906</v>
      </c>
      <c r="S41" s="385">
        <f>S10</f>
        <v>0</v>
      </c>
      <c r="T41" s="402">
        <f>Cen!F243</f>
        <v>6.9229999999999992</v>
      </c>
      <c r="U41" s="387">
        <f>S41*T41</f>
        <v>0</v>
      </c>
    </row>
    <row r="42" spans="1:2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23" t="str">
        <f>Cen!A247</f>
        <v>Podélný reling vlevo/vpravo, 650mm, šedý</v>
      </c>
      <c r="Q42" s="123" t="str">
        <f>Cen!B247</f>
        <v>ZRG.587RSIC</v>
      </c>
      <c r="R42" s="123" t="str">
        <f>Cen!C247</f>
        <v>R906</v>
      </c>
      <c r="S42" s="385">
        <f>S11</f>
        <v>0</v>
      </c>
      <c r="T42" s="402">
        <f>Cen!F247</f>
        <v>7.9644300000000001</v>
      </c>
      <c r="U42" s="387">
        <f>S42*T42</f>
        <v>0</v>
      </c>
    </row>
    <row r="43" spans="1:2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/>
      <c r="Q43" s="123"/>
      <c r="R43" s="123"/>
      <c r="S43" s="385"/>
      <c r="T43" s="402"/>
      <c r="U43" s="387"/>
    </row>
    <row r="44" spans="1:21" x14ac:dyDescent="0.25">
      <c r="P44" s="123" t="str">
        <f>Cen!A328</f>
        <v>Sada držáků zásuvného prvku D, bílošedá</v>
      </c>
      <c r="Q44" s="123" t="str">
        <f>Cen!B328</f>
        <v>Z36D0080</v>
      </c>
      <c r="R44" s="123" t="str">
        <f>Cen!C328</f>
        <v>WGR</v>
      </c>
      <c r="S44" s="385">
        <f>SUM($S$3:$S$11)</f>
        <v>0</v>
      </c>
      <c r="T44" s="402">
        <f>Cen!F328</f>
        <v>2.4851200000000002</v>
      </c>
      <c r="U44" s="387">
        <f>S44*T44</f>
        <v>0</v>
      </c>
    </row>
    <row r="45" spans="1:21" x14ac:dyDescent="0.25">
      <c r="P45" s="123"/>
      <c r="Q45" s="123"/>
      <c r="R45" s="123"/>
      <c r="S45" s="385"/>
      <c r="T45" s="402"/>
      <c r="U45" s="387"/>
    </row>
    <row r="46" spans="1:21" x14ac:dyDescent="0.25">
      <c r="P46" s="123"/>
      <c r="Q46" s="123"/>
      <c r="R46" s="123"/>
      <c r="S46" s="385"/>
      <c r="T46" s="402"/>
      <c r="U46" s="387"/>
    </row>
    <row r="47" spans="1:21" x14ac:dyDescent="0.25">
      <c r="P47" s="123"/>
      <c r="Q47" s="123"/>
      <c r="R47" s="123"/>
      <c r="S47" s="385"/>
      <c r="T47" s="402"/>
      <c r="U47" s="387"/>
    </row>
    <row r="48" spans="1:21" x14ac:dyDescent="0.25">
      <c r="P48" s="123"/>
      <c r="Q48" s="123"/>
      <c r="R48" s="123"/>
      <c r="S48" s="385"/>
      <c r="T48" s="402"/>
      <c r="U48" s="387"/>
    </row>
    <row r="49" spans="16:21" x14ac:dyDescent="0.25">
      <c r="P49" s="123"/>
      <c r="Q49" s="123"/>
      <c r="R49" s="123"/>
      <c r="S49" s="385"/>
      <c r="T49" s="402"/>
      <c r="U49" s="387"/>
    </row>
    <row r="50" spans="16:21" x14ac:dyDescent="0.25">
      <c r="P50" s="123"/>
      <c r="Q50" s="123"/>
      <c r="R50" s="123"/>
      <c r="S50" s="385"/>
      <c r="T50" s="402"/>
      <c r="U50" s="387"/>
    </row>
    <row r="51" spans="16:21" x14ac:dyDescent="0.25">
      <c r="P51" s="123"/>
      <c r="Q51" s="123"/>
      <c r="R51" s="123"/>
      <c r="S51" s="385"/>
      <c r="T51" s="402"/>
      <c r="U51" s="387"/>
    </row>
    <row r="52" spans="16:21" x14ac:dyDescent="0.25">
      <c r="P52" s="123"/>
      <c r="Q52" s="123"/>
      <c r="R52" s="123"/>
      <c r="S52" s="385"/>
      <c r="T52" s="402"/>
      <c r="U52" s="387"/>
    </row>
    <row r="53" spans="16:21" x14ac:dyDescent="0.25">
      <c r="P53" s="123">
        <f>Cen!A301</f>
        <v>0</v>
      </c>
      <c r="Q53" s="123">
        <f>Cen!B301</f>
        <v>0</v>
      </c>
      <c r="R53" s="123">
        <f>Cen!C301</f>
        <v>0</v>
      </c>
      <c r="S53" s="385"/>
      <c r="T53" s="402">
        <f>Cen!F301</f>
        <v>0</v>
      </c>
      <c r="U53" s="387">
        <f>S53*T53</f>
        <v>0</v>
      </c>
    </row>
    <row r="54" spans="16:21" x14ac:dyDescent="0.25">
      <c r="P54" s="123" t="str">
        <f>Cen!A304</f>
        <v>Kovový zásuvný prvek D, 650mm, šedý</v>
      </c>
      <c r="Q54" s="123" t="str">
        <f>Cen!B304</f>
        <v>Z37A617D</v>
      </c>
      <c r="R54" s="123" t="str">
        <f>Cen!C304</f>
        <v>R906</v>
      </c>
      <c r="S54" s="385">
        <f>SUM(S10, S11)*2</f>
        <v>0</v>
      </c>
      <c r="T54" s="402">
        <f>Cen!F304</f>
        <v>8.0120000000000005</v>
      </c>
      <c r="U54" s="387">
        <f>S54*T54</f>
        <v>0</v>
      </c>
    </row>
    <row r="60" spans="16:21" x14ac:dyDescent="0.25">
      <c r="U60" s="152">
        <f>SUM(U3:U58)</f>
        <v>0</v>
      </c>
    </row>
    <row r="103" spans="16:16" x14ac:dyDescent="0.25">
      <c r="P103" s="114" t="str">
        <f>List!$B$289&amp;"!"</f>
        <v>Kovové zásuvné prvky pro nerez (Inox) se nevyrábí!</v>
      </c>
    </row>
    <row r="104" spans="16:16" x14ac:dyDescent="0.25">
      <c r="P104" s="114" t="str">
        <f>List!$B$290&amp;"!"</f>
        <v>Kování naplánované na tomto listu se neprojeví v objednávce!</v>
      </c>
    </row>
  </sheetData>
  <sheetProtection algorithmName="SHA-512" hashValue="n6spXewkvMglSK6RVBvOOoOJhgB2XZ6e8gnnMH4QHqdldPat87aIzkeQ3FeBELyLPfztBJ5dzK+6RfY4G7Yyaw==" saltValue="Qyl7G1pW8/Ih9S8H24mEFg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U6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1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SPACE CORNER "&amp;List!$B$68&amp;" - D"</f>
        <v>Čelní výsuv SPACE CORNER s nehybnými čely - D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25" customHeight="1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List!$B$64</f>
        <v>podélný reling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25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430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List!B68</f>
        <v>s nehybnými čely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/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/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/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$L$20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183"/>
      <c r="J14" s="303"/>
      <c r="K14" s="18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/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/>
      <c r="E18" s="286"/>
      <c r="F18" s="286"/>
      <c r="G18" s="286"/>
      <c r="H18" s="286"/>
      <c r="I18" s="286"/>
      <c r="J18" s="286"/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/>
      <c r="C19" s="291" t="s">
        <v>447</v>
      </c>
      <c r="D19" s="301"/>
      <c r="E19" s="301"/>
      <c r="F19" s="301"/>
      <c r="G19" s="301"/>
      <c r="H19" s="301"/>
      <c r="I19" s="301"/>
      <c r="J19" s="301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/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943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/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3"/>
      <c r="Q26" s="123"/>
      <c r="R26" s="123"/>
      <c r="S26" s="385"/>
      <c r="T26" s="386"/>
      <c r="U26" s="387"/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/>
      <c r="Q27" s="123"/>
      <c r="R27" s="123"/>
      <c r="S27" s="385"/>
      <c r="T27" s="402"/>
      <c r="U27" s="387"/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/>
      <c r="Q28" s="123"/>
      <c r="R28" s="123"/>
      <c r="S28" s="385"/>
      <c r="T28" s="402"/>
      <c r="U28" s="387"/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/>
      <c r="Q29" s="123"/>
      <c r="R29" s="123"/>
      <c r="S29" s="385"/>
      <c r="T29" s="386"/>
      <c r="U29" s="387"/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402" t="str">
        <f>Cen!A334</f>
        <v>Sada kování SPACE CORNER, M, šedá</v>
      </c>
      <c r="Q30" s="402" t="str">
        <f>Cen!B334</f>
        <v>ZSF.340E.M1</v>
      </c>
      <c r="R30" s="402" t="str">
        <f>Cen!C334</f>
        <v>ST/6</v>
      </c>
      <c r="S30" s="385"/>
      <c r="T30" s="402">
        <f>Cen!F334</f>
        <v>11.78777</v>
      </c>
      <c r="U30" s="387">
        <f>S30*T30</f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402" t="str">
        <f>Cen!A338</f>
        <v>Sada kování SPACE CORNER, D, šedá</v>
      </c>
      <c r="Q31" s="402" t="str">
        <f>Cen!B338</f>
        <v>ZSF.345E.D1</v>
      </c>
      <c r="R31" s="402" t="str">
        <f>Cen!C338</f>
        <v>ST/6</v>
      </c>
      <c r="S31" s="385">
        <f>SUM($S$3:$S$11)</f>
        <v>0</v>
      </c>
      <c r="T31" s="402">
        <f>Cen!F338</f>
        <v>16.024339999999999</v>
      </c>
      <c r="U31" s="387">
        <f>S31*T31</f>
        <v>0</v>
      </c>
    </row>
    <row r="32" spans="1:2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ht="13" x14ac:dyDescent="0.3">
      <c r="A33" s="114"/>
      <c r="B33" s="193" t="str">
        <f>List!$B$23&amp;": *"</f>
        <v>Volitelně: *</v>
      </c>
      <c r="C33" s="305"/>
      <c r="D33" s="305"/>
      <c r="E33" s="305"/>
      <c r="F33" s="305"/>
      <c r="G33" s="305"/>
      <c r="H33" s="114"/>
      <c r="I33" s="114"/>
      <c r="J33" s="114"/>
      <c r="K33" s="114"/>
      <c r="L33" s="114"/>
      <c r="M33" s="114"/>
      <c r="N33" s="114"/>
      <c r="O33" s="114"/>
    </row>
    <row r="34" spans="1:21" ht="15" customHeight="1" x14ac:dyDescent="0.25">
      <c r="A34" s="114"/>
      <c r="B34" s="407" t="str">
        <f>Cen!A328</f>
        <v>Sada držáků zásuvného prvku D, bílošedá</v>
      </c>
      <c r="C34" s="407"/>
      <c r="D34" s="407"/>
      <c r="E34" s="407"/>
      <c r="F34" s="407"/>
      <c r="G34" s="407"/>
      <c r="H34" s="407" t="str">
        <f>Cen!B328</f>
        <v>Z36D0080</v>
      </c>
      <c r="I34" s="407" t="str">
        <f>Cen!C328</f>
        <v>WGR</v>
      </c>
      <c r="J34" s="408"/>
      <c r="K34" s="152"/>
      <c r="L34" s="152"/>
      <c r="M34" s="114"/>
      <c r="N34" s="114"/>
      <c r="O34" s="114"/>
      <c r="P34" s="123"/>
      <c r="Q34" s="123"/>
      <c r="R34" s="123"/>
      <c r="S34" s="385"/>
      <c r="T34" s="402"/>
      <c r="U34" s="387"/>
    </row>
    <row r="35" spans="1:2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23"/>
      <c r="Q35" s="123"/>
      <c r="R35" s="123"/>
      <c r="S35" s="385"/>
      <c r="T35" s="402"/>
      <c r="U35" s="387"/>
    </row>
    <row r="36" spans="1:21" x14ac:dyDescent="0.25">
      <c r="A36" s="114"/>
      <c r="B36" s="114" t="str">
        <f>"     * "&amp;List!$B$148</f>
        <v xml:space="preserve">     * Sada držáků, pro vlastní zásuvný prvek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23"/>
      <c r="Q36" s="123"/>
      <c r="R36" s="123"/>
      <c r="S36" s="385"/>
      <c r="T36" s="402"/>
      <c r="U36" s="387"/>
    </row>
    <row r="37" spans="1:21" x14ac:dyDescent="0.25">
      <c r="B37" s="114"/>
      <c r="C37" s="114"/>
      <c r="D37" s="114"/>
      <c r="E37" s="114"/>
      <c r="F37" s="114"/>
      <c r="G37" s="114"/>
      <c r="P37" s="123"/>
      <c r="Q37" s="123"/>
      <c r="R37" s="123"/>
      <c r="S37" s="385"/>
      <c r="T37" s="402"/>
      <c r="U37" s="387"/>
    </row>
    <row r="38" spans="1:21" x14ac:dyDescent="0.25">
      <c r="P38" s="123"/>
      <c r="Q38" s="123"/>
      <c r="R38" s="123"/>
      <c r="S38" s="385"/>
      <c r="T38" s="402"/>
      <c r="U38" s="387"/>
    </row>
    <row r="39" spans="1:21" x14ac:dyDescent="0.25">
      <c r="P39" s="123"/>
      <c r="Q39" s="123"/>
      <c r="R39" s="123"/>
      <c r="S39" s="385"/>
      <c r="T39" s="402"/>
      <c r="U39" s="387"/>
    </row>
    <row r="40" spans="1:21" x14ac:dyDescent="0.25">
      <c r="P40" s="123"/>
      <c r="Q40" s="123"/>
      <c r="R40" s="123"/>
      <c r="S40" s="385"/>
      <c r="T40" s="402"/>
      <c r="U40" s="387"/>
    </row>
    <row r="41" spans="1:21" x14ac:dyDescent="0.25">
      <c r="P41" s="123" t="str">
        <f>Cen!A243</f>
        <v>Podélný reling vlevo/vpravo, 600mm, šedý</v>
      </c>
      <c r="Q41" s="123" t="str">
        <f>Cen!B243</f>
        <v>ZRG.537RSIC</v>
      </c>
      <c r="R41" s="123" t="str">
        <f>Cen!C243</f>
        <v>R906</v>
      </c>
      <c r="S41" s="385">
        <f>S10</f>
        <v>0</v>
      </c>
      <c r="T41" s="402">
        <f>Cen!F243</f>
        <v>6.9229999999999992</v>
      </c>
      <c r="U41" s="387">
        <f>S41*T41</f>
        <v>0</v>
      </c>
    </row>
    <row r="42" spans="1:21" x14ac:dyDescent="0.25">
      <c r="P42" s="123" t="str">
        <f>Cen!A247</f>
        <v>Podélný reling vlevo/vpravo, 650mm, šedý</v>
      </c>
      <c r="Q42" s="123" t="str">
        <f>Cen!B247</f>
        <v>ZRG.587RSIC</v>
      </c>
      <c r="R42" s="123" t="str">
        <f>Cen!C247</f>
        <v>R906</v>
      </c>
      <c r="S42" s="385">
        <f>S11</f>
        <v>0</v>
      </c>
      <c r="T42" s="402">
        <f>Cen!F247</f>
        <v>7.9644300000000001</v>
      </c>
      <c r="U42" s="387">
        <f>S42*T42</f>
        <v>0</v>
      </c>
    </row>
    <row r="43" spans="1:21" x14ac:dyDescent="0.25">
      <c r="P43" s="123"/>
      <c r="Q43" s="123"/>
      <c r="R43" s="123"/>
      <c r="S43" s="385"/>
      <c r="T43" s="402"/>
      <c r="U43" s="387"/>
    </row>
    <row r="44" spans="1:21" x14ac:dyDescent="0.25">
      <c r="P44" s="123" t="str">
        <f>Cen!A328</f>
        <v>Sada držáků zásuvného prvku D, bílošedá</v>
      </c>
      <c r="Q44" s="123" t="str">
        <f>Cen!B328</f>
        <v>Z36D0080</v>
      </c>
      <c r="R44" s="123" t="str">
        <f>Cen!C328</f>
        <v>WGR</v>
      </c>
      <c r="S44" s="385">
        <f>J34</f>
        <v>0</v>
      </c>
      <c r="T44" s="402">
        <f>Cen!F328</f>
        <v>2.4851200000000002</v>
      </c>
      <c r="U44" s="387">
        <f>S44*T44</f>
        <v>0</v>
      </c>
    </row>
    <row r="45" spans="1:21" x14ac:dyDescent="0.25">
      <c r="P45" s="123"/>
      <c r="Q45" s="123"/>
      <c r="R45" s="123"/>
      <c r="S45" s="385"/>
      <c r="T45" s="402"/>
      <c r="U45" s="387"/>
    </row>
    <row r="46" spans="1:21" x14ac:dyDescent="0.25">
      <c r="P46" s="123"/>
      <c r="Q46" s="123"/>
      <c r="R46" s="123"/>
      <c r="S46" s="385"/>
      <c r="T46" s="402"/>
      <c r="U46" s="387"/>
    </row>
    <row r="47" spans="1:21" x14ac:dyDescent="0.25">
      <c r="P47" s="123"/>
      <c r="Q47" s="123"/>
      <c r="R47" s="123"/>
      <c r="S47" s="385"/>
      <c r="T47" s="402"/>
      <c r="U47" s="387"/>
    </row>
    <row r="48" spans="1:21" x14ac:dyDescent="0.25">
      <c r="P48" s="123"/>
      <c r="Q48" s="123"/>
      <c r="R48" s="123"/>
      <c r="S48" s="385"/>
      <c r="T48" s="402"/>
      <c r="U48" s="387"/>
    </row>
    <row r="49" spans="16:21" x14ac:dyDescent="0.25">
      <c r="P49" s="123"/>
      <c r="Q49" s="123"/>
      <c r="R49" s="123"/>
      <c r="S49" s="385"/>
      <c r="T49" s="402"/>
      <c r="U49" s="387"/>
    </row>
    <row r="50" spans="16:21" x14ac:dyDescent="0.25">
      <c r="P50" s="123"/>
      <c r="Q50" s="123"/>
      <c r="R50" s="123"/>
      <c r="S50" s="385"/>
      <c r="T50" s="402"/>
      <c r="U50" s="387"/>
    </row>
    <row r="51" spans="16:21" x14ac:dyDescent="0.25">
      <c r="P51" s="123"/>
      <c r="Q51" s="123"/>
      <c r="R51" s="123"/>
      <c r="S51" s="385"/>
      <c r="T51" s="402"/>
      <c r="U51" s="387"/>
    </row>
    <row r="52" spans="16:21" x14ac:dyDescent="0.25">
      <c r="P52" s="123"/>
      <c r="Q52" s="123"/>
      <c r="R52" s="123"/>
      <c r="S52" s="385"/>
      <c r="T52" s="402"/>
      <c r="U52" s="387"/>
    </row>
    <row r="53" spans="16:21" x14ac:dyDescent="0.25">
      <c r="P53" s="123"/>
      <c r="Q53" s="123"/>
      <c r="R53" s="123"/>
      <c r="S53" s="385"/>
      <c r="T53" s="402"/>
      <c r="U53" s="387"/>
    </row>
    <row r="54" spans="16:21" x14ac:dyDescent="0.25">
      <c r="P54" s="123"/>
      <c r="Q54" s="123"/>
      <c r="R54" s="123"/>
      <c r="S54" s="385"/>
      <c r="T54" s="402"/>
      <c r="U54" s="387"/>
    </row>
    <row r="60" spans="16:21" x14ac:dyDescent="0.25">
      <c r="U60" s="152">
        <f>SUM(U3:U58)</f>
        <v>0</v>
      </c>
    </row>
  </sheetData>
  <sheetProtection algorithmName="SHA-512" hashValue="npKfUcB3MYHc4aMTaJkLyhG3+hagDyhRI88ERDq1NOpBzpv8tgmRRCIQiWKtxEeNpNnADijGJjkjysV60odbLA==" saltValue="HWqmwK9GdD4395bt46qmbQ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U7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List!$B$50&amp;" M"</f>
        <v>Dřezová zásuvka M</v>
      </c>
      <c r="M2" s="114"/>
      <c r="N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x14ac:dyDescent="0.2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$G$25)*2</f>
        <v>0</v>
      </c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$H$25:$H$26)*2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$I$25:$I$26)*2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$J$25:$J$26)*2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183"/>
      <c r="J14" s="303"/>
      <c r="K14" s="18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914</v>
      </c>
      <c r="C19" s="291" t="s">
        <v>447</v>
      </c>
      <c r="D19" s="294"/>
      <c r="E19" s="294"/>
      <c r="F19" s="294"/>
      <c r="G19" s="292"/>
      <c r="H19" s="292"/>
      <c r="I19" s="292"/>
      <c r="J19" s="292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5.75" customHeight="1" x14ac:dyDescent="0.3">
      <c r="A20" s="114"/>
      <c r="B20" s="295"/>
      <c r="C20" s="296"/>
      <c r="D20" s="297"/>
      <c r="E20" s="297"/>
      <c r="F20" s="297"/>
      <c r="G20" s="297"/>
      <c r="H20" s="297"/>
      <c r="I20" s="297"/>
      <c r="J20" s="297"/>
      <c r="K20" s="297"/>
      <c r="L20" s="297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305"/>
      <c r="C39" s="305"/>
      <c r="D39" s="305"/>
      <c r="E39" s="305"/>
      <c r="F39" s="305"/>
      <c r="G39" s="305"/>
      <c r="H39" s="141"/>
      <c r="I39" s="141"/>
      <c r="J39" s="141"/>
      <c r="K39" s="141"/>
      <c r="L39" s="141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O45" s="114"/>
      <c r="P45" s="123"/>
      <c r="Q45" s="123"/>
      <c r="R45" s="123"/>
      <c r="S45" s="385"/>
      <c r="T45" s="386"/>
      <c r="U45" s="387"/>
    </row>
    <row r="46" spans="1:21" x14ac:dyDescent="0.25"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6:21" x14ac:dyDescent="0.25"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6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6:21" x14ac:dyDescent="0.25">
      <c r="P51" s="123"/>
      <c r="Q51" s="123"/>
      <c r="R51" s="123"/>
      <c r="S51" s="385"/>
      <c r="T51" s="386"/>
      <c r="U51" s="387"/>
    </row>
    <row r="52" spans="16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6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>
        <f>SUM($S$3:$S$11)</f>
        <v>0</v>
      </c>
      <c r="T53" s="386">
        <f>Cen!F147</f>
        <v>1.59188</v>
      </c>
      <c r="U53" s="387">
        <f t="shared" si="2"/>
        <v>0</v>
      </c>
    </row>
    <row r="54" spans="16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6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6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6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 t="shared" si="2"/>
        <v>0</v>
      </c>
    </row>
    <row r="58" spans="16:21" x14ac:dyDescent="0.25">
      <c r="P58" s="123"/>
      <c r="Q58" s="123"/>
      <c r="R58" s="123"/>
      <c r="S58" s="385"/>
      <c r="T58" s="386"/>
      <c r="U58" s="387">
        <f t="shared" si="2"/>
        <v>0</v>
      </c>
    </row>
    <row r="59" spans="16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70" spans="21:21" x14ac:dyDescent="0.25">
      <c r="U70" s="152">
        <f>SUM(U3:U68)</f>
        <v>0</v>
      </c>
    </row>
  </sheetData>
  <sheetProtection algorithmName="SHA-512" hashValue="UwbZLadMjvS4Rsiz+dHA6+MhELf8EaaJelNBD0BY1rupsJJN3XaMZ8TWDurE4Aph3VuI0s3ZwdbgDiyPpFa7hA==" saltValue="7FYt60fth+nDKvxglV2bP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U19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 customWidth="1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9.1796875" style="2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List!$B$51&amp;" D, "&amp;List!$B$62</f>
        <v>Dřezový výsuv D, zásuvný prvek sklo</v>
      </c>
      <c r="M2" s="114"/>
      <c r="N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x14ac:dyDescent="0.2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tr">
        <f>List!$B$32&amp;":"</f>
        <v>sklo:</v>
      </c>
      <c r="J6" s="117"/>
      <c r="K6" s="116" t="str">
        <f>Form!$O$8</f>
        <v>čiré</v>
      </c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23"/>
      <c r="Q12" s="123"/>
      <c r="R12" s="123"/>
      <c r="S12" s="385"/>
      <c r="T12" s="386"/>
      <c r="U12" s="387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17" t="str">
        <f>Cen!A359</f>
        <v>Bočnice dřezové, 500 mm, šedé</v>
      </c>
      <c r="Q13" s="117" t="str">
        <f>Cen!B359</f>
        <v>378M5004SG</v>
      </c>
      <c r="R13" s="117" t="str">
        <f>Cen!C359</f>
        <v>WA/G</v>
      </c>
      <c r="S13" s="119">
        <f>SUM($I$19:$I$20, $I$25:$I$26)</f>
        <v>0</v>
      </c>
      <c r="T13" s="112">
        <f>Cen!F359</f>
        <v>20.000679999999999</v>
      </c>
      <c r="U13" s="113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183"/>
      <c r="J14" s="303"/>
      <c r="K14" s="183"/>
      <c r="L14" s="183"/>
      <c r="M14" s="114"/>
      <c r="N14" s="114"/>
      <c r="O14" s="114"/>
      <c r="P14" s="122"/>
      <c r="Q14" s="122"/>
      <c r="R14" s="122"/>
      <c r="S14" s="391"/>
      <c r="T14" s="392"/>
      <c r="U14" s="393"/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915</v>
      </c>
      <c r="C19" s="291" t="s">
        <v>447</v>
      </c>
      <c r="D19" s="294"/>
      <c r="E19" s="294"/>
      <c r="F19" s="294"/>
      <c r="G19" s="294"/>
      <c r="H19" s="294"/>
      <c r="I19" s="292"/>
      <c r="J19" s="294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916</v>
      </c>
      <c r="C20" s="296" t="s">
        <v>446</v>
      </c>
      <c r="D20" s="297"/>
      <c r="E20" s="297"/>
      <c r="F20" s="297"/>
      <c r="G20" s="297"/>
      <c r="H20" s="297"/>
      <c r="I20" s="298"/>
      <c r="J20" s="297"/>
      <c r="K20" s="297"/>
      <c r="L20" s="297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917</v>
      </c>
      <c r="C25" s="291" t="s">
        <v>447</v>
      </c>
      <c r="D25" s="294"/>
      <c r="E25" s="294"/>
      <c r="F25" s="294"/>
      <c r="G25" s="294"/>
      <c r="H25" s="294"/>
      <c r="I25" s="292"/>
      <c r="J25" s="294"/>
      <c r="K25" s="294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918</v>
      </c>
      <c r="C26" s="296" t="s">
        <v>446</v>
      </c>
      <c r="D26" s="297"/>
      <c r="E26" s="297"/>
      <c r="F26" s="297"/>
      <c r="G26" s="297"/>
      <c r="H26" s="297"/>
      <c r="I26" s="298"/>
      <c r="J26" s="297"/>
      <c r="K26" s="297"/>
      <c r="L26" s="297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ht="14" x14ac:dyDescent="0.3">
      <c r="A27" s="114"/>
      <c r="B27" s="375"/>
      <c r="C27" s="351"/>
      <c r="D27" s="361"/>
      <c r="E27" s="361"/>
      <c r="F27" s="361"/>
      <c r="G27" s="361"/>
      <c r="H27" s="361"/>
      <c r="I27" s="330"/>
      <c r="J27" s="361"/>
      <c r="K27" s="361"/>
      <c r="L27" s="361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83"/>
      <c r="D28" s="356"/>
      <c r="E28" s="353"/>
      <c r="F28" s="353"/>
      <c r="G28" s="353"/>
      <c r="H28" s="353"/>
      <c r="I28" s="357"/>
      <c r="J28" s="357"/>
      <c r="K28" s="357"/>
      <c r="L28" s="114"/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83"/>
      <c r="D29" s="351"/>
      <c r="E29" s="336"/>
      <c r="F29" s="336"/>
      <c r="G29" s="336"/>
      <c r="H29" s="336"/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" x14ac:dyDescent="0.3">
      <c r="A30" s="114"/>
      <c r="B30" s="114"/>
      <c r="C30" s="183"/>
      <c r="D30" s="330"/>
      <c r="E30" s="330"/>
      <c r="F30" s="330"/>
      <c r="G30" s="330"/>
      <c r="H30" s="330"/>
      <c r="I30" s="355"/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/>
      <c r="D31" s="314"/>
      <c r="E31" s="284"/>
      <c r="F31" s="284"/>
      <c r="G31" s="284"/>
      <c r="H31" s="284"/>
      <c r="I31" s="31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284" t="str">
        <f>"     "&amp;List!$B$269</f>
        <v xml:space="preserve">     Jednotky TIP-ON BLUMOTION jsou přidány automaticky</v>
      </c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"&amp;List!$B$272</f>
        <v xml:space="preserve">     Pro korpusy šířky ≥ 750 mm použijte podpěru dna a podpěru synchronizační hřídele.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"&amp;List!$B$274</f>
        <v xml:space="preserve">     Podpěry jsou přidány automaticky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305"/>
      <c r="C39" s="305"/>
      <c r="D39" s="305"/>
      <c r="E39" s="305"/>
      <c r="F39" s="305"/>
      <c r="G39" s="305"/>
      <c r="H39" s="141"/>
      <c r="I39" s="141"/>
      <c r="J39" s="141"/>
      <c r="K39" s="141"/>
      <c r="L39" s="141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S32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S33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152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>
        <f>SUM($S$3:$S$11)</f>
        <v>0</v>
      </c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152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x14ac:dyDescent="0.25">
      <c r="A54" s="114"/>
      <c r="B54" s="141"/>
      <c r="C54" s="141"/>
      <c r="D54" s="141"/>
      <c r="E54" s="141"/>
      <c r="F54" s="141"/>
      <c r="G54" s="141"/>
      <c r="H54" s="141"/>
      <c r="I54" s="141"/>
      <c r="J54" s="147"/>
      <c r="K54" s="152"/>
      <c r="L54" s="152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ht="13" x14ac:dyDescent="0.3">
      <c r="A56" s="114"/>
      <c r="B56" s="401"/>
      <c r="C56" s="401"/>
      <c r="D56" s="401"/>
      <c r="E56" s="401"/>
      <c r="F56" s="401"/>
      <c r="G56" s="401"/>
      <c r="H56" s="141"/>
      <c r="I56" s="141"/>
      <c r="J56" s="141"/>
      <c r="K56" s="141"/>
      <c r="L56" s="141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ht="13" x14ac:dyDescent="0.3">
      <c r="A57" s="114"/>
      <c r="B57" s="401"/>
      <c r="C57" s="401"/>
      <c r="D57" s="401"/>
      <c r="E57" s="401"/>
      <c r="F57" s="401"/>
      <c r="G57" s="401"/>
      <c r="H57" s="141"/>
      <c r="I57" s="141"/>
      <c r="J57" s="141"/>
      <c r="K57" s="141"/>
      <c r="L57" s="141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SUM($S$3:$S$11)*2</f>
        <v>0</v>
      </c>
      <c r="T57" s="386">
        <f>Cen!F162</f>
        <v>2.93709</v>
      </c>
      <c r="U57" s="387">
        <f>S57*T57</f>
        <v>0</v>
      </c>
    </row>
    <row r="58" spans="1:21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23"/>
      <c r="Q58" s="123"/>
      <c r="R58" s="123"/>
      <c r="S58" s="385"/>
      <c r="T58" s="386"/>
      <c r="U58" s="387"/>
    </row>
    <row r="59" spans="1:21" x14ac:dyDescent="0.25">
      <c r="N59" s="114"/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:21" x14ac:dyDescent="0.25">
      <c r="P60" s="123"/>
      <c r="Q60" s="123"/>
      <c r="R60" s="123"/>
      <c r="S60" s="385"/>
      <c r="T60" s="386"/>
      <c r="U60" s="387"/>
    </row>
    <row r="61" spans="1:21" x14ac:dyDescent="0.25">
      <c r="P61" s="123" t="str">
        <f>Cen!A365</f>
        <v>Adaptér příčky dřezového výsuvu</v>
      </c>
      <c r="Q61" s="123" t="str">
        <f>Cen!B365</f>
        <v>Z30N0002.6Z</v>
      </c>
      <c r="R61" s="123" t="str">
        <f>Cen!C365</f>
        <v>R737</v>
      </c>
      <c r="S61" s="385">
        <f>SUM($S$3:$S$11)</f>
        <v>0</v>
      </c>
      <c r="T61" s="402">
        <f>Cen!F365</f>
        <v>2.1192299999999999</v>
      </c>
      <c r="U61" s="387">
        <f t="shared" si="2"/>
        <v>0</v>
      </c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68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>S9</f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>S10</f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>S11</f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Cen!A254</f>
        <v>Zásuvný prvek D, 270mm, čiré sko</v>
      </c>
      <c r="Q75" s="123" t="str">
        <f>Cen!B254</f>
        <v>Z37R237D</v>
      </c>
      <c r="R75" s="123" t="str">
        <f>Cen!C254</f>
        <v>KL</v>
      </c>
      <c r="S75" s="385">
        <f t="shared" ref="S75:S83" si="5">S3</f>
        <v>0</v>
      </c>
      <c r="T75" s="402">
        <f>Cen!F254</f>
        <v>9.78749</v>
      </c>
      <c r="U75" s="387">
        <f t="shared" ref="U75:U83" si="6">S75*T75</f>
        <v>0</v>
      </c>
    </row>
    <row r="76" spans="16:21" x14ac:dyDescent="0.25">
      <c r="P76" s="123" t="str">
        <f>Cen!A256</f>
        <v>Zásuvný prvek D, 300mm, čiré sko</v>
      </c>
      <c r="Q76" s="123" t="str">
        <f>Cen!B256</f>
        <v>Z37R267D</v>
      </c>
      <c r="R76" s="123" t="str">
        <f>Cen!C256</f>
        <v>KL</v>
      </c>
      <c r="S76" s="385">
        <f t="shared" si="5"/>
        <v>0</v>
      </c>
      <c r="T76" s="402">
        <f>Cen!F256</f>
        <v>10.956569999999999</v>
      </c>
      <c r="U76" s="387">
        <f t="shared" si="6"/>
        <v>0</v>
      </c>
    </row>
    <row r="77" spans="16:21" x14ac:dyDescent="0.25">
      <c r="P77" s="123" t="str">
        <f>Cen!A258</f>
        <v>Zásuvný prvek D, 350mm, čiré sko</v>
      </c>
      <c r="Q77" s="123" t="str">
        <f>Cen!B258</f>
        <v>Z37R317D</v>
      </c>
      <c r="R77" s="123" t="str">
        <f>Cen!C258</f>
        <v>KL</v>
      </c>
      <c r="S77" s="385">
        <f t="shared" si="5"/>
        <v>0</v>
      </c>
      <c r="T77" s="402">
        <f>Cen!F258</f>
        <v>10.55153</v>
      </c>
      <c r="U77" s="387">
        <f t="shared" si="6"/>
        <v>0</v>
      </c>
    </row>
    <row r="78" spans="16:21" x14ac:dyDescent="0.25">
      <c r="P78" s="123" t="str">
        <f>Cen!A260</f>
        <v>Zásuvný prvek D, 400mm, čiré sko</v>
      </c>
      <c r="Q78" s="123" t="str">
        <f>Cen!B260</f>
        <v>Z37R367D</v>
      </c>
      <c r="R78" s="123" t="str">
        <f>Cen!C260</f>
        <v>KL</v>
      </c>
      <c r="S78" s="385">
        <f t="shared" si="5"/>
        <v>0</v>
      </c>
      <c r="T78" s="402">
        <f>Cen!F260</f>
        <v>11.739190000000001</v>
      </c>
      <c r="U78" s="387">
        <f t="shared" si="6"/>
        <v>0</v>
      </c>
    </row>
    <row r="79" spans="16:21" x14ac:dyDescent="0.25">
      <c r="P79" s="123" t="str">
        <f>Cen!A262</f>
        <v>Zásuvný prvek D, 450mm, čiré sko</v>
      </c>
      <c r="Q79" s="123" t="str">
        <f>Cen!B262</f>
        <v>Z37R417D</v>
      </c>
      <c r="R79" s="123" t="str">
        <f>Cen!C262</f>
        <v>KL</v>
      </c>
      <c r="S79" s="385">
        <f t="shared" si="5"/>
        <v>0</v>
      </c>
      <c r="T79" s="402">
        <f>Cen!F262</f>
        <v>14.23917</v>
      </c>
      <c r="U79" s="387">
        <f t="shared" si="6"/>
        <v>0</v>
      </c>
    </row>
    <row r="80" spans="16:21" x14ac:dyDescent="0.25">
      <c r="P80" s="123" t="str">
        <f>Cen!A264</f>
        <v>Zásuvný prvek D, 500mm, čiré sko</v>
      </c>
      <c r="Q80" s="123" t="str">
        <f>Cen!B264</f>
        <v>Z37R467D</v>
      </c>
      <c r="R80" s="123" t="str">
        <f>Cen!C264</f>
        <v>KL</v>
      </c>
      <c r="S80" s="385">
        <f t="shared" si="5"/>
        <v>0</v>
      </c>
      <c r="T80" s="402">
        <f>Cen!F264</f>
        <v>11.697749999999999</v>
      </c>
      <c r="U80" s="387">
        <f t="shared" si="6"/>
        <v>0</v>
      </c>
    </row>
    <row r="81" spans="16:21" x14ac:dyDescent="0.25">
      <c r="P81" s="123" t="str">
        <f>Cen!A266</f>
        <v>Zásuvný prvek D, 550mm, čiré sko</v>
      </c>
      <c r="Q81" s="123" t="str">
        <f>Cen!B266</f>
        <v>Z37R517D</v>
      </c>
      <c r="R81" s="123" t="str">
        <f>Cen!C266</f>
        <v>KL</v>
      </c>
      <c r="S81" s="385">
        <f t="shared" si="5"/>
        <v>0</v>
      </c>
      <c r="T81" s="402">
        <f>Cen!F266</f>
        <v>13.304410000000001</v>
      </c>
      <c r="U81" s="387">
        <f t="shared" si="6"/>
        <v>0</v>
      </c>
    </row>
    <row r="82" spans="16:21" x14ac:dyDescent="0.25">
      <c r="P82" s="123" t="str">
        <f>Cen!A268</f>
        <v>Zásuvný prvek D, 600mm, čiré sko</v>
      </c>
      <c r="Q82" s="123" t="str">
        <f>Cen!B268</f>
        <v>Z37R567D</v>
      </c>
      <c r="R82" s="123" t="str">
        <f>Cen!C268</f>
        <v>KL</v>
      </c>
      <c r="S82" s="385">
        <f t="shared" si="5"/>
        <v>0</v>
      </c>
      <c r="T82" s="402">
        <f>Cen!F268</f>
        <v>14.08703</v>
      </c>
      <c r="U82" s="387">
        <f t="shared" si="6"/>
        <v>0</v>
      </c>
    </row>
    <row r="83" spans="16:21" x14ac:dyDescent="0.25">
      <c r="P83" s="123" t="str">
        <f>Cen!A270</f>
        <v>Zásuvný prvek D, 650mm, čiré sko</v>
      </c>
      <c r="Q83" s="123" t="str">
        <f>Cen!B270</f>
        <v>Z37R617D</v>
      </c>
      <c r="R83" s="123" t="str">
        <f>Cen!C270</f>
        <v>KL</v>
      </c>
      <c r="S83" s="385">
        <f t="shared" si="5"/>
        <v>0</v>
      </c>
      <c r="T83" s="402">
        <f>Cen!F270</f>
        <v>13.988720000000001</v>
      </c>
      <c r="U83" s="387">
        <f t="shared" si="6"/>
        <v>0</v>
      </c>
    </row>
    <row r="90" spans="16:21" x14ac:dyDescent="0.25">
      <c r="U90" s="152">
        <f>SUM(U3:V88)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P99" s="114" t="str">
        <f>List!$B$277&amp;"!"</f>
        <v>Pro výsuvy délky 270 a 300 mm vyberte jednotky S0 nebo S1!</v>
      </c>
    </row>
    <row r="100" spans="1:16" x14ac:dyDescent="0.25">
      <c r="A100" s="577"/>
      <c r="P100" s="114" t="str">
        <f>List!$B$278&amp;"!"</f>
        <v>Počet jednotek L neodpovídá počtu korpusových lišt!</v>
      </c>
    </row>
    <row r="101" spans="1:16" x14ac:dyDescent="0.25">
      <c r="A101" s="577"/>
      <c r="B101" s="586" t="str">
        <f>List!B25</f>
        <v>Informace k objednávání</v>
      </c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x14ac:dyDescent="0.25">
      <c r="A102" s="577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</row>
    <row r="103" spans="1:16" ht="7.5" customHeight="1" x14ac:dyDescent="0.25">
      <c r="A103" s="577"/>
    </row>
    <row r="104" spans="1:16" ht="18.75" customHeight="1" thickBot="1" x14ac:dyDescent="0.3">
      <c r="A104" s="577"/>
      <c r="B104" s="587"/>
      <c r="C104" s="587"/>
      <c r="D104" s="588" t="str">
        <f>List!B268&amp;" "&amp;List!B283</f>
        <v>Sada jednotek TIP-ON BLUMOTION a sada unašečů TIP-ON BLUMOTION</v>
      </c>
      <c r="E104" s="588"/>
      <c r="F104" s="588"/>
      <c r="G104" s="588"/>
      <c r="H104" s="588"/>
      <c r="I104" s="588"/>
      <c r="J104" s="588"/>
      <c r="K104" s="588"/>
      <c r="L104" s="588"/>
    </row>
    <row r="105" spans="1:16" ht="18.75" customHeight="1" thickBot="1" x14ac:dyDescent="0.3">
      <c r="A105" s="577"/>
      <c r="B105" s="589"/>
      <c r="C105" s="590"/>
      <c r="D105" s="593" t="str">
        <f>List!$B$280&amp;":"</f>
        <v>Využití pro:</v>
      </c>
      <c r="E105" s="594"/>
      <c r="F105" s="594"/>
      <c r="G105" s="594"/>
      <c r="H105" s="594"/>
      <c r="I105" s="595"/>
      <c r="J105" s="596" t="str">
        <f>List!B281&amp;"*"</f>
        <v>Doporučené hodnoty hmotnosti*</v>
      </c>
      <c r="K105" s="597"/>
      <c r="L105" s="597"/>
    </row>
    <row r="106" spans="1:16" ht="18.75" customHeight="1" thickBot="1" x14ac:dyDescent="0.3">
      <c r="A106" s="577"/>
      <c r="B106" s="591"/>
      <c r="C106" s="592"/>
      <c r="D106" s="600" t="str">
        <f>List!B45&amp;" (NL)"</f>
        <v>Jmenovitá délka (NL)</v>
      </c>
      <c r="E106" s="600"/>
      <c r="F106" s="600"/>
      <c r="G106" s="362" t="str">
        <f>List!B275</f>
        <v>Jednotka</v>
      </c>
      <c r="H106" s="601" t="str">
        <f>List!B88</f>
        <v>Číslo artiklu</v>
      </c>
      <c r="I106" s="602"/>
      <c r="J106" s="598"/>
      <c r="K106" s="599"/>
      <c r="L106" s="599"/>
    </row>
    <row r="107" spans="1:16" ht="18.75" customHeight="1" thickBot="1" x14ac:dyDescent="0.3">
      <c r="A107" s="577"/>
      <c r="B107" s="591"/>
      <c r="C107" s="592"/>
      <c r="D107" s="603" t="s">
        <v>988</v>
      </c>
      <c r="E107" s="604"/>
      <c r="F107" s="605"/>
      <c r="G107" s="363" t="s">
        <v>932</v>
      </c>
      <c r="H107" s="610" t="s">
        <v>997</v>
      </c>
      <c r="I107" s="611"/>
      <c r="J107" s="371" t="s">
        <v>999</v>
      </c>
      <c r="K107" s="369"/>
      <c r="L107" s="369"/>
    </row>
    <row r="108" spans="1:16" ht="18.75" customHeight="1" thickBot="1" x14ac:dyDescent="0.3">
      <c r="A108" s="577"/>
      <c r="B108" s="591"/>
      <c r="C108" s="592"/>
      <c r="D108" s="606"/>
      <c r="E108" s="607"/>
      <c r="F108" s="608"/>
      <c r="G108" s="363" t="s">
        <v>933</v>
      </c>
      <c r="H108" s="610" t="s">
        <v>989</v>
      </c>
      <c r="I108" s="611"/>
      <c r="J108" s="371" t="s">
        <v>998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03" t="s">
        <v>991</v>
      </c>
      <c r="E109" s="604"/>
      <c r="F109" s="605"/>
      <c r="G109" s="363" t="s">
        <v>934</v>
      </c>
      <c r="H109" s="610" t="s">
        <v>992</v>
      </c>
      <c r="I109" s="611"/>
      <c r="J109" s="371" t="s">
        <v>990</v>
      </c>
      <c r="K109" s="364"/>
      <c r="L109" s="364"/>
    </row>
    <row r="110" spans="1:16" ht="18.75" customHeight="1" thickBot="1" x14ac:dyDescent="0.3">
      <c r="A110" s="577"/>
      <c r="B110" s="591"/>
      <c r="C110" s="592"/>
      <c r="D110" s="612"/>
      <c r="E110" s="613"/>
      <c r="F110" s="614"/>
      <c r="G110" s="363" t="s">
        <v>935</v>
      </c>
      <c r="H110" s="610" t="s">
        <v>993</v>
      </c>
      <c r="I110" s="611"/>
      <c r="J110" s="615" t="s">
        <v>994</v>
      </c>
      <c r="K110" s="616"/>
      <c r="L110" s="364"/>
    </row>
    <row r="111" spans="1:16" ht="18.75" customHeight="1" thickBot="1" x14ac:dyDescent="0.3">
      <c r="A111" s="577"/>
      <c r="B111" s="591"/>
      <c r="C111" s="592"/>
      <c r="D111" s="606"/>
      <c r="E111" s="607"/>
      <c r="F111" s="608"/>
      <c r="G111" s="363" t="s">
        <v>936</v>
      </c>
      <c r="H111" s="610" t="s">
        <v>995</v>
      </c>
      <c r="I111" s="611"/>
      <c r="J111" s="365"/>
      <c r="K111" s="616" t="s">
        <v>996</v>
      </c>
      <c r="L111" s="616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7"/>
      <c r="H112" s="609" t="str">
        <f>"* "&amp;List!B282</f>
        <v>* Celková hmotnost výsuvu (hmotnost výsuvu včetně náplně)</v>
      </c>
      <c r="I112" s="609"/>
      <c r="J112" s="609"/>
      <c r="K112" s="609"/>
      <c r="L112" s="609"/>
    </row>
    <row r="113" spans="1:14" ht="18.75" customHeight="1" x14ac:dyDescent="0.25">
      <c r="A113" s="577"/>
      <c r="B113" s="591"/>
      <c r="C113" s="592"/>
      <c r="D113" s="366"/>
      <c r="E113" s="366"/>
      <c r="F113" s="366"/>
      <c r="G113" s="368"/>
      <c r="H113" s="609"/>
      <c r="I113" s="609"/>
      <c r="J113" s="609"/>
      <c r="K113" s="609"/>
      <c r="L113" s="609"/>
    </row>
    <row r="114" spans="1:14" ht="18.75" customHeight="1" x14ac:dyDescent="0.25">
      <c r="A114" s="577"/>
      <c r="N114" s="370" t="str">
        <f>List!$B$99</f>
        <v>Zpět</v>
      </c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  <row r="141" spans="1:1" x14ac:dyDescent="0.25">
      <c r="A141" s="577"/>
    </row>
    <row r="149" spans="1:1" x14ac:dyDescent="0.25">
      <c r="A149" s="617"/>
    </row>
    <row r="150" spans="1:1" x14ac:dyDescent="0.25">
      <c r="A150" s="617"/>
    </row>
    <row r="151" spans="1:1" x14ac:dyDescent="0.25">
      <c r="A151" s="617"/>
    </row>
    <row r="152" spans="1:1" x14ac:dyDescent="0.25">
      <c r="A152" s="617"/>
    </row>
    <row r="153" spans="1:1" x14ac:dyDescent="0.25">
      <c r="A153" s="617"/>
    </row>
    <row r="154" spans="1:1" x14ac:dyDescent="0.25">
      <c r="A154" s="617"/>
    </row>
    <row r="155" spans="1:1" x14ac:dyDescent="0.25">
      <c r="A155" s="617"/>
    </row>
    <row r="156" spans="1:1" x14ac:dyDescent="0.25">
      <c r="A156" s="617"/>
    </row>
    <row r="157" spans="1:1" x14ac:dyDescent="0.25">
      <c r="A157" s="617"/>
    </row>
    <row r="158" spans="1:1" x14ac:dyDescent="0.25">
      <c r="A158" s="617"/>
    </row>
    <row r="159" spans="1:1" x14ac:dyDescent="0.25">
      <c r="A159" s="617"/>
    </row>
    <row r="160" spans="1:1" x14ac:dyDescent="0.25">
      <c r="A160" s="617"/>
    </row>
    <row r="161" spans="1:7" x14ac:dyDescent="0.25">
      <c r="A161" s="617"/>
    </row>
    <row r="162" spans="1:7" x14ac:dyDescent="0.25">
      <c r="A162" s="617"/>
    </row>
    <row r="163" spans="1:7" x14ac:dyDescent="0.25">
      <c r="A163" s="617"/>
    </row>
    <row r="164" spans="1:7" x14ac:dyDescent="0.25">
      <c r="A164" s="617"/>
    </row>
    <row r="165" spans="1:7" x14ac:dyDescent="0.25">
      <c r="A165" s="617"/>
    </row>
    <row r="166" spans="1:7" x14ac:dyDescent="0.25">
      <c r="A166" s="617"/>
    </row>
    <row r="167" spans="1:7" x14ac:dyDescent="0.25">
      <c r="A167" s="617"/>
    </row>
    <row r="168" spans="1:7" x14ac:dyDescent="0.25">
      <c r="A168" s="617"/>
    </row>
    <row r="169" spans="1:7" x14ac:dyDescent="0.25">
      <c r="A169" s="617"/>
    </row>
    <row r="170" spans="1:7" x14ac:dyDescent="0.25">
      <c r="A170" s="617"/>
    </row>
    <row r="171" spans="1:7" x14ac:dyDescent="0.25">
      <c r="A171" s="617"/>
    </row>
    <row r="172" spans="1:7" x14ac:dyDescent="0.25">
      <c r="A172" s="617"/>
    </row>
    <row r="173" spans="1:7" x14ac:dyDescent="0.25">
      <c r="A173" s="617"/>
    </row>
    <row r="174" spans="1:7" x14ac:dyDescent="0.25">
      <c r="A174" s="617"/>
    </row>
    <row r="175" spans="1:7" x14ac:dyDescent="0.25">
      <c r="A175" s="617"/>
      <c r="B175" s="2" t="str">
        <f>"  "&amp;List!$C$197&amp;":"</f>
        <v xml:space="preserve">  Minimální rozměry přířezu dna:</v>
      </c>
    </row>
    <row r="176" spans="1:7" ht="13" x14ac:dyDescent="0.3">
      <c r="A176" s="617"/>
      <c r="B176" s="197" t="s">
        <v>94</v>
      </c>
      <c r="C176" s="197"/>
      <c r="D176" s="197"/>
      <c r="E176" s="197"/>
      <c r="F176" s="197"/>
      <c r="G176" s="197"/>
    </row>
    <row r="177" spans="1:10" ht="13" x14ac:dyDescent="0.3">
      <c r="A177" s="617"/>
      <c r="B177" s="197" t="s">
        <v>95</v>
      </c>
      <c r="C177" s="197"/>
      <c r="D177" s="197"/>
      <c r="E177" s="197"/>
      <c r="F177" s="197"/>
      <c r="G177" s="197"/>
    </row>
    <row r="178" spans="1:10" x14ac:dyDescent="0.25">
      <c r="A178" s="617"/>
    </row>
    <row r="179" spans="1:10" x14ac:dyDescent="0.25">
      <c r="A179" s="617"/>
      <c r="B179" s="2" t="str">
        <f>"  "&amp;List!$C$198&amp;"!"</f>
        <v xml:space="preserve">  Není-li možné minimální rozměry dodržet, nelze použít výsuvy s TIP-ON BLUMOTION!</v>
      </c>
    </row>
    <row r="180" spans="1:10" x14ac:dyDescent="0.25">
      <c r="A180" s="617"/>
    </row>
    <row r="181" spans="1:10" x14ac:dyDescent="0.25">
      <c r="A181" s="617"/>
      <c r="B181" s="2" t="str">
        <f>"  "&amp;List!$B$196</f>
        <v xml:space="preserve">  0</v>
      </c>
    </row>
    <row r="182" spans="1:10" x14ac:dyDescent="0.25">
      <c r="A182" s="617"/>
    </row>
    <row r="183" spans="1:10" x14ac:dyDescent="0.25">
      <c r="A183" s="617"/>
      <c r="I183" s="573" t="str">
        <f>List!$B$99</f>
        <v>Zpět</v>
      </c>
      <c r="J183" s="573"/>
    </row>
    <row r="184" spans="1:10" x14ac:dyDescent="0.25">
      <c r="A184" s="617"/>
    </row>
    <row r="185" spans="1:10" x14ac:dyDescent="0.25">
      <c r="A185" s="617"/>
    </row>
    <row r="186" spans="1:10" x14ac:dyDescent="0.25">
      <c r="A186" s="617"/>
    </row>
    <row r="187" spans="1:10" x14ac:dyDescent="0.25">
      <c r="A187" s="617"/>
    </row>
    <row r="188" spans="1:10" x14ac:dyDescent="0.25">
      <c r="A188" s="617"/>
    </row>
    <row r="189" spans="1:10" x14ac:dyDescent="0.25">
      <c r="A189" s="617"/>
    </row>
    <row r="190" spans="1:10" x14ac:dyDescent="0.25">
      <c r="A190" s="617"/>
    </row>
  </sheetData>
  <sheetProtection algorithmName="SHA-512" hashValue="p/zPJnLLuppAL5oWlK6F2i3a+i+USUB7SuEaUKpt/qMUVimjbD3Nt2xYjSer+DfzMR6dXvvrzI7wUfSdxKfhWA==" saltValue="W0oQe5s4R1cFSU6wJruwSg==" spinCount="100000" sheet="1" objects="1" scenarios="1"/>
  <mergeCells count="21">
    <mergeCell ref="H109:I109"/>
    <mergeCell ref="H110:I110"/>
    <mergeCell ref="J110:K110"/>
    <mergeCell ref="H111:I111"/>
    <mergeCell ref="K111:L111"/>
    <mergeCell ref="A149:A190"/>
    <mergeCell ref="I183:J183"/>
    <mergeCell ref="A100:A141"/>
    <mergeCell ref="B101:L102"/>
    <mergeCell ref="B104:C104"/>
    <mergeCell ref="D104:L104"/>
    <mergeCell ref="B105:C113"/>
    <mergeCell ref="D105:I105"/>
    <mergeCell ref="J105:L106"/>
    <mergeCell ref="D106:F106"/>
    <mergeCell ref="H106:I106"/>
    <mergeCell ref="D107:F108"/>
    <mergeCell ref="H107:I107"/>
    <mergeCell ref="H108:I108"/>
    <mergeCell ref="D109:F111"/>
    <mergeCell ref="H112:L113"/>
  </mergeCells>
  <phoneticPr fontId="53" type="noConversion"/>
  <hyperlinks>
    <hyperlink ref="N4" location="Form!A1" tooltip=" " display="Form!A1"/>
    <hyperlink ref="N5" location="Menu!A1" tooltip=" " display="Menu!A1"/>
    <hyperlink ref="I183" location="HFww!A1" tooltip=" " display="HFww!A1"/>
    <hyperlink ref="I183:J183" location="AD342G!A1" tooltip=" " display="AD342G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  <hyperlink ref="N114" location="AD342G!A1" tooltip=" " display="AD342G!A1"/>
  </hyperlinks>
  <pageMargins left="0.7" right="0.7" top="0.78740157499999996" bottom="0.78740157499999996" header="0.3" footer="0.3"/>
  <pageSetup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140"/>
  <sheetViews>
    <sheetView showGridLines="0" showRowColHeaders="0" workbookViewId="0"/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List!$B$46&amp;" N"</f>
        <v>Zásuvka N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/>
      <c r="Q3" s="123"/>
      <c r="R3" s="123"/>
      <c r="S3" s="385"/>
      <c r="T3" s="386"/>
      <c r="U3" s="387"/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346</v>
      </c>
      <c r="L4" s="117"/>
      <c r="M4" s="114"/>
      <c r="N4" s="150" t="str">
        <f>" "&amp;List!$B$4</f>
        <v xml:space="preserve"> Výběr zásuvek a výsuvů</v>
      </c>
      <c r="O4" s="114"/>
      <c r="P4" s="123"/>
      <c r="Q4" s="123"/>
      <c r="R4" s="123"/>
      <c r="S4" s="385"/>
      <c r="T4" s="386"/>
      <c r="U4" s="387"/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/>
      <c r="Q5" s="123"/>
      <c r="R5" s="123"/>
      <c r="S5" s="385"/>
      <c r="T5" s="386"/>
      <c r="U5" s="387"/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Cen!A11</f>
        <v>Bočnice N 400mm, šedé</v>
      </c>
      <c r="Q6" s="123" t="str">
        <f>Cen!B11</f>
        <v>378N4002SA</v>
      </c>
      <c r="R6" s="123" t="str">
        <f>Cen!C11</f>
        <v>R906</v>
      </c>
      <c r="S6" s="385">
        <f>SUM($G$19, $G$25)</f>
        <v>0</v>
      </c>
      <c r="T6" s="402">
        <f>Cen!F11</f>
        <v>14.71672</v>
      </c>
      <c r="U6" s="387">
        <f t="shared" ref="U6:U38" si="0">S6*T6</f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149" t="str">
        <f>" "&amp;List!$B$5</f>
        <v xml:space="preserve"> Výběr doplňků</v>
      </c>
      <c r="O7" s="114"/>
      <c r="P7" s="123" t="str">
        <f>Cen!A15</f>
        <v>Bočnice N 450mm, šedé</v>
      </c>
      <c r="Q7" s="123" t="str">
        <f>Cen!B15</f>
        <v>378N4502SA</v>
      </c>
      <c r="R7" s="123" t="str">
        <f>Cen!C15</f>
        <v>R906</v>
      </c>
      <c r="S7" s="385">
        <f>SUM($H$19:$H$20, $H$25:$H$26)</f>
        <v>0</v>
      </c>
      <c r="T7" s="402">
        <f>Cen!F15</f>
        <v>16.513190000000002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Cen!A19</f>
        <v>Bočnice N 500mm, šedé</v>
      </c>
      <c r="Q8" s="388" t="str">
        <f>Cen!B19</f>
        <v>378N5002SA</v>
      </c>
      <c r="R8" s="388" t="str">
        <f>Cen!C19</f>
        <v>R906</v>
      </c>
      <c r="S8" s="397">
        <f>SUM($I$19:$I$20, $I$25:$I$26)</f>
        <v>0</v>
      </c>
      <c r="T8" s="403">
        <f>Cen!F19</f>
        <v>16.659890000000001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Cen!A23</f>
        <v>Bočnice N 550mm, šedé</v>
      </c>
      <c r="Q9" s="123" t="str">
        <f>Cen!B23</f>
        <v>378N5502SA</v>
      </c>
      <c r="R9" s="123" t="str">
        <f>Cen!C23</f>
        <v>R906</v>
      </c>
      <c r="S9" s="385">
        <f>SUM($J$19:$J$20, $J$25:$J$26)</f>
        <v>0</v>
      </c>
      <c r="T9" s="402">
        <f>Cen!F23</f>
        <v>16.301120000000001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/>
      <c r="Q10" s="123"/>
      <c r="R10" s="123"/>
      <c r="S10" s="385"/>
      <c r="T10" s="386"/>
      <c r="U10" s="387"/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14"/>
      <c r="O11" s="114"/>
      <c r="P11" s="123"/>
      <c r="Q11" s="123"/>
      <c r="R11" s="123"/>
      <c r="S11" s="385"/>
      <c r="T11" s="386"/>
      <c r="U11" s="387"/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314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183"/>
      <c r="K14" s="303"/>
      <c r="L14" s="314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1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/>
      <c r="E18" s="286"/>
      <c r="F18" s="286"/>
      <c r="G18" s="287" t="s">
        <v>824</v>
      </c>
      <c r="H18" s="287" t="s">
        <v>246</v>
      </c>
      <c r="I18" s="288" t="s">
        <v>825</v>
      </c>
      <c r="J18" s="287" t="s">
        <v>826</v>
      </c>
      <c r="K18" s="286"/>
      <c r="L18" s="289"/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832</v>
      </c>
      <c r="C19" s="291" t="s">
        <v>447</v>
      </c>
      <c r="D19" s="301"/>
      <c r="E19" s="301"/>
      <c r="F19" s="301"/>
      <c r="G19" s="292"/>
      <c r="H19" s="292"/>
      <c r="I19" s="292"/>
      <c r="J19" s="292"/>
      <c r="K19" s="301"/>
      <c r="L19" s="301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/>
      <c r="E24" s="286"/>
      <c r="F24" s="286"/>
      <c r="G24" s="287" t="s">
        <v>824</v>
      </c>
      <c r="H24" s="287" t="s">
        <v>246</v>
      </c>
      <c r="I24" s="288" t="s">
        <v>825</v>
      </c>
      <c r="J24" s="287" t="s">
        <v>826</v>
      </c>
      <c r="K24" s="286"/>
      <c r="L24" s="289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833</v>
      </c>
      <c r="C25" s="291" t="s">
        <v>447</v>
      </c>
      <c r="D25" s="301"/>
      <c r="E25" s="301"/>
      <c r="F25" s="301"/>
      <c r="G25" s="292"/>
      <c r="H25" s="292"/>
      <c r="I25" s="292"/>
      <c r="J25" s="292"/>
      <c r="K25" s="301"/>
      <c r="L25" s="301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5" customHeight="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5.75" customHeight="1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114"/>
      <c r="K28" s="114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/>
      <c r="E29" s="286"/>
      <c r="F29" s="287" t="s">
        <v>934</v>
      </c>
      <c r="G29" s="287" t="s">
        <v>935</v>
      </c>
      <c r="H29" s="289"/>
      <c r="I29" s="357"/>
      <c r="J29" s="114"/>
      <c r="K29" s="114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301"/>
      <c r="E30" s="301"/>
      <c r="F30" s="292"/>
      <c r="G30" s="292"/>
      <c r="H30" s="294"/>
      <c r="I30" s="355" t="str">
        <f>IF(SUM($F$25:$K$25,$H$26:$L$26)=SUM($F$30:$H$30)," ",$P$82)</f>
        <v xml:space="preserve"> </v>
      </c>
      <c r="J30" s="114"/>
      <c r="K30" s="11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114"/>
      <c r="E31" s="284"/>
      <c r="F31" s="284"/>
      <c r="G31" s="284"/>
      <c r="H31" s="284"/>
      <c r="J31" s="114"/>
      <c r="K31" s="11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2.75" customHeight="1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114"/>
      <c r="K32" s="11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114"/>
      <c r="K33" s="11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B34" s="114"/>
      <c r="C34" s="114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114"/>
      <c r="K34" s="114"/>
      <c r="L34" s="114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14"/>
      <c r="C35" s="114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14"/>
      <c r="K35" s="114"/>
      <c r="L35" s="114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14"/>
      <c r="C36" s="114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14"/>
      <c r="K36" s="114"/>
      <c r="L36" s="114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305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398"/>
      <c r="C40" s="398"/>
      <c r="D40" s="398"/>
      <c r="E40" s="398"/>
      <c r="F40" s="398"/>
      <c r="G40" s="398"/>
      <c r="H40" s="398"/>
      <c r="I40" s="398"/>
      <c r="J40" s="147"/>
      <c r="K40" s="358"/>
      <c r="L40" s="152"/>
      <c r="M40" s="141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41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41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41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41"/>
      <c r="L44" s="152"/>
      <c r="M44" s="141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41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41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41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39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2:21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2:21" ht="13" x14ac:dyDescent="0.3">
      <c r="B50" s="277" t="str">
        <f>IF(OR($K$14&gt;0, $L$14&gt;0), List!$B$196, " ")</f>
        <v xml:space="preserve"> </v>
      </c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2:21" ht="13" x14ac:dyDescent="0.3">
      <c r="B51" s="277" t="str">
        <f>IF(OR($K$14&gt;0, $L$14&gt;0), List!$B$200, " ")</f>
        <v xml:space="preserve"> </v>
      </c>
      <c r="P51" s="123"/>
      <c r="Q51" s="123"/>
      <c r="R51" s="123"/>
      <c r="S51" s="385"/>
      <c r="T51" s="386"/>
      <c r="U51" s="387"/>
    </row>
    <row r="52" spans="2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>
        <f>SUM($S$3:$S$11)</f>
        <v>0</v>
      </c>
      <c r="T52" s="386">
        <f>Cen!F143</f>
        <v>1.4347399999999999</v>
      </c>
      <c r="U52" s="387">
        <f t="shared" ref="U52:U61" si="2">S52*T52</f>
        <v>0</v>
      </c>
    </row>
    <row r="53" spans="2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 t="shared" si="2"/>
        <v>0</v>
      </c>
    </row>
    <row r="54" spans="2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2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2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2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 t="shared" si="2"/>
        <v>0</v>
      </c>
    </row>
    <row r="58" spans="2:21" x14ac:dyDescent="0.25">
      <c r="P58" s="123"/>
      <c r="Q58" s="123"/>
      <c r="R58" s="123"/>
      <c r="S58" s="385"/>
      <c r="T58" s="386"/>
      <c r="U58" s="387">
        <f t="shared" si="2"/>
        <v>0</v>
      </c>
    </row>
    <row r="59" spans="2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2:21" x14ac:dyDescent="0.25">
      <c r="P60" s="123"/>
      <c r="Q60" s="123"/>
      <c r="R60" s="123"/>
      <c r="S60" s="385"/>
      <c r="T60" s="386"/>
      <c r="U60" s="387">
        <f t="shared" si="2"/>
        <v>0</v>
      </c>
    </row>
    <row r="61" spans="2:21" x14ac:dyDescent="0.25">
      <c r="P61" s="123"/>
      <c r="Q61" s="123"/>
      <c r="R61" s="123"/>
      <c r="S61" s="385"/>
      <c r="T61" s="386"/>
      <c r="U61" s="387">
        <f t="shared" si="2"/>
        <v>0</v>
      </c>
    </row>
    <row r="70" spans="16:21" x14ac:dyDescent="0.25">
      <c r="U70" s="436">
        <f>SUM(U3:U69)</f>
        <v>0</v>
      </c>
    </row>
    <row r="80" spans="16:21" x14ac:dyDescent="0.25">
      <c r="P80" s="114" t="str">
        <f>List!$B$276&amp;"!"</f>
        <v>S0 a S1 pouze pro jmenovitou délku 270 a 300 mm!</v>
      </c>
    </row>
    <row r="81" spans="16:16" x14ac:dyDescent="0.25">
      <c r="P81" s="114" t="str">
        <f>List!$B$277&amp;"!"</f>
        <v>Pro výsuvy délky 270 a 300 mm vyberte jednotky S0 nebo S1!</v>
      </c>
    </row>
    <row r="82" spans="16:16" x14ac:dyDescent="0.25">
      <c r="P82" s="114" t="str">
        <f>List!$B$278&amp;"!"</f>
        <v>Počet jednotek L neodpovídá počtu korpusových lišt!</v>
      </c>
    </row>
    <row r="83" spans="16:16" x14ac:dyDescent="0.25">
      <c r="P83" s="114" t="str">
        <f>List!$B$279&amp;"!"</f>
        <v>Počet jednotek S neodpovídá počtu korpusových lišt!</v>
      </c>
    </row>
    <row r="99" spans="1:12" x14ac:dyDescent="0.25">
      <c r="A99" s="577"/>
    </row>
    <row r="100" spans="1:12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</row>
    <row r="101" spans="1:12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</row>
    <row r="102" spans="1:12" ht="7.5" customHeight="1" x14ac:dyDescent="0.25">
      <c r="A102" s="577"/>
    </row>
    <row r="103" spans="1:12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2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2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2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2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2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2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2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2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2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16gjRCRqkb8Rg0y9B6kmm0UyQTvTCVwDJeHQXPBPo5/rziDLH1Gz62IJdXHrDsmLwjoRQgS90kk07oj3w2DORw==" saltValue="9Kc79GxFRIlL1yGVBs+92A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'AN300'!A100" tooltip=" " display="'AN300'!A100"/>
    <hyperlink ref="N113" location="'AN300'!A1" tooltip=" " display="'AN300'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V205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List!$B$51&amp;" D, "&amp;List!$B$63</f>
        <v>Dřezový výsuv D, kovový zásuvný prvek</v>
      </c>
      <c r="M2" s="114"/>
      <c r="N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x14ac:dyDescent="0.2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38" si="0">S3*T3</f>
        <v>0</v>
      </c>
    </row>
    <row r="4" spans="1:22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2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/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IF($U$2=4, 0, SUM($I$19:$I$20, $I$25:$I$26))</f>
        <v>0</v>
      </c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/>
      <c r="T9" s="386">
        <f>Cen!F52</f>
        <v>18.128509999999999</v>
      </c>
      <c r="U9" s="387">
        <f t="shared" si="0"/>
        <v>0</v>
      </c>
    </row>
    <row r="10" spans="1:22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/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/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23"/>
      <c r="Q12" s="123"/>
      <c r="R12" s="123"/>
      <c r="S12" s="385"/>
      <c r="T12" s="386"/>
      <c r="U12" s="387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17" t="str">
        <f>Cen!A359</f>
        <v>Bočnice dřezové, 500 mm, šedé</v>
      </c>
      <c r="Q13" s="117" t="str">
        <f>Cen!B359</f>
        <v>378M5004SG</v>
      </c>
      <c r="R13" s="117" t="str">
        <f>Cen!C359</f>
        <v>WA/G</v>
      </c>
      <c r="S13" s="119">
        <f>IF($U$2=4, 0, SUM($I$19:$I$20, $I$25:$I$26))</f>
        <v>0</v>
      </c>
      <c r="T13" s="112">
        <f>Cen!F359</f>
        <v>20.000679999999999</v>
      </c>
      <c r="U13" s="113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14"/>
      <c r="I14" s="183"/>
      <c r="J14" s="303"/>
      <c r="K14" s="183"/>
      <c r="L14" s="183"/>
      <c r="M14" s="114"/>
      <c r="N14" s="114"/>
      <c r="O14" s="114"/>
      <c r="P14" s="122"/>
      <c r="Q14" s="122"/>
      <c r="R14" s="122"/>
      <c r="S14" s="391"/>
      <c r="T14" s="392"/>
      <c r="U14" s="393"/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/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923</v>
      </c>
      <c r="C19" s="291" t="s">
        <v>447</v>
      </c>
      <c r="D19" s="294"/>
      <c r="E19" s="294"/>
      <c r="F19" s="294"/>
      <c r="G19" s="294"/>
      <c r="H19" s="294"/>
      <c r="I19" s="292"/>
      <c r="J19" s="294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$I$19)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924</v>
      </c>
      <c r="C20" s="296" t="s">
        <v>446</v>
      </c>
      <c r="D20" s="297"/>
      <c r="E20" s="297"/>
      <c r="F20" s="297"/>
      <c r="G20" s="297"/>
      <c r="H20" s="297"/>
      <c r="I20" s="298"/>
      <c r="J20" s="297"/>
      <c r="K20" s="297"/>
      <c r="L20" s="297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IF($U$2=4, 0, $I$20)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/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/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925</v>
      </c>
      <c r="C25" s="291" t="s">
        <v>447</v>
      </c>
      <c r="D25" s="294"/>
      <c r="E25" s="294"/>
      <c r="F25" s="294"/>
      <c r="G25" s="294"/>
      <c r="H25" s="294"/>
      <c r="I25" s="292"/>
      <c r="J25" s="294"/>
      <c r="K25" s="294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/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926</v>
      </c>
      <c r="C26" s="296" t="s">
        <v>446</v>
      </c>
      <c r="D26" s="297"/>
      <c r="E26" s="297"/>
      <c r="F26" s="297"/>
      <c r="G26" s="297"/>
      <c r="H26" s="297"/>
      <c r="I26" s="298"/>
      <c r="J26" s="297"/>
      <c r="K26" s="297"/>
      <c r="L26" s="297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/>
      <c r="T26" s="392">
        <f>Cen!F109</f>
        <v>16.390229999999999</v>
      </c>
      <c r="U26" s="393">
        <f t="shared" si="0"/>
        <v>0</v>
      </c>
    </row>
    <row r="27" spans="1:21" ht="14" x14ac:dyDescent="0.3">
      <c r="A27" s="114"/>
      <c r="B27" s="374"/>
      <c r="C27" s="351"/>
      <c r="D27" s="361"/>
      <c r="E27" s="361"/>
      <c r="F27" s="361"/>
      <c r="G27" s="361"/>
      <c r="H27" s="361"/>
      <c r="I27" s="330"/>
      <c r="J27" s="361"/>
      <c r="K27" s="361"/>
      <c r="L27" s="361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/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83"/>
      <c r="D28" s="356"/>
      <c r="E28" s="353"/>
      <c r="F28" s="353"/>
      <c r="G28" s="353"/>
      <c r="H28" s="353"/>
      <c r="I28" s="357"/>
      <c r="J28" s="357"/>
      <c r="K28" s="357"/>
      <c r="L28" s="114"/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/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83"/>
      <c r="D29" s="351"/>
      <c r="E29" s="336"/>
      <c r="F29" s="336"/>
      <c r="G29" s="336"/>
      <c r="H29" s="336"/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/>
      <c r="T29" s="386">
        <f>Cen!F112</f>
        <v>16.512820000000001</v>
      </c>
      <c r="U29" s="387">
        <f t="shared" si="0"/>
        <v>0</v>
      </c>
    </row>
    <row r="30" spans="1:21" ht="14" x14ac:dyDescent="0.3">
      <c r="A30" s="114"/>
      <c r="B30" s="114"/>
      <c r="C30" s="183"/>
      <c r="D30" s="330"/>
      <c r="E30" s="330"/>
      <c r="F30" s="330"/>
      <c r="G30" s="330"/>
      <c r="H30" s="330"/>
      <c r="I30" s="355"/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/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/>
      <c r="D31" s="314"/>
      <c r="E31" s="284"/>
      <c r="F31" s="284"/>
      <c r="G31" s="284"/>
      <c r="H31" s="284"/>
      <c r="I31" s="31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/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284" t="str">
        <f>"     "&amp;List!$B$269</f>
        <v xml:space="preserve">     Jednotky TIP-ON BLUMOTION jsou přidány automaticky</v>
      </c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IF($U$2=4, 0, $I$25)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IF($U$2=4, 0, $I$26)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"&amp;List!$B$272</f>
        <v xml:space="preserve">     Pro korpusy šířky ≥ 750 mm použijte podpěru dna a podpěru synchronizační hřídele.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/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"&amp;List!$B$274</f>
        <v xml:space="preserve">     Podpěry jsou přidány automaticky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/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/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/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/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/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305"/>
      <c r="C39" s="305"/>
      <c r="D39" s="305"/>
      <c r="E39" s="305"/>
      <c r="F39" s="305"/>
      <c r="G39" s="305"/>
      <c r="H39" s="141"/>
      <c r="I39" s="141"/>
      <c r="J39" s="141"/>
      <c r="K39" s="141"/>
      <c r="L39" s="141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S32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S33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152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>
        <f>SUM($S$3:$S$11)</f>
        <v>0</v>
      </c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152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x14ac:dyDescent="0.25">
      <c r="A54" s="114"/>
      <c r="B54" s="141"/>
      <c r="C54" s="141"/>
      <c r="D54" s="141"/>
      <c r="E54" s="141"/>
      <c r="F54" s="141"/>
      <c r="G54" s="141"/>
      <c r="H54" s="141"/>
      <c r="I54" s="141"/>
      <c r="J54" s="147"/>
      <c r="K54" s="152"/>
      <c r="L54" s="152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ht="13" x14ac:dyDescent="0.3">
      <c r="A56" s="114"/>
      <c r="B56" s="277" t="str">
        <f>IF(OR($K$14&gt;0, $L$14&gt;0), List!$B$196, " ")</f>
        <v xml:space="preserve"> </v>
      </c>
      <c r="C56" s="277"/>
      <c r="D56" s="277"/>
      <c r="E56" s="277"/>
      <c r="F56" s="277"/>
      <c r="G56" s="277"/>
      <c r="H56" s="114"/>
      <c r="I56" s="114"/>
      <c r="J56" s="114"/>
      <c r="K56" s="114"/>
      <c r="L56" s="114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ht="13" x14ac:dyDescent="0.3">
      <c r="A57" s="114"/>
      <c r="B57" s="277" t="str">
        <f>IF(OR($K$14&gt;0, $L$14&gt;0), List!$B$200, " ")</f>
        <v xml:space="preserve"> </v>
      </c>
      <c r="C57" s="277"/>
      <c r="D57" s="277"/>
      <c r="E57" s="277"/>
      <c r="F57" s="277"/>
      <c r="G57" s="277"/>
      <c r="H57" s="114"/>
      <c r="I57" s="114"/>
      <c r="J57" s="114"/>
      <c r="K57" s="114"/>
      <c r="L57" s="114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SUM($S$3:$S$11)*2</f>
        <v>0</v>
      </c>
      <c r="T57" s="386">
        <f>Cen!F162</f>
        <v>2.93709</v>
      </c>
      <c r="U57" s="387">
        <f>S57*T57</f>
        <v>0</v>
      </c>
    </row>
    <row r="58" spans="1:21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23"/>
      <c r="Q58" s="123"/>
      <c r="R58" s="123"/>
      <c r="S58" s="385"/>
      <c r="T58" s="386"/>
      <c r="U58" s="387"/>
    </row>
    <row r="59" spans="1:21" x14ac:dyDescent="0.25">
      <c r="N59" s="114"/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:21" x14ac:dyDescent="0.25">
      <c r="P60" s="123"/>
      <c r="Q60" s="123"/>
      <c r="R60" s="123"/>
      <c r="S60" s="385"/>
      <c r="T60" s="386"/>
      <c r="U60" s="387"/>
    </row>
    <row r="61" spans="1:21" x14ac:dyDescent="0.25">
      <c r="P61" s="123" t="str">
        <f>Cen!A365</f>
        <v>Adaptér příčky dřezového výsuvu</v>
      </c>
      <c r="Q61" s="123" t="str">
        <f>Cen!B365</f>
        <v>Z30N0002.6Z</v>
      </c>
      <c r="R61" s="123" t="str">
        <f>Cen!C365</f>
        <v>R737</v>
      </c>
      <c r="S61" s="385">
        <f>SUM($S$3:$S$11)</f>
        <v>0</v>
      </c>
      <c r="T61" s="402">
        <f>Cen!F365</f>
        <v>2.1192299999999999</v>
      </c>
      <c r="U61" s="387">
        <f t="shared" si="2"/>
        <v>0</v>
      </c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/>
      <c r="T63" s="402">
        <f>Cen!F215</f>
        <v>6.5190299999999999</v>
      </c>
      <c r="U63" s="387">
        <f t="shared" ref="U63:U71" si="3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/>
      <c r="T64" s="402">
        <f>Cen!F219</f>
        <v>6.62744</v>
      </c>
      <c r="U64" s="387">
        <f t="shared" si="3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/>
      <c r="T65" s="402">
        <f>Cen!F223</f>
        <v>6.7358200000000004</v>
      </c>
      <c r="U65" s="387">
        <f t="shared" si="3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/>
      <c r="T66" s="402">
        <f>Cen!F227</f>
        <v>6.8442100000000003</v>
      </c>
      <c r="U66" s="387">
        <f t="shared" si="3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/>
      <c r="T67" s="402">
        <f>Cen!F231</f>
        <v>6.2810499999999987</v>
      </c>
      <c r="U67" s="387">
        <f t="shared" si="3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ref="S68" si="4">S8</f>
        <v>0</v>
      </c>
      <c r="T68" s="402">
        <f>Cen!F235</f>
        <v>6.3789800000000003</v>
      </c>
      <c r="U68" s="387">
        <f t="shared" si="3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/>
      <c r="T69" s="402">
        <f>Cen!F239</f>
        <v>7.3622199999999998</v>
      </c>
      <c r="U69" s="387">
        <f t="shared" si="3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/>
      <c r="T70" s="402">
        <f>Cen!F243</f>
        <v>6.9229999999999992</v>
      </c>
      <c r="U70" s="387">
        <f t="shared" si="3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/>
      <c r="T71" s="402">
        <f>Cen!F247</f>
        <v>7.9644300000000001</v>
      </c>
      <c r="U71" s="387">
        <f t="shared" si="3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 t="str">
        <f>Cen!A292</f>
        <v>Kovový zásuvný prvek D, 450mm, šedý</v>
      </c>
      <c r="Q79" s="123" t="str">
        <f>Cen!B292</f>
        <v>Z37A417D</v>
      </c>
      <c r="R79" s="123" t="str">
        <f>Cen!C292</f>
        <v>R906</v>
      </c>
      <c r="S79" s="385">
        <f>SUM(S3:S7)*2</f>
        <v>0</v>
      </c>
      <c r="T79" s="402">
        <f>Cen!F292</f>
        <v>6.1435899999999997</v>
      </c>
      <c r="U79" s="387">
        <f>S79*T79</f>
        <v>0</v>
      </c>
    </row>
    <row r="80" spans="16:21" x14ac:dyDescent="0.25">
      <c r="P80" s="123" t="str">
        <f>Cen!A295</f>
        <v>Kovový zásuvný prvek D, 500mm, šedý</v>
      </c>
      <c r="Q80" s="123" t="str">
        <f>Cen!B295</f>
        <v>Z37A467D</v>
      </c>
      <c r="R80" s="123" t="str">
        <f>Cen!C295</f>
        <v>R906</v>
      </c>
      <c r="S80" s="385">
        <f>S8*2</f>
        <v>0</v>
      </c>
      <c r="T80" s="402">
        <f>Cen!F295</f>
        <v>6.4565700000000001</v>
      </c>
      <c r="U80" s="387">
        <f>S80*T80</f>
        <v>0</v>
      </c>
    </row>
    <row r="81" spans="16:21" x14ac:dyDescent="0.25">
      <c r="P81" s="123" t="str">
        <f>Cen!A298</f>
        <v>Kovový zásuvný prvek D, 550mm, šedý</v>
      </c>
      <c r="Q81" s="123" t="str">
        <f>Cen!B298</f>
        <v>Z37A517D</v>
      </c>
      <c r="R81" s="123" t="str">
        <f>Cen!C298</f>
        <v>R906</v>
      </c>
      <c r="S81" s="385">
        <f>S9*2</f>
        <v>0</v>
      </c>
      <c r="T81" s="402">
        <f>Cen!F298</f>
        <v>6.9749699999999999</v>
      </c>
      <c r="U81" s="387">
        <f>S81*T81</f>
        <v>0</v>
      </c>
    </row>
    <row r="82" spans="16:21" x14ac:dyDescent="0.25">
      <c r="P82" s="123">
        <f>Cen!A301</f>
        <v>0</v>
      </c>
      <c r="Q82" s="123">
        <f>Cen!B301</f>
        <v>0</v>
      </c>
      <c r="R82" s="123">
        <f>Cen!C301</f>
        <v>0</v>
      </c>
      <c r="S82" s="385"/>
      <c r="T82" s="402">
        <f>Cen!F301</f>
        <v>0</v>
      </c>
      <c r="U82" s="387">
        <f>S82*T82</f>
        <v>0</v>
      </c>
    </row>
    <row r="83" spans="16:21" x14ac:dyDescent="0.25">
      <c r="P83" s="123" t="str">
        <f>Cen!A304</f>
        <v>Kovový zásuvný prvek D, 650mm, šedý</v>
      </c>
      <c r="Q83" s="123" t="str">
        <f>Cen!B304</f>
        <v>Z37A617D</v>
      </c>
      <c r="R83" s="123" t="str">
        <f>Cen!C304</f>
        <v>R906</v>
      </c>
      <c r="S83" s="385">
        <f>S11*2</f>
        <v>0</v>
      </c>
      <c r="T83" s="402">
        <f>Cen!F304</f>
        <v>8.0120000000000005</v>
      </c>
      <c r="U83" s="387">
        <f>S83*T83</f>
        <v>0</v>
      </c>
    </row>
    <row r="90" spans="16:21" x14ac:dyDescent="0.25">
      <c r="U90" s="152">
        <f>SUM(U3:V88)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ht="12.75" customHeight="1" x14ac:dyDescent="0.25">
      <c r="A99" s="577"/>
      <c r="P99" s="114" t="str">
        <f>List!$B$277&amp;"!"</f>
        <v>Pro výsuvy délky 270 a 300 mm vyberte jednotky S0 nebo S1!</v>
      </c>
    </row>
    <row r="100" spans="1:16" ht="12.75" customHeight="1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ht="12.75" customHeight="1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  <c r="P103" s="114" t="str">
        <f>List!$B$289&amp;"!"</f>
        <v>Kovové zásuvné prvky pro nerez (Inox) se nevyrábí!</v>
      </c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  <c r="P104" s="114" t="str">
        <f>List!$B$290&amp;"!"</f>
        <v>Kování naplánované na tomto listu se neprojeví v objednávce!</v>
      </c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994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  <row r="159" spans="1:1" x14ac:dyDescent="0.25">
      <c r="A159" s="617"/>
    </row>
    <row r="160" spans="1:1" x14ac:dyDescent="0.25">
      <c r="A160" s="617"/>
    </row>
    <row r="161" spans="1:1" x14ac:dyDescent="0.25">
      <c r="A161" s="617"/>
    </row>
    <row r="162" spans="1:1" x14ac:dyDescent="0.25">
      <c r="A162" s="617"/>
    </row>
    <row r="163" spans="1:1" x14ac:dyDescent="0.25">
      <c r="A163" s="617"/>
    </row>
    <row r="164" spans="1:1" x14ac:dyDescent="0.25">
      <c r="A164" s="617"/>
    </row>
    <row r="165" spans="1:1" x14ac:dyDescent="0.25">
      <c r="A165" s="617"/>
    </row>
    <row r="166" spans="1:1" x14ac:dyDescent="0.25">
      <c r="A166" s="617"/>
    </row>
    <row r="167" spans="1:1" x14ac:dyDescent="0.25">
      <c r="A167" s="617"/>
    </row>
    <row r="168" spans="1:1" x14ac:dyDescent="0.25">
      <c r="A168" s="617"/>
    </row>
    <row r="169" spans="1:1" x14ac:dyDescent="0.25">
      <c r="A169" s="617"/>
    </row>
    <row r="170" spans="1:1" x14ac:dyDescent="0.25">
      <c r="A170" s="617"/>
    </row>
    <row r="171" spans="1:1" x14ac:dyDescent="0.25">
      <c r="A171" s="617"/>
    </row>
    <row r="172" spans="1:1" x14ac:dyDescent="0.25">
      <c r="A172" s="617"/>
    </row>
    <row r="173" spans="1:1" x14ac:dyDescent="0.25">
      <c r="A173" s="617"/>
    </row>
    <row r="174" spans="1:1" x14ac:dyDescent="0.25">
      <c r="A174" s="617"/>
    </row>
    <row r="175" spans="1:1" x14ac:dyDescent="0.25">
      <c r="A175" s="617"/>
    </row>
    <row r="176" spans="1:1" x14ac:dyDescent="0.25">
      <c r="A176" s="617"/>
    </row>
    <row r="177" spans="1:7" x14ac:dyDescent="0.25">
      <c r="A177" s="617"/>
    </row>
    <row r="178" spans="1:7" x14ac:dyDescent="0.25">
      <c r="A178" s="617"/>
    </row>
    <row r="179" spans="1:7" x14ac:dyDescent="0.25">
      <c r="A179" s="617"/>
    </row>
    <row r="180" spans="1:7" x14ac:dyDescent="0.25">
      <c r="A180" s="617"/>
    </row>
    <row r="181" spans="1:7" x14ac:dyDescent="0.25">
      <c r="A181" s="617"/>
    </row>
    <row r="182" spans="1:7" x14ac:dyDescent="0.25">
      <c r="A182" s="617"/>
    </row>
    <row r="183" spans="1:7" x14ac:dyDescent="0.25">
      <c r="A183" s="617"/>
    </row>
    <row r="184" spans="1:7" x14ac:dyDescent="0.25">
      <c r="A184" s="617"/>
    </row>
    <row r="185" spans="1:7" x14ac:dyDescent="0.25">
      <c r="A185" s="617"/>
      <c r="B185" s="2" t="str">
        <f>"  "&amp;List!$C$197&amp;":"</f>
        <v xml:space="preserve">  Minimální rozměry přířezu dna:</v>
      </c>
    </row>
    <row r="186" spans="1:7" ht="13" x14ac:dyDescent="0.3">
      <c r="A186" s="617"/>
      <c r="B186" s="197" t="s">
        <v>94</v>
      </c>
      <c r="C186" s="197"/>
      <c r="D186" s="197"/>
      <c r="E186" s="197"/>
      <c r="F186" s="197"/>
      <c r="G186" s="197"/>
    </row>
    <row r="187" spans="1:7" ht="13" x14ac:dyDescent="0.3">
      <c r="A187" s="617"/>
      <c r="B187" s="197" t="s">
        <v>95</v>
      </c>
      <c r="C187" s="197"/>
      <c r="D187" s="197"/>
      <c r="E187" s="197"/>
      <c r="F187" s="197"/>
      <c r="G187" s="197"/>
    </row>
    <row r="188" spans="1:7" x14ac:dyDescent="0.25">
      <c r="A188" s="617"/>
    </row>
    <row r="189" spans="1:7" x14ac:dyDescent="0.25">
      <c r="A189" s="617"/>
      <c r="B189" s="2" t="str">
        <f>"  "&amp;List!$C$198&amp;"!"</f>
        <v xml:space="preserve">  Není-li možné minimální rozměry dodržet, nelze použít výsuvy s TIP-ON BLUMOTION!</v>
      </c>
    </row>
    <row r="190" spans="1:7" x14ac:dyDescent="0.25">
      <c r="A190" s="617"/>
    </row>
    <row r="191" spans="1:7" x14ac:dyDescent="0.25">
      <c r="A191" s="617"/>
      <c r="B191" s="2" t="str">
        <f>"  "&amp;List!$B$196</f>
        <v xml:space="preserve">  0</v>
      </c>
    </row>
    <row r="192" spans="1:7" x14ac:dyDescent="0.25">
      <c r="A192" s="617"/>
    </row>
    <row r="193" spans="1:17" x14ac:dyDescent="0.25">
      <c r="A193" s="617"/>
      <c r="I193" s="573" t="str">
        <f>List!$B$99</f>
        <v>Zpět</v>
      </c>
      <c r="J193" s="573"/>
    </row>
    <row r="194" spans="1:17" x14ac:dyDescent="0.25">
      <c r="A194" s="617"/>
    </row>
    <row r="195" spans="1:17" x14ac:dyDescent="0.25">
      <c r="A195" s="617"/>
    </row>
    <row r="196" spans="1:17" x14ac:dyDescent="0.25">
      <c r="A196" s="617"/>
    </row>
    <row r="197" spans="1:17" x14ac:dyDescent="0.25">
      <c r="A197" s="617"/>
    </row>
    <row r="198" spans="1:17" x14ac:dyDescent="0.25">
      <c r="A198" s="617"/>
    </row>
    <row r="199" spans="1:17" x14ac:dyDescent="0.25">
      <c r="A199" s="617"/>
    </row>
    <row r="200" spans="1:17" x14ac:dyDescent="0.25">
      <c r="A200" s="617"/>
    </row>
    <row r="202" spans="1:17" x14ac:dyDescent="0.25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O202" s="114"/>
      <c r="P202" s="114"/>
      <c r="Q202" s="114"/>
    </row>
    <row r="203" spans="1:17" x14ac:dyDescent="0.25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</row>
    <row r="204" spans="1:17" x14ac:dyDescent="0.25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</row>
    <row r="205" spans="1:17" x14ac:dyDescent="0.25">
      <c r="N205" s="114"/>
    </row>
  </sheetData>
  <sheetProtection algorithmName="SHA-512" hashValue="Ghpa2vhRxSqHe6zPlyYS0cF0bcEegLGp1pEnivxmL95G4OOVGGvtD4RVBR3yer7OxfaVIo1f6NUV2mUDJyk8og==" saltValue="ht1bARXK0yJr+Uu1/9s7RA==" spinCount="100000" sheet="1" objects="1" scenarios="1"/>
  <mergeCells count="21">
    <mergeCell ref="H109:I109"/>
    <mergeCell ref="J109:K109"/>
    <mergeCell ref="H110:I110"/>
    <mergeCell ref="K110:L110"/>
    <mergeCell ref="H111:L112"/>
    <mergeCell ref="A159:A200"/>
    <mergeCell ref="I193:J193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06:I106"/>
    <mergeCell ref="H107:I107"/>
    <mergeCell ref="D108:F110"/>
    <mergeCell ref="H108:I108"/>
  </mergeCells>
  <phoneticPr fontId="53" type="noConversion"/>
  <hyperlinks>
    <hyperlink ref="N4" location="Form!A1" tooltip=" " display="Form!A1"/>
    <hyperlink ref="N5" location="Menu!A1" tooltip=" " display="Menu!A1"/>
    <hyperlink ref="I193" location="HFww!A1" tooltip=" " display="HFww!A1"/>
    <hyperlink ref="I193:J193" location="AD342M!A1" tooltip=" " display="AD342M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  <hyperlink ref="N113" location="AD342M!A1" tooltip=" " display="AD342M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U183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List!$B$51&amp;" D, "&amp;List!$B$64</f>
        <v>Dřezový výsuv D, podélný reling</v>
      </c>
      <c r="M2" s="114"/>
      <c r="N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x14ac:dyDescent="0.2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183"/>
      <c r="L11" s="183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23"/>
      <c r="Q12" s="123"/>
      <c r="R12" s="123"/>
      <c r="S12" s="385"/>
      <c r="T12" s="386"/>
      <c r="U12" s="387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17" t="str">
        <f>Cen!A359</f>
        <v>Bočnice dřezové, 500 mm, šedé</v>
      </c>
      <c r="Q13" s="117" t="str">
        <f>Cen!B359</f>
        <v>378M5004SG</v>
      </c>
      <c r="R13" s="117" t="str">
        <f>Cen!C359</f>
        <v>WA/G</v>
      </c>
      <c r="S13" s="119">
        <f>SUM($I$19:$I$20, $I$25:$I$26)</f>
        <v>0</v>
      </c>
      <c r="T13" s="112">
        <f>Cen!F359</f>
        <v>20.000679999999999</v>
      </c>
      <c r="U13" s="113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183"/>
      <c r="J14" s="303"/>
      <c r="K14" s="183"/>
      <c r="L14" s="183"/>
      <c r="M14" s="114"/>
      <c r="N14" s="114"/>
      <c r="O14" s="114"/>
      <c r="P14" s="122"/>
      <c r="Q14" s="122"/>
      <c r="R14" s="122"/>
      <c r="S14" s="391"/>
      <c r="T14" s="392"/>
      <c r="U14" s="393"/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1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919</v>
      </c>
      <c r="C19" s="291" t="s">
        <v>447</v>
      </c>
      <c r="D19" s="294"/>
      <c r="E19" s="294"/>
      <c r="F19" s="294"/>
      <c r="G19" s="294"/>
      <c r="H19" s="294"/>
      <c r="I19" s="292"/>
      <c r="J19" s="294"/>
      <c r="K19" s="294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920</v>
      </c>
      <c r="C20" s="296" t="s">
        <v>446</v>
      </c>
      <c r="D20" s="297"/>
      <c r="E20" s="297"/>
      <c r="F20" s="297"/>
      <c r="G20" s="297"/>
      <c r="H20" s="297"/>
      <c r="I20" s="298"/>
      <c r="J20" s="297"/>
      <c r="K20" s="297"/>
      <c r="L20" s="297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921</v>
      </c>
      <c r="C25" s="291" t="s">
        <v>447</v>
      </c>
      <c r="D25" s="294"/>
      <c r="E25" s="294"/>
      <c r="F25" s="294"/>
      <c r="G25" s="294"/>
      <c r="H25" s="294"/>
      <c r="I25" s="292"/>
      <c r="J25" s="294"/>
      <c r="K25" s="294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922</v>
      </c>
      <c r="C26" s="296" t="s">
        <v>446</v>
      </c>
      <c r="D26" s="297"/>
      <c r="E26" s="297"/>
      <c r="F26" s="297"/>
      <c r="G26" s="297"/>
      <c r="H26" s="297"/>
      <c r="I26" s="298"/>
      <c r="J26" s="297"/>
      <c r="K26" s="297"/>
      <c r="L26" s="297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ht="14" x14ac:dyDescent="0.3">
      <c r="A27" s="114"/>
      <c r="B27" s="374"/>
      <c r="C27" s="351"/>
      <c r="D27" s="361"/>
      <c r="E27" s="361"/>
      <c r="F27" s="361"/>
      <c r="G27" s="361"/>
      <c r="H27" s="361"/>
      <c r="I27" s="330"/>
      <c r="J27" s="361"/>
      <c r="K27" s="361"/>
      <c r="L27" s="361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83"/>
      <c r="D28" s="356"/>
      <c r="E28" s="353"/>
      <c r="F28" s="353"/>
      <c r="G28" s="353"/>
      <c r="H28" s="353"/>
      <c r="I28" s="357"/>
      <c r="J28" s="357"/>
      <c r="K28" s="357"/>
      <c r="L28" s="114"/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83"/>
      <c r="D29" s="351"/>
      <c r="E29" s="336"/>
      <c r="F29" s="336"/>
      <c r="G29" s="336"/>
      <c r="H29" s="336"/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x14ac:dyDescent="0.25">
      <c r="A30" s="114"/>
      <c r="B30" s="114"/>
      <c r="C30" s="114"/>
      <c r="D30" s="284" t="str">
        <f>"     "&amp;List!$B$269</f>
        <v xml:space="preserve">     Jednotky TIP-ON BLUMOTION jsou přidány automaticky</v>
      </c>
      <c r="E30" s="284"/>
      <c r="F30" s="284"/>
      <c r="G30" s="284"/>
      <c r="H30" s="284"/>
      <c r="I30" s="284"/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114"/>
      <c r="D31" s="284" t="str">
        <f>"     "&amp;List!$B$270</f>
        <v xml:space="preserve">     Synchronizace je přidána automaticky. </v>
      </c>
      <c r="E31" s="284"/>
      <c r="F31" s="284"/>
      <c r="G31" s="284"/>
      <c r="H31" s="284"/>
      <c r="I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C32" s="141"/>
      <c r="D32" s="284" t="str">
        <f>"     "&amp;List!$B$272</f>
        <v xml:space="preserve">     Pro korpusy šířky ≥ 750 mm použijte podpěru dna a podpěru synchronizační hřídele.</v>
      </c>
      <c r="E32" s="284"/>
      <c r="F32" s="284"/>
      <c r="G32" s="284"/>
      <c r="H32" s="284"/>
      <c r="I32" s="284"/>
      <c r="J32" s="284"/>
      <c r="K32" s="284"/>
      <c r="L32" s="141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41"/>
      <c r="C33" s="141"/>
      <c r="D33" s="284" t="str">
        <f>"     "&amp;List!$B$274</f>
        <v xml:space="preserve">     Podpěry jsou přidány automaticky</v>
      </c>
      <c r="E33" s="141"/>
      <c r="F33" s="141"/>
      <c r="G33" s="141"/>
      <c r="H33" s="141"/>
      <c r="I33" s="141"/>
      <c r="J33" s="147"/>
      <c r="K33" s="358"/>
      <c r="L33" s="152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B34" s="141"/>
      <c r="C34" s="141"/>
      <c r="D34" s="284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ht="13" x14ac:dyDescent="0.3">
      <c r="A37" s="114"/>
      <c r="B37" s="305"/>
      <c r="C37" s="305"/>
      <c r="D37" s="305"/>
      <c r="E37" s="305"/>
      <c r="F37" s="305"/>
      <c r="G37" s="305"/>
      <c r="H37" s="141"/>
      <c r="I37" s="141"/>
      <c r="J37" s="141"/>
      <c r="K37" s="141"/>
      <c r="L37" s="141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ht="13" x14ac:dyDescent="0.3">
      <c r="A38" s="114"/>
      <c r="B38" s="193" t="str">
        <f>List!$B$23&amp;": *"</f>
        <v>Volitelně: *</v>
      </c>
      <c r="C38" s="305"/>
      <c r="D38" s="305"/>
      <c r="E38" s="305"/>
      <c r="F38" s="305"/>
      <c r="G38" s="305"/>
      <c r="H38" s="114"/>
      <c r="I38" s="114"/>
      <c r="J38" s="114"/>
      <c r="K38" s="114"/>
      <c r="L38" s="114"/>
      <c r="M38" s="141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25">
      <c r="A39" s="114"/>
      <c r="B39" s="407" t="str">
        <f>Cen!A328</f>
        <v>Sada držáků zásuvného prvku D, bílošedá</v>
      </c>
      <c r="C39" s="407"/>
      <c r="D39" s="407"/>
      <c r="E39" s="407"/>
      <c r="F39" s="407"/>
      <c r="G39" s="407"/>
      <c r="H39" s="407" t="str">
        <f>Cen!B328</f>
        <v>Z36D0080</v>
      </c>
      <c r="I39" s="407" t="str">
        <f>Cen!C328</f>
        <v>WGR</v>
      </c>
      <c r="J39" s="408"/>
      <c r="K39" s="152"/>
      <c r="L39" s="152"/>
      <c r="M39" s="141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ht="15.75" customHeight="1" x14ac:dyDescent="0.25">
      <c r="A41" s="114"/>
      <c r="B41" s="114" t="str">
        <f>"     * "&amp;List!$B$148</f>
        <v xml:space="preserve">     * Sada držáků, pro vlastní zásuvný prvek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B42" s="114" t="str">
        <f>"       "&amp;List!$B$150&amp;"!"</f>
        <v xml:space="preserve">       Cena držáků zásuvného prvku není zahrnuta do cen jednotlivých výsuvů!</v>
      </c>
      <c r="C42" s="114"/>
      <c r="D42" s="114"/>
      <c r="E42" s="114"/>
      <c r="F42" s="114"/>
      <c r="G42" s="114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x14ac:dyDescent="0.25">
      <c r="B43" s="114"/>
      <c r="C43" s="114"/>
      <c r="D43" s="114"/>
      <c r="E43" s="114"/>
      <c r="F43" s="114"/>
      <c r="G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/>
      <c r="T43" s="386">
        <f>Cen!F127</f>
        <v>15.883479999999999</v>
      </c>
      <c r="U43" s="387">
        <f t="shared" si="1"/>
        <v>0</v>
      </c>
    </row>
    <row r="44" spans="1:21" ht="13" x14ac:dyDescent="0.3">
      <c r="A44" s="114"/>
      <c r="B44" s="277" t="str">
        <f>IF(OR($K$14&gt;0, $L$14&gt;0), List!$B$196, " ")</f>
        <v xml:space="preserve"> </v>
      </c>
      <c r="C44" s="277"/>
      <c r="D44" s="277"/>
      <c r="E44" s="277"/>
      <c r="F44" s="277"/>
      <c r="G44" s="277"/>
      <c r="H44" s="114"/>
      <c r="I44" s="114"/>
      <c r="J44" s="114"/>
      <c r="K44" s="114"/>
      <c r="L44" s="114"/>
      <c r="N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/>
      <c r="T44" s="386">
        <f>Cen!F128</f>
        <v>15.883479999999999</v>
      </c>
      <c r="U44" s="387">
        <f t="shared" si="1"/>
        <v>0</v>
      </c>
    </row>
    <row r="45" spans="1:21" ht="13" x14ac:dyDescent="0.3">
      <c r="A45" s="114"/>
      <c r="B45" s="277" t="str">
        <f>IF(OR($K$14&gt;0, $L$14&gt;0), List!$B$200, " ")</f>
        <v xml:space="preserve"> </v>
      </c>
      <c r="C45" s="277"/>
      <c r="D45" s="277"/>
      <c r="E45" s="277"/>
      <c r="F45" s="277"/>
      <c r="G45" s="277"/>
      <c r="H45" s="114"/>
      <c r="I45" s="114"/>
      <c r="J45" s="114"/>
      <c r="K45" s="114"/>
      <c r="L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/>
      <c r="T46" s="386">
        <f>Cen!F130</f>
        <v>0.22786000000000001</v>
      </c>
      <c r="U46" s="387">
        <f t="shared" si="1"/>
        <v>0</v>
      </c>
    </row>
    <row r="47" spans="1:21" x14ac:dyDescent="0.25"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/>
      <c r="T47" s="386">
        <f>Cen!F131</f>
        <v>3.7524400000000004</v>
      </c>
      <c r="U47" s="387">
        <f t="shared" si="1"/>
        <v>0</v>
      </c>
    </row>
    <row r="48" spans="1:21" x14ac:dyDescent="0.25"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4:21" x14ac:dyDescent="0.25">
      <c r="N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4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4:21" x14ac:dyDescent="0.25">
      <c r="P51" s="123"/>
      <c r="Q51" s="123"/>
      <c r="R51" s="123"/>
      <c r="S51" s="385"/>
      <c r="T51" s="386"/>
      <c r="U51" s="387"/>
    </row>
    <row r="52" spans="14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>
        <f>SUM($S$3:$S$11)</f>
        <v>0</v>
      </c>
      <c r="T52" s="386">
        <f>Cen!F143</f>
        <v>1.4347399999999999</v>
      </c>
      <c r="U52" s="387">
        <f t="shared" ref="U52:U61" si="2">S52*T52</f>
        <v>0</v>
      </c>
    </row>
    <row r="53" spans="14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4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4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4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4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SUM($S$3:$S$11)*2</f>
        <v>0</v>
      </c>
      <c r="T57" s="386">
        <f>Cen!F162</f>
        <v>2.93709</v>
      </c>
      <c r="U57" s="387">
        <f>S57*T57</f>
        <v>0</v>
      </c>
    </row>
    <row r="58" spans="14:21" x14ac:dyDescent="0.25">
      <c r="P58" s="123"/>
      <c r="Q58" s="123"/>
      <c r="R58" s="123"/>
      <c r="S58" s="385"/>
      <c r="T58" s="386"/>
      <c r="U58" s="387"/>
    </row>
    <row r="59" spans="14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4:21" x14ac:dyDescent="0.25">
      <c r="P60" s="123"/>
      <c r="Q60" s="123"/>
      <c r="R60" s="123"/>
      <c r="S60" s="385"/>
      <c r="T60" s="386"/>
      <c r="U60" s="387"/>
    </row>
    <row r="61" spans="14:21" x14ac:dyDescent="0.25">
      <c r="P61" s="123" t="str">
        <f>Cen!A365</f>
        <v>Adaptér příčky dřezového výsuvu</v>
      </c>
      <c r="Q61" s="123" t="str">
        <f>Cen!B365</f>
        <v>Z30N0002.6Z</v>
      </c>
      <c r="R61" s="123" t="str">
        <f>Cen!C365</f>
        <v>R737</v>
      </c>
      <c r="S61" s="385">
        <f>SUM($S$3:$S$11)</f>
        <v>0</v>
      </c>
      <c r="T61" s="402">
        <f>Cen!F365</f>
        <v>2.1192299999999999</v>
      </c>
      <c r="U61" s="387">
        <f t="shared" si="2"/>
        <v>0</v>
      </c>
    </row>
    <row r="63" spans="14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68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4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>S9</f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>S10</f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>S11</f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J39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/>
      <c r="Q79" s="123"/>
      <c r="R79" s="123"/>
      <c r="S79" s="385"/>
      <c r="T79" s="402"/>
      <c r="U79" s="387"/>
    </row>
    <row r="80" spans="16:21" x14ac:dyDescent="0.25">
      <c r="P80" s="123"/>
      <c r="Q80" s="123"/>
      <c r="R80" s="123"/>
      <c r="S80" s="385"/>
      <c r="T80" s="402"/>
      <c r="U80" s="387"/>
    </row>
    <row r="81" spans="16:21" x14ac:dyDescent="0.25">
      <c r="P81" s="123"/>
      <c r="Q81" s="123"/>
      <c r="R81" s="123"/>
      <c r="S81" s="385"/>
      <c r="T81" s="402"/>
      <c r="U81" s="387"/>
    </row>
    <row r="82" spans="16:21" x14ac:dyDescent="0.25">
      <c r="P82" s="123"/>
      <c r="Q82" s="123"/>
      <c r="R82" s="123"/>
      <c r="S82" s="385"/>
      <c r="T82" s="402"/>
      <c r="U82" s="387"/>
    </row>
    <row r="83" spans="16:21" x14ac:dyDescent="0.25">
      <c r="P83" s="123"/>
      <c r="Q83" s="123"/>
      <c r="R83" s="123"/>
      <c r="S83" s="385"/>
      <c r="T83" s="402"/>
      <c r="U83" s="387"/>
    </row>
    <row r="90" spans="16:21" x14ac:dyDescent="0.25">
      <c r="U90" s="152">
        <f>SUM(U3:U88)</f>
        <v>0</v>
      </c>
    </row>
    <row r="97" spans="1:16" x14ac:dyDescent="0.25">
      <c r="A97" s="577"/>
    </row>
    <row r="98" spans="1:16" x14ac:dyDescent="0.25">
      <c r="A98" s="577"/>
      <c r="B98" s="586" t="str">
        <f>List!B25</f>
        <v>Informace k objednávání</v>
      </c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P98" s="114" t="str">
        <f>List!$B$276&amp;"!"</f>
        <v>S0 a S1 pouze pro jmenovitou délku 270 a 300 mm!</v>
      </c>
    </row>
    <row r="99" spans="1:16" x14ac:dyDescent="0.25">
      <c r="A99" s="577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P99" s="114" t="str">
        <f>List!$B$277&amp;"!"</f>
        <v>Pro výsuvy délky 270 a 300 mm vyberte jednotky S0 nebo S1!</v>
      </c>
    </row>
    <row r="100" spans="1:16" ht="12.75" customHeight="1" x14ac:dyDescent="0.25">
      <c r="A100" s="577"/>
      <c r="P100" s="114" t="str">
        <f>List!$B$278&amp;"!"</f>
        <v>Počet jednotek L neodpovídá počtu korpusových lišt!</v>
      </c>
    </row>
    <row r="101" spans="1:16" ht="12.75" customHeight="1" thickBot="1" x14ac:dyDescent="0.3">
      <c r="A101" s="577"/>
      <c r="B101" s="587"/>
      <c r="C101" s="587"/>
      <c r="D101" s="588" t="str">
        <f>List!B268&amp;" "&amp;List!B283</f>
        <v>Sada jednotek TIP-ON BLUMOTION a sada unašečů TIP-ON BLUMOTION</v>
      </c>
      <c r="E101" s="588"/>
      <c r="F101" s="588"/>
      <c r="G101" s="588"/>
      <c r="H101" s="588"/>
      <c r="I101" s="588"/>
      <c r="J101" s="588"/>
      <c r="K101" s="588"/>
      <c r="L101" s="588"/>
      <c r="P101" s="114" t="str">
        <f>List!$B$279&amp;"!"</f>
        <v>Počet jednotek S neodpovídá počtu korpusových lišt!</v>
      </c>
    </row>
    <row r="102" spans="1:16" ht="7.5" customHeight="1" thickBot="1" x14ac:dyDescent="0.3">
      <c r="A102" s="577"/>
      <c r="B102" s="589"/>
      <c r="C102" s="590"/>
      <c r="D102" s="593" t="str">
        <f>List!$B$280&amp;":"</f>
        <v>Využití pro:</v>
      </c>
      <c r="E102" s="594"/>
      <c r="F102" s="594"/>
      <c r="G102" s="594"/>
      <c r="H102" s="594"/>
      <c r="I102" s="595"/>
      <c r="J102" s="596" t="str">
        <f>List!B281&amp;"*"</f>
        <v>Doporučené hodnoty hmotnosti*</v>
      </c>
      <c r="K102" s="597"/>
      <c r="L102" s="597"/>
    </row>
    <row r="103" spans="1:16" ht="18.75" customHeight="1" thickBot="1" x14ac:dyDescent="0.3">
      <c r="A103" s="577"/>
      <c r="B103" s="591"/>
      <c r="C103" s="592"/>
      <c r="D103" s="600" t="str">
        <f>List!B45&amp;" (NL)"</f>
        <v>Jmenovitá délka (NL)</v>
      </c>
      <c r="E103" s="600"/>
      <c r="F103" s="600"/>
      <c r="G103" s="362" t="str">
        <f>List!B275</f>
        <v>Jednotka</v>
      </c>
      <c r="H103" s="601" t="str">
        <f>List!B88</f>
        <v>Číslo artiklu</v>
      </c>
      <c r="I103" s="602"/>
      <c r="J103" s="598"/>
      <c r="K103" s="599"/>
      <c r="L103" s="599"/>
    </row>
    <row r="104" spans="1:16" ht="18.75" customHeight="1" thickBot="1" x14ac:dyDescent="0.3">
      <c r="A104" s="577"/>
      <c r="B104" s="591"/>
      <c r="C104" s="592"/>
      <c r="D104" s="603" t="s">
        <v>988</v>
      </c>
      <c r="E104" s="604"/>
      <c r="F104" s="605"/>
      <c r="G104" s="363" t="s">
        <v>932</v>
      </c>
      <c r="H104" s="610" t="s">
        <v>997</v>
      </c>
      <c r="I104" s="611"/>
      <c r="J104" s="371" t="s">
        <v>999</v>
      </c>
      <c r="K104" s="369"/>
      <c r="L104" s="369"/>
    </row>
    <row r="105" spans="1:16" ht="18.75" customHeight="1" thickBot="1" x14ac:dyDescent="0.3">
      <c r="A105" s="577"/>
      <c r="B105" s="591"/>
      <c r="C105" s="592"/>
      <c r="D105" s="606"/>
      <c r="E105" s="607"/>
      <c r="F105" s="608"/>
      <c r="G105" s="363" t="s">
        <v>933</v>
      </c>
      <c r="H105" s="610" t="s">
        <v>989</v>
      </c>
      <c r="I105" s="611"/>
      <c r="J105" s="371" t="s">
        <v>998</v>
      </c>
      <c r="K105" s="364"/>
      <c r="L105" s="364"/>
    </row>
    <row r="106" spans="1:16" ht="18.75" customHeight="1" thickBot="1" x14ac:dyDescent="0.3">
      <c r="A106" s="577"/>
      <c r="B106" s="591"/>
      <c r="C106" s="592"/>
      <c r="D106" s="603" t="s">
        <v>991</v>
      </c>
      <c r="E106" s="604"/>
      <c r="F106" s="605"/>
      <c r="G106" s="363" t="s">
        <v>934</v>
      </c>
      <c r="H106" s="610" t="s">
        <v>992</v>
      </c>
      <c r="I106" s="611"/>
      <c r="J106" s="371" t="s">
        <v>990</v>
      </c>
      <c r="K106" s="364"/>
      <c r="L106" s="364"/>
    </row>
    <row r="107" spans="1:16" ht="18.75" customHeight="1" thickBot="1" x14ac:dyDescent="0.3">
      <c r="A107" s="577"/>
      <c r="B107" s="591"/>
      <c r="C107" s="592"/>
      <c r="D107" s="612"/>
      <c r="E107" s="613"/>
      <c r="F107" s="614"/>
      <c r="G107" s="363" t="s">
        <v>935</v>
      </c>
      <c r="H107" s="610" t="s">
        <v>993</v>
      </c>
      <c r="I107" s="611"/>
      <c r="J107" s="615" t="s">
        <v>994</v>
      </c>
      <c r="K107" s="616"/>
      <c r="L107" s="364"/>
    </row>
    <row r="108" spans="1:16" ht="18.75" customHeight="1" thickBot="1" x14ac:dyDescent="0.3">
      <c r="A108" s="577"/>
      <c r="B108" s="591"/>
      <c r="C108" s="592"/>
      <c r="D108" s="606"/>
      <c r="E108" s="607"/>
      <c r="F108" s="608"/>
      <c r="G108" s="363" t="s">
        <v>936</v>
      </c>
      <c r="H108" s="610" t="s">
        <v>995</v>
      </c>
      <c r="I108" s="611"/>
      <c r="J108" s="365"/>
      <c r="K108" s="616" t="s">
        <v>996</v>
      </c>
      <c r="L108" s="616"/>
    </row>
    <row r="109" spans="1:16" ht="18.75" customHeight="1" x14ac:dyDescent="0.25">
      <c r="A109" s="577"/>
      <c r="B109" s="591"/>
      <c r="C109" s="592"/>
      <c r="D109" s="366"/>
      <c r="E109" s="366"/>
      <c r="F109" s="366"/>
      <c r="G109" s="367"/>
      <c r="H109" s="609" t="str">
        <f>"* "&amp;List!B282</f>
        <v>* Celková hmotnost výsuvu (hmotnost výsuvu včetně náplně)</v>
      </c>
      <c r="I109" s="609"/>
      <c r="J109" s="609"/>
      <c r="K109" s="609"/>
      <c r="L109" s="609"/>
    </row>
    <row r="110" spans="1:16" ht="18.75" customHeight="1" x14ac:dyDescent="0.25">
      <c r="A110" s="577"/>
      <c r="B110" s="591"/>
      <c r="C110" s="592"/>
      <c r="D110" s="366"/>
      <c r="E110" s="366"/>
      <c r="F110" s="366"/>
      <c r="G110" s="368"/>
      <c r="H110" s="609"/>
      <c r="I110" s="609"/>
      <c r="J110" s="609"/>
      <c r="K110" s="609"/>
      <c r="L110" s="609"/>
    </row>
    <row r="111" spans="1:16" ht="18.75" customHeight="1" x14ac:dyDescent="0.25">
      <c r="A111" s="577"/>
    </row>
    <row r="112" spans="1:16" ht="18.75" customHeight="1" x14ac:dyDescent="0.25">
      <c r="A112" s="577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42" spans="1:1" x14ac:dyDescent="0.25">
      <c r="A142" s="617"/>
    </row>
    <row r="143" spans="1:1" x14ac:dyDescent="0.25">
      <c r="A143" s="617"/>
    </row>
    <row r="144" spans="1:1" x14ac:dyDescent="0.25">
      <c r="A144" s="617"/>
    </row>
    <row r="145" spans="1:1" x14ac:dyDescent="0.25">
      <c r="A145" s="617"/>
    </row>
    <row r="146" spans="1:1" x14ac:dyDescent="0.25">
      <c r="A146" s="617"/>
    </row>
    <row r="147" spans="1:1" x14ac:dyDescent="0.25">
      <c r="A147" s="617"/>
    </row>
    <row r="148" spans="1:1" x14ac:dyDescent="0.25">
      <c r="A148" s="617"/>
    </row>
    <row r="149" spans="1:1" x14ac:dyDescent="0.25">
      <c r="A149" s="617"/>
    </row>
    <row r="150" spans="1:1" x14ac:dyDescent="0.25">
      <c r="A150" s="617"/>
    </row>
    <row r="151" spans="1:1" x14ac:dyDescent="0.25">
      <c r="A151" s="617"/>
    </row>
    <row r="152" spans="1:1" x14ac:dyDescent="0.25">
      <c r="A152" s="617"/>
    </row>
    <row r="153" spans="1:1" x14ac:dyDescent="0.25">
      <c r="A153" s="617"/>
    </row>
    <row r="154" spans="1:1" x14ac:dyDescent="0.25">
      <c r="A154" s="617"/>
    </row>
    <row r="155" spans="1:1" x14ac:dyDescent="0.25">
      <c r="A155" s="617"/>
    </row>
    <row r="156" spans="1:1" x14ac:dyDescent="0.25">
      <c r="A156" s="617"/>
    </row>
    <row r="157" spans="1:1" x14ac:dyDescent="0.25">
      <c r="A157" s="617"/>
    </row>
    <row r="158" spans="1:1" x14ac:dyDescent="0.25">
      <c r="A158" s="617"/>
    </row>
    <row r="159" spans="1:1" x14ac:dyDescent="0.25">
      <c r="A159" s="617"/>
    </row>
    <row r="160" spans="1:1" x14ac:dyDescent="0.25">
      <c r="A160" s="617"/>
    </row>
    <row r="161" spans="1:10" x14ac:dyDescent="0.25">
      <c r="A161" s="617"/>
    </row>
    <row r="162" spans="1:10" x14ac:dyDescent="0.25">
      <c r="A162" s="617"/>
    </row>
    <row r="163" spans="1:10" x14ac:dyDescent="0.25">
      <c r="A163" s="617"/>
    </row>
    <row r="164" spans="1:10" x14ac:dyDescent="0.25">
      <c r="A164" s="617"/>
    </row>
    <row r="165" spans="1:10" x14ac:dyDescent="0.25">
      <c r="A165" s="617"/>
    </row>
    <row r="166" spans="1:10" x14ac:dyDescent="0.25">
      <c r="A166" s="617"/>
    </row>
    <row r="167" spans="1:10" x14ac:dyDescent="0.25">
      <c r="A167" s="617"/>
    </row>
    <row r="168" spans="1:10" x14ac:dyDescent="0.25">
      <c r="A168" s="617"/>
      <c r="B168" s="2" t="str">
        <f>"  "&amp;List!$C$197&amp;":"</f>
        <v xml:space="preserve">  Minimální rozměry přířezu dna:</v>
      </c>
    </row>
    <row r="169" spans="1:10" ht="13" x14ac:dyDescent="0.3">
      <c r="A169" s="617"/>
      <c r="B169" s="197" t="s">
        <v>94</v>
      </c>
      <c r="C169" s="197"/>
      <c r="D169" s="197"/>
      <c r="E169" s="197"/>
      <c r="F169" s="197"/>
      <c r="G169" s="197"/>
    </row>
    <row r="170" spans="1:10" ht="13" x14ac:dyDescent="0.3">
      <c r="A170" s="617"/>
      <c r="B170" s="197" t="s">
        <v>95</v>
      </c>
      <c r="C170" s="197"/>
      <c r="D170" s="197"/>
      <c r="E170" s="197"/>
      <c r="F170" s="197"/>
      <c r="G170" s="197"/>
    </row>
    <row r="171" spans="1:10" x14ac:dyDescent="0.25">
      <c r="A171" s="617"/>
    </row>
    <row r="172" spans="1:10" x14ac:dyDescent="0.25">
      <c r="A172" s="617"/>
      <c r="B172" s="2" t="str">
        <f>"  "&amp;List!$C$198&amp;"!"</f>
        <v xml:space="preserve">  Není-li možné minimální rozměry dodržet, nelze použít výsuvy s TIP-ON BLUMOTION!</v>
      </c>
    </row>
    <row r="173" spans="1:10" x14ac:dyDescent="0.25">
      <c r="A173" s="617"/>
    </row>
    <row r="174" spans="1:10" x14ac:dyDescent="0.25">
      <c r="A174" s="617"/>
      <c r="B174" s="2" t="str">
        <f>"  "&amp;List!$B$196</f>
        <v xml:space="preserve">  0</v>
      </c>
    </row>
    <row r="175" spans="1:10" x14ac:dyDescent="0.25">
      <c r="A175" s="617"/>
      <c r="I175" s="573" t="str">
        <f>List!$B$99</f>
        <v>Zpět</v>
      </c>
      <c r="J175" s="573"/>
    </row>
    <row r="176" spans="1:10" x14ac:dyDescent="0.25">
      <c r="A176" s="617"/>
    </row>
    <row r="177" spans="1:1" x14ac:dyDescent="0.25">
      <c r="A177" s="617"/>
    </row>
    <row r="178" spans="1:1" x14ac:dyDescent="0.25">
      <c r="A178" s="617"/>
    </row>
    <row r="179" spans="1:1" x14ac:dyDescent="0.25">
      <c r="A179" s="617"/>
    </row>
    <row r="180" spans="1:1" x14ac:dyDescent="0.25">
      <c r="A180" s="617"/>
    </row>
    <row r="181" spans="1:1" x14ac:dyDescent="0.25">
      <c r="A181" s="617"/>
    </row>
    <row r="182" spans="1:1" x14ac:dyDescent="0.25">
      <c r="A182" s="617"/>
    </row>
    <row r="183" spans="1:1" x14ac:dyDescent="0.25">
      <c r="A183" s="617"/>
    </row>
  </sheetData>
  <sheetProtection algorithmName="SHA-512" hashValue="rlvVij2+CEHK7V0Dat23W5uQK/0JTjlQIMSNwiOxh+Lm+suchVm8T86MalZzAK1cfEOCSrgrhr3x5zTz5432Ng==" saltValue="WAhG5yahyNEcIUbP/rhAHg==" spinCount="100000" sheet="1" objects="1" scenarios="1"/>
  <mergeCells count="21">
    <mergeCell ref="H107:I107"/>
    <mergeCell ref="J107:K107"/>
    <mergeCell ref="H108:I108"/>
    <mergeCell ref="K108:L108"/>
    <mergeCell ref="H109:L110"/>
    <mergeCell ref="A97:A138"/>
    <mergeCell ref="A142:A183"/>
    <mergeCell ref="I175:J175"/>
    <mergeCell ref="B98:L99"/>
    <mergeCell ref="B101:C101"/>
    <mergeCell ref="D101:L101"/>
    <mergeCell ref="B102:C110"/>
    <mergeCell ref="D102:I102"/>
    <mergeCell ref="J102:L103"/>
    <mergeCell ref="D103:F103"/>
    <mergeCell ref="H103:I103"/>
    <mergeCell ref="D104:F105"/>
    <mergeCell ref="H104:I104"/>
    <mergeCell ref="H105:I105"/>
    <mergeCell ref="D106:F108"/>
    <mergeCell ref="H106:I106"/>
  </mergeCells>
  <phoneticPr fontId="53" type="noConversion"/>
  <hyperlinks>
    <hyperlink ref="N4" location="Form!A1" tooltip=" " display="Form!A1"/>
    <hyperlink ref="N5" location="Menu!A1" tooltip=" " display="Menu!A1"/>
    <hyperlink ref="I175" location="HFww!A1" tooltip=" " display="HFww!A1"/>
    <hyperlink ref="I175:J175" location="AD342R!A1" tooltip=" " display="AD342R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  <hyperlink ref="N113" location="AD342R!A1" tooltip=" " display="AD342R!A1"/>
  </hyperlinks>
  <pageMargins left="0.7" right="0.7" top="0.78740157499999996" bottom="0.78740157499999996" header="0.3" footer="0.3"/>
  <pageSetup paperSize="9" orientation="portrait" horizontalDpi="1200" verticalDpi="12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U9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"&amp;List!$B$59&amp;", "&amp;List!$B$60&amp;" D+D"</f>
        <v>Čelní výsuv pro úzké korpusy, sestava D+D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List!$B$62</f>
        <v>zásuvný prvek sklo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tr">
        <f>List!$B$32&amp;":"</f>
        <v>sklo:</v>
      </c>
      <c r="J6" s="117"/>
      <c r="K6" s="116" t="str">
        <f>Form!$O$8</f>
        <v>čiré</v>
      </c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$H$25:$H$26)*2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$I$25:$I$26)*2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$J$25:$J$26)*2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$K$25:$K$26)*2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$L$26)*2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183"/>
      <c r="K14" s="30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948</v>
      </c>
      <c r="C19" s="291" t="s">
        <v>447</v>
      </c>
      <c r="D19" s="360"/>
      <c r="E19" s="360"/>
      <c r="F19" s="360"/>
      <c r="G19" s="360"/>
      <c r="H19" s="292"/>
      <c r="I19" s="292"/>
      <c r="J19" s="292"/>
      <c r="K19" s="292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945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7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305"/>
      <c r="C33" s="305"/>
      <c r="D33" s="305"/>
      <c r="E33" s="305"/>
      <c r="F33" s="305"/>
      <c r="G33" s="305"/>
      <c r="H33" s="141"/>
      <c r="I33" s="141"/>
      <c r="J33" s="141"/>
      <c r="K33" s="141"/>
      <c r="L33" s="141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B34" s="141"/>
      <c r="C34" s="141"/>
      <c r="D34" s="141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141"/>
      <c r="E35" s="141"/>
      <c r="F35" s="141"/>
      <c r="G35" s="141"/>
      <c r="H35" s="141"/>
      <c r="I35" s="141"/>
      <c r="J35" s="147"/>
      <c r="K35" s="152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7"/>
      <c r="K36" s="152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41"/>
      <c r="C37" s="141"/>
      <c r="D37" s="141"/>
      <c r="E37" s="141"/>
      <c r="F37" s="141"/>
      <c r="G37" s="141"/>
      <c r="H37" s="141"/>
      <c r="I37" s="141"/>
      <c r="J37" s="147"/>
      <c r="K37" s="152"/>
      <c r="L37" s="152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41"/>
      <c r="C38" s="141"/>
      <c r="D38" s="141"/>
      <c r="E38" s="141"/>
      <c r="F38" s="141"/>
      <c r="G38" s="141"/>
      <c r="H38" s="141"/>
      <c r="I38" s="141"/>
      <c r="J38" s="147"/>
      <c r="K38" s="152"/>
      <c r="L38" s="152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x14ac:dyDescent="0.25">
      <c r="A39" s="114"/>
      <c r="B39" s="141"/>
      <c r="C39" s="141"/>
      <c r="D39" s="141"/>
      <c r="E39" s="141"/>
      <c r="F39" s="141"/>
      <c r="G39" s="141"/>
      <c r="H39" s="141"/>
      <c r="I39" s="141"/>
      <c r="J39" s="147"/>
      <c r="K39" s="152"/>
      <c r="L39" s="152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152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P45" s="123"/>
      <c r="Q45" s="123"/>
      <c r="R45" s="123"/>
      <c r="S45" s="385"/>
      <c r="T45" s="386"/>
      <c r="U45" s="387"/>
    </row>
    <row r="46" spans="1:21" x14ac:dyDescent="0.25"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6:21" x14ac:dyDescent="0.25"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6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6:21" x14ac:dyDescent="0.25">
      <c r="P51" s="123"/>
      <c r="Q51" s="123"/>
      <c r="R51" s="123"/>
      <c r="S51" s="385"/>
      <c r="T51" s="386"/>
      <c r="U51" s="387"/>
    </row>
    <row r="52" spans="16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6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6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6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6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6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>S57*T57</f>
        <v>0</v>
      </c>
    </row>
    <row r="58" spans="16:21" x14ac:dyDescent="0.25">
      <c r="P58" s="123"/>
      <c r="Q58" s="123"/>
      <c r="R58" s="123"/>
      <c r="S58" s="385"/>
      <c r="T58" s="386"/>
      <c r="U58" s="387"/>
    </row>
    <row r="59" spans="16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6:21" x14ac:dyDescent="0.25">
      <c r="P60" s="123"/>
      <c r="Q60" s="123"/>
      <c r="R60" s="123"/>
      <c r="S60" s="385"/>
      <c r="T60" s="386"/>
      <c r="U60" s="387"/>
    </row>
    <row r="63" spans="16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6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Cen!A254</f>
        <v>Zásuvný prvek D, 270mm, čiré sko</v>
      </c>
      <c r="Q75" s="123" t="str">
        <f>Cen!B254</f>
        <v>Z37R237D</v>
      </c>
      <c r="R75" s="123" t="str">
        <f>Cen!C254</f>
        <v>KL</v>
      </c>
      <c r="S75" s="385">
        <f t="shared" ref="S75:S83" si="5">S3</f>
        <v>0</v>
      </c>
      <c r="T75" s="402">
        <f>Cen!F254</f>
        <v>9.78749</v>
      </c>
      <c r="U75" s="387">
        <f t="shared" ref="U75:U83" si="6">S75*T75</f>
        <v>0</v>
      </c>
    </row>
    <row r="76" spans="16:21" x14ac:dyDescent="0.25">
      <c r="P76" s="123" t="str">
        <f>Cen!A256</f>
        <v>Zásuvný prvek D, 300mm, čiré sko</v>
      </c>
      <c r="Q76" s="123" t="str">
        <f>Cen!B256</f>
        <v>Z37R267D</v>
      </c>
      <c r="R76" s="123" t="str">
        <f>Cen!C256</f>
        <v>KL</v>
      </c>
      <c r="S76" s="385">
        <f t="shared" si="5"/>
        <v>0</v>
      </c>
      <c r="T76" s="402">
        <f>Cen!F256</f>
        <v>10.956569999999999</v>
      </c>
      <c r="U76" s="387">
        <f t="shared" si="6"/>
        <v>0</v>
      </c>
    </row>
    <row r="77" spans="16:21" x14ac:dyDescent="0.25">
      <c r="P77" s="123" t="str">
        <f>Cen!A258</f>
        <v>Zásuvný prvek D, 350mm, čiré sko</v>
      </c>
      <c r="Q77" s="123" t="str">
        <f>Cen!B258</f>
        <v>Z37R317D</v>
      </c>
      <c r="R77" s="123" t="str">
        <f>Cen!C258</f>
        <v>KL</v>
      </c>
      <c r="S77" s="385">
        <f t="shared" si="5"/>
        <v>0</v>
      </c>
      <c r="T77" s="402">
        <f>Cen!F258</f>
        <v>10.55153</v>
      </c>
      <c r="U77" s="387">
        <f t="shared" si="6"/>
        <v>0</v>
      </c>
    </row>
    <row r="78" spans="16:21" x14ac:dyDescent="0.25">
      <c r="P78" s="123" t="str">
        <f>Cen!A260</f>
        <v>Zásuvný prvek D, 400mm, čiré sko</v>
      </c>
      <c r="Q78" s="123" t="str">
        <f>Cen!B260</f>
        <v>Z37R367D</v>
      </c>
      <c r="R78" s="123" t="str">
        <f>Cen!C260</f>
        <v>KL</v>
      </c>
      <c r="S78" s="385">
        <f t="shared" si="5"/>
        <v>0</v>
      </c>
      <c r="T78" s="402">
        <f>Cen!F260</f>
        <v>11.739190000000001</v>
      </c>
      <c r="U78" s="387">
        <f t="shared" si="6"/>
        <v>0</v>
      </c>
    </row>
    <row r="79" spans="16:21" x14ac:dyDescent="0.25">
      <c r="P79" s="123" t="str">
        <f>Cen!A262</f>
        <v>Zásuvný prvek D, 450mm, čiré sko</v>
      </c>
      <c r="Q79" s="123" t="str">
        <f>Cen!B262</f>
        <v>Z37R417D</v>
      </c>
      <c r="R79" s="123" t="str">
        <f>Cen!C262</f>
        <v>KL</v>
      </c>
      <c r="S79" s="385">
        <f t="shared" si="5"/>
        <v>0</v>
      </c>
      <c r="T79" s="402">
        <f>Cen!F262</f>
        <v>14.23917</v>
      </c>
      <c r="U79" s="387">
        <f t="shared" si="6"/>
        <v>0</v>
      </c>
    </row>
    <row r="80" spans="16:21" x14ac:dyDescent="0.25">
      <c r="P80" s="123" t="str">
        <f>Cen!A264</f>
        <v>Zásuvný prvek D, 500mm, čiré sko</v>
      </c>
      <c r="Q80" s="123" t="str">
        <f>Cen!B264</f>
        <v>Z37R467D</v>
      </c>
      <c r="R80" s="123" t="str">
        <f>Cen!C264</f>
        <v>KL</v>
      </c>
      <c r="S80" s="385">
        <f t="shared" si="5"/>
        <v>0</v>
      </c>
      <c r="T80" s="402">
        <f>Cen!F264</f>
        <v>11.697749999999999</v>
      </c>
      <c r="U80" s="387">
        <f t="shared" si="6"/>
        <v>0</v>
      </c>
    </row>
    <row r="81" spans="16:21" x14ac:dyDescent="0.25">
      <c r="P81" s="123" t="str">
        <f>Cen!A266</f>
        <v>Zásuvný prvek D, 550mm, čiré sko</v>
      </c>
      <c r="Q81" s="123" t="str">
        <f>Cen!B266</f>
        <v>Z37R517D</v>
      </c>
      <c r="R81" s="123" t="str">
        <f>Cen!C266</f>
        <v>KL</v>
      </c>
      <c r="S81" s="385">
        <f t="shared" si="5"/>
        <v>0</v>
      </c>
      <c r="T81" s="402">
        <f>Cen!F266</f>
        <v>13.304410000000001</v>
      </c>
      <c r="U81" s="387">
        <f t="shared" si="6"/>
        <v>0</v>
      </c>
    </row>
    <row r="82" spans="16:21" x14ac:dyDescent="0.25">
      <c r="P82" s="123" t="str">
        <f>Cen!A268</f>
        <v>Zásuvný prvek D, 600mm, čiré sko</v>
      </c>
      <c r="Q82" s="123" t="str">
        <f>Cen!B268</f>
        <v>Z37R567D</v>
      </c>
      <c r="R82" s="123" t="str">
        <f>Cen!C268</f>
        <v>KL</v>
      </c>
      <c r="S82" s="385">
        <f t="shared" si="5"/>
        <v>0</v>
      </c>
      <c r="T82" s="402">
        <f>Cen!F268</f>
        <v>14.08703</v>
      </c>
      <c r="U82" s="387">
        <f t="shared" si="6"/>
        <v>0</v>
      </c>
    </row>
    <row r="83" spans="16:21" x14ac:dyDescent="0.25">
      <c r="P83" s="123" t="str">
        <f>Cen!A270</f>
        <v>Zásuvný prvek D, 650mm, čiré sko</v>
      </c>
      <c r="Q83" s="123" t="str">
        <f>Cen!B270</f>
        <v>Z37R617D</v>
      </c>
      <c r="R83" s="123" t="str">
        <f>Cen!C270</f>
        <v>KL</v>
      </c>
      <c r="S83" s="385">
        <f t="shared" si="5"/>
        <v>0</v>
      </c>
      <c r="T83" s="402">
        <f>Cen!F270</f>
        <v>13.988720000000001</v>
      </c>
      <c r="U83" s="387">
        <f t="shared" si="6"/>
        <v>0</v>
      </c>
    </row>
    <row r="90" spans="16:21" x14ac:dyDescent="0.25">
      <c r="U90" s="152">
        <f>SUM(U3:U88)</f>
        <v>0</v>
      </c>
    </row>
  </sheetData>
  <sheetProtection algorithmName="SHA-512" hashValue="zis1F1An01CedT84Rn18W3B3xFXdsoZObwkotxss0aPnqtr0+K+QjtYz1ljiJnH/lVwgYIHIp8gFrQEFPbeogQ==" saltValue="PTpJDE25KmYsw6I2NeHJZQ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V104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"&amp;List!$B$59&amp;", "&amp;List!$B$60&amp;" D+D"</f>
        <v>Čelní výsuv pro úzké korpusy, sestava D+D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List!$B$63</f>
        <v>kovový zásuvný prvek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38" si="0">S3*T3</f>
        <v>0</v>
      </c>
    </row>
    <row r="4" spans="1:22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2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IF($U$2=4, 0, $H$19*2)</f>
        <v>0</v>
      </c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IF($U$2=4, 0, $I$19*2)</f>
        <v>0</v>
      </c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IF($U$2=4, 0, $J$19*2)</f>
        <v>0</v>
      </c>
      <c r="T9" s="386">
        <f>Cen!F52</f>
        <v>18.128509999999999</v>
      </c>
      <c r="U9" s="387">
        <f t="shared" si="0"/>
        <v>0</v>
      </c>
    </row>
    <row r="10" spans="1:22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IF($U$2=4, 0, $K$19*2)</f>
        <v>0</v>
      </c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IF($U$2=4, 0, $L$20*2)</f>
        <v>0</v>
      </c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14"/>
      <c r="I14" s="303"/>
      <c r="J14" s="183"/>
      <c r="K14" s="30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$H$19)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949</v>
      </c>
      <c r="C19" s="291" t="s">
        <v>447</v>
      </c>
      <c r="D19" s="360"/>
      <c r="E19" s="360"/>
      <c r="F19" s="360"/>
      <c r="G19" s="360"/>
      <c r="H19" s="292"/>
      <c r="I19" s="292"/>
      <c r="J19" s="292"/>
      <c r="K19" s="292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$I$19)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944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7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$J$19)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IF($U$2=4, 0, $K$19)</f>
        <v>0</v>
      </c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/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/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/>
      <c r="T27" s="386">
        <f>Cen!F110</f>
        <v>16.390229999999999</v>
      </c>
      <c r="U27" s="387">
        <f t="shared" si="0"/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/>
      <c r="T28" s="386">
        <f>Cen!F111</f>
        <v>16.390229999999999</v>
      </c>
      <c r="U28" s="387">
        <f t="shared" si="0"/>
        <v>0</v>
      </c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/>
      <c r="T29" s="386">
        <f>Cen!F112</f>
        <v>16.512820000000001</v>
      </c>
      <c r="U29" s="387">
        <f t="shared" si="0"/>
        <v>0</v>
      </c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/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/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/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305"/>
      <c r="C33" s="305"/>
      <c r="D33" s="305"/>
      <c r="E33" s="305"/>
      <c r="F33" s="305"/>
      <c r="G33" s="305"/>
      <c r="H33" s="141"/>
      <c r="I33" s="141"/>
      <c r="J33" s="141"/>
      <c r="K33" s="141"/>
      <c r="L33" s="141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/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B34" s="141"/>
      <c r="C34" s="141"/>
      <c r="D34" s="141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/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141"/>
      <c r="E35" s="141"/>
      <c r="F35" s="141"/>
      <c r="G35" s="141"/>
      <c r="H35" s="141"/>
      <c r="I35" s="141"/>
      <c r="J35" s="147"/>
      <c r="K35" s="152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/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7"/>
      <c r="K36" s="152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/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41"/>
      <c r="C37" s="141"/>
      <c r="D37" s="141"/>
      <c r="E37" s="141"/>
      <c r="F37" s="141"/>
      <c r="G37" s="141"/>
      <c r="H37" s="141"/>
      <c r="I37" s="141"/>
      <c r="J37" s="147"/>
      <c r="K37" s="152"/>
      <c r="L37" s="152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/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41"/>
      <c r="C38" s="141"/>
      <c r="D38" s="141"/>
      <c r="E38" s="141"/>
      <c r="F38" s="141"/>
      <c r="G38" s="141"/>
      <c r="H38" s="141"/>
      <c r="I38" s="141"/>
      <c r="J38" s="147"/>
      <c r="K38" s="152"/>
      <c r="L38" s="152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/>
      <c r="T38" s="386">
        <f>Cen!F121</f>
        <v>26.813510000000001</v>
      </c>
      <c r="U38" s="387">
        <f t="shared" si="0"/>
        <v>0</v>
      </c>
    </row>
    <row r="39" spans="1:21" x14ac:dyDescent="0.25">
      <c r="A39" s="114"/>
      <c r="B39" s="141"/>
      <c r="C39" s="141"/>
      <c r="D39" s="141"/>
      <c r="E39" s="141"/>
      <c r="F39" s="141"/>
      <c r="G39" s="141"/>
      <c r="H39" s="141"/>
      <c r="I39" s="141"/>
      <c r="J39" s="147"/>
      <c r="K39" s="152"/>
      <c r="L39" s="152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152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/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/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/>
      <c r="T46" s="386">
        <f>Cen!F130</f>
        <v>0.22786000000000001</v>
      </c>
      <c r="U46" s="387">
        <f t="shared" si="1"/>
        <v>0</v>
      </c>
    </row>
    <row r="47" spans="1:21" x14ac:dyDescent="0.25"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/>
      <c r="T47" s="386">
        <f>Cen!F131</f>
        <v>3.7524400000000004</v>
      </c>
      <c r="U47" s="387">
        <f t="shared" si="1"/>
        <v>0</v>
      </c>
    </row>
    <row r="48" spans="1:21" x14ac:dyDescent="0.25"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6:21" x14ac:dyDescent="0.25"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6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6:21" x14ac:dyDescent="0.25">
      <c r="P51" s="123"/>
      <c r="Q51" s="123"/>
      <c r="R51" s="123"/>
      <c r="S51" s="385"/>
      <c r="T51" s="386"/>
      <c r="U51" s="387"/>
    </row>
    <row r="52" spans="16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6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6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6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6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6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>S57*T57</f>
        <v>0</v>
      </c>
    </row>
    <row r="58" spans="16:21" x14ac:dyDescent="0.25">
      <c r="P58" s="123"/>
      <c r="Q58" s="123"/>
      <c r="R58" s="123"/>
      <c r="S58" s="385"/>
      <c r="T58" s="386"/>
      <c r="U58" s="387"/>
    </row>
    <row r="59" spans="16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6:21" x14ac:dyDescent="0.25">
      <c r="P60" s="123"/>
      <c r="Q60" s="123"/>
      <c r="R60" s="123"/>
      <c r="S60" s="385"/>
      <c r="T60" s="386"/>
      <c r="U60" s="387"/>
    </row>
    <row r="63" spans="16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/>
      <c r="T63" s="402">
        <f>Cen!F215</f>
        <v>6.5190299999999999</v>
      </c>
      <c r="U63" s="387">
        <f t="shared" ref="U63:U71" si="3">S63*T63</f>
        <v>0</v>
      </c>
    </row>
    <row r="64" spans="16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/>
      <c r="T64" s="402">
        <f>Cen!F219</f>
        <v>6.62744</v>
      </c>
      <c r="U64" s="387">
        <f t="shared" si="3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/>
      <c r="T65" s="402">
        <f>Cen!F223</f>
        <v>6.7358200000000004</v>
      </c>
      <c r="U65" s="387">
        <f t="shared" si="3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/>
      <c r="T66" s="402">
        <f>Cen!F227</f>
        <v>6.8442100000000003</v>
      </c>
      <c r="U66" s="387">
        <f t="shared" si="3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ref="S67:S71" si="4">S7</f>
        <v>0</v>
      </c>
      <c r="T67" s="402">
        <f>Cen!F231</f>
        <v>6.2810499999999987</v>
      </c>
      <c r="U67" s="387">
        <f t="shared" si="3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4"/>
        <v>0</v>
      </c>
      <c r="T68" s="402">
        <f>Cen!F235</f>
        <v>6.3789800000000003</v>
      </c>
      <c r="U68" s="387">
        <f t="shared" si="3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4"/>
        <v>0</v>
      </c>
      <c r="T69" s="402">
        <f>Cen!F239</f>
        <v>7.3622199999999998</v>
      </c>
      <c r="U69" s="387">
        <f t="shared" si="3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4"/>
        <v>0</v>
      </c>
      <c r="T70" s="402">
        <f>Cen!F243</f>
        <v>6.9229999999999992</v>
      </c>
      <c r="U70" s="387">
        <f t="shared" si="3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4"/>
        <v>0</v>
      </c>
      <c r="T71" s="402">
        <f>Cen!F247</f>
        <v>7.9644300000000001</v>
      </c>
      <c r="U71" s="387">
        <f t="shared" si="3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 t="str">
        <f>Cen!A292</f>
        <v>Kovový zásuvný prvek D, 450mm, šedý</v>
      </c>
      <c r="Q79" s="123" t="str">
        <f>Cen!B292</f>
        <v>Z37A417D</v>
      </c>
      <c r="R79" s="123" t="str">
        <f>Cen!C292</f>
        <v>R906</v>
      </c>
      <c r="S79" s="385">
        <f>SUM(S3:S7)*2</f>
        <v>0</v>
      </c>
      <c r="T79" s="402">
        <f>Cen!F292</f>
        <v>6.1435899999999997</v>
      </c>
      <c r="U79" s="387">
        <f>S79*T79</f>
        <v>0</v>
      </c>
    </row>
    <row r="80" spans="16:21" x14ac:dyDescent="0.25">
      <c r="P80" s="123" t="str">
        <f>Cen!A295</f>
        <v>Kovový zásuvný prvek D, 500mm, šedý</v>
      </c>
      <c r="Q80" s="123" t="str">
        <f>Cen!B295</f>
        <v>Z37A467D</v>
      </c>
      <c r="R80" s="123" t="str">
        <f>Cen!C295</f>
        <v>R906</v>
      </c>
      <c r="S80" s="385">
        <f>S8*2</f>
        <v>0</v>
      </c>
      <c r="T80" s="402">
        <f>Cen!F295</f>
        <v>6.4565700000000001</v>
      </c>
      <c r="U80" s="387">
        <f>S80*T80</f>
        <v>0</v>
      </c>
    </row>
    <row r="81" spans="16:21" x14ac:dyDescent="0.25">
      <c r="P81" s="123" t="str">
        <f>Cen!A298</f>
        <v>Kovový zásuvný prvek D, 550mm, šedý</v>
      </c>
      <c r="Q81" s="123" t="str">
        <f>Cen!B298</f>
        <v>Z37A517D</v>
      </c>
      <c r="R81" s="123" t="str">
        <f>Cen!C298</f>
        <v>R906</v>
      </c>
      <c r="S81" s="385">
        <f>S9*2</f>
        <v>0</v>
      </c>
      <c r="T81" s="402">
        <f>Cen!F298</f>
        <v>6.9749699999999999</v>
      </c>
      <c r="U81" s="387">
        <f>S81*T81</f>
        <v>0</v>
      </c>
    </row>
    <row r="82" spans="16:21" x14ac:dyDescent="0.25">
      <c r="P82" s="123">
        <f>Cen!A301</f>
        <v>0</v>
      </c>
      <c r="Q82" s="123">
        <f>Cen!B301</f>
        <v>0</v>
      </c>
      <c r="R82" s="123">
        <f>Cen!C301</f>
        <v>0</v>
      </c>
      <c r="S82" s="385"/>
      <c r="T82" s="402">
        <f>Cen!F301</f>
        <v>0</v>
      </c>
      <c r="U82" s="387">
        <f>S82*T82</f>
        <v>0</v>
      </c>
    </row>
    <row r="83" spans="16:21" x14ac:dyDescent="0.25">
      <c r="P83" s="123" t="str">
        <f>Cen!A304</f>
        <v>Kovový zásuvný prvek D, 650mm, šedý</v>
      </c>
      <c r="Q83" s="123" t="str">
        <f>Cen!B304</f>
        <v>Z37A617D</v>
      </c>
      <c r="R83" s="123" t="str">
        <f>Cen!C304</f>
        <v>R906</v>
      </c>
      <c r="S83" s="385">
        <f>SUM(S10, S11)*2</f>
        <v>0</v>
      </c>
      <c r="T83" s="402">
        <f>Cen!F304</f>
        <v>8.0120000000000005</v>
      </c>
      <c r="U83" s="387">
        <f>S83*T83</f>
        <v>0</v>
      </c>
    </row>
    <row r="90" spans="16:21" x14ac:dyDescent="0.25">
      <c r="U90" s="152">
        <f>SUM(U3:U88)</f>
        <v>0</v>
      </c>
    </row>
    <row r="103" spans="16:16" x14ac:dyDescent="0.25">
      <c r="P103" s="114" t="str">
        <f>List!$B$289&amp;"!"</f>
        <v>Kovové zásuvné prvky pro nerez (Inox) se nevyrábí!</v>
      </c>
    </row>
    <row r="104" spans="16:16" x14ac:dyDescent="0.25">
      <c r="P104" s="114" t="str">
        <f>List!$B$290&amp;"!"</f>
        <v>Kování naplánované na tomto listu se neprojeví v objednávce!</v>
      </c>
    </row>
  </sheetData>
  <sheetProtection algorithmName="SHA-512" hashValue="iBE+5t2j1FFiuwbAeroTsgSslGBRUAMEbkPClaj/lTbmMWkGMcJDc/Ioy6R8HTvA1bo6csyU4vNKKMTBIxnCMw==" saltValue="OpzvXLIpcCq5VjsGGKpsYg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U86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9.1796875" style="2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"&amp;List!$B$59&amp;", "&amp;List!$B$60&amp;" D+D"</f>
        <v>Čelní výsuv pro úzké korpusy, sestava D+D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List!$B$64</f>
        <v>podélný reling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4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$H$25:$H$26)*2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$I$25:$I$26)*2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$J$25:$J$26)*2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$K$25:$K$26)*2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$L$26)*2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183"/>
      <c r="K14" s="30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946</v>
      </c>
      <c r="C19" s="291" t="s">
        <v>447</v>
      </c>
      <c r="D19" s="360"/>
      <c r="E19" s="360"/>
      <c r="F19" s="360"/>
      <c r="G19" s="360"/>
      <c r="H19" s="292"/>
      <c r="I19" s="292"/>
      <c r="J19" s="292"/>
      <c r="K19" s="292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947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7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3" x14ac:dyDescent="0.3">
      <c r="A29" s="114"/>
      <c r="B29" s="193" t="str">
        <f>List!$B$23&amp;": *"</f>
        <v>Volitelně: *</v>
      </c>
      <c r="C29" s="305"/>
      <c r="D29" s="305"/>
      <c r="E29" s="305"/>
      <c r="F29" s="305"/>
      <c r="G29" s="305"/>
      <c r="H29" s="114"/>
      <c r="I29" s="114"/>
      <c r="J29" s="114"/>
      <c r="K29" s="114"/>
      <c r="L29" s="114"/>
      <c r="M29" s="114"/>
      <c r="N29" s="114"/>
      <c r="O29" s="114"/>
      <c r="P29" s="388" t="str">
        <f>Cen!A116</f>
        <v>Korp. lišty TIP-ON BLUMOTION, 500mm, 65 kg</v>
      </c>
      <c r="Q29" s="388" t="str">
        <f>Cen!B116</f>
        <v>576.5001M</v>
      </c>
      <c r="R29" s="388" t="str">
        <f>Cen!C116</f>
        <v>ZN</v>
      </c>
      <c r="S29" s="397">
        <f>$I$26</f>
        <v>0</v>
      </c>
      <c r="T29" s="389">
        <f>Cen!F116</f>
        <v>22.144390000000001</v>
      </c>
      <c r="U29" s="390">
        <f t="shared" si="0"/>
        <v>0</v>
      </c>
    </row>
    <row r="30" spans="1:21" ht="15.75" customHeight="1" x14ac:dyDescent="0.25">
      <c r="A30" s="114"/>
      <c r="B30" s="117" t="str">
        <f>Cen!A328</f>
        <v>Sada držáků zásuvného prvku D, bílošedá</v>
      </c>
      <c r="C30" s="407"/>
      <c r="D30" s="407"/>
      <c r="E30" s="407"/>
      <c r="F30" s="407"/>
      <c r="G30" s="407"/>
      <c r="H30" s="407" t="str">
        <f>Cen!B328</f>
        <v>Z36D0080</v>
      </c>
      <c r="I30" s="407" t="str">
        <f>Cen!C328</f>
        <v>WGR</v>
      </c>
      <c r="J30" s="408"/>
      <c r="K30" s="152"/>
      <c r="L30" s="152"/>
      <c r="M30" s="114"/>
      <c r="N30" s="114"/>
      <c r="O30" s="114"/>
      <c r="P30" s="123" t="str">
        <f>Cen!A117</f>
        <v>Korp. lišty TIP-ON BLUMOTION, 550mm, 30 kg</v>
      </c>
      <c r="Q30" s="123" t="str">
        <f>Cen!B117</f>
        <v>578.5501M</v>
      </c>
      <c r="R30" s="123" t="str">
        <f>Cen!C117</f>
        <v>ZN</v>
      </c>
      <c r="S30" s="385">
        <f>$J$25</f>
        <v>0</v>
      </c>
      <c r="T30" s="386">
        <f>Cen!F117</f>
        <v>17.614419999999999</v>
      </c>
      <c r="U30" s="387">
        <f t="shared" si="0"/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23" t="str">
        <f>Cen!A118</f>
        <v>Korp. lišty TIP-ON BLUMOTION, 550mm, 65 kg</v>
      </c>
      <c r="Q31" s="123" t="str">
        <f>Cen!B118</f>
        <v>576.5501M</v>
      </c>
      <c r="R31" s="123" t="str">
        <f>Cen!C118</f>
        <v>ZN</v>
      </c>
      <c r="S31" s="385">
        <f>$J$26</f>
        <v>0</v>
      </c>
      <c r="T31" s="386">
        <f>Cen!F118</f>
        <v>23.000999999999998</v>
      </c>
      <c r="U31" s="387">
        <f t="shared" si="0"/>
        <v>0</v>
      </c>
    </row>
    <row r="32" spans="1:21" x14ac:dyDescent="0.25">
      <c r="A32" s="114"/>
      <c r="B32" s="114" t="str">
        <f>"     * "&amp;List!$B$148</f>
        <v xml:space="preserve">     * Sada držáků, pro vlastní zásuvný prvek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23" t="str">
        <f>Cen!A119</f>
        <v>Korp. lišty TIP-ON BLUMOTION, 600mm, 30 kg</v>
      </c>
      <c r="Q32" s="123" t="str">
        <f>Cen!B119</f>
        <v>578.6001M</v>
      </c>
      <c r="R32" s="123" t="str">
        <f>Cen!C119</f>
        <v>ZN</v>
      </c>
      <c r="S32" s="385">
        <f>$K$25</f>
        <v>0</v>
      </c>
      <c r="T32" s="386">
        <f>Cen!F119</f>
        <v>20.570499999999996</v>
      </c>
      <c r="U32" s="387">
        <f t="shared" si="0"/>
        <v>0</v>
      </c>
    </row>
    <row r="33" spans="1:21" x14ac:dyDescent="0.25">
      <c r="A33" s="114"/>
      <c r="B33" s="114" t="str">
        <f>"       "&amp;List!$B$150&amp;"!"</f>
        <v xml:space="preserve">       Cena držáků zásuvného prvku není zahrnuta do cen jednotlivých výsuvů!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23" t="str">
        <f>Cen!A120</f>
        <v>Korp. lišty TIP-ON BLUMOTION, 600mm, 65 kg</v>
      </c>
      <c r="Q33" s="123" t="str">
        <f>Cen!B120</f>
        <v>576.6001M</v>
      </c>
      <c r="R33" s="123" t="str">
        <f>Cen!C120</f>
        <v>ZN</v>
      </c>
      <c r="S33" s="385">
        <f>$K$26</f>
        <v>0</v>
      </c>
      <c r="T33" s="386">
        <f>Cen!F120</f>
        <v>25.957080000000001</v>
      </c>
      <c r="U33" s="387">
        <f t="shared" si="0"/>
        <v>0</v>
      </c>
    </row>
    <row r="34" spans="1:21" x14ac:dyDescent="0.25">
      <c r="P34" s="123" t="str">
        <f>Cen!A121</f>
        <v>Korp. lišty TIP-ON BLUMOTION, 650mm, 65 kg</v>
      </c>
      <c r="Q34" s="123" t="str">
        <f>Cen!B121</f>
        <v>576.6501M</v>
      </c>
      <c r="R34" s="123" t="str">
        <f>Cen!C121</f>
        <v>ZN</v>
      </c>
      <c r="S34" s="385">
        <f>$L$26</f>
        <v>0</v>
      </c>
      <c r="T34" s="386">
        <f>Cen!F121</f>
        <v>26.813510000000001</v>
      </c>
      <c r="U34" s="387">
        <f t="shared" si="0"/>
        <v>0</v>
      </c>
    </row>
    <row r="35" spans="1:21" x14ac:dyDescent="0.25">
      <c r="P35" s="123"/>
      <c r="Q35" s="123"/>
      <c r="R35" s="123"/>
      <c r="S35" s="385"/>
      <c r="T35" s="386"/>
      <c r="U35" s="387"/>
    </row>
    <row r="36" spans="1:21" x14ac:dyDescent="0.25">
      <c r="P36" s="123" t="str">
        <f>Cen!A124</f>
        <v>Sada jednotek TIP-ON BLUMOTION, S0</v>
      </c>
      <c r="Q36" s="123" t="str">
        <f>Cen!B124</f>
        <v>T60B3030</v>
      </c>
      <c r="R36" s="123" t="str">
        <f>Cen!C124</f>
        <v>W</v>
      </c>
      <c r="S36" s="385"/>
      <c r="T36" s="386">
        <f>Cen!F124</f>
        <v>15.88349</v>
      </c>
      <c r="U36" s="387">
        <f t="shared" ref="U36:U46" si="1">S36*T36</f>
        <v>0</v>
      </c>
    </row>
    <row r="37" spans="1:21" x14ac:dyDescent="0.25">
      <c r="P37" s="123" t="str">
        <f>Cen!A125</f>
        <v>Sada jednotek TIP-ON BLUMOTION, S1</v>
      </c>
      <c r="Q37" s="123" t="str">
        <f>Cen!B125</f>
        <v>T60B3130</v>
      </c>
      <c r="R37" s="123" t="str">
        <f>Cen!C125</f>
        <v>R735</v>
      </c>
      <c r="S37" s="385"/>
      <c r="T37" s="386">
        <f>Cen!F125</f>
        <v>15.88349</v>
      </c>
      <c r="U37" s="387">
        <f t="shared" si="1"/>
        <v>0</v>
      </c>
    </row>
    <row r="38" spans="1:21" x14ac:dyDescent="0.25">
      <c r="P38" s="123" t="str">
        <f>Cen!A126</f>
        <v>Sada jednotek TIP-ON BLUMOTION, L1</v>
      </c>
      <c r="Q38" s="123" t="str">
        <f>Cen!B126</f>
        <v>T60B3330</v>
      </c>
      <c r="R38" s="123" t="str">
        <f>Cen!C126</f>
        <v>R735</v>
      </c>
      <c r="S38" s="385"/>
      <c r="T38" s="386">
        <f>Cen!F126</f>
        <v>15.883479999999999</v>
      </c>
      <c r="U38" s="387">
        <f t="shared" si="1"/>
        <v>0</v>
      </c>
    </row>
    <row r="39" spans="1:21" x14ac:dyDescent="0.25">
      <c r="P39" s="123" t="str">
        <f>Cen!A127</f>
        <v>Sada jednotek TIP-ON BLUMOTION, L3</v>
      </c>
      <c r="Q39" s="123" t="str">
        <f>Cen!B127</f>
        <v>T60B3530</v>
      </c>
      <c r="R39" s="123" t="str">
        <f>Cen!C127</f>
        <v>R737</v>
      </c>
      <c r="S39" s="385"/>
      <c r="T39" s="386">
        <f>Cen!F127</f>
        <v>15.883479999999999</v>
      </c>
      <c r="U39" s="387">
        <f t="shared" si="1"/>
        <v>0</v>
      </c>
    </row>
    <row r="40" spans="1:21" x14ac:dyDescent="0.25">
      <c r="P40" s="123" t="str">
        <f>Cen!A128</f>
        <v>Sada jednotek TIP-ON BLUMOTION, L5</v>
      </c>
      <c r="Q40" s="123" t="str">
        <f>Cen!B128</f>
        <v>T60B3560</v>
      </c>
      <c r="R40" s="123" t="str">
        <f>Cen!C128</f>
        <v>S</v>
      </c>
      <c r="S40" s="385"/>
      <c r="T40" s="386">
        <f>Cen!F128</f>
        <v>15.883479999999999</v>
      </c>
      <c r="U40" s="387">
        <f t="shared" si="1"/>
        <v>0</v>
      </c>
    </row>
    <row r="41" spans="1:21" x14ac:dyDescent="0.25">
      <c r="P41" s="123"/>
      <c r="Q41" s="123"/>
      <c r="R41" s="123"/>
      <c r="S41" s="385"/>
      <c r="T41" s="386"/>
      <c r="U41" s="387"/>
    </row>
    <row r="42" spans="1:21" x14ac:dyDescent="0.25">
      <c r="P42" s="123" t="str">
        <f>Cen!A130</f>
        <v>Synchronizační adaptér</v>
      </c>
      <c r="Q42" s="123" t="str">
        <f>Cen!B130</f>
        <v>T60.000D</v>
      </c>
      <c r="R42" s="123" t="str">
        <f>Cen!C130</f>
        <v>R735</v>
      </c>
      <c r="S42" s="385"/>
      <c r="T42" s="386">
        <f>Cen!F130</f>
        <v>0.22786000000000001</v>
      </c>
      <c r="U42" s="387">
        <f t="shared" si="1"/>
        <v>0</v>
      </c>
    </row>
    <row r="43" spans="1:21" x14ac:dyDescent="0.25">
      <c r="P43" s="123" t="str">
        <f>Cen!A131</f>
        <v>Hřídel synchronizace</v>
      </c>
      <c r="Q43" s="123" t="str">
        <f>Cen!B131</f>
        <v>T60.1125W</v>
      </c>
      <c r="R43" s="123" t="str">
        <f>Cen!C131</f>
        <v>GR</v>
      </c>
      <c r="S43" s="385"/>
      <c r="T43" s="386">
        <f>Cen!F131</f>
        <v>3.7524400000000004</v>
      </c>
      <c r="U43" s="387">
        <f t="shared" si="1"/>
        <v>0</v>
      </c>
    </row>
    <row r="44" spans="1:21" x14ac:dyDescent="0.25">
      <c r="P44" s="123" t="str">
        <f>Cen!A132</f>
        <v>Jednodílná synchronizace</v>
      </c>
      <c r="Q44" s="123" t="str">
        <f>Cen!B132</f>
        <v>T60.300D</v>
      </c>
      <c r="R44" s="123" t="str">
        <f>Cen!C132</f>
        <v>R735</v>
      </c>
      <c r="S44" s="385"/>
      <c r="T44" s="386">
        <f>Cen!F132</f>
        <v>0.9112300000000001</v>
      </c>
      <c r="U44" s="387">
        <f t="shared" si="1"/>
        <v>0</v>
      </c>
    </row>
    <row r="45" spans="1:21" x14ac:dyDescent="0.25">
      <c r="P45" s="123" t="str">
        <f>Cen!A134</f>
        <v>Držák hřídele synchronizace</v>
      </c>
      <c r="Q45" s="123" t="str">
        <f>Cen!B134</f>
        <v>T60B000H</v>
      </c>
      <c r="R45" s="123" t="str">
        <f>Cen!C134</f>
        <v>NI</v>
      </c>
      <c r="S45" s="385"/>
      <c r="T45" s="386">
        <f>Cen!F134</f>
        <v>0.23594999999999999</v>
      </c>
      <c r="U45" s="387">
        <f t="shared" si="1"/>
        <v>0</v>
      </c>
    </row>
    <row r="46" spans="1:21" x14ac:dyDescent="0.25">
      <c r="P46" s="123" t="str">
        <f>Cen!A135</f>
        <v>Podpěrný úhelník pro dno</v>
      </c>
      <c r="Q46" s="123" t="str">
        <f>Cen!B135</f>
        <v>Z96.2011</v>
      </c>
      <c r="R46" s="123" t="str">
        <f>Cen!C135</f>
        <v>R737</v>
      </c>
      <c r="S46" s="385"/>
      <c r="T46" s="386">
        <f>Cen!F135</f>
        <v>1.1712800000000001</v>
      </c>
      <c r="U46" s="387">
        <f t="shared" si="1"/>
        <v>0</v>
      </c>
    </row>
    <row r="47" spans="1:21" x14ac:dyDescent="0.25">
      <c r="P47" s="123"/>
      <c r="Q47" s="123"/>
      <c r="R47" s="123"/>
      <c r="S47" s="385"/>
      <c r="T47" s="386"/>
      <c r="U47" s="387"/>
    </row>
    <row r="48" spans="1:21" x14ac:dyDescent="0.25">
      <c r="P48" s="123" t="str">
        <f>Cen!A143</f>
        <v>Držáky zadní stěny N, šedé</v>
      </c>
      <c r="Q48" s="123" t="str">
        <f>Cen!B143</f>
        <v>Z30N000S.04</v>
      </c>
      <c r="R48" s="123" t="str">
        <f>Cen!C143</f>
        <v>R906</v>
      </c>
      <c r="S48" s="385"/>
      <c r="T48" s="386">
        <f>Cen!F143</f>
        <v>1.4347399999999999</v>
      </c>
      <c r="U48" s="387">
        <f t="shared" ref="U48:U55" si="2">S48*T48</f>
        <v>0</v>
      </c>
    </row>
    <row r="49" spans="16:21" x14ac:dyDescent="0.25">
      <c r="P49" s="123" t="str">
        <f>Cen!A147</f>
        <v>Držáky zadní stěny M, šedé</v>
      </c>
      <c r="Q49" s="123" t="str">
        <f>Cen!B147</f>
        <v>Z30M000S.04</v>
      </c>
      <c r="R49" s="123" t="str">
        <f>Cen!C147</f>
        <v>R906</v>
      </c>
      <c r="S49" s="385"/>
      <c r="T49" s="386">
        <f>Cen!F147</f>
        <v>1.59188</v>
      </c>
      <c r="U49" s="387">
        <f>S49*T49</f>
        <v>0</v>
      </c>
    </row>
    <row r="50" spans="16:21" x14ac:dyDescent="0.25">
      <c r="P50" s="123" t="str">
        <f>Cen!A151</f>
        <v>Držáky zadní stěny K, šedé</v>
      </c>
      <c r="Q50" s="123" t="str">
        <f>Cen!B151</f>
        <v>Z30K000S</v>
      </c>
      <c r="R50" s="123" t="str">
        <f>Cen!C151</f>
        <v>R906</v>
      </c>
      <c r="S50" s="385"/>
      <c r="T50" s="386">
        <f>Cen!F151</f>
        <v>2.4067799999999999</v>
      </c>
      <c r="U50" s="387">
        <f t="shared" si="2"/>
        <v>0</v>
      </c>
    </row>
    <row r="51" spans="16:21" x14ac:dyDescent="0.25">
      <c r="P51" s="123" t="str">
        <f>Cen!A154</f>
        <v>Držáky zadní stěny B, šedé</v>
      </c>
      <c r="Q51" s="123" t="str">
        <f>Cen!B154</f>
        <v>Z30B000S.04</v>
      </c>
      <c r="R51" s="123" t="str">
        <f>Cen!C154</f>
        <v>R906</v>
      </c>
      <c r="S51" s="385"/>
      <c r="T51" s="386">
        <f>Cen!F154</f>
        <v>1.74017</v>
      </c>
      <c r="U51" s="387">
        <f t="shared" si="2"/>
        <v>0</v>
      </c>
    </row>
    <row r="52" spans="16:21" x14ac:dyDescent="0.25">
      <c r="P52" s="123" t="str">
        <f>Cen!A158</f>
        <v>Držáky zadní stěny C, šedé</v>
      </c>
      <c r="Q52" s="123" t="str">
        <f>Cen!B158</f>
        <v>Z30C000S</v>
      </c>
      <c r="R52" s="123" t="str">
        <f>Cen!C158</f>
        <v>R906</v>
      </c>
      <c r="S52" s="385"/>
      <c r="T52" s="386">
        <f>Cen!F158</f>
        <v>2.7871800000000002</v>
      </c>
      <c r="U52" s="387">
        <f t="shared" si="2"/>
        <v>0</v>
      </c>
    </row>
    <row r="53" spans="16:21" x14ac:dyDescent="0.25">
      <c r="P53" s="123" t="str">
        <f>Cen!A162</f>
        <v>Držáky zadní stěny D, šedé</v>
      </c>
      <c r="Q53" s="123" t="str">
        <f>Cen!B162</f>
        <v>Z30D000S</v>
      </c>
      <c r="R53" s="123" t="str">
        <f>Cen!C162</f>
        <v>R906</v>
      </c>
      <c r="S53" s="385">
        <f>SUM($S$3:$S$11)</f>
        <v>0</v>
      </c>
      <c r="T53" s="386">
        <f>Cen!F162</f>
        <v>2.93709</v>
      </c>
      <c r="U53" s="387">
        <f>S53*T53</f>
        <v>0</v>
      </c>
    </row>
    <row r="54" spans="16:21" x14ac:dyDescent="0.25">
      <c r="P54" s="123"/>
      <c r="Q54" s="123"/>
      <c r="R54" s="123"/>
      <c r="S54" s="385"/>
      <c r="T54" s="386"/>
      <c r="U54" s="387"/>
    </row>
    <row r="55" spans="16:21" x14ac:dyDescent="0.25">
      <c r="P55" s="123" t="str">
        <f>Cen!A173</f>
        <v>Čelní kování INSERTA</v>
      </c>
      <c r="Q55" s="123" t="str">
        <f>Cen!B173</f>
        <v>ZSF.39A2</v>
      </c>
      <c r="R55" s="123" t="str">
        <f>Cen!C173</f>
        <v>BL</v>
      </c>
      <c r="S55" s="385">
        <f>SUM($S$3:$S$11)*2</f>
        <v>0</v>
      </c>
      <c r="T55" s="386">
        <f>Cen!F173</f>
        <v>0.75153000000000003</v>
      </c>
      <c r="U55" s="387">
        <f t="shared" si="2"/>
        <v>0</v>
      </c>
    </row>
    <row r="56" spans="16:21" x14ac:dyDescent="0.25">
      <c r="P56" s="123"/>
      <c r="Q56" s="123"/>
      <c r="R56" s="123"/>
      <c r="S56" s="385"/>
      <c r="T56" s="386"/>
      <c r="U56" s="387"/>
    </row>
    <row r="59" spans="16:21" x14ac:dyDescent="0.25">
      <c r="P59" s="123" t="str">
        <f>Cen!A215</f>
        <v>Podélný reling vlevo/vpravo, 270mm, šedý</v>
      </c>
      <c r="Q59" s="123" t="str">
        <f>Cen!B215</f>
        <v>ZRG.207RSIC</v>
      </c>
      <c r="R59" s="123" t="str">
        <f>Cen!C215</f>
        <v>R906</v>
      </c>
      <c r="S59" s="385">
        <f t="shared" ref="S59:S67" si="3">S3</f>
        <v>0</v>
      </c>
      <c r="T59" s="402">
        <f>Cen!F215</f>
        <v>6.5190299999999999</v>
      </c>
      <c r="U59" s="387">
        <f t="shared" ref="U59:U67" si="4">S59*T59</f>
        <v>0</v>
      </c>
    </row>
    <row r="60" spans="16:21" x14ac:dyDescent="0.25">
      <c r="P60" s="123" t="str">
        <f>Cen!A219</f>
        <v>Podélný reling vlevo/vpravo, 300mm, šedý</v>
      </c>
      <c r="Q60" s="123" t="str">
        <f>Cen!B219</f>
        <v>ZRG.237RSIC</v>
      </c>
      <c r="R60" s="123" t="str">
        <f>Cen!C219</f>
        <v>R906</v>
      </c>
      <c r="S60" s="385">
        <f t="shared" si="3"/>
        <v>0</v>
      </c>
      <c r="T60" s="402">
        <f>Cen!F219</f>
        <v>6.62744</v>
      </c>
      <c r="U60" s="387">
        <f t="shared" si="4"/>
        <v>0</v>
      </c>
    </row>
    <row r="61" spans="16:21" x14ac:dyDescent="0.25">
      <c r="P61" s="123" t="str">
        <f>Cen!A223</f>
        <v>Podélný reling vlevo/vpravo, 350mm, šedý</v>
      </c>
      <c r="Q61" s="123" t="str">
        <f>Cen!B223</f>
        <v>ZRG.287RSIC</v>
      </c>
      <c r="R61" s="123" t="str">
        <f>Cen!C223</f>
        <v>R906</v>
      </c>
      <c r="S61" s="385">
        <f t="shared" si="3"/>
        <v>0</v>
      </c>
      <c r="T61" s="402">
        <f>Cen!F223</f>
        <v>6.7358200000000004</v>
      </c>
      <c r="U61" s="387">
        <f t="shared" si="4"/>
        <v>0</v>
      </c>
    </row>
    <row r="62" spans="16:21" x14ac:dyDescent="0.25">
      <c r="P62" s="123" t="str">
        <f>Cen!A227</f>
        <v>Podélný reling vlevo/vpravo, 400mm, šedý</v>
      </c>
      <c r="Q62" s="123" t="str">
        <f>Cen!B227</f>
        <v>ZRG.337RSIC</v>
      </c>
      <c r="R62" s="123" t="str">
        <f>Cen!C227</f>
        <v>R906</v>
      </c>
      <c r="S62" s="385">
        <f t="shared" si="3"/>
        <v>0</v>
      </c>
      <c r="T62" s="402">
        <f>Cen!F227</f>
        <v>6.8442100000000003</v>
      </c>
      <c r="U62" s="387">
        <f t="shared" si="4"/>
        <v>0</v>
      </c>
    </row>
    <row r="63" spans="16:21" x14ac:dyDescent="0.25">
      <c r="P63" s="123" t="str">
        <f>Cen!A231</f>
        <v>Podélný reling vlevo/vpravo, 450mm, šedý</v>
      </c>
      <c r="Q63" s="123" t="str">
        <f>Cen!B231</f>
        <v>ZRG.387RSIC</v>
      </c>
      <c r="R63" s="123" t="str">
        <f>Cen!C231</f>
        <v>R906</v>
      </c>
      <c r="S63" s="385">
        <f t="shared" si="3"/>
        <v>0</v>
      </c>
      <c r="T63" s="402">
        <f>Cen!F231</f>
        <v>6.2810499999999987</v>
      </c>
      <c r="U63" s="387">
        <f t="shared" si="4"/>
        <v>0</v>
      </c>
    </row>
    <row r="64" spans="16:21" x14ac:dyDescent="0.25">
      <c r="P64" s="123" t="str">
        <f>Cen!A235</f>
        <v>Podélný reling vlevo/vpravo, 500mm, šedý</v>
      </c>
      <c r="Q64" s="123" t="str">
        <f>Cen!B235</f>
        <v>ZRG.437RSIC</v>
      </c>
      <c r="R64" s="123" t="str">
        <f>Cen!C235</f>
        <v>R906</v>
      </c>
      <c r="S64" s="385">
        <f t="shared" si="3"/>
        <v>0</v>
      </c>
      <c r="T64" s="402">
        <f>Cen!F235</f>
        <v>6.3789800000000003</v>
      </c>
      <c r="U64" s="387">
        <f t="shared" si="4"/>
        <v>0</v>
      </c>
    </row>
    <row r="65" spans="16:21" x14ac:dyDescent="0.25">
      <c r="P65" s="123" t="str">
        <f>Cen!A239</f>
        <v>Podélný reling vlevo/vpravo, 550mm, šedý</v>
      </c>
      <c r="Q65" s="123" t="str">
        <f>Cen!B239</f>
        <v>ZRG.487RSIC</v>
      </c>
      <c r="R65" s="123" t="str">
        <f>Cen!C239</f>
        <v>R906</v>
      </c>
      <c r="S65" s="385">
        <f t="shared" si="3"/>
        <v>0</v>
      </c>
      <c r="T65" s="402">
        <f>Cen!F239</f>
        <v>7.3622199999999998</v>
      </c>
      <c r="U65" s="387">
        <f t="shared" si="4"/>
        <v>0</v>
      </c>
    </row>
    <row r="66" spans="16:21" x14ac:dyDescent="0.25">
      <c r="P66" s="123" t="str">
        <f>Cen!A243</f>
        <v>Podélný reling vlevo/vpravo, 600mm, šedý</v>
      </c>
      <c r="Q66" s="123" t="str">
        <f>Cen!B243</f>
        <v>ZRG.537RSIC</v>
      </c>
      <c r="R66" s="123" t="str">
        <f>Cen!C243</f>
        <v>R906</v>
      </c>
      <c r="S66" s="385">
        <f t="shared" si="3"/>
        <v>0</v>
      </c>
      <c r="T66" s="402">
        <f>Cen!F243</f>
        <v>6.9229999999999992</v>
      </c>
      <c r="U66" s="387">
        <f t="shared" si="4"/>
        <v>0</v>
      </c>
    </row>
    <row r="67" spans="16:21" x14ac:dyDescent="0.25">
      <c r="P67" s="123" t="str">
        <f>Cen!A247</f>
        <v>Podélný reling vlevo/vpravo, 650mm, šedý</v>
      </c>
      <c r="Q67" s="123" t="str">
        <f>Cen!B247</f>
        <v>ZRG.587RSIC</v>
      </c>
      <c r="R67" s="123" t="str">
        <f>Cen!C247</f>
        <v>R906</v>
      </c>
      <c r="S67" s="385">
        <f t="shared" si="3"/>
        <v>0</v>
      </c>
      <c r="T67" s="402">
        <f>Cen!F247</f>
        <v>7.9644300000000001</v>
      </c>
      <c r="U67" s="387">
        <f t="shared" si="4"/>
        <v>0</v>
      </c>
    </row>
    <row r="68" spans="16:21" x14ac:dyDescent="0.25">
      <c r="P68" s="123"/>
      <c r="Q68" s="123"/>
      <c r="R68" s="123"/>
      <c r="S68" s="385"/>
      <c r="T68" s="402"/>
      <c r="U68" s="387"/>
    </row>
    <row r="69" spans="16:21" x14ac:dyDescent="0.25">
      <c r="P69" s="123" t="str">
        <f>Cen!A328</f>
        <v>Sada držáků zásuvného prvku D, bílošedá</v>
      </c>
      <c r="Q69" s="123" t="str">
        <f>Cen!B328</f>
        <v>Z36D0080</v>
      </c>
      <c r="R69" s="123" t="str">
        <f>Cen!C328</f>
        <v>WGR</v>
      </c>
      <c r="S69" s="385">
        <f>J30</f>
        <v>0</v>
      </c>
      <c r="T69" s="402">
        <f>Cen!F328</f>
        <v>2.4851200000000002</v>
      </c>
      <c r="U69" s="387">
        <f>S69*T69</f>
        <v>0</v>
      </c>
    </row>
    <row r="70" spans="16:21" x14ac:dyDescent="0.25">
      <c r="P70" s="123"/>
      <c r="Q70" s="123"/>
      <c r="R70" s="123"/>
      <c r="S70" s="385"/>
      <c r="T70" s="402"/>
      <c r="U70" s="387"/>
    </row>
    <row r="71" spans="16:21" x14ac:dyDescent="0.25">
      <c r="P71" s="123"/>
      <c r="Q71" s="123"/>
      <c r="R71" s="123"/>
      <c r="S71" s="385"/>
      <c r="T71" s="402"/>
      <c r="U71" s="387"/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/>
      <c r="Q73" s="123"/>
      <c r="R73" s="123"/>
      <c r="S73" s="385"/>
      <c r="T73" s="402"/>
      <c r="U73" s="387"/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/>
      <c r="Q79" s="123"/>
      <c r="R79" s="123"/>
      <c r="S79" s="385"/>
      <c r="T79" s="402"/>
      <c r="U79" s="387"/>
    </row>
    <row r="86" spans="21:21" x14ac:dyDescent="0.25">
      <c r="U86" s="152">
        <f>SUM(U3:U84)</f>
        <v>0</v>
      </c>
    </row>
  </sheetData>
  <sheetProtection algorithmName="SHA-512" hashValue="4XDWBzf7FqjX89rFb8VHFkg0WvkH5OT5l4nLU8u38drk9v5zw39DYrVEY5wZKZT4yREEmITdfajQHqbZFBI06w==" saltValue="n8GvIe9WL5GKIbCQCjqUZg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U90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"&amp;List!$B$59&amp;", "&amp;List!$B$60&amp;" D+M"</f>
        <v>Čelní výsuv pro úzké korpusy, sestava D+M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List!$B$62</f>
        <v>zásuvný prvek sklo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tr">
        <f>List!$B$32&amp;":"</f>
        <v>sklo:</v>
      </c>
      <c r="J6" s="117"/>
      <c r="K6" s="116" t="str">
        <f>Form!$O$8</f>
        <v>čiré</v>
      </c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$H$25:$H$26)*2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$I$25:$I$26)*2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$J$25:$J$26)*2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$K$25:$K$26)*2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$L$26)*2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183"/>
      <c r="K14" s="30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927</v>
      </c>
      <c r="C19" s="291" t="s">
        <v>447</v>
      </c>
      <c r="D19" s="360"/>
      <c r="E19" s="360"/>
      <c r="F19" s="360"/>
      <c r="G19" s="360"/>
      <c r="H19" s="292"/>
      <c r="I19" s="292"/>
      <c r="J19" s="292"/>
      <c r="K19" s="292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5.75" customHeight="1" x14ac:dyDescent="0.3">
      <c r="A20" s="114"/>
      <c r="B20" s="295" t="s">
        <v>945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7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305"/>
      <c r="C33" s="305"/>
      <c r="D33" s="305"/>
      <c r="E33" s="305"/>
      <c r="F33" s="305"/>
      <c r="G33" s="305"/>
      <c r="H33" s="141"/>
      <c r="I33" s="141"/>
      <c r="J33" s="141"/>
      <c r="K33" s="141"/>
      <c r="L33" s="141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B34" s="141"/>
      <c r="C34" s="141"/>
      <c r="D34" s="141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141"/>
      <c r="E35" s="141"/>
      <c r="F35" s="141"/>
      <c r="G35" s="141"/>
      <c r="H35" s="141"/>
      <c r="I35" s="141"/>
      <c r="J35" s="147"/>
      <c r="K35" s="152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7"/>
      <c r="K36" s="152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41"/>
      <c r="C37" s="141"/>
      <c r="D37" s="141"/>
      <c r="E37" s="141"/>
      <c r="F37" s="141"/>
      <c r="G37" s="141"/>
      <c r="H37" s="141"/>
      <c r="I37" s="141"/>
      <c r="J37" s="147"/>
      <c r="K37" s="152"/>
      <c r="L37" s="152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41"/>
      <c r="C38" s="141"/>
      <c r="D38" s="141"/>
      <c r="E38" s="141"/>
      <c r="F38" s="141"/>
      <c r="G38" s="141"/>
      <c r="H38" s="141"/>
      <c r="I38" s="141"/>
      <c r="J38" s="147"/>
      <c r="K38" s="152"/>
      <c r="L38" s="152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x14ac:dyDescent="0.25">
      <c r="A39" s="114"/>
      <c r="B39" s="141"/>
      <c r="C39" s="141"/>
      <c r="D39" s="141"/>
      <c r="E39" s="141"/>
      <c r="F39" s="141"/>
      <c r="G39" s="141"/>
      <c r="H39" s="141"/>
      <c r="I39" s="141"/>
      <c r="J39" s="147"/>
      <c r="K39" s="152"/>
      <c r="L39" s="152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152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6:21" x14ac:dyDescent="0.25"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6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6:21" x14ac:dyDescent="0.25">
      <c r="P51" s="123"/>
      <c r="Q51" s="123"/>
      <c r="R51" s="123"/>
      <c r="S51" s="385"/>
      <c r="T51" s="386"/>
      <c r="U51" s="387"/>
    </row>
    <row r="52" spans="16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6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>
        <f>SUM($S$3:$S$11)/2</f>
        <v>0</v>
      </c>
      <c r="T53" s="386">
        <f>Cen!F147</f>
        <v>1.59188</v>
      </c>
      <c r="U53" s="387">
        <f>S53*T53</f>
        <v>0</v>
      </c>
    </row>
    <row r="54" spans="16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6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6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6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SUM($S$3:$S$11)/2</f>
        <v>0</v>
      </c>
      <c r="T57" s="386">
        <f>Cen!F162</f>
        <v>2.93709</v>
      </c>
      <c r="U57" s="387">
        <f>S57*T57</f>
        <v>0</v>
      </c>
    </row>
    <row r="58" spans="16:21" x14ac:dyDescent="0.25">
      <c r="P58" s="123"/>
      <c r="Q58" s="123"/>
      <c r="R58" s="123"/>
      <c r="S58" s="385"/>
      <c r="T58" s="386"/>
      <c r="U58" s="387"/>
    </row>
    <row r="59" spans="16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6:21" x14ac:dyDescent="0.25">
      <c r="P60" s="123"/>
      <c r="Q60" s="123"/>
      <c r="R60" s="123"/>
      <c r="S60" s="385"/>
      <c r="T60" s="386"/>
      <c r="U60" s="387"/>
    </row>
    <row r="63" spans="16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S3/2</f>
        <v>0</v>
      </c>
      <c r="T63" s="402">
        <f>Cen!F215</f>
        <v>6.5190299999999999</v>
      </c>
      <c r="U63" s="387">
        <f t="shared" ref="U63:U71" si="4">S63*T63</f>
        <v>0</v>
      </c>
    </row>
    <row r="64" spans="16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SUM($S$3:$S$11)/2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Cen!A254</f>
        <v>Zásuvný prvek D, 270mm, čiré sko</v>
      </c>
      <c r="Q75" s="123" t="str">
        <f>Cen!B254</f>
        <v>Z37R237D</v>
      </c>
      <c r="R75" s="123" t="str">
        <f>Cen!C254</f>
        <v>KL</v>
      </c>
      <c r="S75" s="385">
        <f t="shared" ref="S75:S83" si="5">S3/2</f>
        <v>0</v>
      </c>
      <c r="T75" s="402">
        <f>Cen!F254</f>
        <v>9.78749</v>
      </c>
      <c r="U75" s="387">
        <f t="shared" ref="U75:U83" si="6">S75*T75</f>
        <v>0</v>
      </c>
    </row>
    <row r="76" spans="16:21" x14ac:dyDescent="0.25">
      <c r="P76" s="123" t="str">
        <f>Cen!A256</f>
        <v>Zásuvný prvek D, 300mm, čiré sko</v>
      </c>
      <c r="Q76" s="123" t="str">
        <f>Cen!B256</f>
        <v>Z37R267D</v>
      </c>
      <c r="R76" s="123" t="str">
        <f>Cen!C256</f>
        <v>KL</v>
      </c>
      <c r="S76" s="385">
        <f t="shared" si="5"/>
        <v>0</v>
      </c>
      <c r="T76" s="402">
        <f>Cen!F256</f>
        <v>10.956569999999999</v>
      </c>
      <c r="U76" s="387">
        <f t="shared" si="6"/>
        <v>0</v>
      </c>
    </row>
    <row r="77" spans="16:21" x14ac:dyDescent="0.25">
      <c r="P77" s="123" t="str">
        <f>Cen!A258</f>
        <v>Zásuvný prvek D, 350mm, čiré sko</v>
      </c>
      <c r="Q77" s="123" t="str">
        <f>Cen!B258</f>
        <v>Z37R317D</v>
      </c>
      <c r="R77" s="123" t="str">
        <f>Cen!C258</f>
        <v>KL</v>
      </c>
      <c r="S77" s="385">
        <f t="shared" si="5"/>
        <v>0</v>
      </c>
      <c r="T77" s="402">
        <f>Cen!F258</f>
        <v>10.55153</v>
      </c>
      <c r="U77" s="387">
        <f t="shared" si="6"/>
        <v>0</v>
      </c>
    </row>
    <row r="78" spans="16:21" x14ac:dyDescent="0.25">
      <c r="P78" s="123" t="str">
        <f>Cen!A260</f>
        <v>Zásuvný prvek D, 400mm, čiré sko</v>
      </c>
      <c r="Q78" s="123" t="str">
        <f>Cen!B260</f>
        <v>Z37R367D</v>
      </c>
      <c r="R78" s="123" t="str">
        <f>Cen!C260</f>
        <v>KL</v>
      </c>
      <c r="S78" s="385">
        <f t="shared" si="5"/>
        <v>0</v>
      </c>
      <c r="T78" s="402">
        <f>Cen!F260</f>
        <v>11.739190000000001</v>
      </c>
      <c r="U78" s="387">
        <f t="shared" si="6"/>
        <v>0</v>
      </c>
    </row>
    <row r="79" spans="16:21" x14ac:dyDescent="0.25">
      <c r="P79" s="123" t="str">
        <f>Cen!A262</f>
        <v>Zásuvný prvek D, 450mm, čiré sko</v>
      </c>
      <c r="Q79" s="123" t="str">
        <f>Cen!B262</f>
        <v>Z37R417D</v>
      </c>
      <c r="R79" s="123" t="str">
        <f>Cen!C262</f>
        <v>KL</v>
      </c>
      <c r="S79" s="385">
        <f t="shared" si="5"/>
        <v>0</v>
      </c>
      <c r="T79" s="402">
        <f>Cen!F262</f>
        <v>14.23917</v>
      </c>
      <c r="U79" s="387">
        <f t="shared" si="6"/>
        <v>0</v>
      </c>
    </row>
    <row r="80" spans="16:21" x14ac:dyDescent="0.25">
      <c r="P80" s="123" t="str">
        <f>Cen!A264</f>
        <v>Zásuvný prvek D, 500mm, čiré sko</v>
      </c>
      <c r="Q80" s="123" t="str">
        <f>Cen!B264</f>
        <v>Z37R467D</v>
      </c>
      <c r="R80" s="123" t="str">
        <f>Cen!C264</f>
        <v>KL</v>
      </c>
      <c r="S80" s="385">
        <f t="shared" si="5"/>
        <v>0</v>
      </c>
      <c r="T80" s="402">
        <f>Cen!F264</f>
        <v>11.697749999999999</v>
      </c>
      <c r="U80" s="387">
        <f t="shared" si="6"/>
        <v>0</v>
      </c>
    </row>
    <row r="81" spans="16:21" x14ac:dyDescent="0.25">
      <c r="P81" s="123" t="str">
        <f>Cen!A266</f>
        <v>Zásuvný prvek D, 550mm, čiré sko</v>
      </c>
      <c r="Q81" s="123" t="str">
        <f>Cen!B266</f>
        <v>Z37R517D</v>
      </c>
      <c r="R81" s="123" t="str">
        <f>Cen!C266</f>
        <v>KL</v>
      </c>
      <c r="S81" s="385">
        <f t="shared" si="5"/>
        <v>0</v>
      </c>
      <c r="T81" s="402">
        <f>Cen!F266</f>
        <v>13.304410000000001</v>
      </c>
      <c r="U81" s="387">
        <f t="shared" si="6"/>
        <v>0</v>
      </c>
    </row>
    <row r="82" spans="16:21" x14ac:dyDescent="0.25">
      <c r="P82" s="123" t="str">
        <f>Cen!A268</f>
        <v>Zásuvný prvek D, 600mm, čiré sko</v>
      </c>
      <c r="Q82" s="123" t="str">
        <f>Cen!B268</f>
        <v>Z37R567D</v>
      </c>
      <c r="R82" s="123" t="str">
        <f>Cen!C268</f>
        <v>KL</v>
      </c>
      <c r="S82" s="385">
        <f t="shared" si="5"/>
        <v>0</v>
      </c>
      <c r="T82" s="402">
        <f>Cen!F268</f>
        <v>14.08703</v>
      </c>
      <c r="U82" s="387">
        <f t="shared" si="6"/>
        <v>0</v>
      </c>
    </row>
    <row r="83" spans="16:21" x14ac:dyDescent="0.25">
      <c r="P83" s="123" t="str">
        <f>Cen!A270</f>
        <v>Zásuvný prvek D, 650mm, čiré sko</v>
      </c>
      <c r="Q83" s="123" t="str">
        <f>Cen!B270</f>
        <v>Z37R617D</v>
      </c>
      <c r="R83" s="123" t="str">
        <f>Cen!C270</f>
        <v>KL</v>
      </c>
      <c r="S83" s="385">
        <f t="shared" si="5"/>
        <v>0</v>
      </c>
      <c r="T83" s="402">
        <f>Cen!F270</f>
        <v>13.988720000000001</v>
      </c>
      <c r="U83" s="387">
        <f t="shared" si="6"/>
        <v>0</v>
      </c>
    </row>
    <row r="90" spans="16:21" x14ac:dyDescent="0.25">
      <c r="U90" s="152">
        <f>SUM(U3:U88)</f>
        <v>0</v>
      </c>
    </row>
  </sheetData>
  <sheetProtection algorithmName="SHA-512" hashValue="4Cls2i0f5Vi/HMXxV2RrHMGmpyLfLb/dCrxupuS7wAf0m/fIaNi6s6kXzwmZVz5WfERkFM/zVj6eANQMRiH6JQ==" saltValue="TnStqyY0rc8R60G+ic9mv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V104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"&amp;List!$B$59&amp;", "&amp;List!$B$60&amp;" D+M"</f>
        <v>Čelní výsuv pro úzké korpusy, sestava D+M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List!$B$63</f>
        <v>kovový zásuvný prvek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38" si="0">S3*T3</f>
        <v>0</v>
      </c>
    </row>
    <row r="4" spans="1:22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2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IF($U$2=4, 0, $H$19*2)</f>
        <v>0</v>
      </c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IF($U$2=4, 0, $I$19*2)</f>
        <v>0</v>
      </c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IF($U$2=4, 0, $J$19*2)</f>
        <v>0</v>
      </c>
      <c r="T9" s="386">
        <f>Cen!F52</f>
        <v>18.128509999999999</v>
      </c>
      <c r="U9" s="387">
        <f t="shared" si="0"/>
        <v>0</v>
      </c>
    </row>
    <row r="10" spans="1:22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IF($U$2=4, 0, $K$19*2)</f>
        <v>0</v>
      </c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IF($U$2=4, 0, $L$20*2)</f>
        <v>0</v>
      </c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14"/>
      <c r="I14" s="303"/>
      <c r="J14" s="183"/>
      <c r="K14" s="30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$H$19)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/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928</v>
      </c>
      <c r="C19" s="291" t="s">
        <v>447</v>
      </c>
      <c r="D19" s="360"/>
      <c r="E19" s="360"/>
      <c r="F19" s="360"/>
      <c r="G19" s="360"/>
      <c r="H19" s="292"/>
      <c r="I19" s="292"/>
      <c r="J19" s="292"/>
      <c r="K19" s="292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$I$19)</f>
        <v>0</v>
      </c>
      <c r="T19" s="389">
        <f>Cen!F100</f>
        <v>15.919919999999999</v>
      </c>
      <c r="U19" s="390">
        <f t="shared" si="0"/>
        <v>0</v>
      </c>
    </row>
    <row r="20" spans="1:21" ht="15.75" customHeight="1" x14ac:dyDescent="0.3">
      <c r="A20" s="114"/>
      <c r="B20" s="295" t="s">
        <v>944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7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/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$J$19)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/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IF($U$2=4, 0, $K$19)</f>
        <v>0</v>
      </c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/>
      <c r="T24" s="386">
        <f>Cen!F105</f>
        <v>25.957080000000001</v>
      </c>
      <c r="U24" s="387">
        <f t="shared" si="0"/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0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/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/>
      <c r="T27" s="386">
        <f>Cen!F110</f>
        <v>16.390229999999999</v>
      </c>
      <c r="U27" s="387">
        <f t="shared" si="0"/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/>
      <c r="T28" s="386">
        <f>Cen!F111</f>
        <v>16.390229999999999</v>
      </c>
      <c r="U28" s="387">
        <f t="shared" si="0"/>
        <v>0</v>
      </c>
    </row>
    <row r="29" spans="1:2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/>
      <c r="T29" s="386">
        <f>Cen!F112</f>
        <v>16.512820000000001</v>
      </c>
      <c r="U29" s="387">
        <f t="shared" si="0"/>
        <v>0</v>
      </c>
    </row>
    <row r="30" spans="1:2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/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/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/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305"/>
      <c r="C33" s="305"/>
      <c r="D33" s="305"/>
      <c r="E33" s="305"/>
      <c r="F33" s="305"/>
      <c r="G33" s="305"/>
      <c r="H33" s="141"/>
      <c r="I33" s="141"/>
      <c r="J33" s="141"/>
      <c r="K33" s="141"/>
      <c r="L33" s="141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/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B34" s="141"/>
      <c r="C34" s="141"/>
      <c r="D34" s="141"/>
      <c r="E34" s="141"/>
      <c r="F34" s="141"/>
      <c r="G34" s="141"/>
      <c r="H34" s="141"/>
      <c r="I34" s="141"/>
      <c r="J34" s="147"/>
      <c r="K34" s="358"/>
      <c r="L34" s="152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/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141"/>
      <c r="E35" s="141"/>
      <c r="F35" s="141"/>
      <c r="G35" s="141"/>
      <c r="H35" s="141"/>
      <c r="I35" s="141"/>
      <c r="J35" s="147"/>
      <c r="K35" s="152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/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141"/>
      <c r="E36" s="141"/>
      <c r="F36" s="141"/>
      <c r="G36" s="141"/>
      <c r="H36" s="141"/>
      <c r="I36" s="141"/>
      <c r="J36" s="147"/>
      <c r="K36" s="152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/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41"/>
      <c r="C37" s="141"/>
      <c r="D37" s="141"/>
      <c r="E37" s="141"/>
      <c r="F37" s="141"/>
      <c r="G37" s="141"/>
      <c r="H37" s="141"/>
      <c r="I37" s="141"/>
      <c r="J37" s="147"/>
      <c r="K37" s="152"/>
      <c r="L37" s="152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/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41"/>
      <c r="C38" s="141"/>
      <c r="D38" s="141"/>
      <c r="E38" s="141"/>
      <c r="F38" s="141"/>
      <c r="G38" s="141"/>
      <c r="H38" s="141"/>
      <c r="I38" s="141"/>
      <c r="J38" s="147"/>
      <c r="K38" s="152"/>
      <c r="L38" s="152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/>
      <c r="T38" s="386">
        <f>Cen!F121</f>
        <v>26.813510000000001</v>
      </c>
      <c r="U38" s="387">
        <f t="shared" si="0"/>
        <v>0</v>
      </c>
    </row>
    <row r="39" spans="1:21" x14ac:dyDescent="0.25">
      <c r="A39" s="114"/>
      <c r="B39" s="141"/>
      <c r="C39" s="141"/>
      <c r="D39" s="141"/>
      <c r="E39" s="141"/>
      <c r="F39" s="141"/>
      <c r="G39" s="141"/>
      <c r="H39" s="141"/>
      <c r="I39" s="141"/>
      <c r="J39" s="147"/>
      <c r="K39" s="152"/>
      <c r="L39" s="152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152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/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/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/>
      <c r="T46" s="386">
        <f>Cen!F130</f>
        <v>0.22786000000000001</v>
      </c>
      <c r="U46" s="387">
        <f t="shared" si="1"/>
        <v>0</v>
      </c>
    </row>
    <row r="47" spans="1:21" x14ac:dyDescent="0.25"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/>
      <c r="T47" s="386">
        <f>Cen!F131</f>
        <v>3.7524400000000004</v>
      </c>
      <c r="U47" s="387">
        <f t="shared" si="1"/>
        <v>0</v>
      </c>
    </row>
    <row r="48" spans="1:21" x14ac:dyDescent="0.25"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6:21" x14ac:dyDescent="0.25"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6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6:21" x14ac:dyDescent="0.25">
      <c r="P51" s="123"/>
      <c r="Q51" s="123"/>
      <c r="R51" s="123"/>
      <c r="S51" s="385"/>
      <c r="T51" s="386"/>
      <c r="U51" s="387"/>
    </row>
    <row r="52" spans="16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6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>
        <f>SUM($S$3:$S$11)/2</f>
        <v>0</v>
      </c>
      <c r="T53" s="386">
        <f>Cen!F147</f>
        <v>1.59188</v>
      </c>
      <c r="U53" s="387">
        <f>S53*T53</f>
        <v>0</v>
      </c>
    </row>
    <row r="54" spans="16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6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6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6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SUM($S$3:$S$11)/2</f>
        <v>0</v>
      </c>
      <c r="T57" s="386">
        <f>Cen!F162</f>
        <v>2.93709</v>
      </c>
      <c r="U57" s="387">
        <f>S57*T57</f>
        <v>0</v>
      </c>
    </row>
    <row r="58" spans="16:21" x14ac:dyDescent="0.25">
      <c r="P58" s="123"/>
      <c r="Q58" s="123"/>
      <c r="R58" s="123"/>
      <c r="S58" s="385"/>
      <c r="T58" s="386"/>
      <c r="U58" s="387"/>
    </row>
    <row r="59" spans="16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6:21" x14ac:dyDescent="0.25">
      <c r="P60" s="123"/>
      <c r="Q60" s="123"/>
      <c r="R60" s="123"/>
      <c r="S60" s="385"/>
      <c r="T60" s="386"/>
      <c r="U60" s="387"/>
    </row>
    <row r="63" spans="16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/>
      <c r="T63" s="402">
        <f>Cen!F215</f>
        <v>6.5190299999999999</v>
      </c>
      <c r="U63" s="387">
        <f t="shared" ref="U63:U71" si="3">S63*T63</f>
        <v>0</v>
      </c>
    </row>
    <row r="64" spans="16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/>
      <c r="T64" s="402">
        <f>Cen!F219</f>
        <v>6.62744</v>
      </c>
      <c r="U64" s="387">
        <f t="shared" si="3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/>
      <c r="T65" s="402">
        <f>Cen!F223</f>
        <v>6.7358200000000004</v>
      </c>
      <c r="U65" s="387">
        <f t="shared" si="3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/>
      <c r="T66" s="402">
        <f>Cen!F227</f>
        <v>6.8442100000000003</v>
      </c>
      <c r="U66" s="387">
        <f t="shared" si="3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ref="S67:S71" si="4">S7/2</f>
        <v>0</v>
      </c>
      <c r="T67" s="402">
        <f>Cen!F231</f>
        <v>6.2810499999999987</v>
      </c>
      <c r="U67" s="387">
        <f t="shared" si="3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4"/>
        <v>0</v>
      </c>
      <c r="T68" s="402">
        <f>Cen!F235</f>
        <v>6.3789800000000003</v>
      </c>
      <c r="U68" s="387">
        <f t="shared" si="3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4"/>
        <v>0</v>
      </c>
      <c r="T69" s="402">
        <f>Cen!F239</f>
        <v>7.3622199999999998</v>
      </c>
      <c r="U69" s="387">
        <f t="shared" si="3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4"/>
        <v>0</v>
      </c>
      <c r="T70" s="402">
        <f>Cen!F243</f>
        <v>6.9229999999999992</v>
      </c>
      <c r="U70" s="387">
        <f t="shared" si="3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4"/>
        <v>0</v>
      </c>
      <c r="T71" s="402">
        <f>Cen!F247</f>
        <v>7.9644300000000001</v>
      </c>
      <c r="U71" s="387">
        <f t="shared" si="3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 t="str">
        <f>Cen!A292</f>
        <v>Kovový zásuvný prvek D, 450mm, šedý</v>
      </c>
      <c r="Q79" s="123" t="str">
        <f>Cen!B292</f>
        <v>Z37A417D</v>
      </c>
      <c r="R79" s="123" t="str">
        <f>Cen!C292</f>
        <v>R906</v>
      </c>
      <c r="S79" s="385">
        <f>SUM(S3:S7)/2*2</f>
        <v>0</v>
      </c>
      <c r="T79" s="402">
        <f>Cen!F292</f>
        <v>6.1435899999999997</v>
      </c>
      <c r="U79" s="387">
        <f>S79*T79</f>
        <v>0</v>
      </c>
    </row>
    <row r="80" spans="16:21" x14ac:dyDescent="0.25">
      <c r="P80" s="123" t="str">
        <f>Cen!A295</f>
        <v>Kovový zásuvný prvek D, 500mm, šedý</v>
      </c>
      <c r="Q80" s="123" t="str">
        <f>Cen!B295</f>
        <v>Z37A467D</v>
      </c>
      <c r="R80" s="123" t="str">
        <f>Cen!C295</f>
        <v>R906</v>
      </c>
      <c r="S80" s="385">
        <f>S8/2*2</f>
        <v>0</v>
      </c>
      <c r="T80" s="402">
        <f>Cen!F295</f>
        <v>6.4565700000000001</v>
      </c>
      <c r="U80" s="387">
        <f>S80*T80</f>
        <v>0</v>
      </c>
    </row>
    <row r="81" spans="16:21" x14ac:dyDescent="0.25">
      <c r="P81" s="123" t="str">
        <f>Cen!A298</f>
        <v>Kovový zásuvný prvek D, 550mm, šedý</v>
      </c>
      <c r="Q81" s="123" t="str">
        <f>Cen!B298</f>
        <v>Z37A517D</v>
      </c>
      <c r="R81" s="123" t="str">
        <f>Cen!C298</f>
        <v>R906</v>
      </c>
      <c r="S81" s="385">
        <f>S9/2*2</f>
        <v>0</v>
      </c>
      <c r="T81" s="402">
        <f>Cen!F298</f>
        <v>6.9749699999999999</v>
      </c>
      <c r="U81" s="387">
        <f>S81*T81</f>
        <v>0</v>
      </c>
    </row>
    <row r="82" spans="16:21" x14ac:dyDescent="0.25">
      <c r="P82" s="123">
        <f>Cen!A301</f>
        <v>0</v>
      </c>
      <c r="Q82" s="123">
        <f>Cen!B301</f>
        <v>0</v>
      </c>
      <c r="R82" s="123">
        <f>Cen!C301</f>
        <v>0</v>
      </c>
      <c r="S82" s="385"/>
      <c r="T82" s="402">
        <f>Cen!F301</f>
        <v>0</v>
      </c>
      <c r="U82" s="387">
        <f>S82*T82</f>
        <v>0</v>
      </c>
    </row>
    <row r="83" spans="16:21" x14ac:dyDescent="0.25">
      <c r="P83" s="123" t="str">
        <f>Cen!A304</f>
        <v>Kovový zásuvný prvek D, 650mm, šedý</v>
      </c>
      <c r="Q83" s="123" t="str">
        <f>Cen!B304</f>
        <v>Z37A617D</v>
      </c>
      <c r="R83" s="123" t="str">
        <f>Cen!C304</f>
        <v>R906</v>
      </c>
      <c r="S83" s="385">
        <f>SUM(S10, S11)*2</f>
        <v>0</v>
      </c>
      <c r="T83" s="402">
        <f>Cen!F304</f>
        <v>8.0120000000000005</v>
      </c>
      <c r="U83" s="387">
        <f>S83*T83</f>
        <v>0</v>
      </c>
    </row>
    <row r="90" spans="16:21" x14ac:dyDescent="0.25">
      <c r="U90" s="152">
        <f>SUM(U3:U88)</f>
        <v>0</v>
      </c>
    </row>
    <row r="103" spans="16:16" x14ac:dyDescent="0.25">
      <c r="P103" s="114" t="str">
        <f>List!$B$289&amp;"!"</f>
        <v>Kovové zásuvné prvky pro nerez (Inox) se nevyrábí!</v>
      </c>
    </row>
    <row r="104" spans="16:16" x14ac:dyDescent="0.25">
      <c r="P104" s="114" t="str">
        <f>List!$B$290&amp;"!"</f>
        <v>Kování naplánované na tomto listu se neprojeví v objednávce!</v>
      </c>
    </row>
  </sheetData>
  <sheetProtection algorithmName="SHA-512" hashValue="XN6w31VoS2H9J4SvmJ9wKFMc2umaVvQBDqo3woLqf1yO5Yb1H+35eLb8UfSKqvPKUhubQwzrWst5XeUwpaTSZw==" saltValue="i/TktHPRnbYcSuUNOY+4Q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U92"/>
  <sheetViews>
    <sheetView showGridLines="0" showRowColHeaders="0" workbookViewId="0">
      <selection activeCell="N11" sqref="N11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1" style="2" hidden="1" customWidth="1"/>
    <col min="22" max="22" width="9.1796875" style="2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"&amp;List!$B$59&amp;", "&amp;List!$B$60&amp;" D+M"</f>
        <v>Čelní výsuv pro úzké korpusy, sestava D+M</v>
      </c>
      <c r="M2" s="114"/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List!$B$64</f>
        <v>podélný reling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40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$H$25:$H$25)*2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$I$25:$I$25)*2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$J$25:$J$25)*2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$K$25:$K$25)*2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SUM($L$19:$L$20, $L$25)*2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183"/>
      <c r="K14" s="303"/>
      <c r="L14" s="18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929</v>
      </c>
      <c r="C19" s="291" t="s">
        <v>447</v>
      </c>
      <c r="D19" s="360"/>
      <c r="E19" s="360"/>
      <c r="F19" s="360"/>
      <c r="G19" s="360"/>
      <c r="H19" s="292"/>
      <c r="I19" s="292"/>
      <c r="J19" s="292"/>
      <c r="K19" s="292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5.75" customHeight="1" x14ac:dyDescent="0.3">
      <c r="A20" s="114"/>
      <c r="B20" s="295" t="s">
        <v>947</v>
      </c>
      <c r="C20" s="296" t="s">
        <v>446</v>
      </c>
      <c r="D20" s="297"/>
      <c r="E20" s="297"/>
      <c r="F20" s="297"/>
      <c r="G20" s="297"/>
      <c r="H20" s="297"/>
      <c r="I20" s="297"/>
      <c r="J20" s="297"/>
      <c r="K20" s="297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 t="shared" ref="S24:S25" si="1">$K$19</f>
        <v>0</v>
      </c>
      <c r="T24" s="386">
        <f>Cen!F105</f>
        <v>25.957080000000001</v>
      </c>
      <c r="U24" s="387">
        <f t="shared" ref="U24:U38" si="2">S24*T24</f>
        <v>0</v>
      </c>
    </row>
    <row r="25" spans="1:2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23" t="str">
        <f>Cen!A106</f>
        <v>Korpusové lišty 650mm, BLUMOTION, 65kg</v>
      </c>
      <c r="Q25" s="123" t="str">
        <f>Cen!B106</f>
        <v>576.6501B</v>
      </c>
      <c r="R25" s="123" t="str">
        <f>Cen!C106</f>
        <v>ZN</v>
      </c>
      <c r="S25" s="385">
        <f t="shared" si="1"/>
        <v>0</v>
      </c>
      <c r="T25" s="386">
        <f>Cen!F106</f>
        <v>26.813510000000001</v>
      </c>
      <c r="U25" s="387">
        <f t="shared" si="2"/>
        <v>0</v>
      </c>
    </row>
    <row r="26" spans="1:2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23">
        <f>Cen!A107</f>
        <v>0</v>
      </c>
      <c r="Q26" s="123">
        <f>Cen!B107</f>
        <v>0</v>
      </c>
      <c r="R26" s="123">
        <f>Cen!C107</f>
        <v>0</v>
      </c>
      <c r="S26" s="385"/>
      <c r="T26" s="386">
        <f>Cen!F107</f>
        <v>0</v>
      </c>
      <c r="U26" s="387">
        <f t="shared" si="2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Cen!A108</f>
        <v xml:space="preserve">   Korpusové lišty TIP-ON BLUMOTION</v>
      </c>
      <c r="Q27" s="123">
        <f>Cen!B108</f>
        <v>0</v>
      </c>
      <c r="R27" s="123">
        <f>Cen!C108</f>
        <v>0</v>
      </c>
      <c r="S27" s="385"/>
      <c r="T27" s="386">
        <f>Cen!F108</f>
        <v>0</v>
      </c>
      <c r="U27" s="387">
        <f t="shared" si="2"/>
        <v>0</v>
      </c>
    </row>
    <row r="28" spans="1:2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23" t="str">
        <f>Cen!A109</f>
        <v>Korp. lišty TIP-ON BLUMOTION, 270mm, 30 kg</v>
      </c>
      <c r="Q28" s="123" t="str">
        <f>Cen!B109</f>
        <v>578.2701M</v>
      </c>
      <c r="R28" s="123" t="str">
        <f>Cen!C109</f>
        <v>ZN</v>
      </c>
      <c r="S28" s="385"/>
      <c r="T28" s="386">
        <f>Cen!F109</f>
        <v>16.390229999999999</v>
      </c>
      <c r="U28" s="387">
        <f t="shared" si="2"/>
        <v>0</v>
      </c>
    </row>
    <row r="29" spans="1:21" ht="13" x14ac:dyDescent="0.3">
      <c r="A29" s="114"/>
      <c r="B29" s="193" t="str">
        <f>List!$B$23&amp;": *"</f>
        <v>Volitelně: *</v>
      </c>
      <c r="C29" s="305"/>
      <c r="D29" s="305"/>
      <c r="E29" s="305"/>
      <c r="F29" s="305"/>
      <c r="G29" s="305"/>
      <c r="H29" s="114"/>
      <c r="I29" s="114"/>
      <c r="J29" s="114"/>
      <c r="K29" s="114"/>
      <c r="L29" s="114"/>
      <c r="M29" s="114"/>
      <c r="N29" s="114"/>
      <c r="O29" s="114"/>
      <c r="P29" s="123" t="str">
        <f>Cen!A110</f>
        <v>Korp. lišty TIP-ON BLUMOTION, 300mm, 30 kg</v>
      </c>
      <c r="Q29" s="123" t="str">
        <f>Cen!B110</f>
        <v>578.3001M</v>
      </c>
      <c r="R29" s="123" t="str">
        <f>Cen!C110</f>
        <v>ZN</v>
      </c>
      <c r="S29" s="385"/>
      <c r="T29" s="386">
        <f>Cen!F110</f>
        <v>16.390229999999999</v>
      </c>
      <c r="U29" s="387">
        <f t="shared" si="2"/>
        <v>0</v>
      </c>
    </row>
    <row r="30" spans="1:21" ht="13" x14ac:dyDescent="0.3">
      <c r="A30" s="114"/>
      <c r="B30" s="117" t="str">
        <f>Cen!A328</f>
        <v>Sada držáků zásuvného prvku D, bílošedá</v>
      </c>
      <c r="C30" s="117"/>
      <c r="D30" s="117"/>
      <c r="E30" s="117"/>
      <c r="F30" s="117"/>
      <c r="G30" s="117"/>
      <c r="H30" s="117" t="str">
        <f>Cen!B328</f>
        <v>Z36D0080</v>
      </c>
      <c r="I30" s="117" t="str">
        <f>Cen!C328</f>
        <v>WGR</v>
      </c>
      <c r="J30" s="153"/>
      <c r="K30" s="113">
        <f>Cen!F328</f>
        <v>2.4851200000000002</v>
      </c>
      <c r="L30" s="113">
        <f>J30*K30</f>
        <v>0</v>
      </c>
      <c r="M30" s="114"/>
      <c r="N30" s="114"/>
      <c r="O30" s="114"/>
      <c r="P30" s="123" t="str">
        <f>Cen!A111</f>
        <v>Korp. lišty TIP-ON BLUMOTION, 350mm, 30 kg</v>
      </c>
      <c r="Q30" s="123" t="str">
        <f>Cen!B111</f>
        <v>578.3501M</v>
      </c>
      <c r="R30" s="123" t="str">
        <f>Cen!C111</f>
        <v>ZN</v>
      </c>
      <c r="S30" s="385"/>
      <c r="T30" s="386">
        <f>Cen!F111</f>
        <v>16.390229999999999</v>
      </c>
      <c r="U30" s="387">
        <f t="shared" si="2"/>
        <v>0</v>
      </c>
    </row>
    <row r="31" spans="1:2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23" t="str">
        <f>Cen!A112</f>
        <v>Korp. lišty TIP-ON BLUMOTION, 400mm, 30 kg</v>
      </c>
      <c r="Q31" s="123" t="str">
        <f>Cen!B112</f>
        <v>578.4001M</v>
      </c>
      <c r="R31" s="123" t="str">
        <f>Cen!C112</f>
        <v>ZN</v>
      </c>
      <c r="S31" s="385"/>
      <c r="T31" s="386">
        <f>Cen!F112</f>
        <v>16.512820000000001</v>
      </c>
      <c r="U31" s="387">
        <f t="shared" si="2"/>
        <v>0</v>
      </c>
    </row>
    <row r="32" spans="1:21" x14ac:dyDescent="0.25">
      <c r="A32" s="114"/>
      <c r="B32" s="114" t="str">
        <f>"     * "&amp;List!$B$148</f>
        <v xml:space="preserve">     * Sada držáků, pro vlastní zásuvný prvek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23" t="str">
        <f>Cen!A113</f>
        <v>Korp. lišty TIP-ON BLUMOTION, 450mm, 30 kg</v>
      </c>
      <c r="Q32" s="123" t="str">
        <f>Cen!B113</f>
        <v>578.4501M</v>
      </c>
      <c r="R32" s="123" t="str">
        <f>Cen!C113</f>
        <v>ZN</v>
      </c>
      <c r="S32" s="385"/>
      <c r="T32" s="386">
        <f>Cen!F113</f>
        <v>16.63541</v>
      </c>
      <c r="U32" s="387">
        <f t="shared" si="2"/>
        <v>0</v>
      </c>
    </row>
    <row r="33" spans="1:21" x14ac:dyDescent="0.25">
      <c r="A33" s="114"/>
      <c r="B33" s="114" t="str">
        <f>"       "&amp;List!$B$150&amp;"!"</f>
        <v xml:space="preserve">       Cena držáků zásuvného prvku není zahrnuta do cen jednotlivých výsuvů!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23" t="str">
        <f>Cen!A114</f>
        <v>Korp. lišty TIP-ON BLUMOTION, 450mm, 65 kg</v>
      </c>
      <c r="Q33" s="123" t="str">
        <f>Cen!B114</f>
        <v>578.4501M</v>
      </c>
      <c r="R33" s="123" t="str">
        <f>Cen!C114</f>
        <v>ZN</v>
      </c>
      <c r="S33" s="385"/>
      <c r="T33" s="386">
        <f>Cen!F114</f>
        <v>22.021810000000002</v>
      </c>
      <c r="U33" s="387">
        <f t="shared" si="2"/>
        <v>0</v>
      </c>
    </row>
    <row r="34" spans="1:21" x14ac:dyDescent="0.25">
      <c r="M34" s="114"/>
      <c r="N34" s="114"/>
      <c r="O34" s="114"/>
      <c r="P34" s="123" t="str">
        <f>Cen!A115</f>
        <v>Korp. lišty TIP-ON BLUMOTION, 500mm, 30 kg</v>
      </c>
      <c r="Q34" s="123" t="str">
        <f>Cen!B115</f>
        <v>578.5001M</v>
      </c>
      <c r="R34" s="123" t="str">
        <f>Cen!C115</f>
        <v>ZN</v>
      </c>
      <c r="S34" s="385"/>
      <c r="T34" s="386">
        <f>Cen!F115</f>
        <v>16.757819999999999</v>
      </c>
      <c r="U34" s="387">
        <f t="shared" si="2"/>
        <v>0</v>
      </c>
    </row>
    <row r="35" spans="1:21" x14ac:dyDescent="0.25">
      <c r="M35" s="114"/>
      <c r="N35" s="114"/>
      <c r="O35" s="114"/>
      <c r="P35" s="123" t="str">
        <f>Cen!A116</f>
        <v>Korp. lišty TIP-ON BLUMOTION, 500mm, 65 kg</v>
      </c>
      <c r="Q35" s="123" t="str">
        <f>Cen!B116</f>
        <v>576.5001M</v>
      </c>
      <c r="R35" s="123" t="str">
        <f>Cen!C116</f>
        <v>ZN</v>
      </c>
      <c r="S35" s="385"/>
      <c r="T35" s="386">
        <f>Cen!F116</f>
        <v>22.144390000000001</v>
      </c>
      <c r="U35" s="387">
        <f t="shared" si="2"/>
        <v>0</v>
      </c>
    </row>
    <row r="36" spans="1:21" x14ac:dyDescent="0.25">
      <c r="M36" s="114"/>
      <c r="N36" s="114"/>
      <c r="O36" s="114"/>
      <c r="P36" s="123" t="str">
        <f>Cen!A117</f>
        <v>Korp. lišty TIP-ON BLUMOTION, 550mm, 30 kg</v>
      </c>
      <c r="Q36" s="123" t="str">
        <f>Cen!B117</f>
        <v>578.5501M</v>
      </c>
      <c r="R36" s="123" t="str">
        <f>Cen!C117</f>
        <v>ZN</v>
      </c>
      <c r="S36" s="385"/>
      <c r="T36" s="386">
        <f>Cen!F117</f>
        <v>17.614419999999999</v>
      </c>
      <c r="U36" s="387">
        <f t="shared" si="2"/>
        <v>0</v>
      </c>
    </row>
    <row r="37" spans="1:21" x14ac:dyDescent="0.25">
      <c r="M37" s="114"/>
      <c r="N37" s="114"/>
      <c r="O37" s="114"/>
      <c r="P37" s="123" t="str">
        <f>Cen!A118</f>
        <v>Korp. lišty TIP-ON BLUMOTION, 550mm, 65 kg</v>
      </c>
      <c r="Q37" s="123" t="str">
        <f>Cen!B118</f>
        <v>576.5501M</v>
      </c>
      <c r="R37" s="123" t="str">
        <f>Cen!C118</f>
        <v>ZN</v>
      </c>
      <c r="S37" s="385"/>
      <c r="T37" s="386">
        <f>Cen!F118</f>
        <v>23.000999999999998</v>
      </c>
      <c r="U37" s="387">
        <f t="shared" si="2"/>
        <v>0</v>
      </c>
    </row>
    <row r="38" spans="1:21" x14ac:dyDescent="0.25">
      <c r="M38" s="114"/>
      <c r="N38" s="114"/>
      <c r="O38" s="114"/>
      <c r="P38" s="123" t="str">
        <f>Cen!A119</f>
        <v>Korp. lišty TIP-ON BLUMOTION, 600mm, 30 kg</v>
      </c>
      <c r="Q38" s="123" t="str">
        <f>Cen!B119</f>
        <v>578.6001M</v>
      </c>
      <c r="R38" s="123" t="str">
        <f>Cen!C119</f>
        <v>ZN</v>
      </c>
      <c r="S38" s="385"/>
      <c r="T38" s="386">
        <f>Cen!F119</f>
        <v>20.570499999999996</v>
      </c>
      <c r="U38" s="387">
        <f t="shared" si="2"/>
        <v>0</v>
      </c>
    </row>
    <row r="39" spans="1:21" x14ac:dyDescent="0.25">
      <c r="M39" s="114"/>
      <c r="N39" s="114"/>
      <c r="O39" s="114"/>
      <c r="P39" s="123" t="str">
        <f>Cen!A120</f>
        <v>Korp. lišty TIP-ON BLUMOTION, 600mm, 65 kg</v>
      </c>
      <c r="Q39" s="123" t="str">
        <f>Cen!B120</f>
        <v>576.6001M</v>
      </c>
      <c r="R39" s="123" t="str">
        <f>Cen!C120</f>
        <v>ZN</v>
      </c>
      <c r="S39" s="385"/>
      <c r="T39" s="386">
        <f>Cen!F120</f>
        <v>25.957080000000001</v>
      </c>
      <c r="U39" s="387">
        <f t="shared" si="0"/>
        <v>0</v>
      </c>
    </row>
    <row r="40" spans="1:21" x14ac:dyDescent="0.25">
      <c r="M40" s="114"/>
      <c r="N40" s="114"/>
      <c r="O40" s="114"/>
      <c r="P40" s="123" t="str">
        <f>Cen!A121</f>
        <v>Korp. lišty TIP-ON BLUMOTION, 650mm, 65 kg</v>
      </c>
      <c r="Q40" s="123" t="str">
        <f>Cen!B121</f>
        <v>576.6501M</v>
      </c>
      <c r="R40" s="123" t="str">
        <f>Cen!C121</f>
        <v>ZN</v>
      </c>
      <c r="S40" s="385"/>
      <c r="T40" s="386">
        <f>Cen!F121</f>
        <v>26.813510000000001</v>
      </c>
      <c r="U40" s="387">
        <f t="shared" si="0"/>
        <v>0</v>
      </c>
    </row>
    <row r="41" spans="1:21" x14ac:dyDescent="0.25">
      <c r="M41" s="114"/>
      <c r="N41" s="114"/>
      <c r="O41" s="114"/>
      <c r="P41" s="123"/>
      <c r="Q41" s="123"/>
      <c r="R41" s="123"/>
      <c r="S41" s="385"/>
      <c r="T41" s="386"/>
      <c r="U41" s="387"/>
    </row>
    <row r="42" spans="1:21" x14ac:dyDescent="0.25">
      <c r="M42" s="114"/>
      <c r="N42" s="114"/>
      <c r="O42" s="114"/>
      <c r="P42" s="123" t="str">
        <f>Cen!A124</f>
        <v>Sada jednotek TIP-ON BLUMOTION, S0</v>
      </c>
      <c r="Q42" s="123" t="str">
        <f>Cen!B124</f>
        <v>T60B3030</v>
      </c>
      <c r="R42" s="123" t="str">
        <f>Cen!C124</f>
        <v>W</v>
      </c>
      <c r="S42" s="385"/>
      <c r="T42" s="386">
        <f>Cen!F124</f>
        <v>15.88349</v>
      </c>
      <c r="U42" s="387">
        <f t="shared" ref="U42:U43" si="3">S42*T42</f>
        <v>0</v>
      </c>
    </row>
    <row r="43" spans="1:21" x14ac:dyDescent="0.25">
      <c r="M43" s="114"/>
      <c r="N43" s="114"/>
      <c r="O43" s="114"/>
      <c r="P43" s="123" t="str">
        <f>Cen!A125</f>
        <v>Sada jednotek TIP-ON BLUMOTION, S1</v>
      </c>
      <c r="Q43" s="123" t="str">
        <f>Cen!B125</f>
        <v>T60B3130</v>
      </c>
      <c r="R43" s="123" t="str">
        <f>Cen!C125</f>
        <v>R735</v>
      </c>
      <c r="S43" s="385"/>
      <c r="T43" s="386">
        <f>Cen!F125</f>
        <v>15.88349</v>
      </c>
      <c r="U43" s="387">
        <f t="shared" si="3"/>
        <v>0</v>
      </c>
    </row>
    <row r="44" spans="1:21" x14ac:dyDescent="0.25">
      <c r="M44" s="114"/>
      <c r="N44" s="114"/>
      <c r="O44" s="114"/>
      <c r="P44" s="123" t="str">
        <f>Cen!A126</f>
        <v>Sada jednotek TIP-ON BLUMOTION, L1</v>
      </c>
      <c r="Q44" s="123" t="str">
        <f>Cen!B126</f>
        <v>T60B3330</v>
      </c>
      <c r="R44" s="123" t="str">
        <f>Cen!C126</f>
        <v>R735</v>
      </c>
      <c r="S44" s="385"/>
      <c r="T44" s="386">
        <f>Cen!F126</f>
        <v>15.883479999999999</v>
      </c>
      <c r="U44" s="387">
        <f t="shared" ref="U44:U52" si="4">S44*T44</f>
        <v>0</v>
      </c>
    </row>
    <row r="45" spans="1:21" x14ac:dyDescent="0.25">
      <c r="M45" s="114"/>
      <c r="N45" s="114"/>
      <c r="O45" s="114"/>
      <c r="P45" s="123" t="str">
        <f>Cen!A127</f>
        <v>Sada jednotek TIP-ON BLUMOTION, L3</v>
      </c>
      <c r="Q45" s="123" t="str">
        <f>Cen!B127</f>
        <v>T60B3530</v>
      </c>
      <c r="R45" s="123" t="str">
        <f>Cen!C127</f>
        <v>R737</v>
      </c>
      <c r="S45" s="385"/>
      <c r="T45" s="386">
        <f>Cen!F127</f>
        <v>15.883479999999999</v>
      </c>
      <c r="U45" s="387">
        <f t="shared" si="4"/>
        <v>0</v>
      </c>
    </row>
    <row r="46" spans="1:21" x14ac:dyDescent="0.25">
      <c r="M46" s="114"/>
      <c r="N46" s="114"/>
      <c r="O46" s="114"/>
      <c r="P46" s="123" t="str">
        <f>Cen!A128</f>
        <v>Sada jednotek TIP-ON BLUMOTION, L5</v>
      </c>
      <c r="Q46" s="123" t="str">
        <f>Cen!B128</f>
        <v>T60B3560</v>
      </c>
      <c r="R46" s="123" t="str">
        <f>Cen!C128</f>
        <v>S</v>
      </c>
      <c r="S46" s="385"/>
      <c r="T46" s="386">
        <f>Cen!F128</f>
        <v>15.883479999999999</v>
      </c>
      <c r="U46" s="387">
        <f t="shared" si="4"/>
        <v>0</v>
      </c>
    </row>
    <row r="47" spans="1:21" x14ac:dyDescent="0.25">
      <c r="P47" s="123"/>
      <c r="Q47" s="123"/>
      <c r="R47" s="123"/>
      <c r="S47" s="385"/>
      <c r="T47" s="386"/>
      <c r="U47" s="387"/>
    </row>
    <row r="48" spans="1:21" x14ac:dyDescent="0.25">
      <c r="P48" s="123" t="str">
        <f>Cen!A130</f>
        <v>Synchronizační adaptér</v>
      </c>
      <c r="Q48" s="123" t="str">
        <f>Cen!B130</f>
        <v>T60.000D</v>
      </c>
      <c r="R48" s="123" t="str">
        <f>Cen!C130</f>
        <v>R735</v>
      </c>
      <c r="S48" s="385"/>
      <c r="T48" s="386">
        <f>Cen!F130</f>
        <v>0.22786000000000001</v>
      </c>
      <c r="U48" s="387">
        <f t="shared" si="4"/>
        <v>0</v>
      </c>
    </row>
    <row r="49" spans="16:21" x14ac:dyDescent="0.25">
      <c r="P49" s="123" t="str">
        <f>Cen!A131</f>
        <v>Hřídel synchronizace</v>
      </c>
      <c r="Q49" s="123" t="str">
        <f>Cen!B131</f>
        <v>T60.1125W</v>
      </c>
      <c r="R49" s="123" t="str">
        <f>Cen!C131</f>
        <v>GR</v>
      </c>
      <c r="S49" s="385"/>
      <c r="T49" s="386">
        <f>Cen!F131</f>
        <v>3.7524400000000004</v>
      </c>
      <c r="U49" s="387">
        <f t="shared" si="4"/>
        <v>0</v>
      </c>
    </row>
    <row r="50" spans="16:21" x14ac:dyDescent="0.25">
      <c r="P50" s="123" t="str">
        <f>Cen!A132</f>
        <v>Jednodílná synchronizace</v>
      </c>
      <c r="Q50" s="123" t="str">
        <f>Cen!B132</f>
        <v>T60.300D</v>
      </c>
      <c r="R50" s="123" t="str">
        <f>Cen!C132</f>
        <v>R735</v>
      </c>
      <c r="S50" s="385"/>
      <c r="T50" s="386">
        <f>Cen!F132</f>
        <v>0.9112300000000001</v>
      </c>
      <c r="U50" s="387">
        <f t="shared" si="4"/>
        <v>0</v>
      </c>
    </row>
    <row r="51" spans="16:21" x14ac:dyDescent="0.25">
      <c r="P51" s="123" t="str">
        <f>Cen!A134</f>
        <v>Držák hřídele synchronizace</v>
      </c>
      <c r="Q51" s="123" t="str">
        <f>Cen!B134</f>
        <v>T60B000H</v>
      </c>
      <c r="R51" s="123" t="str">
        <f>Cen!C134</f>
        <v>NI</v>
      </c>
      <c r="S51" s="385"/>
      <c r="T51" s="386">
        <f>Cen!F134</f>
        <v>0.23594999999999999</v>
      </c>
      <c r="U51" s="387">
        <f t="shared" si="4"/>
        <v>0</v>
      </c>
    </row>
    <row r="52" spans="16:21" x14ac:dyDescent="0.25">
      <c r="P52" s="123" t="str">
        <f>Cen!A135</f>
        <v>Podpěrný úhelník pro dno</v>
      </c>
      <c r="Q52" s="123" t="str">
        <f>Cen!B135</f>
        <v>Z96.2011</v>
      </c>
      <c r="R52" s="123" t="str">
        <f>Cen!C135</f>
        <v>R737</v>
      </c>
      <c r="S52" s="385"/>
      <c r="T52" s="386">
        <f>Cen!F135</f>
        <v>1.1712800000000001</v>
      </c>
      <c r="U52" s="387">
        <f t="shared" si="4"/>
        <v>0</v>
      </c>
    </row>
    <row r="53" spans="16:21" x14ac:dyDescent="0.25">
      <c r="P53" s="123"/>
      <c r="Q53" s="123"/>
      <c r="R53" s="123"/>
      <c r="S53" s="385"/>
      <c r="T53" s="386"/>
      <c r="U53" s="387"/>
    </row>
    <row r="54" spans="16:21" x14ac:dyDescent="0.25">
      <c r="P54" s="123" t="str">
        <f>Cen!A143</f>
        <v>Držáky zadní stěny N, šedé</v>
      </c>
      <c r="Q54" s="123" t="str">
        <f>Cen!B143</f>
        <v>Z30N000S.04</v>
      </c>
      <c r="R54" s="123" t="str">
        <f>Cen!C143</f>
        <v>R906</v>
      </c>
      <c r="S54" s="385"/>
      <c r="T54" s="386">
        <f>Cen!F143</f>
        <v>1.4347399999999999</v>
      </c>
      <c r="U54" s="387">
        <f t="shared" ref="U54:U61" si="5">S54*T54</f>
        <v>0</v>
      </c>
    </row>
    <row r="55" spans="16:21" x14ac:dyDescent="0.25">
      <c r="P55" s="123" t="str">
        <f>Cen!A147</f>
        <v>Držáky zadní stěny M, šedé</v>
      </c>
      <c r="Q55" s="123" t="str">
        <f>Cen!B147</f>
        <v>Z30M000S.04</v>
      </c>
      <c r="R55" s="123" t="str">
        <f>Cen!C147</f>
        <v>R906</v>
      </c>
      <c r="S55" s="385">
        <f>SUM($S$3:$S$11)/2</f>
        <v>0</v>
      </c>
      <c r="T55" s="386">
        <f>Cen!F147</f>
        <v>1.59188</v>
      </c>
      <c r="U55" s="387">
        <f>S55*T55</f>
        <v>0</v>
      </c>
    </row>
    <row r="56" spans="16:21" x14ac:dyDescent="0.25">
      <c r="P56" s="123" t="str">
        <f>Cen!A151</f>
        <v>Držáky zadní stěny K, šedé</v>
      </c>
      <c r="Q56" s="123" t="str">
        <f>Cen!B151</f>
        <v>Z30K000S</v>
      </c>
      <c r="R56" s="123" t="str">
        <f>Cen!C151</f>
        <v>R906</v>
      </c>
      <c r="S56" s="385"/>
      <c r="T56" s="386">
        <f>Cen!F151</f>
        <v>2.4067799999999999</v>
      </c>
      <c r="U56" s="387">
        <f t="shared" si="5"/>
        <v>0</v>
      </c>
    </row>
    <row r="57" spans="16:21" x14ac:dyDescent="0.25">
      <c r="P57" s="123" t="str">
        <f>Cen!A154</f>
        <v>Držáky zadní stěny B, šedé</v>
      </c>
      <c r="Q57" s="123" t="str">
        <f>Cen!B154</f>
        <v>Z30B000S.04</v>
      </c>
      <c r="R57" s="123" t="str">
        <f>Cen!C154</f>
        <v>R906</v>
      </c>
      <c r="S57" s="385"/>
      <c r="T57" s="386">
        <f>Cen!F154</f>
        <v>1.74017</v>
      </c>
      <c r="U57" s="387">
        <f t="shared" si="5"/>
        <v>0</v>
      </c>
    </row>
    <row r="58" spans="16:21" x14ac:dyDescent="0.25">
      <c r="P58" s="123" t="str">
        <f>Cen!A158</f>
        <v>Držáky zadní stěny C, šedé</v>
      </c>
      <c r="Q58" s="123" t="str">
        <f>Cen!B158</f>
        <v>Z30C000S</v>
      </c>
      <c r="R58" s="123" t="str">
        <f>Cen!C158</f>
        <v>R906</v>
      </c>
      <c r="S58" s="385"/>
      <c r="T58" s="386">
        <f>Cen!F158</f>
        <v>2.7871800000000002</v>
      </c>
      <c r="U58" s="387">
        <f t="shared" si="5"/>
        <v>0</v>
      </c>
    </row>
    <row r="59" spans="16:21" x14ac:dyDescent="0.25">
      <c r="P59" s="123" t="str">
        <f>Cen!A162</f>
        <v>Držáky zadní stěny D, šedé</v>
      </c>
      <c r="Q59" s="123" t="str">
        <f>Cen!B162</f>
        <v>Z30D000S</v>
      </c>
      <c r="R59" s="123" t="str">
        <f>Cen!C162</f>
        <v>R906</v>
      </c>
      <c r="S59" s="385">
        <f>SUM($S$3:$S$11)/2</f>
        <v>0</v>
      </c>
      <c r="T59" s="386">
        <f>Cen!F162</f>
        <v>2.93709</v>
      </c>
      <c r="U59" s="387">
        <f>S59*T59</f>
        <v>0</v>
      </c>
    </row>
    <row r="60" spans="16:21" x14ac:dyDescent="0.25">
      <c r="P60" s="123"/>
      <c r="Q60" s="123"/>
      <c r="R60" s="123"/>
      <c r="S60" s="385"/>
      <c r="T60" s="386"/>
      <c r="U60" s="387"/>
    </row>
    <row r="61" spans="16:21" x14ac:dyDescent="0.25">
      <c r="P61" s="123" t="str">
        <f>Cen!A173</f>
        <v>Čelní kování INSERTA</v>
      </c>
      <c r="Q61" s="123" t="str">
        <f>Cen!B173</f>
        <v>ZSF.39A2</v>
      </c>
      <c r="R61" s="123" t="str">
        <f>Cen!C173</f>
        <v>BL</v>
      </c>
      <c r="S61" s="385">
        <f>SUM($S$3:$S$11)*2</f>
        <v>0</v>
      </c>
      <c r="T61" s="386">
        <f>Cen!F173</f>
        <v>0.75153000000000003</v>
      </c>
      <c r="U61" s="387">
        <f t="shared" si="5"/>
        <v>0</v>
      </c>
    </row>
    <row r="62" spans="16:21" x14ac:dyDescent="0.25">
      <c r="P62" s="123"/>
      <c r="Q62" s="123"/>
      <c r="R62" s="123"/>
      <c r="S62" s="385"/>
      <c r="T62" s="386"/>
      <c r="U62" s="387"/>
    </row>
    <row r="65" spans="16:21" x14ac:dyDescent="0.25">
      <c r="P65" s="123" t="str">
        <f>Cen!A215</f>
        <v>Podélný reling vlevo/vpravo, 270mm, šedý</v>
      </c>
      <c r="Q65" s="123" t="str">
        <f>Cen!B215</f>
        <v>ZRG.207RSIC</v>
      </c>
      <c r="R65" s="123" t="str">
        <f>Cen!C215</f>
        <v>R906</v>
      </c>
      <c r="S65" s="385">
        <f t="shared" ref="S65:S73" si="6">S3/2</f>
        <v>0</v>
      </c>
      <c r="T65" s="402">
        <f>Cen!F215</f>
        <v>6.5190299999999999</v>
      </c>
      <c r="U65" s="387">
        <f t="shared" ref="U65:U73" si="7">S65*T65</f>
        <v>0</v>
      </c>
    </row>
    <row r="66" spans="16:21" x14ac:dyDescent="0.25">
      <c r="P66" s="123" t="str">
        <f>Cen!A219</f>
        <v>Podélný reling vlevo/vpravo, 300mm, šedý</v>
      </c>
      <c r="Q66" s="123" t="str">
        <f>Cen!B219</f>
        <v>ZRG.237RSIC</v>
      </c>
      <c r="R66" s="123" t="str">
        <f>Cen!C219</f>
        <v>R906</v>
      </c>
      <c r="S66" s="385">
        <f t="shared" si="6"/>
        <v>0</v>
      </c>
      <c r="T66" s="402">
        <f>Cen!F219</f>
        <v>6.62744</v>
      </c>
      <c r="U66" s="387">
        <f t="shared" si="7"/>
        <v>0</v>
      </c>
    </row>
    <row r="67" spans="16:21" x14ac:dyDescent="0.25">
      <c r="P67" s="123" t="str">
        <f>Cen!A223</f>
        <v>Podélný reling vlevo/vpravo, 350mm, šedý</v>
      </c>
      <c r="Q67" s="123" t="str">
        <f>Cen!B223</f>
        <v>ZRG.287RSIC</v>
      </c>
      <c r="R67" s="123" t="str">
        <f>Cen!C223</f>
        <v>R906</v>
      </c>
      <c r="S67" s="385">
        <f t="shared" si="6"/>
        <v>0</v>
      </c>
      <c r="T67" s="402">
        <f>Cen!F223</f>
        <v>6.7358200000000004</v>
      </c>
      <c r="U67" s="387">
        <f t="shared" si="7"/>
        <v>0</v>
      </c>
    </row>
    <row r="68" spans="16:21" x14ac:dyDescent="0.25">
      <c r="P68" s="123" t="str">
        <f>Cen!A227</f>
        <v>Podélný reling vlevo/vpravo, 400mm, šedý</v>
      </c>
      <c r="Q68" s="123" t="str">
        <f>Cen!B227</f>
        <v>ZRG.337RSIC</v>
      </c>
      <c r="R68" s="123" t="str">
        <f>Cen!C227</f>
        <v>R906</v>
      </c>
      <c r="S68" s="385">
        <f t="shared" si="6"/>
        <v>0</v>
      </c>
      <c r="T68" s="402">
        <f>Cen!F227</f>
        <v>6.8442100000000003</v>
      </c>
      <c r="U68" s="387">
        <f t="shared" si="7"/>
        <v>0</v>
      </c>
    </row>
    <row r="69" spans="16:21" x14ac:dyDescent="0.25">
      <c r="P69" s="123" t="str">
        <f>Cen!A231</f>
        <v>Podélný reling vlevo/vpravo, 450mm, šedý</v>
      </c>
      <c r="Q69" s="123" t="str">
        <f>Cen!B231</f>
        <v>ZRG.387RSIC</v>
      </c>
      <c r="R69" s="123" t="str">
        <f>Cen!C231</f>
        <v>R906</v>
      </c>
      <c r="S69" s="385">
        <f t="shared" si="6"/>
        <v>0</v>
      </c>
      <c r="T69" s="402">
        <f>Cen!F231</f>
        <v>6.2810499999999987</v>
      </c>
      <c r="U69" s="387">
        <f t="shared" si="7"/>
        <v>0</v>
      </c>
    </row>
    <row r="70" spans="16:21" x14ac:dyDescent="0.25">
      <c r="P70" s="123" t="str">
        <f>Cen!A235</f>
        <v>Podélný reling vlevo/vpravo, 500mm, šedý</v>
      </c>
      <c r="Q70" s="123" t="str">
        <f>Cen!B235</f>
        <v>ZRG.437RSIC</v>
      </c>
      <c r="R70" s="123" t="str">
        <f>Cen!C235</f>
        <v>R906</v>
      </c>
      <c r="S70" s="385">
        <f t="shared" si="6"/>
        <v>0</v>
      </c>
      <c r="T70" s="402">
        <f>Cen!F235</f>
        <v>6.3789800000000003</v>
      </c>
      <c r="U70" s="387">
        <f t="shared" si="7"/>
        <v>0</v>
      </c>
    </row>
    <row r="71" spans="16:21" x14ac:dyDescent="0.25">
      <c r="P71" s="123" t="str">
        <f>Cen!A239</f>
        <v>Podélný reling vlevo/vpravo, 550mm, šedý</v>
      </c>
      <c r="Q71" s="123" t="str">
        <f>Cen!B239</f>
        <v>ZRG.487RSIC</v>
      </c>
      <c r="R71" s="123" t="str">
        <f>Cen!C239</f>
        <v>R906</v>
      </c>
      <c r="S71" s="385">
        <f t="shared" si="6"/>
        <v>0</v>
      </c>
      <c r="T71" s="402">
        <f>Cen!F239</f>
        <v>7.3622199999999998</v>
      </c>
      <c r="U71" s="387">
        <f t="shared" si="7"/>
        <v>0</v>
      </c>
    </row>
    <row r="72" spans="16:21" x14ac:dyDescent="0.25">
      <c r="P72" s="123" t="str">
        <f>Cen!A243</f>
        <v>Podélný reling vlevo/vpravo, 600mm, šedý</v>
      </c>
      <c r="Q72" s="123" t="str">
        <f>Cen!B243</f>
        <v>ZRG.537RSIC</v>
      </c>
      <c r="R72" s="123" t="str">
        <f>Cen!C243</f>
        <v>R906</v>
      </c>
      <c r="S72" s="385">
        <f t="shared" si="6"/>
        <v>0</v>
      </c>
      <c r="T72" s="402">
        <f>Cen!F243</f>
        <v>6.9229999999999992</v>
      </c>
      <c r="U72" s="387">
        <f t="shared" si="7"/>
        <v>0</v>
      </c>
    </row>
    <row r="73" spans="16:21" x14ac:dyDescent="0.25">
      <c r="P73" s="123" t="str">
        <f>Cen!A247</f>
        <v>Podélný reling vlevo/vpravo, 650mm, šedý</v>
      </c>
      <c r="Q73" s="123" t="str">
        <f>Cen!B247</f>
        <v>ZRG.587RSIC</v>
      </c>
      <c r="R73" s="123" t="str">
        <f>Cen!C247</f>
        <v>R906</v>
      </c>
      <c r="S73" s="385">
        <f t="shared" si="6"/>
        <v>0</v>
      </c>
      <c r="T73" s="402">
        <f>Cen!F247</f>
        <v>7.9644300000000001</v>
      </c>
      <c r="U73" s="387">
        <f t="shared" si="7"/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Cen!A328</f>
        <v>Sada držáků zásuvného prvku D, bílošedá</v>
      </c>
      <c r="Q75" s="123" t="str">
        <f>Cen!B328</f>
        <v>Z36D0080</v>
      </c>
      <c r="R75" s="123" t="str">
        <f>Cen!C328</f>
        <v>WGR</v>
      </c>
      <c r="S75" s="385">
        <f>J30</f>
        <v>0</v>
      </c>
      <c r="T75" s="402">
        <f>Cen!F328</f>
        <v>2.4851200000000002</v>
      </c>
      <c r="U75" s="387">
        <f>S75*T75</f>
        <v>0</v>
      </c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/>
      <c r="Q79" s="123"/>
      <c r="R79" s="123"/>
      <c r="S79" s="385"/>
      <c r="T79" s="402"/>
      <c r="U79" s="387"/>
    </row>
    <row r="80" spans="16:21" x14ac:dyDescent="0.25">
      <c r="P80" s="123"/>
      <c r="Q80" s="123"/>
      <c r="R80" s="123"/>
      <c r="S80" s="385"/>
      <c r="T80" s="402"/>
      <c r="U80" s="387"/>
    </row>
    <row r="81" spans="16:21" x14ac:dyDescent="0.25">
      <c r="P81" s="123"/>
      <c r="Q81" s="123"/>
      <c r="R81" s="123"/>
      <c r="S81" s="385"/>
      <c r="T81" s="402"/>
      <c r="U81" s="387"/>
    </row>
    <row r="82" spans="16:21" x14ac:dyDescent="0.25">
      <c r="P82" s="123"/>
      <c r="Q82" s="123"/>
      <c r="R82" s="123"/>
      <c r="S82" s="385"/>
      <c r="T82" s="402"/>
      <c r="U82" s="387"/>
    </row>
    <row r="83" spans="16:21" x14ac:dyDescent="0.25">
      <c r="P83" s="123"/>
      <c r="Q83" s="123"/>
      <c r="R83" s="123"/>
      <c r="S83" s="385"/>
      <c r="T83" s="402"/>
      <c r="U83" s="387"/>
    </row>
    <row r="84" spans="16:21" x14ac:dyDescent="0.25">
      <c r="P84" s="123"/>
      <c r="Q84" s="123"/>
      <c r="R84" s="123"/>
      <c r="S84" s="385"/>
      <c r="T84" s="402"/>
      <c r="U84" s="387"/>
    </row>
    <row r="85" spans="16:21" x14ac:dyDescent="0.25">
      <c r="P85" s="123"/>
      <c r="Q85" s="123"/>
      <c r="R85" s="123"/>
      <c r="S85" s="385"/>
      <c r="T85" s="402"/>
      <c r="U85" s="387"/>
    </row>
    <row r="92" spans="16:21" x14ac:dyDescent="0.25">
      <c r="U92" s="436">
        <f>SUM(U3:U89)</f>
        <v>0</v>
      </c>
    </row>
  </sheetData>
  <sheetProtection algorithmName="SHA-512" hashValue="EwJtR5yYYGVoPEuHIcz3Uf/W2MDd7JCb8xH+9UUzXFi0FW0leUVb1OhLeT19MT4GxhUfaWXOlvxj4wTTe7y7Ew==" saltValue="k/REQkRf+xbtp+QyWzhpUg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ignoredErrors>
    <ignoredError sqref="S65:S73 U67:U73" evalError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indexed="31"/>
  </sheetPr>
  <dimension ref="A1:U9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2.7265625" style="2" hidden="1" customWidth="1"/>
    <col min="22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"SPACE-TOWER, "&amp;List!$B$60&amp;" 4xD + 1xM"</f>
        <v>SPACE-TOWER, sestava 4xD + 1xM</v>
      </c>
      <c r="M2" s="114"/>
      <c r="O2" s="114"/>
      <c r="P2" s="416" t="s">
        <v>1209</v>
      </c>
      <c r="Q2" s="417">
        <f>SUM(D24:F24)</f>
        <v>0</v>
      </c>
      <c r="R2" s="418">
        <f>SUM(J24:L24)</f>
        <v>0</v>
      </c>
      <c r="S2" s="418">
        <f>SUM(D32:F32)</f>
        <v>0</v>
      </c>
      <c r="T2" s="418">
        <f>SUM(J32:L32)</f>
        <v>0</v>
      </c>
    </row>
    <row r="3" spans="1:21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List!$B$62</f>
        <v>zásuvný prvek sklo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38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tr">
        <f>List!$B$32&amp;":"</f>
        <v>sklo:</v>
      </c>
      <c r="J6" s="117"/>
      <c r="K6" s="116" t="str">
        <f>Form!$O$8</f>
        <v>čiré</v>
      </c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List!$B$102&amp;" KB:"</f>
        <v>Šířka korpusu KB:</v>
      </c>
      <c r="J7" s="117"/>
      <c r="K7" s="116" t="s">
        <v>248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SUM($D$24, $J$24, $D$32, $J$32)*5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SUM($E$24, $K$24, $E$32, $K$32)*5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SUM($F$24, $L$24, $F$32, $L$32)*5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/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83"/>
      <c r="I11" s="8"/>
      <c r="J11" s="8"/>
      <c r="K11" s="183"/>
      <c r="L11" s="114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/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83"/>
      <c r="I12" s="323"/>
      <c r="J12" s="323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83"/>
      <c r="I13" s="281"/>
      <c r="J13" s="281"/>
      <c r="K13" s="281"/>
      <c r="L13" s="118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83"/>
      <c r="I14" s="303"/>
      <c r="J14" s="303"/>
      <c r="K14" s="183"/>
      <c r="L14" s="114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83"/>
      <c r="I15" s="304"/>
      <c r="J15" s="304"/>
      <c r="K15" s="304"/>
      <c r="L15" s="111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4.5" x14ac:dyDescent="0.35">
      <c r="A17" s="114"/>
      <c r="B17" s="325" t="str">
        <f>"   "&amp;List!B261</f>
        <v xml:space="preserve">   Zadejte počty skříní podle šířky korpusu a délky výsuvů</v>
      </c>
      <c r="C17" s="326"/>
      <c r="D17" s="327"/>
      <c r="E17" s="327"/>
      <c r="F17" s="327"/>
      <c r="G17" s="326"/>
      <c r="H17" s="326"/>
      <c r="I17" s="326"/>
      <c r="J17" s="327"/>
      <c r="K17" s="327"/>
      <c r="L17" s="327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IF($D$26=0, $D$24*4, $D$24*$D$26)+IF($J$26=0, $J$24*2,$J$24*$J$26)</f>
        <v>0</v>
      </c>
      <c r="T17" s="386">
        <f>Cen!F98</f>
        <v>16.63541</v>
      </c>
      <c r="U17" s="387">
        <f t="shared" si="0"/>
        <v>0</v>
      </c>
    </row>
    <row r="18" spans="1:21" ht="14.5" x14ac:dyDescent="0.35">
      <c r="A18" s="114"/>
      <c r="B18" s="325" t="str">
        <f>"   "&amp;List!B265</f>
        <v xml:space="preserve">   Zadejte počet korpusových lišt, pokud chcete jiné, než přednastavené složení</v>
      </c>
      <c r="C18" s="326"/>
      <c r="D18" s="327"/>
      <c r="E18" s="327"/>
      <c r="F18" s="327"/>
      <c r="G18" s="326"/>
      <c r="H18" s="326"/>
      <c r="I18" s="326"/>
      <c r="J18" s="327"/>
      <c r="K18" s="327"/>
      <c r="L18" s="327"/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IF($D$26=0, $D$24*1, $D$24*$D$27)+IF($J$26=0, $J$24*3,$J$24*$J$27)</f>
        <v>0</v>
      </c>
      <c r="T18" s="386">
        <f>Cen!F99</f>
        <v>22.021799999999999</v>
      </c>
      <c r="U18" s="387">
        <f t="shared" si="0"/>
        <v>0</v>
      </c>
    </row>
    <row r="19" spans="1:21" ht="14.5" x14ac:dyDescent="0.35">
      <c r="A19" s="114"/>
      <c r="B19" s="325" t="str">
        <f>"         "&amp;List!B263</f>
        <v xml:space="preserve">         Zadejte počty 30kg korpusových lišt, 65kg lišty se dopočítají</v>
      </c>
      <c r="C19" s="326"/>
      <c r="D19" s="327"/>
      <c r="E19" s="327"/>
      <c r="F19" s="327"/>
      <c r="G19" s="326"/>
      <c r="H19" s="326"/>
      <c r="I19" s="326"/>
      <c r="J19" s="327"/>
      <c r="K19" s="327"/>
      <c r="L19" s="327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IF($E$26=0, $E$24*4, $E$24*$E$26)+IF($K$26=0, $K$24*2,$K$24*$K$26)</f>
        <v>0</v>
      </c>
      <c r="T19" s="389">
        <f>Cen!F100</f>
        <v>15.919919999999999</v>
      </c>
      <c r="U19" s="390">
        <f t="shared" si="0"/>
        <v>0</v>
      </c>
    </row>
    <row r="20" spans="1:21" ht="7.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IF($E$26=0, $E$24*1, $E$24*$E$27)+IF($K$26=0, $K$24*3,$K$24*$K$27)</f>
        <v>0</v>
      </c>
      <c r="T20" s="389">
        <f>Cen!F101</f>
        <v>24.51277</v>
      </c>
      <c r="U20" s="390">
        <f t="shared" si="0"/>
        <v>0</v>
      </c>
    </row>
    <row r="21" spans="1:21" ht="15.5" x14ac:dyDescent="0.25">
      <c r="A21" s="114"/>
      <c r="B21" s="328" t="str">
        <f>"▼   "&amp;List!$B$102&amp;" KB 450 mm"</f>
        <v>▼   Šířka korpusu KB 450 mm</v>
      </c>
      <c r="C21" s="284"/>
      <c r="D21" s="284"/>
      <c r="E21" s="284"/>
      <c r="F21" s="284"/>
      <c r="G21" s="284"/>
      <c r="H21" s="328" t="str">
        <f>"▼   "&amp;List!$B$102&amp;" KB 600 mm"</f>
        <v>▼   Šířka korpusu KB 600 mm</v>
      </c>
      <c r="I21" s="285"/>
      <c r="J21" s="285"/>
      <c r="K21" s="285"/>
      <c r="L21" s="285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IF($F$26=0, $F$24*4, $F$24*$F$26)+IF($L$26=0, $L$24*2,$L$24*$L$26)</f>
        <v>0</v>
      </c>
      <c r="T21" s="386">
        <f>Cen!F102</f>
        <v>17.614419999999999</v>
      </c>
      <c r="U21" s="387">
        <f t="shared" si="0"/>
        <v>0</v>
      </c>
    </row>
    <row r="22" spans="1:21" ht="22.5" customHeight="1" x14ac:dyDescent="0.35">
      <c r="A22" s="114"/>
      <c r="B22" s="329" t="s">
        <v>882</v>
      </c>
      <c r="C22" s="283"/>
      <c r="D22" s="284"/>
      <c r="E22" s="284"/>
      <c r="F22" s="284"/>
      <c r="G22" s="284"/>
      <c r="H22" s="329" t="s">
        <v>882</v>
      </c>
      <c r="I22" s="283"/>
      <c r="J22" s="285"/>
      <c r="K22" s="285"/>
      <c r="L22" s="285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IF($F$26=0, $F$24*1, $F$24*$F$27)+IF($L$26=0, $L$24*3,$L$24*$L$27)</f>
        <v>0</v>
      </c>
      <c r="T22" s="386">
        <f>Cen!F103</f>
        <v>23.000999999999998</v>
      </c>
      <c r="U22" s="387">
        <f t="shared" si="0"/>
        <v>0</v>
      </c>
    </row>
    <row r="23" spans="1:21" ht="14" x14ac:dyDescent="0.3">
      <c r="A23" s="114"/>
      <c r="B23" s="334"/>
      <c r="C23" s="282" t="str">
        <f>List!$B$45&amp;":"</f>
        <v>Jmenovitá délka:</v>
      </c>
      <c r="D23" s="286">
        <v>450</v>
      </c>
      <c r="E23" s="335">
        <v>500</v>
      </c>
      <c r="F23" s="289">
        <v>550</v>
      </c>
      <c r="G23" s="336"/>
      <c r="H23" s="334"/>
      <c r="I23" s="282" t="str">
        <f>List!$B$45&amp;":"</f>
        <v>Jmenovitá délka:</v>
      </c>
      <c r="J23" s="286">
        <v>450</v>
      </c>
      <c r="K23" s="335">
        <v>500</v>
      </c>
      <c r="L23" s="289">
        <v>550</v>
      </c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337"/>
      <c r="C24" s="282" t="str">
        <f>List!$B$260&amp;":"</f>
        <v>Počet skříní:</v>
      </c>
      <c r="D24" s="338"/>
      <c r="E24" s="338"/>
      <c r="F24" s="339"/>
      <c r="G24" s="330"/>
      <c r="H24" s="337"/>
      <c r="I24" s="282" t="str">
        <f>List!$B$260&amp;":"</f>
        <v>Počet skříní:</v>
      </c>
      <c r="J24" s="338"/>
      <c r="K24" s="338"/>
      <c r="L24" s="340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/>
      <c r="T24" s="386">
        <f>Cen!F105</f>
        <v>25.957080000000001</v>
      </c>
      <c r="U24" s="387">
        <f t="shared" si="0"/>
        <v>0</v>
      </c>
    </row>
    <row r="25" spans="1:21" ht="14.5" x14ac:dyDescent="0.35">
      <c r="A25" s="114"/>
      <c r="B25" s="341" t="str">
        <f>List!$B$264</f>
        <v>Korpusové lišty</v>
      </c>
      <c r="C25" s="282"/>
      <c r="D25" s="342"/>
      <c r="E25" s="342"/>
      <c r="F25" s="342"/>
      <c r="G25" s="342"/>
      <c r="H25" s="341" t="str">
        <f>List!$B$264</f>
        <v>Korpusové lišty</v>
      </c>
      <c r="I25" s="282"/>
      <c r="J25" s="342"/>
      <c r="K25" s="342"/>
      <c r="L25" s="342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/>
      <c r="T25" s="395">
        <f>Cen!F106</f>
        <v>26.813510000000001</v>
      </c>
      <c r="U25" s="396">
        <f t="shared" si="0"/>
        <v>0</v>
      </c>
    </row>
    <row r="26" spans="1:21" ht="14.5" thickBot="1" x14ac:dyDescent="0.35">
      <c r="A26" s="114"/>
      <c r="B26" s="290" t="s">
        <v>447</v>
      </c>
      <c r="C26" s="343" t="s">
        <v>883</v>
      </c>
      <c r="D26" s="344"/>
      <c r="E26" s="344"/>
      <c r="F26" s="345"/>
      <c r="G26" s="330"/>
      <c r="H26" s="290" t="s">
        <v>447</v>
      </c>
      <c r="I26" s="291" t="str">
        <f>"2 ks*"</f>
        <v>2 ks*</v>
      </c>
      <c r="J26" s="346"/>
      <c r="K26" s="346"/>
      <c r="L26" s="347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/>
      <c r="T26" s="392">
        <f>Cen!F109</f>
        <v>16.390229999999999</v>
      </c>
      <c r="U26" s="393">
        <f t="shared" si="0"/>
        <v>0</v>
      </c>
    </row>
    <row r="27" spans="1:21" ht="14" x14ac:dyDescent="0.3">
      <c r="A27" s="114"/>
      <c r="B27" s="295" t="s">
        <v>446</v>
      </c>
      <c r="C27" s="348" t="s">
        <v>884</v>
      </c>
      <c r="D27" s="349">
        <f>IF(D26&gt;0, IF(D26&gt;5,0, 5-D26),0)</f>
        <v>0</v>
      </c>
      <c r="E27" s="349">
        <f>IF(E26&gt;0, IF(E26&gt;5,0, 5-E26),0)</f>
        <v>0</v>
      </c>
      <c r="F27" s="350">
        <f>IF(F26&gt;0, IF(F26&gt;5,0, 5-F26),0)</f>
        <v>0</v>
      </c>
      <c r="G27" s="330"/>
      <c r="H27" s="295" t="s">
        <v>446</v>
      </c>
      <c r="I27" s="348" t="str">
        <f>"3 ks*"</f>
        <v>3 ks*</v>
      </c>
      <c r="J27" s="349">
        <f>IF(J26&gt;0, IF(J26&gt;5,0, 5-J26),0)</f>
        <v>0</v>
      </c>
      <c r="K27" s="349">
        <f>IF(K26&gt;0, IF(K26&gt;5,0, 5-K26),0)</f>
        <v>0</v>
      </c>
      <c r="L27" s="350">
        <f>IF(L26&gt;0, IF(L26&gt;5,0, 5-L26),0)</f>
        <v>0</v>
      </c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/>
      <c r="T27" s="386">
        <f>Cen!F110</f>
        <v>16.390229999999999</v>
      </c>
      <c r="U27" s="387">
        <f t="shared" si="0"/>
        <v>0</v>
      </c>
    </row>
    <row r="28" spans="1:21" ht="14.5" x14ac:dyDescent="0.35">
      <c r="A28" s="114"/>
      <c r="B28" s="284"/>
      <c r="C28" s="342"/>
      <c r="D28" s="332" t="str">
        <f>IF(D26&gt;5,"Max. 5!"," ")</f>
        <v xml:space="preserve"> </v>
      </c>
      <c r="E28" s="332" t="str">
        <f>IF(E26&gt;5,"Max. 5!"," ")</f>
        <v xml:space="preserve"> </v>
      </c>
      <c r="F28" s="332" t="str">
        <f>IF(F26&gt;5,"Max. 5!"," ")</f>
        <v xml:space="preserve"> </v>
      </c>
      <c r="G28" s="342"/>
      <c r="H28" s="342"/>
      <c r="I28" s="342"/>
      <c r="J28" s="332" t="str">
        <f>IF(J26&gt;5,"Max. 5!"," ")</f>
        <v xml:space="preserve"> </v>
      </c>
      <c r="K28" s="332" t="str">
        <f>IF(K26&gt;5,"Max. 5!"," ")</f>
        <v xml:space="preserve"> </v>
      </c>
      <c r="L28" s="332" t="str">
        <f>IF(L26&gt;5,"Max. 5!"," ")</f>
        <v xml:space="preserve"> </v>
      </c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/>
      <c r="T28" s="386">
        <f>Cen!F111</f>
        <v>16.390229999999999</v>
      </c>
      <c r="U28" s="387">
        <f t="shared" si="0"/>
        <v>0</v>
      </c>
    </row>
    <row r="29" spans="1:21" ht="9" customHeight="1" x14ac:dyDescent="0.35">
      <c r="A29" s="114"/>
      <c r="B29" s="284"/>
      <c r="C29" s="284"/>
      <c r="D29" s="284"/>
      <c r="E29" s="284"/>
      <c r="F29" s="284"/>
      <c r="G29" s="342"/>
      <c r="H29" s="333"/>
      <c r="I29" s="333"/>
      <c r="J29" s="333"/>
      <c r="K29" s="333"/>
      <c r="L29" s="333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/>
      <c r="T29" s="386">
        <f>Cen!F112</f>
        <v>16.512820000000001</v>
      </c>
      <c r="U29" s="387">
        <f t="shared" si="0"/>
        <v>0</v>
      </c>
    </row>
    <row r="30" spans="1:21" ht="15.5" x14ac:dyDescent="0.25">
      <c r="A30" s="114"/>
      <c r="B30" s="280" t="s">
        <v>885</v>
      </c>
      <c r="C30" s="283"/>
      <c r="D30" s="284"/>
      <c r="E30" s="284"/>
      <c r="F30" s="284"/>
      <c r="G30" s="284"/>
      <c r="H30" s="280" t="s">
        <v>885</v>
      </c>
      <c r="I30" s="354"/>
      <c r="J30" s="285"/>
      <c r="K30" s="285"/>
      <c r="L30" s="285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IF($D$34=0, $D$32*4, $D$32*$D$34)+IF($J$34=0, $J$32*2,$J$32*$J$34)</f>
        <v>0</v>
      </c>
      <c r="T30" s="386">
        <f>Cen!F113</f>
        <v>16.63541</v>
      </c>
      <c r="U30" s="387">
        <f t="shared" si="0"/>
        <v>0</v>
      </c>
    </row>
    <row r="31" spans="1:21" ht="14" x14ac:dyDescent="0.3">
      <c r="A31" s="114"/>
      <c r="B31" s="334"/>
      <c r="C31" s="282" t="str">
        <f>List!$B$45&amp;":"</f>
        <v>Jmenovitá délka:</v>
      </c>
      <c r="D31" s="286">
        <v>450</v>
      </c>
      <c r="E31" s="335">
        <v>500</v>
      </c>
      <c r="F31" s="289">
        <v>550</v>
      </c>
      <c r="G31" s="336"/>
      <c r="H31" s="334"/>
      <c r="I31" s="282" t="str">
        <f>List!$B$45&amp;":"</f>
        <v>Jmenovitá délka:</v>
      </c>
      <c r="J31" s="286">
        <v>450</v>
      </c>
      <c r="K31" s="335">
        <v>500</v>
      </c>
      <c r="L31" s="289">
        <v>550</v>
      </c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IF($D$34=0, $D$32*1, $D$32*$D$35)+IF($J$34=0, $J$32*3,$J$32*$J$35)</f>
        <v>0</v>
      </c>
      <c r="T31" s="386">
        <f>Cen!F114</f>
        <v>22.021810000000002</v>
      </c>
      <c r="U31" s="387">
        <f t="shared" si="0"/>
        <v>0</v>
      </c>
    </row>
    <row r="32" spans="1:21" ht="14" x14ac:dyDescent="0.3">
      <c r="A32" s="114"/>
      <c r="B32" s="337"/>
      <c r="C32" s="282" t="str">
        <f>List!$B$260&amp;":"</f>
        <v>Počet skříní:</v>
      </c>
      <c r="D32" s="338"/>
      <c r="E32" s="338"/>
      <c r="F32" s="339"/>
      <c r="G32" s="330"/>
      <c r="H32" s="337"/>
      <c r="I32" s="282" t="str">
        <f>List!$B$260&amp;":"</f>
        <v>Počet skříní:</v>
      </c>
      <c r="J32" s="338"/>
      <c r="K32" s="338"/>
      <c r="L32" s="340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IF($E$34=0, $E$32*4, $E$32*$E$34)+IF($K$34=0, $K$32*2,$K$32*$K$34)</f>
        <v>0</v>
      </c>
      <c r="T32" s="389">
        <f>Cen!F115</f>
        <v>16.757819999999999</v>
      </c>
      <c r="U32" s="390">
        <f t="shared" si="0"/>
        <v>0</v>
      </c>
    </row>
    <row r="33" spans="1:21" ht="14.5" x14ac:dyDescent="0.35">
      <c r="A33" s="114"/>
      <c r="B33" s="341" t="str">
        <f>List!$B$264</f>
        <v>Korpusové lišty</v>
      </c>
      <c r="C33" s="282"/>
      <c r="D33" s="342"/>
      <c r="E33" s="342"/>
      <c r="F33" s="342"/>
      <c r="G33" s="342"/>
      <c r="H33" s="341" t="str">
        <f>List!$B$264</f>
        <v>Korpusové lišty</v>
      </c>
      <c r="I33" s="282"/>
      <c r="J33" s="342"/>
      <c r="K33" s="342"/>
      <c r="L33" s="342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IF($E$34=0, $E$32*1, $E$32*$E$35)+IF($K$34=0, $K$32*3,$K$32*$K$35)</f>
        <v>0</v>
      </c>
      <c r="T33" s="389">
        <f>Cen!F116</f>
        <v>22.144390000000001</v>
      </c>
      <c r="U33" s="390">
        <f t="shared" si="0"/>
        <v>0</v>
      </c>
    </row>
    <row r="34" spans="1:21" ht="14.5" thickBot="1" x14ac:dyDescent="0.35">
      <c r="A34" s="114"/>
      <c r="B34" s="290" t="s">
        <v>447</v>
      </c>
      <c r="C34" s="343" t="s">
        <v>883</v>
      </c>
      <c r="D34" s="344"/>
      <c r="E34" s="344"/>
      <c r="F34" s="345"/>
      <c r="G34" s="330"/>
      <c r="H34" s="290" t="s">
        <v>447</v>
      </c>
      <c r="I34" s="291" t="str">
        <f>"2 ks*"</f>
        <v>2 ks*</v>
      </c>
      <c r="J34" s="346"/>
      <c r="K34" s="346"/>
      <c r="L34" s="347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IF($F$34=0, $F$32*4, $F$32*$F$34)+IF($L$34=0, $L$32*2,$L$32*$L$34)</f>
        <v>0</v>
      </c>
      <c r="T34" s="386">
        <f>Cen!F117</f>
        <v>17.614419999999999</v>
      </c>
      <c r="U34" s="387">
        <f t="shared" si="0"/>
        <v>0</v>
      </c>
    </row>
    <row r="35" spans="1:21" ht="14" x14ac:dyDescent="0.3">
      <c r="A35" s="114"/>
      <c r="B35" s="295" t="s">
        <v>446</v>
      </c>
      <c r="C35" s="348" t="s">
        <v>884</v>
      </c>
      <c r="D35" s="349">
        <f>IF(D34&gt;0,IF(D34&gt;5,0,5-D34),0)</f>
        <v>0</v>
      </c>
      <c r="E35" s="349">
        <f>IF(E34&gt;0,IF(E34&gt;5,0,5-E34),0)</f>
        <v>0</v>
      </c>
      <c r="F35" s="350">
        <f>IF(F34&gt;0,IF(F34&gt;5,0,5-F34),0)</f>
        <v>0</v>
      </c>
      <c r="G35" s="330"/>
      <c r="H35" s="295" t="s">
        <v>446</v>
      </c>
      <c r="I35" s="348" t="str">
        <f>"3 ks*"</f>
        <v>3 ks*</v>
      </c>
      <c r="J35" s="349">
        <f>IF(J34&gt;0,IF(J34&gt;5,0,5-J34),0)</f>
        <v>0</v>
      </c>
      <c r="K35" s="349">
        <f>IF(K34&gt;0,IF(K34&gt;5,0,5-K34),0)</f>
        <v>0</v>
      </c>
      <c r="L35" s="350">
        <f>IF(L34&gt;0,IF(L34&gt;5,0,5-L34),0)</f>
        <v>0</v>
      </c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IF($F$34=0, $F$32*1, $F$32*$F$35)+IF($L$34=0, $L$32*3,$L$32*$L$35)</f>
        <v>0</v>
      </c>
      <c r="T35" s="386">
        <f>Cen!F118</f>
        <v>23.000999999999998</v>
      </c>
      <c r="U35" s="387">
        <f t="shared" si="0"/>
        <v>0</v>
      </c>
    </row>
    <row r="36" spans="1:21" ht="14" x14ac:dyDescent="0.3">
      <c r="A36" s="114"/>
      <c r="B36" s="284"/>
      <c r="C36" s="351"/>
      <c r="D36" s="332" t="str">
        <f>IF(D34&gt;5,"Max. 5!"," ")</f>
        <v xml:space="preserve"> </v>
      </c>
      <c r="E36" s="332" t="str">
        <f>IF(E34&gt;5,"Max. 5!"," ")</f>
        <v xml:space="preserve"> </v>
      </c>
      <c r="F36" s="332" t="str">
        <f>IF(F34&gt;5,"Max. 5!"," ")</f>
        <v xml:space="preserve"> </v>
      </c>
      <c r="G36" s="330"/>
      <c r="H36" s="352"/>
      <c r="I36" s="351"/>
      <c r="J36" s="332" t="str">
        <f>IF(J34&gt;5,"Max. 5!"," ")</f>
        <v xml:space="preserve"> </v>
      </c>
      <c r="K36" s="332" t="str">
        <f>IF(K34&gt;5,"Max. 5!"," ")</f>
        <v xml:space="preserve"> </v>
      </c>
      <c r="L36" s="332" t="str">
        <f>IF(L34&gt;5,"Max. 5!"," ")</f>
        <v xml:space="preserve"> </v>
      </c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/>
      <c r="T36" s="386">
        <f>Cen!F119</f>
        <v>20.570499999999996</v>
      </c>
      <c r="U36" s="387">
        <f t="shared" si="0"/>
        <v>0</v>
      </c>
    </row>
    <row r="37" spans="1:21" ht="14" x14ac:dyDescent="0.3">
      <c r="A37" s="114"/>
      <c r="B37" s="284"/>
      <c r="C37" s="331"/>
      <c r="D37" s="336"/>
      <c r="E37" s="336"/>
      <c r="F37" s="336"/>
      <c r="G37" s="336"/>
      <c r="H37" s="336"/>
      <c r="I37" s="336"/>
      <c r="J37" s="330"/>
      <c r="K37" s="336"/>
      <c r="L37" s="336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/>
      <c r="T37" s="386">
        <f>Cen!F120</f>
        <v>25.957080000000001</v>
      </c>
      <c r="U37" s="387">
        <f t="shared" si="0"/>
        <v>0</v>
      </c>
    </row>
    <row r="38" spans="1:21" ht="14" x14ac:dyDescent="0.3">
      <c r="A38" s="114"/>
      <c r="B38" s="353" t="str">
        <f>"       * "&amp;List!$B$266</f>
        <v xml:space="preserve">       * Nastavené počty korpusových lišt</v>
      </c>
      <c r="C38" s="331"/>
      <c r="D38" s="336"/>
      <c r="E38" s="336"/>
      <c r="F38" s="336"/>
      <c r="G38" s="336"/>
      <c r="H38" s="336"/>
      <c r="I38" s="336"/>
      <c r="J38" s="330"/>
      <c r="K38" s="336"/>
      <c r="L38" s="336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/>
      <c r="T38" s="386">
        <f>Cen!F121</f>
        <v>26.813510000000001</v>
      </c>
      <c r="U38" s="387">
        <f t="shared" si="0"/>
        <v>0</v>
      </c>
    </row>
    <row r="39" spans="1:21" ht="14" x14ac:dyDescent="0.3">
      <c r="A39" s="114"/>
      <c r="B39" s="353" t="str">
        <f>"     ** "&amp;List!$B$269</f>
        <v xml:space="preserve">     ** Jednotky TIP-ON BLUMOTION jsou přidány automaticky</v>
      </c>
      <c r="C39" s="331"/>
      <c r="D39" s="336"/>
      <c r="E39" s="336"/>
      <c r="F39" s="336"/>
      <c r="G39" s="336"/>
      <c r="H39" s="336"/>
      <c r="I39" s="336"/>
      <c r="J39" s="330"/>
      <c r="K39" s="336"/>
      <c r="L39" s="336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4" x14ac:dyDescent="0.3">
      <c r="A40" s="114"/>
      <c r="B40" s="353" t="str">
        <f>"        "&amp;List!$B$270</f>
        <v xml:space="preserve">        Synchronizace je přidána automaticky. </v>
      </c>
      <c r="C40" s="331"/>
      <c r="D40" s="336"/>
      <c r="E40" s="336"/>
      <c r="F40" s="336"/>
      <c r="G40" s="336"/>
      <c r="H40" s="336"/>
      <c r="I40" s="336"/>
      <c r="J40" s="330"/>
      <c r="K40" s="336"/>
      <c r="L40" s="336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SUM(S30, S32, S34)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SUM(S31, S33, S35)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ht="13" x14ac:dyDescent="0.3">
      <c r="A47" s="114"/>
      <c r="B47" s="305"/>
      <c r="C47" s="305"/>
      <c r="D47" s="305"/>
      <c r="E47" s="305"/>
      <c r="F47" s="305"/>
      <c r="G47" s="305"/>
      <c r="H47" s="141"/>
      <c r="I47" s="141"/>
      <c r="J47" s="141"/>
      <c r="K47" s="141"/>
      <c r="L47" s="141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CEILING(SUM(SUM($D$32:$F$32)/6, SUM($J$32:$L$32)/3), 1)*5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358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152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152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>
        <f>SUM($S$3:$S$11)/5</f>
        <v>0</v>
      </c>
      <c r="T53" s="386">
        <f>Cen!F147</f>
        <v>1.59188</v>
      </c>
      <c r="U53" s="387">
        <f>S53*T53</f>
        <v>0</v>
      </c>
    </row>
    <row r="54" spans="1:21" x14ac:dyDescent="0.25">
      <c r="A54" s="114"/>
      <c r="B54" s="141"/>
      <c r="C54" s="141"/>
      <c r="D54" s="141"/>
      <c r="E54" s="141"/>
      <c r="F54" s="141"/>
      <c r="G54" s="141"/>
      <c r="H54" s="141"/>
      <c r="I54" s="141"/>
      <c r="J54" s="147"/>
      <c r="K54" s="152"/>
      <c r="L54" s="152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B55" s="141"/>
      <c r="C55" s="141"/>
      <c r="D55" s="141"/>
      <c r="E55" s="141"/>
      <c r="F55" s="141"/>
      <c r="G55" s="141"/>
      <c r="H55" s="141"/>
      <c r="I55" s="141"/>
      <c r="J55" s="147"/>
      <c r="K55" s="152"/>
      <c r="L55" s="152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B56" s="141"/>
      <c r="C56" s="141"/>
      <c r="D56" s="141"/>
      <c r="E56" s="141"/>
      <c r="F56" s="141"/>
      <c r="G56" s="141"/>
      <c r="H56" s="141"/>
      <c r="I56" s="141"/>
      <c r="J56" s="147"/>
      <c r="K56" s="398"/>
      <c r="L56" s="152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B57" s="141"/>
      <c r="C57" s="141"/>
      <c r="D57" s="141"/>
      <c r="E57" s="141"/>
      <c r="F57" s="141"/>
      <c r="G57" s="141"/>
      <c r="H57" s="141"/>
      <c r="I57" s="141"/>
      <c r="J57" s="147"/>
      <c r="K57" s="398"/>
      <c r="L57" s="152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SUM($S$3:$S$11)/5*4</f>
        <v>0</v>
      </c>
      <c r="T57" s="386">
        <f>Cen!F162</f>
        <v>2.93709</v>
      </c>
      <c r="U57" s="387">
        <f>S57*T57</f>
        <v>0</v>
      </c>
    </row>
    <row r="58" spans="1:21" x14ac:dyDescent="0.25">
      <c r="A58" s="114"/>
      <c r="B58" s="141"/>
      <c r="C58" s="141"/>
      <c r="D58" s="141"/>
      <c r="E58" s="141"/>
      <c r="F58" s="141"/>
      <c r="G58" s="141"/>
      <c r="H58" s="141"/>
      <c r="I58" s="141"/>
      <c r="J58" s="147"/>
      <c r="K58" s="152"/>
      <c r="L58" s="152"/>
      <c r="M58" s="114"/>
      <c r="N58" s="114"/>
      <c r="O58" s="114"/>
      <c r="P58" s="402" t="str">
        <f>Cen!A178</f>
        <v>Držáky čela vnitřní zásuvky M, bílošedé</v>
      </c>
      <c r="Q58" s="402" t="str">
        <f>Cen!B178</f>
        <v>ZIF.71M0</v>
      </c>
      <c r="R58" s="402" t="str">
        <f>Cen!C178</f>
        <v>WGR</v>
      </c>
      <c r="S58" s="385">
        <f>SUM($S$3:$S$11)/5</f>
        <v>0</v>
      </c>
      <c r="T58" s="402">
        <f>Cen!F178</f>
        <v>4.2079700000000004</v>
      </c>
      <c r="U58" s="387">
        <f>S58*T58</f>
        <v>0</v>
      </c>
    </row>
    <row r="59" spans="1:21" x14ac:dyDescent="0.25">
      <c r="A59" s="114"/>
      <c r="B59" s="141"/>
      <c r="C59" s="141"/>
      <c r="D59" s="141"/>
      <c r="E59" s="141"/>
      <c r="F59" s="141"/>
      <c r="G59" s="141"/>
      <c r="H59" s="141"/>
      <c r="I59" s="141"/>
      <c r="J59" s="147"/>
      <c r="K59" s="152"/>
      <c r="L59" s="152"/>
      <c r="M59" s="114"/>
      <c r="N59" s="114"/>
      <c r="O59" s="114"/>
      <c r="P59" s="402" t="str">
        <f>Cen!A189</f>
        <v>Držáky čela vnitřního výsuvu D bílošedé</v>
      </c>
      <c r="Q59" s="402" t="str">
        <f>Cen!B189</f>
        <v>ZIF.74D0</v>
      </c>
      <c r="R59" s="402" t="str">
        <f>Cen!C189</f>
        <v>WGR</v>
      </c>
      <c r="S59" s="385">
        <f>SUM($S$3:$S$11)/5*4</f>
        <v>0</v>
      </c>
      <c r="T59" s="402">
        <f>Cen!F189</f>
        <v>6.1373600000000001</v>
      </c>
      <c r="U59" s="387">
        <f t="shared" si="2"/>
        <v>0</v>
      </c>
    </row>
    <row r="60" spans="1:21" x14ac:dyDescent="0.25">
      <c r="A60" s="114"/>
      <c r="B60" s="141"/>
      <c r="C60" s="141"/>
      <c r="D60" s="141"/>
      <c r="E60" s="141"/>
      <c r="F60" s="141"/>
      <c r="G60" s="141"/>
      <c r="H60" s="141"/>
      <c r="I60" s="141"/>
      <c r="J60" s="147"/>
      <c r="K60" s="152"/>
      <c r="L60" s="152"/>
      <c r="M60" s="114"/>
      <c r="N60" s="114"/>
      <c r="O60" s="114"/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CEILING(SUM(SUM($D$24:$F$24, $D$32:$F$32)/3, SUM($J$24:$L$24, $J$32:$L$32)/2), 1)*5</f>
        <v>0</v>
      </c>
      <c r="T60" s="402">
        <f>Cen!F194</f>
        <v>14.286440000000001</v>
      </c>
      <c r="U60" s="387">
        <f t="shared" si="2"/>
        <v>0</v>
      </c>
    </row>
    <row r="61" spans="1:21" x14ac:dyDescent="0.25">
      <c r="A61" s="114"/>
      <c r="B61" s="141"/>
      <c r="C61" s="141"/>
      <c r="D61" s="141"/>
      <c r="E61" s="141"/>
      <c r="F61" s="141"/>
      <c r="G61" s="141"/>
      <c r="H61" s="141"/>
      <c r="I61" s="141"/>
      <c r="J61" s="147"/>
      <c r="K61" s="152"/>
      <c r="L61" s="152"/>
      <c r="M61" s="114"/>
      <c r="N61" s="114"/>
      <c r="O61" s="114"/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CEILING(SUM(SUM($D$24:$F$24, $D$32:$F$32)/3, SUM($J$24:$L$24, $J$32:$L$32)/2), 1)*4</f>
        <v>0</v>
      </c>
      <c r="T61" s="402">
        <f>Cen!F199</f>
        <v>6.6514599999999993</v>
      </c>
      <c r="U61" s="387">
        <f t="shared" si="2"/>
        <v>0</v>
      </c>
    </row>
    <row r="62" spans="1:21" x14ac:dyDescent="0.25">
      <c r="A62" s="114"/>
      <c r="B62" s="141"/>
      <c r="C62" s="141"/>
      <c r="D62" s="141"/>
      <c r="E62" s="141"/>
      <c r="F62" s="141"/>
      <c r="G62" s="141"/>
      <c r="H62" s="141"/>
      <c r="I62" s="141"/>
      <c r="J62" s="147"/>
      <c r="K62" s="152"/>
      <c r="L62" s="152"/>
      <c r="M62" s="114"/>
      <c r="N62" s="114"/>
      <c r="O62" s="114"/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>S7/5*4</f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ref="S68:S69" si="5">S8/5*4</f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5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SUM($S$3:$S$11)/5*4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Cen!A254</f>
        <v>Zásuvný prvek D, 270mm, čiré sko</v>
      </c>
      <c r="Q75" s="123" t="str">
        <f>Cen!B254</f>
        <v>Z37R237D</v>
      </c>
      <c r="R75" s="123" t="str">
        <f>Cen!C254</f>
        <v>KL</v>
      </c>
      <c r="S75" s="385">
        <f t="shared" ref="S75:S83" si="6">S3</f>
        <v>0</v>
      </c>
      <c r="T75" s="402">
        <f>Cen!F254</f>
        <v>9.78749</v>
      </c>
      <c r="U75" s="387">
        <f t="shared" ref="U75:U83" si="7">S75*T75</f>
        <v>0</v>
      </c>
    </row>
    <row r="76" spans="16:21" x14ac:dyDescent="0.25">
      <c r="P76" s="123" t="str">
        <f>Cen!A256</f>
        <v>Zásuvný prvek D, 300mm, čiré sko</v>
      </c>
      <c r="Q76" s="123" t="str">
        <f>Cen!B256</f>
        <v>Z37R267D</v>
      </c>
      <c r="R76" s="123" t="str">
        <f>Cen!C256</f>
        <v>KL</v>
      </c>
      <c r="S76" s="385">
        <f t="shared" si="6"/>
        <v>0</v>
      </c>
      <c r="T76" s="402">
        <f>Cen!F256</f>
        <v>10.956569999999999</v>
      </c>
      <c r="U76" s="387">
        <f t="shared" si="7"/>
        <v>0</v>
      </c>
    </row>
    <row r="77" spans="16:21" x14ac:dyDescent="0.25">
      <c r="P77" s="123" t="str">
        <f>Cen!A258</f>
        <v>Zásuvný prvek D, 350mm, čiré sko</v>
      </c>
      <c r="Q77" s="123" t="str">
        <f>Cen!B258</f>
        <v>Z37R317D</v>
      </c>
      <c r="R77" s="123" t="str">
        <f>Cen!C258</f>
        <v>KL</v>
      </c>
      <c r="S77" s="385">
        <f t="shared" si="6"/>
        <v>0</v>
      </c>
      <c r="T77" s="402">
        <f>Cen!F258</f>
        <v>10.55153</v>
      </c>
      <c r="U77" s="387">
        <f t="shared" si="7"/>
        <v>0</v>
      </c>
    </row>
    <row r="78" spans="16:21" x14ac:dyDescent="0.25">
      <c r="P78" s="123" t="str">
        <f>Cen!A260</f>
        <v>Zásuvný prvek D, 400mm, čiré sko</v>
      </c>
      <c r="Q78" s="123" t="str">
        <f>Cen!B260</f>
        <v>Z37R367D</v>
      </c>
      <c r="R78" s="123" t="str">
        <f>Cen!C260</f>
        <v>KL</v>
      </c>
      <c r="S78" s="385">
        <f t="shared" si="6"/>
        <v>0</v>
      </c>
      <c r="T78" s="402">
        <f>Cen!F260</f>
        <v>11.739190000000001</v>
      </c>
      <c r="U78" s="387">
        <f t="shared" si="7"/>
        <v>0</v>
      </c>
    </row>
    <row r="79" spans="16:21" x14ac:dyDescent="0.25">
      <c r="P79" s="123" t="str">
        <f>Cen!A262</f>
        <v>Zásuvný prvek D, 450mm, čiré sko</v>
      </c>
      <c r="Q79" s="123" t="str">
        <f>Cen!B262</f>
        <v>Z37R417D</v>
      </c>
      <c r="R79" s="123" t="str">
        <f>Cen!C262</f>
        <v>KL</v>
      </c>
      <c r="S79" s="385">
        <f>S7/5*4</f>
        <v>0</v>
      </c>
      <c r="T79" s="402">
        <f>Cen!F262</f>
        <v>14.23917</v>
      </c>
      <c r="U79" s="387">
        <f t="shared" si="7"/>
        <v>0</v>
      </c>
    </row>
    <row r="80" spans="16:21" x14ac:dyDescent="0.25">
      <c r="P80" s="123" t="str">
        <f>Cen!A264</f>
        <v>Zásuvný prvek D, 500mm, čiré sko</v>
      </c>
      <c r="Q80" s="123" t="str">
        <f>Cen!B264</f>
        <v>Z37R467D</v>
      </c>
      <c r="R80" s="123" t="str">
        <f>Cen!C264</f>
        <v>KL</v>
      </c>
      <c r="S80" s="385">
        <f t="shared" ref="S80:S81" si="8">S8/5*4</f>
        <v>0</v>
      </c>
      <c r="T80" s="402">
        <f>Cen!F264</f>
        <v>11.697749999999999</v>
      </c>
      <c r="U80" s="387">
        <f t="shared" si="7"/>
        <v>0</v>
      </c>
    </row>
    <row r="81" spans="16:21" x14ac:dyDescent="0.25">
      <c r="P81" s="123" t="str">
        <f>Cen!A266</f>
        <v>Zásuvný prvek D, 550mm, čiré sko</v>
      </c>
      <c r="Q81" s="123" t="str">
        <f>Cen!B266</f>
        <v>Z37R517D</v>
      </c>
      <c r="R81" s="123" t="str">
        <f>Cen!C266</f>
        <v>KL</v>
      </c>
      <c r="S81" s="385">
        <f t="shared" si="8"/>
        <v>0</v>
      </c>
      <c r="T81" s="402">
        <f>Cen!F266</f>
        <v>13.304410000000001</v>
      </c>
      <c r="U81" s="387">
        <f t="shared" si="7"/>
        <v>0</v>
      </c>
    </row>
    <row r="82" spans="16:21" x14ac:dyDescent="0.25">
      <c r="P82" s="123" t="str">
        <f>Cen!A268</f>
        <v>Zásuvný prvek D, 600mm, čiré sko</v>
      </c>
      <c r="Q82" s="123" t="str">
        <f>Cen!B268</f>
        <v>Z37R567D</v>
      </c>
      <c r="R82" s="123" t="str">
        <f>Cen!C268</f>
        <v>KL</v>
      </c>
      <c r="S82" s="385">
        <f t="shared" si="6"/>
        <v>0</v>
      </c>
      <c r="T82" s="402">
        <f>Cen!F268</f>
        <v>14.08703</v>
      </c>
      <c r="U82" s="387">
        <f t="shared" si="7"/>
        <v>0</v>
      </c>
    </row>
    <row r="83" spans="16:21" x14ac:dyDescent="0.25">
      <c r="P83" s="123" t="str">
        <f>Cen!A270</f>
        <v>Zásuvný prvek D, 650mm, čiré sko</v>
      </c>
      <c r="Q83" s="123" t="str">
        <f>Cen!B270</f>
        <v>Z37R617D</v>
      </c>
      <c r="R83" s="123" t="str">
        <f>Cen!C270</f>
        <v>KL</v>
      </c>
      <c r="S83" s="385">
        <f t="shared" si="6"/>
        <v>0</v>
      </c>
      <c r="T83" s="402">
        <f>Cen!F270</f>
        <v>13.988720000000001</v>
      </c>
      <c r="U83" s="387">
        <f t="shared" si="7"/>
        <v>0</v>
      </c>
    </row>
    <row r="84" spans="16:21" x14ac:dyDescent="0.25">
      <c r="P84" s="123"/>
      <c r="Q84" s="123"/>
      <c r="R84" s="123"/>
      <c r="S84" s="385"/>
      <c r="T84" s="402"/>
      <c r="U84" s="387"/>
    </row>
    <row r="85" spans="16:21" x14ac:dyDescent="0.25">
      <c r="P85" s="123" t="str">
        <f>Cen!A632</f>
        <v>CLIP top 155° s nulovým přesahem, EXPANDO</v>
      </c>
      <c r="Q85" s="123" t="str">
        <f>Cen!B632</f>
        <v>71T753EN</v>
      </c>
      <c r="R85" s="123" t="str">
        <f>Cen!C632</f>
        <v>NI</v>
      </c>
      <c r="S85" s="385">
        <f>SUM(SUM($D$24:$F$24, $D$32:$F$32)*3, SUM($J$24:$L$24, $J$32:$L$32)*4)</f>
        <v>0</v>
      </c>
      <c r="T85" s="402">
        <f>Cen!F632</f>
        <v>4.42394</v>
      </c>
      <c r="U85" s="387">
        <f t="shared" ref="U85:U87" si="9">S85*T85</f>
        <v>0</v>
      </c>
    </row>
    <row r="86" spans="16:21" x14ac:dyDescent="0.25">
      <c r="P86" s="123" t="str">
        <f>Cen!A639</f>
        <v>Podložka CLIP s excentrem, EXPANDO</v>
      </c>
      <c r="Q86" s="123" t="str">
        <f>Cen!B639</f>
        <v>174H7100E</v>
      </c>
      <c r="R86" s="123" t="str">
        <f>Cen!C639</f>
        <v>NI</v>
      </c>
      <c r="S86" s="385">
        <f>S85</f>
        <v>0</v>
      </c>
      <c r="T86" s="402">
        <f>Cen!F639</f>
        <v>0.59260999999999997</v>
      </c>
      <c r="U86" s="387">
        <f t="shared" si="9"/>
        <v>0</v>
      </c>
    </row>
    <row r="87" spans="16:21" x14ac:dyDescent="0.25">
      <c r="P87" s="123" t="str">
        <f>Cen!A644</f>
        <v>BLUMOTION pro nasazení na závěs 155° a 125°</v>
      </c>
      <c r="Q87" s="123" t="str">
        <f>Cen!B644</f>
        <v>973A7000</v>
      </c>
      <c r="R87" s="123" t="str">
        <f>Cen!C644</f>
        <v>NI</v>
      </c>
      <c r="S87" s="385">
        <f>SUM(SUM($D$24:$F$24, $D$32:$F$32)*2, SUM($J$24:$L$24, $J$32:$L$32)*3)</f>
        <v>0</v>
      </c>
      <c r="T87" s="402">
        <f>Cen!F644</f>
        <v>1.5222899999999999</v>
      </c>
      <c r="U87" s="387">
        <f t="shared" si="9"/>
        <v>0</v>
      </c>
    </row>
    <row r="90" spans="16:21" x14ac:dyDescent="0.25">
      <c r="U90" s="436">
        <f>SUM(U3:U87)</f>
        <v>0</v>
      </c>
    </row>
  </sheetData>
  <sheetProtection algorithmName="SHA-512" hashValue="TMNKBRABYpLTEFIFalxJCr4gePqwOLqOKfvZlvJs/TPvb25KJTo8NIRbJRNvoYmI0urSlC6t7eNxGDT/ihy6rA==" saltValue="SRkGwAhDpamgW6XEletek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ignoredErrors>
    <ignoredError sqref="S58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indexed="31"/>
  </sheetPr>
  <dimension ref="A1:V104"/>
  <sheetViews>
    <sheetView showGridLines="0" showRowColHeaders="0" workbookViewId="0">
      <selection activeCell="N15" sqref="N15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0.726562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"SPACE-TOWER, "&amp;List!$B$60&amp;" 4xD + 1xM"</f>
        <v>SPACE-TOWER, sestava 4xD + 1xM</v>
      </c>
      <c r="M2" s="114"/>
      <c r="O2" s="114"/>
      <c r="P2" s="416" t="s">
        <v>1209</v>
      </c>
      <c r="Q2" s="417">
        <f>SUM(D24:F24)</f>
        <v>0</v>
      </c>
      <c r="R2" s="418">
        <f>SUM(J24:L24)</f>
        <v>0</v>
      </c>
      <c r="S2" s="418">
        <f>SUM(D32:F32)</f>
        <v>0</v>
      </c>
      <c r="T2" s="418">
        <f>SUM(J32:L32)</f>
        <v>0</v>
      </c>
      <c r="U2" s="541">
        <f>Form!N2</f>
        <v>1</v>
      </c>
      <c r="V2" s="2" t="s">
        <v>1478</v>
      </c>
    </row>
    <row r="3" spans="1:22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List!$B$63</f>
        <v>kovový zásuvný prvek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38" si="0">S3*T3</f>
        <v>0</v>
      </c>
    </row>
    <row r="4" spans="1:22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2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List!$B$102&amp;" KB:"</f>
        <v>Šířka korpusu KB:</v>
      </c>
      <c r="J7" s="117"/>
      <c r="K7" s="116" t="s">
        <v>248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IF($U$2=4, 0, SUM($D$24, $J$24, $D$32, $J$32)*5)</f>
        <v>0</v>
      </c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IF($U$2=4, 0, SUM($E$24, $K$24, $E$32, $K$32)*5)</f>
        <v>0</v>
      </c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IF($U$2=4, 0, SUM($F$24, $L$24, $F$32, $L$32)*5)</f>
        <v>0</v>
      </c>
      <c r="T9" s="386">
        <f>Cen!F52</f>
        <v>18.128509999999999</v>
      </c>
      <c r="U9" s="387">
        <f t="shared" si="0"/>
        <v>0</v>
      </c>
    </row>
    <row r="10" spans="1:22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/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8"/>
      <c r="J11" s="8"/>
      <c r="K11" s="114"/>
      <c r="L11" s="114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/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83"/>
      <c r="I12" s="323"/>
      <c r="J12" s="323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83"/>
      <c r="I13" s="281"/>
      <c r="J13" s="281"/>
      <c r="K13" s="281"/>
      <c r="L13" s="118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83"/>
      <c r="I14" s="303"/>
      <c r="J14" s="303"/>
      <c r="K14" s="183"/>
      <c r="L14" s="114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I15" s="111"/>
      <c r="J15" s="111"/>
      <c r="K15" s="111"/>
      <c r="L15" s="111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4.5" x14ac:dyDescent="0.35">
      <c r="A17" s="114"/>
      <c r="B17" s="325" t="str">
        <f>"   "&amp;List!B261</f>
        <v xml:space="preserve">   Zadejte počty skříní podle šířky korpusu a délky výsuvů</v>
      </c>
      <c r="C17" s="326"/>
      <c r="D17" s="327"/>
      <c r="E17" s="327"/>
      <c r="F17" s="327"/>
      <c r="G17" s="326"/>
      <c r="H17" s="326"/>
      <c r="I17" s="326"/>
      <c r="J17" s="327"/>
      <c r="K17" s="327"/>
      <c r="L17" s="327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IF($D$26=0, $D$24*4, $D$24*$D$26)+IF($J$26=0, $J$24*2,$J$24*$J$26))</f>
        <v>0</v>
      </c>
      <c r="T17" s="386">
        <f>Cen!F98</f>
        <v>16.63541</v>
      </c>
      <c r="U17" s="387">
        <f t="shared" si="0"/>
        <v>0</v>
      </c>
    </row>
    <row r="18" spans="1:21" ht="14.5" x14ac:dyDescent="0.35">
      <c r="A18" s="114"/>
      <c r="B18" s="325" t="str">
        <f>"   "&amp;List!B265</f>
        <v xml:space="preserve">   Zadejte počet korpusových lišt, pokud chcete jiné, než přednastavené složení</v>
      </c>
      <c r="C18" s="326"/>
      <c r="D18" s="327"/>
      <c r="E18" s="327"/>
      <c r="F18" s="327"/>
      <c r="G18" s="326"/>
      <c r="H18" s="326"/>
      <c r="I18" s="326"/>
      <c r="J18" s="327"/>
      <c r="K18" s="327"/>
      <c r="L18" s="327"/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IF($U$2=4, 0, IF($D$26=0, $D$24*1, $D$24*$D$27)+IF($J$26=0, $J$24*3,$J$24*$J$27))</f>
        <v>0</v>
      </c>
      <c r="T18" s="386">
        <f>Cen!F99</f>
        <v>22.021799999999999</v>
      </c>
      <c r="U18" s="387">
        <f t="shared" si="0"/>
        <v>0</v>
      </c>
    </row>
    <row r="19" spans="1:21" ht="14.5" x14ac:dyDescent="0.35">
      <c r="A19" s="114"/>
      <c r="B19" s="325" t="str">
        <f>"         "&amp;List!B263</f>
        <v xml:space="preserve">         Zadejte počty 30kg korpusových lišt, 65kg lišty se dopočítají</v>
      </c>
      <c r="C19" s="326"/>
      <c r="D19" s="327"/>
      <c r="E19" s="327"/>
      <c r="F19" s="327"/>
      <c r="G19" s="326"/>
      <c r="H19" s="326"/>
      <c r="I19" s="326"/>
      <c r="J19" s="327"/>
      <c r="K19" s="327"/>
      <c r="L19" s="327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IF($E$26=0, $E$24*4, $E$24*$E$26)+IF($K$26=0, $K$24*2,$K$24*$K$26))</f>
        <v>0</v>
      </c>
      <c r="T19" s="389">
        <f>Cen!F100</f>
        <v>15.919919999999999</v>
      </c>
      <c r="U19" s="390">
        <f t="shared" si="0"/>
        <v>0</v>
      </c>
    </row>
    <row r="20" spans="1:21" ht="7.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IF($U$2=4, 0, IF($E$26=0, $E$24*1, $E$24*$E$27)+IF($K$26=0, $K$24*3,$K$24*$K$27))</f>
        <v>0</v>
      </c>
      <c r="T20" s="389">
        <f>Cen!F101</f>
        <v>24.51277</v>
      </c>
      <c r="U20" s="390">
        <f t="shared" si="0"/>
        <v>0</v>
      </c>
    </row>
    <row r="21" spans="1:21" ht="15.5" x14ac:dyDescent="0.25">
      <c r="A21" s="114"/>
      <c r="B21" s="328" t="str">
        <f>"▼   "&amp;List!$B$102&amp;" KB 450 mm"</f>
        <v>▼   Šířka korpusu KB 450 mm</v>
      </c>
      <c r="C21" s="284"/>
      <c r="D21" s="284"/>
      <c r="E21" s="284"/>
      <c r="F21" s="284"/>
      <c r="G21" s="284"/>
      <c r="H21" s="328" t="str">
        <f>"▼   "&amp;List!$B$102&amp;" KB 600 mm"</f>
        <v>▼   Šířka korpusu KB 600 mm</v>
      </c>
      <c r="I21" s="285"/>
      <c r="J21" s="285"/>
      <c r="K21" s="285"/>
      <c r="L21" s="285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IF($F$26=0, $F$24*4, $F$24*$F$26)+IF($L$26=0, $L$24*2,$L$24*$L$26))</f>
        <v>0</v>
      </c>
      <c r="T21" s="386">
        <f>Cen!F102</f>
        <v>17.614419999999999</v>
      </c>
      <c r="U21" s="387">
        <f t="shared" si="0"/>
        <v>0</v>
      </c>
    </row>
    <row r="22" spans="1:21" ht="22.5" customHeight="1" x14ac:dyDescent="0.35">
      <c r="A22" s="114"/>
      <c r="B22" s="329" t="s">
        <v>882</v>
      </c>
      <c r="C22" s="283"/>
      <c r="D22" s="284"/>
      <c r="E22" s="284"/>
      <c r="F22" s="284"/>
      <c r="G22" s="284"/>
      <c r="H22" s="329" t="s">
        <v>882</v>
      </c>
      <c r="I22" s="283"/>
      <c r="J22" s="285"/>
      <c r="K22" s="285"/>
      <c r="L22" s="285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IF($U$2=4, 0, IF($F$26=0, $F$24*1, $F$24*$F$27)+IF($L$26=0, $L$24*3,$L$24*$L$27))</f>
        <v>0</v>
      </c>
      <c r="T22" s="386">
        <f>Cen!F103</f>
        <v>23.000999999999998</v>
      </c>
      <c r="U22" s="387">
        <f t="shared" si="0"/>
        <v>0</v>
      </c>
    </row>
    <row r="23" spans="1:21" ht="14" x14ac:dyDescent="0.3">
      <c r="A23" s="114"/>
      <c r="B23" s="334"/>
      <c r="C23" s="282" t="str">
        <f>List!$B$45&amp;":"</f>
        <v>Jmenovitá délka:</v>
      </c>
      <c r="D23" s="286">
        <v>450</v>
      </c>
      <c r="E23" s="335">
        <v>500</v>
      </c>
      <c r="F23" s="289">
        <v>550</v>
      </c>
      <c r="G23" s="336"/>
      <c r="H23" s="334"/>
      <c r="I23" s="282" t="str">
        <f>List!$B$45&amp;":"</f>
        <v>Jmenovitá délka:</v>
      </c>
      <c r="J23" s="286">
        <v>450</v>
      </c>
      <c r="K23" s="335">
        <v>500</v>
      </c>
      <c r="L23" s="289">
        <v>550</v>
      </c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337"/>
      <c r="C24" s="282" t="str">
        <f>List!$B$260&amp;":"</f>
        <v>Počet skříní:</v>
      </c>
      <c r="D24" s="338"/>
      <c r="E24" s="338"/>
      <c r="F24" s="339"/>
      <c r="G24" s="330"/>
      <c r="H24" s="337"/>
      <c r="I24" s="282" t="str">
        <f>List!$B$260&amp;":"</f>
        <v>Počet skříní:</v>
      </c>
      <c r="J24" s="338"/>
      <c r="K24" s="338"/>
      <c r="L24" s="340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/>
      <c r="T24" s="386">
        <f>Cen!F105</f>
        <v>25.957080000000001</v>
      </c>
      <c r="U24" s="387">
        <f t="shared" si="0"/>
        <v>0</v>
      </c>
    </row>
    <row r="25" spans="1:21" ht="14.5" x14ac:dyDescent="0.35">
      <c r="A25" s="114"/>
      <c r="B25" s="341" t="str">
        <f>List!$B$264</f>
        <v>Korpusové lišty</v>
      </c>
      <c r="C25" s="282"/>
      <c r="D25" s="342"/>
      <c r="E25" s="342"/>
      <c r="F25" s="342"/>
      <c r="G25" s="342"/>
      <c r="H25" s="341" t="str">
        <f>List!$B$264</f>
        <v>Korpusové lišty</v>
      </c>
      <c r="I25" s="282"/>
      <c r="J25" s="342"/>
      <c r="K25" s="342"/>
      <c r="L25" s="342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/>
      <c r="T25" s="395">
        <f>Cen!F106</f>
        <v>26.813510000000001</v>
      </c>
      <c r="U25" s="396">
        <f t="shared" si="0"/>
        <v>0</v>
      </c>
    </row>
    <row r="26" spans="1:21" ht="14.5" thickBot="1" x14ac:dyDescent="0.35">
      <c r="A26" s="114"/>
      <c r="B26" s="290" t="s">
        <v>447</v>
      </c>
      <c r="C26" s="343" t="s">
        <v>883</v>
      </c>
      <c r="D26" s="344"/>
      <c r="E26" s="344"/>
      <c r="F26" s="345"/>
      <c r="G26" s="330"/>
      <c r="H26" s="290" t="s">
        <v>447</v>
      </c>
      <c r="I26" s="291" t="str">
        <f>"2 ks*"</f>
        <v>2 ks*</v>
      </c>
      <c r="J26" s="346"/>
      <c r="K26" s="346"/>
      <c r="L26" s="347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/>
      <c r="T26" s="392">
        <f>Cen!F109</f>
        <v>16.390229999999999</v>
      </c>
      <c r="U26" s="393">
        <f t="shared" si="0"/>
        <v>0</v>
      </c>
    </row>
    <row r="27" spans="1:21" ht="14" x14ac:dyDescent="0.3">
      <c r="A27" s="114"/>
      <c r="B27" s="295" t="s">
        <v>446</v>
      </c>
      <c r="C27" s="348" t="s">
        <v>884</v>
      </c>
      <c r="D27" s="349">
        <f>IF(D26&gt;0, IF(D26&gt;5,0, 5-D26),0)</f>
        <v>0</v>
      </c>
      <c r="E27" s="349">
        <f>IF(E26&gt;0, IF(E26&gt;5,0, 5-E26),0)</f>
        <v>0</v>
      </c>
      <c r="F27" s="350">
        <f>IF(F26&gt;0, IF(F26&gt;5,0, 5-F26),0)</f>
        <v>0</v>
      </c>
      <c r="G27" s="330"/>
      <c r="H27" s="295" t="s">
        <v>446</v>
      </c>
      <c r="I27" s="348" t="str">
        <f>"3 ks*"</f>
        <v>3 ks*</v>
      </c>
      <c r="J27" s="349">
        <f>IF(J26&gt;0, IF(J26&gt;5,0, 5-J26),0)</f>
        <v>0</v>
      </c>
      <c r="K27" s="349">
        <f>IF(K26&gt;0, IF(K26&gt;5,0, 5-K26),0)</f>
        <v>0</v>
      </c>
      <c r="L27" s="350">
        <f>IF(L26&gt;0, IF(L26&gt;5,0, 5-L26),0)</f>
        <v>0</v>
      </c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/>
      <c r="T27" s="386">
        <f>Cen!F110</f>
        <v>16.390229999999999</v>
      </c>
      <c r="U27" s="387">
        <f t="shared" si="0"/>
        <v>0</v>
      </c>
    </row>
    <row r="28" spans="1:21" ht="14.5" x14ac:dyDescent="0.35">
      <c r="A28" s="114"/>
      <c r="B28" s="284"/>
      <c r="C28" s="342"/>
      <c r="D28" s="332" t="str">
        <f>IF(D26&gt;5,"Max. 5!"," ")</f>
        <v xml:space="preserve"> </v>
      </c>
      <c r="E28" s="332" t="str">
        <f>IF(E26&gt;5,"Max. 5!"," ")</f>
        <v xml:space="preserve"> </v>
      </c>
      <c r="F28" s="332" t="str">
        <f>IF(F26&gt;5,"Max. 5!"," ")</f>
        <v xml:space="preserve"> </v>
      </c>
      <c r="G28" s="342"/>
      <c r="H28" s="342"/>
      <c r="I28" s="342"/>
      <c r="J28" s="332" t="str">
        <f>IF(J26&gt;5,"Max. 5!"," ")</f>
        <v xml:space="preserve"> </v>
      </c>
      <c r="K28" s="332" t="str">
        <f>IF(K26&gt;5,"Max. 5!"," ")</f>
        <v xml:space="preserve"> </v>
      </c>
      <c r="L28" s="332" t="str">
        <f>IF(L26&gt;5,"Max. 5!"," ")</f>
        <v xml:space="preserve"> </v>
      </c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/>
      <c r="T28" s="386">
        <f>Cen!F111</f>
        <v>16.390229999999999</v>
      </c>
      <c r="U28" s="387">
        <f t="shared" si="0"/>
        <v>0</v>
      </c>
    </row>
    <row r="29" spans="1:21" ht="9" customHeight="1" x14ac:dyDescent="0.35">
      <c r="A29" s="114"/>
      <c r="B29" s="284"/>
      <c r="C29" s="284"/>
      <c r="D29" s="284"/>
      <c r="E29" s="284"/>
      <c r="F29" s="284"/>
      <c r="G29" s="342"/>
      <c r="H29" s="333"/>
      <c r="I29" s="333"/>
      <c r="J29" s="333"/>
      <c r="K29" s="333"/>
      <c r="L29" s="333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/>
      <c r="T29" s="386">
        <f>Cen!F112</f>
        <v>16.512820000000001</v>
      </c>
      <c r="U29" s="387">
        <f t="shared" si="0"/>
        <v>0</v>
      </c>
    </row>
    <row r="30" spans="1:21" ht="15.5" x14ac:dyDescent="0.25">
      <c r="A30" s="114"/>
      <c r="B30" s="280" t="s">
        <v>885</v>
      </c>
      <c r="C30" s="283"/>
      <c r="D30" s="284"/>
      <c r="E30" s="284"/>
      <c r="F30" s="284"/>
      <c r="G30" s="284"/>
      <c r="H30" s="280" t="s">
        <v>885</v>
      </c>
      <c r="I30" s="354"/>
      <c r="J30" s="285"/>
      <c r="K30" s="285"/>
      <c r="L30" s="285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IF($U$2=4, 0, IF($D$34=0, $D$32*4, $D$32*$D$34)+IF($J$34=0, $J$32*2,$J$32*$J$34))</f>
        <v>0</v>
      </c>
      <c r="T30" s="386">
        <f>Cen!F113</f>
        <v>16.63541</v>
      </c>
      <c r="U30" s="387">
        <f t="shared" si="0"/>
        <v>0</v>
      </c>
    </row>
    <row r="31" spans="1:21" ht="14" x14ac:dyDescent="0.3">
      <c r="A31" s="114"/>
      <c r="B31" s="334"/>
      <c r="C31" s="282" t="str">
        <f>List!$B$45&amp;":"</f>
        <v>Jmenovitá délka:</v>
      </c>
      <c r="D31" s="286">
        <v>450</v>
      </c>
      <c r="E31" s="335">
        <v>500</v>
      </c>
      <c r="F31" s="289">
        <v>550</v>
      </c>
      <c r="G31" s="336"/>
      <c r="H31" s="334"/>
      <c r="I31" s="282" t="str">
        <f>List!$B$45&amp;":"</f>
        <v>Jmenovitá délka:</v>
      </c>
      <c r="J31" s="286">
        <v>450</v>
      </c>
      <c r="K31" s="335">
        <v>500</v>
      </c>
      <c r="L31" s="289">
        <v>550</v>
      </c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IF($U$2=4, 0, IF($D$34=0, $D$32*1, $D$32*$D$35)+IF($J$34=0, $J$32*3,$J$32*$J$35))</f>
        <v>0</v>
      </c>
      <c r="T31" s="386">
        <f>Cen!F114</f>
        <v>22.021810000000002</v>
      </c>
      <c r="U31" s="387">
        <f t="shared" si="0"/>
        <v>0</v>
      </c>
    </row>
    <row r="32" spans="1:21" ht="14" x14ac:dyDescent="0.3">
      <c r="A32" s="114"/>
      <c r="B32" s="337"/>
      <c r="C32" s="282" t="str">
        <f>List!$B$260&amp;":"</f>
        <v>Počet skříní:</v>
      </c>
      <c r="D32" s="338"/>
      <c r="E32" s="338"/>
      <c r="F32" s="339"/>
      <c r="G32" s="330"/>
      <c r="H32" s="337"/>
      <c r="I32" s="282" t="str">
        <f>List!$B$260&amp;":"</f>
        <v>Počet skříní:</v>
      </c>
      <c r="J32" s="338"/>
      <c r="K32" s="338"/>
      <c r="L32" s="340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IF($U$2=4, 0, IF($E$34=0, $E$32*4, $E$32*$E$34)+IF($K$34=0, $K$32*2,$K$32*$K$34))</f>
        <v>0</v>
      </c>
      <c r="T32" s="389">
        <f>Cen!F115</f>
        <v>16.757819999999999</v>
      </c>
      <c r="U32" s="390">
        <f t="shared" si="0"/>
        <v>0</v>
      </c>
    </row>
    <row r="33" spans="1:21" ht="14.5" x14ac:dyDescent="0.35">
      <c r="A33" s="114"/>
      <c r="B33" s="341" t="str">
        <f>List!$B$264</f>
        <v>Korpusové lišty</v>
      </c>
      <c r="C33" s="282"/>
      <c r="D33" s="342"/>
      <c r="E33" s="342"/>
      <c r="F33" s="342"/>
      <c r="G33" s="342"/>
      <c r="H33" s="341" t="str">
        <f>List!$B$264</f>
        <v>Korpusové lišty</v>
      </c>
      <c r="I33" s="282"/>
      <c r="J33" s="342"/>
      <c r="K33" s="342"/>
      <c r="L33" s="342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IF($U$2=4, 0, IF($E$34=0, $E$32*1, $E$32*$E$35)+IF($K$34=0, $K$32*3,$K$32*$K$35))</f>
        <v>0</v>
      </c>
      <c r="T33" s="389">
        <f>Cen!F116</f>
        <v>22.144390000000001</v>
      </c>
      <c r="U33" s="390">
        <f t="shared" si="0"/>
        <v>0</v>
      </c>
    </row>
    <row r="34" spans="1:21" ht="14.5" thickBot="1" x14ac:dyDescent="0.35">
      <c r="A34" s="114"/>
      <c r="B34" s="290" t="s">
        <v>447</v>
      </c>
      <c r="C34" s="343" t="s">
        <v>883</v>
      </c>
      <c r="D34" s="344"/>
      <c r="E34" s="344"/>
      <c r="F34" s="345"/>
      <c r="G34" s="330"/>
      <c r="H34" s="290" t="s">
        <v>447</v>
      </c>
      <c r="I34" s="291" t="str">
        <f>"2 ks*"</f>
        <v>2 ks*</v>
      </c>
      <c r="J34" s="346"/>
      <c r="K34" s="346"/>
      <c r="L34" s="347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IF($U$2=4, 0, IF($F$34=0, $F$32*4, $F$32*$F$34)+IF($L$34=0, $L$32*2,$L$32*$L$34))</f>
        <v>0</v>
      </c>
      <c r="T34" s="386">
        <f>Cen!F117</f>
        <v>17.614419999999999</v>
      </c>
      <c r="U34" s="387">
        <f t="shared" si="0"/>
        <v>0</v>
      </c>
    </row>
    <row r="35" spans="1:21" ht="14" x14ac:dyDescent="0.3">
      <c r="A35" s="114"/>
      <c r="B35" s="295" t="s">
        <v>446</v>
      </c>
      <c r="C35" s="348" t="s">
        <v>884</v>
      </c>
      <c r="D35" s="349">
        <f>IF(D34&gt;0,IF(D34&gt;5,0,5-D34),0)</f>
        <v>0</v>
      </c>
      <c r="E35" s="349">
        <f>IF(E34&gt;0,IF(E34&gt;5,0,5-E34),0)</f>
        <v>0</v>
      </c>
      <c r="F35" s="350">
        <f>IF(F34&gt;0,IF(F34&gt;5,0,5-F34),0)</f>
        <v>0</v>
      </c>
      <c r="G35" s="330"/>
      <c r="H35" s="295" t="s">
        <v>446</v>
      </c>
      <c r="I35" s="348" t="str">
        <f>"3 ks*"</f>
        <v>3 ks*</v>
      </c>
      <c r="J35" s="349">
        <f>IF(J34&gt;0,IF(J34&gt;5,0,5-J34),0)</f>
        <v>0</v>
      </c>
      <c r="K35" s="349">
        <f>IF(K34&gt;0,IF(K34&gt;5,0,5-K34),0)</f>
        <v>0</v>
      </c>
      <c r="L35" s="350">
        <f>IF(L34&gt;0,IF(L34&gt;5,0,5-L34),0)</f>
        <v>0</v>
      </c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IF($U$2=4, 0, IF($F$34=0, $F$32*1, $F$32*$F$35)+IF($L$34=0, $L$32*3,$L$32*$L$35))</f>
        <v>0</v>
      </c>
      <c r="T35" s="386">
        <f>Cen!F118</f>
        <v>23.000999999999998</v>
      </c>
      <c r="U35" s="387">
        <f t="shared" si="0"/>
        <v>0</v>
      </c>
    </row>
    <row r="36" spans="1:21" ht="14" x14ac:dyDescent="0.3">
      <c r="A36" s="114"/>
      <c r="B36" s="284"/>
      <c r="C36" s="351"/>
      <c r="D36" s="332" t="str">
        <f>IF(D34&gt;5,"Max. 5!"," ")</f>
        <v xml:space="preserve"> </v>
      </c>
      <c r="E36" s="332" t="str">
        <f>IF(E34&gt;5,"Max. 5!"," ")</f>
        <v xml:space="preserve"> </v>
      </c>
      <c r="F36" s="332" t="str">
        <f>IF(F34&gt;5,"Max. 5!"," ")</f>
        <v xml:space="preserve"> </v>
      </c>
      <c r="G36" s="330"/>
      <c r="H36" s="352"/>
      <c r="I36" s="351"/>
      <c r="J36" s="332" t="str">
        <f>IF(J34&gt;5,"Max. 5!"," ")</f>
        <v xml:space="preserve"> </v>
      </c>
      <c r="K36" s="332" t="str">
        <f>IF(K34&gt;5,"Max. 5!"," ")</f>
        <v xml:space="preserve"> </v>
      </c>
      <c r="L36" s="332" t="str">
        <f>IF(L34&gt;5,"Max. 5!"," ")</f>
        <v xml:space="preserve"> </v>
      </c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/>
      <c r="T36" s="386">
        <f>Cen!F119</f>
        <v>20.570499999999996</v>
      </c>
      <c r="U36" s="387">
        <f t="shared" si="0"/>
        <v>0</v>
      </c>
    </row>
    <row r="37" spans="1:21" ht="14" x14ac:dyDescent="0.3">
      <c r="A37" s="114"/>
      <c r="B37" s="284"/>
      <c r="C37" s="331"/>
      <c r="D37" s="336"/>
      <c r="E37" s="336"/>
      <c r="F37" s="336"/>
      <c r="G37" s="336"/>
      <c r="H37" s="336"/>
      <c r="I37" s="336"/>
      <c r="J37" s="330"/>
      <c r="K37" s="336"/>
      <c r="L37" s="336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/>
      <c r="T37" s="386">
        <f>Cen!F120</f>
        <v>25.957080000000001</v>
      </c>
      <c r="U37" s="387">
        <f t="shared" si="0"/>
        <v>0</v>
      </c>
    </row>
    <row r="38" spans="1:21" ht="14" x14ac:dyDescent="0.3">
      <c r="A38" s="114"/>
      <c r="B38" s="353" t="str">
        <f>"       * "&amp;List!$B$266</f>
        <v xml:space="preserve">       * Nastavené počty korpusových lišt</v>
      </c>
      <c r="C38" s="331"/>
      <c r="D38" s="336"/>
      <c r="E38" s="336"/>
      <c r="F38" s="336"/>
      <c r="G38" s="336"/>
      <c r="H38" s="336"/>
      <c r="I38" s="336"/>
      <c r="J38" s="330"/>
      <c r="K38" s="336"/>
      <c r="L38" s="336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/>
      <c r="T38" s="386">
        <f>Cen!F121</f>
        <v>26.813510000000001</v>
      </c>
      <c r="U38" s="387">
        <f t="shared" si="0"/>
        <v>0</v>
      </c>
    </row>
    <row r="39" spans="1:21" ht="14" x14ac:dyDescent="0.3">
      <c r="A39" s="114"/>
      <c r="B39" s="353" t="str">
        <f>"     ** "&amp;List!$B$269</f>
        <v xml:space="preserve">     ** Jednotky TIP-ON BLUMOTION jsou přidány automaticky</v>
      </c>
      <c r="C39" s="331"/>
      <c r="D39" s="336"/>
      <c r="E39" s="336"/>
      <c r="F39" s="336"/>
      <c r="G39" s="336"/>
      <c r="H39" s="336"/>
      <c r="I39" s="336"/>
      <c r="J39" s="330"/>
      <c r="K39" s="336"/>
      <c r="L39" s="336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4" x14ac:dyDescent="0.3">
      <c r="A40" s="114"/>
      <c r="B40" s="284" t="str">
        <f>"        "&amp;List!B270</f>
        <v xml:space="preserve">        Synchronizace je přidána automaticky. </v>
      </c>
      <c r="C40" s="331"/>
      <c r="D40" s="336"/>
      <c r="E40" s="336"/>
      <c r="F40" s="336"/>
      <c r="G40" s="336"/>
      <c r="H40" s="336"/>
      <c r="I40" s="336"/>
      <c r="J40" s="330"/>
      <c r="K40" s="336"/>
      <c r="L40" s="336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SUM(S30, S32, S34)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SUM(S31, S33, S35)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ht="13" x14ac:dyDescent="0.3">
      <c r="A47" s="114"/>
      <c r="B47" s="305"/>
      <c r="C47" s="305"/>
      <c r="D47" s="305"/>
      <c r="E47" s="305"/>
      <c r="F47" s="305"/>
      <c r="G47" s="305"/>
      <c r="H47" s="141"/>
      <c r="I47" s="141"/>
      <c r="J47" s="141"/>
      <c r="K47" s="141"/>
      <c r="L47" s="141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CEILING(SUM(SUM($D$32:$F$32)/6, SUM($J$32:$L$32)/3), 1)*5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358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152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152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>
        <f>SUM($S$3:$S$11)/5</f>
        <v>0</v>
      </c>
      <c r="T53" s="386">
        <f>Cen!F147</f>
        <v>1.59188</v>
      </c>
      <c r="U53" s="387">
        <f>S53*T53</f>
        <v>0</v>
      </c>
    </row>
    <row r="54" spans="1:21" x14ac:dyDescent="0.25">
      <c r="A54" s="114"/>
      <c r="B54" s="141"/>
      <c r="C54" s="141"/>
      <c r="D54" s="141"/>
      <c r="E54" s="141"/>
      <c r="F54" s="141"/>
      <c r="G54" s="141"/>
      <c r="H54" s="141"/>
      <c r="I54" s="141"/>
      <c r="J54" s="147"/>
      <c r="K54" s="152"/>
      <c r="L54" s="152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B55" s="141"/>
      <c r="C55" s="141"/>
      <c r="D55" s="141"/>
      <c r="E55" s="141"/>
      <c r="F55" s="141"/>
      <c r="G55" s="141"/>
      <c r="H55" s="141"/>
      <c r="I55" s="141"/>
      <c r="J55" s="147"/>
      <c r="K55" s="152"/>
      <c r="L55" s="152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B56" s="141"/>
      <c r="C56" s="141"/>
      <c r="D56" s="141"/>
      <c r="E56" s="141"/>
      <c r="F56" s="141"/>
      <c r="G56" s="141"/>
      <c r="H56" s="141"/>
      <c r="I56" s="141"/>
      <c r="J56" s="147"/>
      <c r="K56" s="398"/>
      <c r="L56" s="152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B57" s="141"/>
      <c r="C57" s="141"/>
      <c r="D57" s="141"/>
      <c r="E57" s="141"/>
      <c r="F57" s="141"/>
      <c r="G57" s="141"/>
      <c r="H57" s="141"/>
      <c r="I57" s="141"/>
      <c r="J57" s="147"/>
      <c r="K57" s="398"/>
      <c r="L57" s="152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SUM($S$3:$S$11)/5*4</f>
        <v>0</v>
      </c>
      <c r="T57" s="386">
        <f>Cen!F162</f>
        <v>2.93709</v>
      </c>
      <c r="U57" s="387">
        <f>S57*T57</f>
        <v>0</v>
      </c>
    </row>
    <row r="58" spans="1:21" x14ac:dyDescent="0.25">
      <c r="A58" s="114"/>
      <c r="B58" s="141"/>
      <c r="C58" s="141"/>
      <c r="D58" s="141"/>
      <c r="E58" s="141"/>
      <c r="F58" s="141"/>
      <c r="G58" s="141"/>
      <c r="H58" s="141"/>
      <c r="I58" s="141"/>
      <c r="J58" s="147"/>
      <c r="K58" s="152"/>
      <c r="L58" s="152"/>
      <c r="M58" s="114"/>
      <c r="N58" s="114"/>
      <c r="O58" s="114"/>
      <c r="P58" s="402" t="str">
        <f>Cen!A178</f>
        <v>Držáky čela vnitřní zásuvky M, bílošedé</v>
      </c>
      <c r="Q58" s="402" t="str">
        <f>Cen!B178</f>
        <v>ZIF.71M0</v>
      </c>
      <c r="R58" s="402" t="str">
        <f>Cen!C178</f>
        <v>WGR</v>
      </c>
      <c r="S58" s="385">
        <f>SUM($S$3:$S$11)/5</f>
        <v>0</v>
      </c>
      <c r="T58" s="402">
        <f>Cen!F178</f>
        <v>4.2079700000000004</v>
      </c>
      <c r="U58" s="387">
        <f>S58*T58</f>
        <v>0</v>
      </c>
    </row>
    <row r="59" spans="1:21" x14ac:dyDescent="0.25">
      <c r="A59" s="114"/>
      <c r="B59" s="141"/>
      <c r="C59" s="141"/>
      <c r="D59" s="141"/>
      <c r="E59" s="141"/>
      <c r="F59" s="141"/>
      <c r="G59" s="141"/>
      <c r="H59" s="141"/>
      <c r="I59" s="141"/>
      <c r="J59" s="147"/>
      <c r="K59" s="152"/>
      <c r="L59" s="152"/>
      <c r="M59" s="114"/>
      <c r="N59" s="114"/>
      <c r="O59" s="114"/>
      <c r="P59" s="402" t="str">
        <f>Cen!A189</f>
        <v>Držáky čela vnitřního výsuvu D bílošedé</v>
      </c>
      <c r="Q59" s="402" t="str">
        <f>Cen!B189</f>
        <v>ZIF.74D0</v>
      </c>
      <c r="R59" s="402" t="str">
        <f>Cen!C189</f>
        <v>WGR</v>
      </c>
      <c r="S59" s="385">
        <f>SUM($S$3:$S$11)/5*4</f>
        <v>0</v>
      </c>
      <c r="T59" s="402">
        <f>Cen!F189</f>
        <v>6.1373600000000001</v>
      </c>
      <c r="U59" s="387">
        <f t="shared" si="2"/>
        <v>0</v>
      </c>
    </row>
    <row r="60" spans="1:21" x14ac:dyDescent="0.25">
      <c r="A60" s="114"/>
      <c r="B60" s="141"/>
      <c r="C60" s="141"/>
      <c r="D60" s="141"/>
      <c r="E60" s="141"/>
      <c r="F60" s="141"/>
      <c r="G60" s="141"/>
      <c r="H60" s="141"/>
      <c r="I60" s="141"/>
      <c r="J60" s="147"/>
      <c r="K60" s="152"/>
      <c r="L60" s="152"/>
      <c r="M60" s="114"/>
      <c r="N60" s="114"/>
      <c r="O60" s="114"/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CEILING(SUM(SUM($D$24:$F$24, $D$32:$F$32)/3, SUM($J$24:$L$24, $J$32:$L$32)/2), 1)*5</f>
        <v>0</v>
      </c>
      <c r="T60" s="402">
        <f>Cen!F194</f>
        <v>14.286440000000001</v>
      </c>
      <c r="U60" s="387">
        <f t="shared" si="2"/>
        <v>0</v>
      </c>
    </row>
    <row r="61" spans="1:21" x14ac:dyDescent="0.25">
      <c r="A61" s="114"/>
      <c r="B61" s="141"/>
      <c r="C61" s="141"/>
      <c r="D61" s="141"/>
      <c r="E61" s="141"/>
      <c r="F61" s="141"/>
      <c r="G61" s="141"/>
      <c r="H61" s="141"/>
      <c r="I61" s="141"/>
      <c r="J61" s="147"/>
      <c r="K61" s="152"/>
      <c r="L61" s="152"/>
      <c r="M61" s="114"/>
      <c r="N61" s="114"/>
      <c r="O61" s="114"/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CEILING(SUM(SUM($D$24:$F$24, $D$32:$F$32)/3, SUM($J$24:$L$24, $J$32:$L$32)/2), 1)*4</f>
        <v>0</v>
      </c>
      <c r="T61" s="402">
        <f>Cen!F199</f>
        <v>6.6514599999999993</v>
      </c>
      <c r="U61" s="387">
        <f t="shared" si="2"/>
        <v>0</v>
      </c>
    </row>
    <row r="62" spans="1:21" x14ac:dyDescent="0.25">
      <c r="A62" s="114"/>
      <c r="B62" s="141"/>
      <c r="C62" s="141"/>
      <c r="D62" s="141"/>
      <c r="E62" s="141"/>
      <c r="F62" s="141"/>
      <c r="G62" s="141"/>
      <c r="H62" s="141"/>
      <c r="I62" s="141"/>
      <c r="J62" s="147"/>
      <c r="K62" s="152"/>
      <c r="L62" s="152"/>
      <c r="M62" s="114"/>
      <c r="N62" s="114"/>
      <c r="O62" s="114"/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>S7/5*4</f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ref="S68:S69" si="5">S8/5*4</f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5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SUM($S$3:$S$11)/5*4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123"/>
      <c r="U75" s="387"/>
    </row>
    <row r="76" spans="16:21" x14ac:dyDescent="0.25">
      <c r="P76" s="123"/>
      <c r="Q76" s="123"/>
      <c r="R76" s="123"/>
      <c r="S76" s="385"/>
      <c r="T76" s="123"/>
      <c r="U76" s="387"/>
    </row>
    <row r="77" spans="16:21" x14ac:dyDescent="0.25">
      <c r="P77" s="123"/>
      <c r="Q77" s="123"/>
      <c r="R77" s="123"/>
      <c r="S77" s="385"/>
      <c r="T77" s="123"/>
      <c r="U77" s="387"/>
    </row>
    <row r="78" spans="16:21" x14ac:dyDescent="0.25">
      <c r="P78" s="123"/>
      <c r="Q78" s="123"/>
      <c r="R78" s="123"/>
      <c r="S78" s="385"/>
      <c r="T78" s="123"/>
      <c r="U78" s="387"/>
    </row>
    <row r="79" spans="16:21" x14ac:dyDescent="0.25">
      <c r="P79" s="123" t="str">
        <f>Cen!A292</f>
        <v>Kovový zásuvný prvek D, 450mm, šedý</v>
      </c>
      <c r="Q79" s="123" t="str">
        <f>Cen!B292</f>
        <v>Z37A417D</v>
      </c>
      <c r="R79" s="123" t="str">
        <f>Cen!C292</f>
        <v>R906</v>
      </c>
      <c r="S79" s="385">
        <f>S7/5*4</f>
        <v>0</v>
      </c>
      <c r="T79" s="402">
        <f>Cen!F292</f>
        <v>6.1435899999999997</v>
      </c>
      <c r="U79" s="387">
        <f t="shared" ref="U79:U83" si="6">S79*T79</f>
        <v>0</v>
      </c>
    </row>
    <row r="80" spans="16:21" x14ac:dyDescent="0.25">
      <c r="P80" s="123" t="str">
        <f>Cen!A295</f>
        <v>Kovový zásuvný prvek D, 500mm, šedý</v>
      </c>
      <c r="Q80" s="123" t="str">
        <f>Cen!B295</f>
        <v>Z37A467D</v>
      </c>
      <c r="R80" s="123" t="str">
        <f>Cen!C295</f>
        <v>R906</v>
      </c>
      <c r="S80" s="385">
        <f t="shared" ref="S80:S81" si="7">S8/5*4</f>
        <v>0</v>
      </c>
      <c r="T80" s="402">
        <f>Cen!F295</f>
        <v>6.4565700000000001</v>
      </c>
      <c r="U80" s="387">
        <f t="shared" si="6"/>
        <v>0</v>
      </c>
    </row>
    <row r="81" spans="16:21" x14ac:dyDescent="0.25">
      <c r="P81" s="123" t="str">
        <f>Cen!A298</f>
        <v>Kovový zásuvný prvek D, 550mm, šedý</v>
      </c>
      <c r="Q81" s="123" t="str">
        <f>Cen!B298</f>
        <v>Z37A517D</v>
      </c>
      <c r="R81" s="123" t="str">
        <f>Cen!C298</f>
        <v>R906</v>
      </c>
      <c r="S81" s="385">
        <f t="shared" si="7"/>
        <v>0</v>
      </c>
      <c r="T81" s="402">
        <f>Cen!F298</f>
        <v>6.9749699999999999</v>
      </c>
      <c r="U81" s="387">
        <f t="shared" si="6"/>
        <v>0</v>
      </c>
    </row>
    <row r="82" spans="16:21" x14ac:dyDescent="0.25">
      <c r="P82" s="123">
        <f>Cen!A301</f>
        <v>0</v>
      </c>
      <c r="Q82" s="123">
        <f>Cen!B301</f>
        <v>0</v>
      </c>
      <c r="R82" s="123">
        <f>Cen!C301</f>
        <v>0</v>
      </c>
      <c r="S82" s="385">
        <f t="shared" ref="S82:S83" si="8">S10</f>
        <v>0</v>
      </c>
      <c r="T82" s="402">
        <f>Cen!F301</f>
        <v>0</v>
      </c>
      <c r="U82" s="387">
        <f t="shared" si="6"/>
        <v>0</v>
      </c>
    </row>
    <row r="83" spans="16:21" x14ac:dyDescent="0.25">
      <c r="P83" s="123" t="str">
        <f>Cen!A304</f>
        <v>Kovový zásuvný prvek D, 650mm, šedý</v>
      </c>
      <c r="Q83" s="123" t="str">
        <f>Cen!B304</f>
        <v>Z37A617D</v>
      </c>
      <c r="R83" s="123" t="str">
        <f>Cen!C304</f>
        <v>R906</v>
      </c>
      <c r="S83" s="385">
        <f t="shared" si="8"/>
        <v>0</v>
      </c>
      <c r="T83" s="402">
        <f>Cen!F304</f>
        <v>8.0120000000000005</v>
      </c>
      <c r="U83" s="387">
        <f t="shared" si="6"/>
        <v>0</v>
      </c>
    </row>
    <row r="84" spans="16:21" x14ac:dyDescent="0.25">
      <c r="P84" s="123"/>
      <c r="Q84" s="123"/>
      <c r="R84" s="123"/>
      <c r="S84" s="385"/>
      <c r="T84" s="402"/>
      <c r="U84" s="387"/>
    </row>
    <row r="85" spans="16:21" x14ac:dyDescent="0.25">
      <c r="P85" s="123" t="str">
        <f>Cen!A632</f>
        <v>CLIP top 155° s nulovým přesahem, EXPANDO</v>
      </c>
      <c r="Q85" s="123" t="str">
        <f>Cen!B632</f>
        <v>71T753EN</v>
      </c>
      <c r="R85" s="123" t="str">
        <f>Cen!C632</f>
        <v>NI</v>
      </c>
      <c r="S85" s="385">
        <f>SUM(SUM($D$24:$F$24, $D$32:$F$32)*3, SUM($J$24:$L$24, $J$32:$L$32)*4)</f>
        <v>0</v>
      </c>
      <c r="T85" s="402">
        <f>Cen!F632</f>
        <v>4.42394</v>
      </c>
      <c r="U85" s="387">
        <f t="shared" ref="U85:U87" si="9">S85*T85</f>
        <v>0</v>
      </c>
    </row>
    <row r="86" spans="16:21" x14ac:dyDescent="0.25">
      <c r="P86" s="123" t="str">
        <f>Cen!A639</f>
        <v>Podložka CLIP s excentrem, EXPANDO</v>
      </c>
      <c r="Q86" s="123" t="str">
        <f>Cen!B639</f>
        <v>174H7100E</v>
      </c>
      <c r="R86" s="123" t="str">
        <f>Cen!C639</f>
        <v>NI</v>
      </c>
      <c r="S86" s="385">
        <f>S85</f>
        <v>0</v>
      </c>
      <c r="T86" s="402">
        <f>Cen!F639</f>
        <v>0.59260999999999997</v>
      </c>
      <c r="U86" s="387">
        <f t="shared" si="9"/>
        <v>0</v>
      </c>
    </row>
    <row r="87" spans="16:21" x14ac:dyDescent="0.25">
      <c r="P87" s="123" t="str">
        <f>Cen!A644</f>
        <v>BLUMOTION pro nasazení na závěs 155° a 125°</v>
      </c>
      <c r="Q87" s="123" t="str">
        <f>Cen!B644</f>
        <v>973A7000</v>
      </c>
      <c r="R87" s="123" t="str">
        <f>Cen!C644</f>
        <v>NI</v>
      </c>
      <c r="S87" s="385">
        <f>SUM(SUM($D$24:$F$24, $D$32:$F$32)*2, SUM($J$24:$L$24, $J$32:$L$32)*3)</f>
        <v>0</v>
      </c>
      <c r="T87" s="402">
        <f>Cen!F644</f>
        <v>1.5222899999999999</v>
      </c>
      <c r="U87" s="387">
        <f t="shared" si="9"/>
        <v>0</v>
      </c>
    </row>
    <row r="90" spans="16:21" x14ac:dyDescent="0.25">
      <c r="U90" s="436">
        <f>SUM(U3:U87)</f>
        <v>0</v>
      </c>
    </row>
    <row r="103" spans="16:16" x14ac:dyDescent="0.25">
      <c r="P103" s="114" t="str">
        <f>List!$B$289&amp;"!"</f>
        <v>Kovové zásuvné prvky pro nerez (Inox) se nevyrábí!</v>
      </c>
    </row>
    <row r="104" spans="16:16" x14ac:dyDescent="0.25">
      <c r="P104" s="114" t="str">
        <f>List!$B$290&amp;"!"</f>
        <v>Kování naplánované na tomto listu se neprojeví v objednávce!</v>
      </c>
    </row>
  </sheetData>
  <sheetProtection algorithmName="SHA-512" hashValue="hXVwv9U+aHAllWoL9KCnx8X0zyerajN0zXQxrExaz87zcruMqNiiIw2TSMvOpo0g+i1yXij5pOslKM9DG0TYqw==" saltValue="dhWr1cmnncFgpLaDlEwljQ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141"/>
  <sheetViews>
    <sheetView showGridLines="0" showRowColHeaders="0" workbookViewId="0">
      <selection activeCell="N4" sqref="N4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List!$B$46&amp;" M"</f>
        <v>Zásuvka M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ref="U4:U11" si="0">S4*T4</f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>S13*T13</f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ref="U14:U29" si="1">S14*T14</f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1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1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1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1"/>
        <v>0</v>
      </c>
    </row>
    <row r="19" spans="1:21" ht="14.5" thickBot="1" x14ac:dyDescent="0.35">
      <c r="A19" s="114"/>
      <c r="B19" s="290" t="s">
        <v>829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1"/>
        <v>0</v>
      </c>
    </row>
    <row r="20" spans="1:21" ht="14" x14ac:dyDescent="0.3">
      <c r="A20" s="114"/>
      <c r="B20" s="295" t="s">
        <v>830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1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1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1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1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1"/>
        <v>0</v>
      </c>
    </row>
    <row r="25" spans="1:21" ht="14.5" thickBot="1" x14ac:dyDescent="0.35">
      <c r="A25" s="114"/>
      <c r="B25" s="290" t="s">
        <v>810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1"/>
        <v>0</v>
      </c>
    </row>
    <row r="26" spans="1:21" ht="14" x14ac:dyDescent="0.3">
      <c r="A26" s="114"/>
      <c r="B26" s="295" t="s">
        <v>831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1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1"/>
        <v>0</v>
      </c>
    </row>
    <row r="28" spans="1:21" ht="15" customHeight="1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0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1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1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",$P$82)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ref="U30:U38" si="2">S30*T30</f>
        <v>0</v>
      </c>
    </row>
    <row r="31" spans="1:21" x14ac:dyDescent="0.25">
      <c r="A31" s="114"/>
      <c r="B31" s="114"/>
      <c r="C31" s="359" t="str">
        <f>IF(AND(SUM($D$25,$E$25)&gt;0,SUM($D$30,$E$30)=0),$P$81, IF(AND(SUM($D$25,$E$25)=0,SUM($D$30,$E$30)&gt;0),$P$80, " "))&amp;IF(SUM($D$25,$E$25)&lt;&gt;SUM($D$30,$E$30)," "&amp;$P$83,"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2"/>
        <v>0</v>
      </c>
    </row>
    <row r="32" spans="1:21" ht="12.75" customHeight="1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2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2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2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2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2"/>
        <v>0</v>
      </c>
    </row>
    <row r="37" spans="1:21" x14ac:dyDescent="0.25">
      <c r="A37" s="114"/>
      <c r="B37" s="141"/>
      <c r="C37" s="141"/>
      <c r="D37" s="284"/>
      <c r="E37" s="141"/>
      <c r="F37" s="141"/>
      <c r="G37" s="141"/>
      <c r="H37" s="141"/>
      <c r="I37" s="141"/>
      <c r="J37" s="147"/>
      <c r="K37" s="358"/>
      <c r="L37" s="152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2"/>
        <v>0</v>
      </c>
    </row>
    <row r="38" spans="1:21" x14ac:dyDescent="0.25">
      <c r="A38" s="114"/>
      <c r="B38" s="141"/>
      <c r="C38" s="141"/>
      <c r="D38" s="284"/>
      <c r="E38" s="141"/>
      <c r="F38" s="141"/>
      <c r="G38" s="141"/>
      <c r="H38" s="141"/>
      <c r="I38" s="141"/>
      <c r="J38" s="147"/>
      <c r="K38" s="358"/>
      <c r="L38" s="152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2"/>
        <v>0</v>
      </c>
    </row>
    <row r="39" spans="1:21" x14ac:dyDescent="0.25">
      <c r="A39" s="114"/>
      <c r="B39" s="141"/>
      <c r="C39" s="141"/>
      <c r="D39" s="284"/>
      <c r="E39" s="141"/>
      <c r="F39" s="141"/>
      <c r="G39" s="141"/>
      <c r="H39" s="141"/>
      <c r="I39" s="141"/>
      <c r="J39" s="147"/>
      <c r="K39" s="358"/>
      <c r="L39" s="152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3" x14ac:dyDescent="0.3">
      <c r="A40" s="114"/>
      <c r="B40" s="305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41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3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358"/>
      <c r="L41" s="152"/>
      <c r="M41" s="141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3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41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3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41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3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41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3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41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41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3"/>
        <v>0</v>
      </c>
    </row>
    <row r="47" spans="1:21" x14ac:dyDescent="0.25"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39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3"/>
        <v>0</v>
      </c>
    </row>
    <row r="48" spans="1:21" x14ac:dyDescent="0.25"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39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3"/>
        <v>0</v>
      </c>
    </row>
    <row r="49" spans="2:21" x14ac:dyDescent="0.25"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39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3"/>
        <v>0</v>
      </c>
    </row>
    <row r="50" spans="2:21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3"/>
        <v>0</v>
      </c>
    </row>
    <row r="51" spans="2:21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P51" s="123"/>
      <c r="Q51" s="123"/>
      <c r="R51" s="123"/>
      <c r="S51" s="385"/>
      <c r="T51" s="386"/>
      <c r="U51" s="387"/>
    </row>
    <row r="52" spans="2:21" ht="13" x14ac:dyDescent="0.3">
      <c r="B52" s="277" t="str">
        <f>IF(OR($K$14&gt;0, $L$14&gt;0), List!$B$196, " ")</f>
        <v xml:space="preserve"> </v>
      </c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4">S52*T52</f>
        <v>0</v>
      </c>
    </row>
    <row r="53" spans="2:21" ht="13" x14ac:dyDescent="0.3">
      <c r="B53" s="277" t="str">
        <f>IF(OR($K$14&gt;0, $L$14&gt;0), List!$B$200, " ")</f>
        <v xml:space="preserve"> </v>
      </c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>
        <f>SUM($S$3:$S$11)</f>
        <v>0</v>
      </c>
      <c r="T53" s="386">
        <f>Cen!F147</f>
        <v>1.59188</v>
      </c>
      <c r="U53" s="387">
        <f t="shared" si="4"/>
        <v>0</v>
      </c>
    </row>
    <row r="54" spans="2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4"/>
        <v>0</v>
      </c>
    </row>
    <row r="55" spans="2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4"/>
        <v>0</v>
      </c>
    </row>
    <row r="56" spans="2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4"/>
        <v>0</v>
      </c>
    </row>
    <row r="57" spans="2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 t="shared" si="4"/>
        <v>0</v>
      </c>
    </row>
    <row r="58" spans="2:21" x14ac:dyDescent="0.25">
      <c r="P58" s="123"/>
      <c r="Q58" s="123"/>
      <c r="R58" s="123"/>
      <c r="S58" s="385"/>
      <c r="T58" s="386"/>
      <c r="U58" s="387">
        <f t="shared" si="4"/>
        <v>0</v>
      </c>
    </row>
    <row r="59" spans="2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4"/>
        <v>0</v>
      </c>
    </row>
    <row r="60" spans="2:21" x14ac:dyDescent="0.25">
      <c r="P60" s="123"/>
      <c r="Q60" s="123"/>
      <c r="R60" s="123"/>
      <c r="S60" s="385"/>
      <c r="T60" s="386"/>
      <c r="U60" s="387">
        <f t="shared" si="4"/>
        <v>0</v>
      </c>
    </row>
    <row r="61" spans="2:21" x14ac:dyDescent="0.25">
      <c r="P61" s="123"/>
      <c r="Q61" s="123"/>
      <c r="R61" s="123"/>
      <c r="S61" s="385"/>
      <c r="T61" s="386"/>
      <c r="U61" s="387">
        <f t="shared" si="4"/>
        <v>0</v>
      </c>
    </row>
    <row r="70" spans="16:21" x14ac:dyDescent="0.25">
      <c r="U70" s="436">
        <f>SUM(U3:U69)</f>
        <v>0</v>
      </c>
    </row>
    <row r="80" spans="16:21" x14ac:dyDescent="0.25">
      <c r="P80" s="114" t="str">
        <f>List!$B$276&amp;"!"</f>
        <v>S0 a S1 pouze pro jmenovitou délku 270 a 300 mm!</v>
      </c>
    </row>
    <row r="81" spans="16:16" x14ac:dyDescent="0.25">
      <c r="P81" s="114" t="str">
        <f>List!$B$277&amp;"!"</f>
        <v>Pro výsuvy délky 270 a 300 mm vyberte jednotky S0 nebo S1!</v>
      </c>
    </row>
    <row r="82" spans="16:16" x14ac:dyDescent="0.25">
      <c r="P82" s="114" t="str">
        <f>List!$B$278&amp;"!"</f>
        <v>Počet jednotek L neodpovídá počtu korpusových lišt!</v>
      </c>
    </row>
    <row r="83" spans="16:16" x14ac:dyDescent="0.25">
      <c r="P83" s="114" t="str">
        <f>List!$B$279&amp;"!"</f>
        <v>Počet jednotek S neodpovídá počtu korpusových lišt!</v>
      </c>
    </row>
    <row r="100" spans="1:12" x14ac:dyDescent="0.25">
      <c r="A100" s="577"/>
    </row>
    <row r="101" spans="1:12" x14ac:dyDescent="0.25">
      <c r="A101" s="577"/>
      <c r="B101" s="586" t="str">
        <f>List!B25</f>
        <v>Informace k objednávání</v>
      </c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</row>
    <row r="102" spans="1:12" x14ac:dyDescent="0.25">
      <c r="A102" s="577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</row>
    <row r="103" spans="1:12" ht="7.5" customHeight="1" x14ac:dyDescent="0.25">
      <c r="A103" s="577"/>
    </row>
    <row r="104" spans="1:12" ht="22.5" customHeight="1" thickBot="1" x14ac:dyDescent="0.3">
      <c r="A104" s="577"/>
      <c r="B104" s="587"/>
      <c r="C104" s="587"/>
      <c r="D104" s="588" t="str">
        <f>List!B268&amp;" "&amp;List!B283</f>
        <v>Sada jednotek TIP-ON BLUMOTION a sada unašečů TIP-ON BLUMOTION</v>
      </c>
      <c r="E104" s="588"/>
      <c r="F104" s="588"/>
      <c r="G104" s="588"/>
      <c r="H104" s="588"/>
      <c r="I104" s="588"/>
      <c r="J104" s="588"/>
      <c r="K104" s="588"/>
      <c r="L104" s="588"/>
    </row>
    <row r="105" spans="1:12" ht="19.5" customHeight="1" thickBot="1" x14ac:dyDescent="0.3">
      <c r="A105" s="577"/>
      <c r="B105" s="589"/>
      <c r="C105" s="590"/>
      <c r="D105" s="593" t="str">
        <f>List!$B$280&amp;":"</f>
        <v>Využití pro:</v>
      </c>
      <c r="E105" s="594"/>
      <c r="F105" s="594"/>
      <c r="G105" s="594"/>
      <c r="H105" s="594"/>
      <c r="I105" s="595"/>
      <c r="J105" s="596" t="str">
        <f>List!B281&amp;"*"</f>
        <v>Doporučené hodnoty hmotnosti*</v>
      </c>
      <c r="K105" s="597"/>
      <c r="L105" s="597"/>
    </row>
    <row r="106" spans="1:12" ht="19.5" customHeight="1" thickBot="1" x14ac:dyDescent="0.3">
      <c r="A106" s="577"/>
      <c r="B106" s="591"/>
      <c r="C106" s="592"/>
      <c r="D106" s="600" t="str">
        <f>List!B45&amp;" (NL)"</f>
        <v>Jmenovitá délka (NL)</v>
      </c>
      <c r="E106" s="600"/>
      <c r="F106" s="600"/>
      <c r="G106" s="362" t="str">
        <f>List!B275</f>
        <v>Jednotka</v>
      </c>
      <c r="H106" s="601" t="str">
        <f>List!B88</f>
        <v>Číslo artiklu</v>
      </c>
      <c r="I106" s="602"/>
      <c r="J106" s="598"/>
      <c r="K106" s="599"/>
      <c r="L106" s="599"/>
    </row>
    <row r="107" spans="1:12" ht="19.5" customHeight="1" thickBot="1" x14ac:dyDescent="0.3">
      <c r="A107" s="577"/>
      <c r="B107" s="591"/>
      <c r="C107" s="592"/>
      <c r="D107" s="603" t="s">
        <v>988</v>
      </c>
      <c r="E107" s="604"/>
      <c r="F107" s="605"/>
      <c r="G107" s="363" t="s">
        <v>932</v>
      </c>
      <c r="H107" s="610" t="s">
        <v>997</v>
      </c>
      <c r="I107" s="611"/>
      <c r="J107" s="371" t="s">
        <v>999</v>
      </c>
      <c r="K107" s="369"/>
      <c r="L107" s="369"/>
    </row>
    <row r="108" spans="1:12" ht="19.5" customHeight="1" thickBot="1" x14ac:dyDescent="0.3">
      <c r="A108" s="577"/>
      <c r="B108" s="591"/>
      <c r="C108" s="592"/>
      <c r="D108" s="606"/>
      <c r="E108" s="607"/>
      <c r="F108" s="608"/>
      <c r="G108" s="363" t="s">
        <v>933</v>
      </c>
      <c r="H108" s="610" t="s">
        <v>989</v>
      </c>
      <c r="I108" s="611"/>
      <c r="J108" s="371" t="s">
        <v>998</v>
      </c>
      <c r="K108" s="364"/>
      <c r="L108" s="364"/>
    </row>
    <row r="109" spans="1:12" ht="19.5" customHeight="1" thickBot="1" x14ac:dyDescent="0.3">
      <c r="A109" s="577"/>
      <c r="B109" s="591"/>
      <c r="C109" s="592"/>
      <c r="D109" s="603" t="s">
        <v>991</v>
      </c>
      <c r="E109" s="604"/>
      <c r="F109" s="605"/>
      <c r="G109" s="363" t="s">
        <v>934</v>
      </c>
      <c r="H109" s="610" t="s">
        <v>992</v>
      </c>
      <c r="I109" s="611"/>
      <c r="J109" s="371" t="s">
        <v>990</v>
      </c>
      <c r="K109" s="364"/>
      <c r="L109" s="364"/>
    </row>
    <row r="110" spans="1:12" ht="19.5" customHeight="1" thickBot="1" x14ac:dyDescent="0.3">
      <c r="A110" s="577"/>
      <c r="B110" s="591"/>
      <c r="C110" s="592"/>
      <c r="D110" s="612"/>
      <c r="E110" s="613"/>
      <c r="F110" s="614"/>
      <c r="G110" s="363" t="s">
        <v>935</v>
      </c>
      <c r="H110" s="610" t="s">
        <v>993</v>
      </c>
      <c r="I110" s="611"/>
      <c r="J110" s="615" t="s">
        <v>1483</v>
      </c>
      <c r="K110" s="616"/>
      <c r="L110" s="364"/>
    </row>
    <row r="111" spans="1:12" ht="19.5" customHeight="1" thickBot="1" x14ac:dyDescent="0.3">
      <c r="A111" s="577"/>
      <c r="B111" s="591"/>
      <c r="C111" s="592"/>
      <c r="D111" s="606"/>
      <c r="E111" s="607"/>
      <c r="F111" s="608"/>
      <c r="G111" s="363" t="s">
        <v>936</v>
      </c>
      <c r="H111" s="610" t="s">
        <v>995</v>
      </c>
      <c r="I111" s="611"/>
      <c r="J111" s="365"/>
      <c r="K111" s="616" t="s">
        <v>996</v>
      </c>
      <c r="L111" s="616"/>
    </row>
    <row r="112" spans="1:12" ht="19.5" customHeight="1" x14ac:dyDescent="0.25">
      <c r="A112" s="577"/>
      <c r="B112" s="591"/>
      <c r="C112" s="592"/>
      <c r="D112" s="366"/>
      <c r="E112" s="366"/>
      <c r="F112" s="366"/>
      <c r="G112" s="367"/>
      <c r="H112" s="609" t="str">
        <f>"* "&amp;List!B282</f>
        <v>* Celková hmotnost výsuvu (hmotnost výsuvu včetně náplně)</v>
      </c>
      <c r="I112" s="609"/>
      <c r="J112" s="609"/>
      <c r="K112" s="609"/>
      <c r="L112" s="609"/>
    </row>
    <row r="113" spans="1:14" ht="19.5" customHeight="1" x14ac:dyDescent="0.25">
      <c r="A113" s="577"/>
      <c r="B113" s="591"/>
      <c r="C113" s="592"/>
      <c r="D113" s="366"/>
      <c r="E113" s="366"/>
      <c r="F113" s="366"/>
      <c r="G113" s="368"/>
      <c r="H113" s="609"/>
      <c r="I113" s="609"/>
      <c r="J113" s="609"/>
      <c r="K113" s="609"/>
      <c r="L113" s="609"/>
    </row>
    <row r="114" spans="1:14" ht="14.25" customHeight="1" x14ac:dyDescent="0.25">
      <c r="A114" s="577"/>
      <c r="N114" s="370" t="str">
        <f>List!$B$99</f>
        <v>Zpět</v>
      </c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  <row r="141" spans="1:1" x14ac:dyDescent="0.25">
      <c r="A141" s="577"/>
    </row>
  </sheetData>
  <sheetProtection algorithmName="SHA-512" hashValue="RNyKQMRXjuDOhp+M9bCdg2b39Jn01HE2YNvFQPLxWM4Z2PhZFUf+AW6DLa6v1x+OwfIopfP4Ab1q4FdedSNGXw==" saltValue="jvuihRsa6x3BO4ErLXh7OA==" spinCount="100000" sheet="1" objects="1" scenarios="1"/>
  <mergeCells count="19">
    <mergeCell ref="D109:F111"/>
    <mergeCell ref="H109:I109"/>
    <mergeCell ref="H110:I110"/>
    <mergeCell ref="J110:K110"/>
    <mergeCell ref="H111:I111"/>
    <mergeCell ref="K111:L111"/>
    <mergeCell ref="A100:A141"/>
    <mergeCell ref="B101:L102"/>
    <mergeCell ref="B104:C104"/>
    <mergeCell ref="D104:L104"/>
    <mergeCell ref="B105:C113"/>
    <mergeCell ref="D105:I105"/>
    <mergeCell ref="J105:L106"/>
    <mergeCell ref="D106:F106"/>
    <mergeCell ref="H106:I106"/>
    <mergeCell ref="H112:L113"/>
    <mergeCell ref="D107:F108"/>
    <mergeCell ref="H107:I107"/>
    <mergeCell ref="H108:I108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'AM300'!A100" tooltip=" " display="'AM300'!A100"/>
    <hyperlink ref="N114" location="'AM300'!A1" tooltip=" " display="'AM300'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indexed="31"/>
  </sheetPr>
  <dimension ref="A1:U90"/>
  <sheetViews>
    <sheetView showGridLines="0" showRowColHeaders="0" workbookViewId="0">
      <selection activeCell="J11" sqref="J11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3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"SPACE-TOWER, "&amp;List!$B$60&amp;" 4xD + 1xM"</f>
        <v>SPACE-TOWER, sestava 4xD + 1xM</v>
      </c>
      <c r="M2" s="114"/>
      <c r="O2" s="114"/>
      <c r="P2" s="416" t="s">
        <v>1209</v>
      </c>
      <c r="Q2" s="417">
        <f>SUM(D24:F24)</f>
        <v>0</v>
      </c>
      <c r="R2" s="418">
        <f>SUM(J24:L24)</f>
        <v>0</v>
      </c>
      <c r="S2" s="418">
        <f>SUM(D32:F32)</f>
        <v>0</v>
      </c>
      <c r="T2" s="418">
        <f>SUM(J32:L32)</f>
        <v>0</v>
      </c>
    </row>
    <row r="3" spans="1:21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List!$B$64</f>
        <v>podélný reling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38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List!$B$102&amp;" KB:"</f>
        <v>Šířka korpusu KB:</v>
      </c>
      <c r="J7" s="117"/>
      <c r="K7" s="116" t="s">
        <v>248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SUM($D$24, $J$24, $D$32, $J$32)*5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SUM($E$24, $K$24, $E$32, $K$32)*5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SUM($F$24, $L$24, $F$32, $L$32)*5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/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8"/>
      <c r="J11" s="8"/>
      <c r="K11" s="114"/>
      <c r="L11" s="114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/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83"/>
      <c r="I12" s="323"/>
      <c r="J12" s="323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83"/>
      <c r="I13" s="281"/>
      <c r="J13" s="281"/>
      <c r="K13" s="281"/>
      <c r="L13" s="118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83"/>
      <c r="I14" s="303"/>
      <c r="J14" s="303"/>
      <c r="K14" s="183"/>
      <c r="L14" s="114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83"/>
      <c r="I15" s="304"/>
      <c r="J15" s="304"/>
      <c r="K15" s="304"/>
      <c r="L15" s="111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4.5" x14ac:dyDescent="0.35">
      <c r="A17" s="114"/>
      <c r="B17" s="325" t="str">
        <f>"   "&amp;List!B261</f>
        <v xml:space="preserve">   Zadejte počty skříní podle šířky korpusu a délky výsuvů</v>
      </c>
      <c r="C17" s="326"/>
      <c r="D17" s="327"/>
      <c r="E17" s="327"/>
      <c r="F17" s="327"/>
      <c r="G17" s="326"/>
      <c r="H17" s="326"/>
      <c r="I17" s="326"/>
      <c r="J17" s="327"/>
      <c r="K17" s="327"/>
      <c r="L17" s="327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IF($D$26=0, $D$24*4, $D$24*$D$26)+IF($J$26=0, $J$24*2,$J$24*$J$26)</f>
        <v>0</v>
      </c>
      <c r="T17" s="386">
        <f>Cen!F98</f>
        <v>16.63541</v>
      </c>
      <c r="U17" s="387">
        <f t="shared" si="0"/>
        <v>0</v>
      </c>
    </row>
    <row r="18" spans="1:21" ht="14.5" x14ac:dyDescent="0.35">
      <c r="A18" s="114"/>
      <c r="B18" s="325" t="str">
        <f>"   "&amp;List!B265</f>
        <v xml:space="preserve">   Zadejte počet korpusových lišt, pokud chcete jiné, než přednastavené složení</v>
      </c>
      <c r="C18" s="326"/>
      <c r="D18" s="327"/>
      <c r="E18" s="327"/>
      <c r="F18" s="327"/>
      <c r="G18" s="326"/>
      <c r="H18" s="326"/>
      <c r="I18" s="326"/>
      <c r="J18" s="327"/>
      <c r="K18" s="327"/>
      <c r="L18" s="327"/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IF($D$26=0, $D$24*1, $D$24*$D$27)+IF($J$26=0, $J$24*3,$J$24*$J$27)</f>
        <v>0</v>
      </c>
      <c r="T18" s="386">
        <f>Cen!F99</f>
        <v>22.021799999999999</v>
      </c>
      <c r="U18" s="387">
        <f t="shared" si="0"/>
        <v>0</v>
      </c>
    </row>
    <row r="19" spans="1:21" ht="14.5" x14ac:dyDescent="0.35">
      <c r="A19" s="114"/>
      <c r="B19" s="325" t="str">
        <f>"         "&amp;List!B263</f>
        <v xml:space="preserve">         Zadejte počty 30kg korpusových lišt, 65kg lišty se dopočítají</v>
      </c>
      <c r="C19" s="326"/>
      <c r="D19" s="327"/>
      <c r="E19" s="327"/>
      <c r="F19" s="327"/>
      <c r="G19" s="326"/>
      <c r="H19" s="326"/>
      <c r="I19" s="326"/>
      <c r="J19" s="327"/>
      <c r="K19" s="327"/>
      <c r="L19" s="327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IF($E$26=0, $E$24*4, $E$24*$E$26)+IF($K$26=0, $K$24*2,$K$24*$K$26)</f>
        <v>0</v>
      </c>
      <c r="T19" s="389">
        <f>Cen!F100</f>
        <v>15.919919999999999</v>
      </c>
      <c r="U19" s="390">
        <f t="shared" si="0"/>
        <v>0</v>
      </c>
    </row>
    <row r="20" spans="1:21" ht="7.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IF($E$26=0, $E$24*1, $E$24*$E$27)+IF($K$26=0, $K$24*3,$K$24*$K$27)</f>
        <v>0</v>
      </c>
      <c r="T20" s="389">
        <f>Cen!F101</f>
        <v>24.51277</v>
      </c>
      <c r="U20" s="390">
        <f t="shared" si="0"/>
        <v>0</v>
      </c>
    </row>
    <row r="21" spans="1:21" ht="15.5" x14ac:dyDescent="0.25">
      <c r="A21" s="114"/>
      <c r="B21" s="328" t="str">
        <f>"▼   "&amp;List!$B$102&amp;" KB 450 mm"</f>
        <v>▼   Šířka korpusu KB 450 mm</v>
      </c>
      <c r="C21" s="284"/>
      <c r="D21" s="284"/>
      <c r="E21" s="284"/>
      <c r="F21" s="284"/>
      <c r="G21" s="284"/>
      <c r="H21" s="328" t="str">
        <f>"▼   "&amp;List!$B$102&amp;" KB 600 mm"</f>
        <v>▼   Šířka korpusu KB 600 mm</v>
      </c>
      <c r="I21" s="285"/>
      <c r="J21" s="285"/>
      <c r="K21" s="285"/>
      <c r="L21" s="285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IF($F$26=0, $F$24*4, $F$24*$F$26)+IF($L$26=0, $L$24*2,$L$24*$L$26)</f>
        <v>0</v>
      </c>
      <c r="T21" s="386">
        <f>Cen!F102</f>
        <v>17.614419999999999</v>
      </c>
      <c r="U21" s="387">
        <f t="shared" si="0"/>
        <v>0</v>
      </c>
    </row>
    <row r="22" spans="1:21" ht="22.5" customHeight="1" x14ac:dyDescent="0.35">
      <c r="A22" s="114"/>
      <c r="B22" s="329" t="s">
        <v>882</v>
      </c>
      <c r="C22" s="283"/>
      <c r="D22" s="284"/>
      <c r="E22" s="284"/>
      <c r="F22" s="284"/>
      <c r="G22" s="284"/>
      <c r="H22" s="329" t="s">
        <v>882</v>
      </c>
      <c r="I22" s="283"/>
      <c r="J22" s="285"/>
      <c r="K22" s="285"/>
      <c r="L22" s="285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IF($F$26=0, $F$24*1, $F$24*$F$27)+IF($L$26=0, $L$24*3,$L$24*$L$27)</f>
        <v>0</v>
      </c>
      <c r="T22" s="386">
        <f>Cen!F103</f>
        <v>23.000999999999998</v>
      </c>
      <c r="U22" s="387">
        <f t="shared" si="0"/>
        <v>0</v>
      </c>
    </row>
    <row r="23" spans="1:21" ht="14" x14ac:dyDescent="0.3">
      <c r="A23" s="114"/>
      <c r="B23" s="334"/>
      <c r="C23" s="282" t="str">
        <f>List!$B$45&amp;":"</f>
        <v>Jmenovitá délka:</v>
      </c>
      <c r="D23" s="286">
        <v>450</v>
      </c>
      <c r="E23" s="335">
        <v>500</v>
      </c>
      <c r="F23" s="289">
        <v>550</v>
      </c>
      <c r="G23" s="336"/>
      <c r="H23" s="334"/>
      <c r="I23" s="282" t="str">
        <f>List!$B$45&amp;":"</f>
        <v>Jmenovitá délka:</v>
      </c>
      <c r="J23" s="286">
        <v>450</v>
      </c>
      <c r="K23" s="335">
        <v>500</v>
      </c>
      <c r="L23" s="289">
        <v>550</v>
      </c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337"/>
      <c r="C24" s="282" t="str">
        <f>List!$B$260&amp;":"</f>
        <v>Počet skříní:</v>
      </c>
      <c r="D24" s="338"/>
      <c r="E24" s="338"/>
      <c r="F24" s="339"/>
      <c r="G24" s="330"/>
      <c r="H24" s="337"/>
      <c r="I24" s="282" t="str">
        <f>List!$B$260&amp;":"</f>
        <v>Počet skříní:</v>
      </c>
      <c r="J24" s="338"/>
      <c r="K24" s="338"/>
      <c r="L24" s="340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/>
      <c r="T24" s="386">
        <f>Cen!F105</f>
        <v>25.957080000000001</v>
      </c>
      <c r="U24" s="387">
        <f t="shared" si="0"/>
        <v>0</v>
      </c>
    </row>
    <row r="25" spans="1:21" ht="14.5" x14ac:dyDescent="0.35">
      <c r="A25" s="114"/>
      <c r="B25" s="341" t="str">
        <f>List!$B$264</f>
        <v>Korpusové lišty</v>
      </c>
      <c r="C25" s="282"/>
      <c r="D25" s="342"/>
      <c r="E25" s="342"/>
      <c r="F25" s="342"/>
      <c r="G25" s="342"/>
      <c r="H25" s="341" t="str">
        <f>List!$B$264</f>
        <v>Korpusové lišty</v>
      </c>
      <c r="I25" s="282"/>
      <c r="J25" s="342"/>
      <c r="K25" s="342"/>
      <c r="L25" s="342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/>
      <c r="T25" s="395">
        <f>Cen!F106</f>
        <v>26.813510000000001</v>
      </c>
      <c r="U25" s="396">
        <f t="shared" si="0"/>
        <v>0</v>
      </c>
    </row>
    <row r="26" spans="1:21" ht="14.5" thickBot="1" x14ac:dyDescent="0.35">
      <c r="A26" s="114"/>
      <c r="B26" s="290" t="s">
        <v>447</v>
      </c>
      <c r="C26" s="343" t="s">
        <v>883</v>
      </c>
      <c r="D26" s="344"/>
      <c r="E26" s="344"/>
      <c r="F26" s="345"/>
      <c r="G26" s="330"/>
      <c r="H26" s="290" t="s">
        <v>447</v>
      </c>
      <c r="I26" s="291" t="str">
        <f>"2 ks*"</f>
        <v>2 ks*</v>
      </c>
      <c r="J26" s="346"/>
      <c r="K26" s="346"/>
      <c r="L26" s="347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/>
      <c r="T26" s="392">
        <f>Cen!F109</f>
        <v>16.390229999999999</v>
      </c>
      <c r="U26" s="393">
        <f t="shared" si="0"/>
        <v>0</v>
      </c>
    </row>
    <row r="27" spans="1:21" ht="14" x14ac:dyDescent="0.3">
      <c r="A27" s="114"/>
      <c r="B27" s="295" t="s">
        <v>446</v>
      </c>
      <c r="C27" s="348" t="s">
        <v>884</v>
      </c>
      <c r="D27" s="349">
        <f>IF(D26&gt;0, IF(D26&gt;5,0, 5-D26),0)</f>
        <v>0</v>
      </c>
      <c r="E27" s="349">
        <f>IF(E26&gt;0, IF(E26&gt;5,0, 5-E26),0)</f>
        <v>0</v>
      </c>
      <c r="F27" s="350">
        <f>IF(F26&gt;0, IF(F26&gt;5,0, 5-F26),0)</f>
        <v>0</v>
      </c>
      <c r="G27" s="330"/>
      <c r="H27" s="295" t="s">
        <v>446</v>
      </c>
      <c r="I27" s="348" t="str">
        <f>"3 ks*"</f>
        <v>3 ks*</v>
      </c>
      <c r="J27" s="349">
        <f>IF(J26&gt;0, IF(J26&gt;5,0, 5-J26),0)</f>
        <v>0</v>
      </c>
      <c r="K27" s="349">
        <f>IF(K26&gt;0, IF(K26&gt;5,0, 5-K26),0)</f>
        <v>0</v>
      </c>
      <c r="L27" s="350">
        <f>IF(L26&gt;0, IF(L26&gt;5,0, 5-L26),0)</f>
        <v>0</v>
      </c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/>
      <c r="T27" s="386">
        <f>Cen!F110</f>
        <v>16.390229999999999</v>
      </c>
      <c r="U27" s="387">
        <f t="shared" si="0"/>
        <v>0</v>
      </c>
    </row>
    <row r="28" spans="1:21" ht="14.5" x14ac:dyDescent="0.35">
      <c r="A28" s="114"/>
      <c r="B28" s="284"/>
      <c r="C28" s="342"/>
      <c r="D28" s="332" t="str">
        <f>IF(D26&gt;5,"Max. 5!"," ")</f>
        <v xml:space="preserve"> </v>
      </c>
      <c r="E28" s="332" t="str">
        <f>IF(E26&gt;5,"Max. 5!"," ")</f>
        <v xml:space="preserve"> </v>
      </c>
      <c r="F28" s="332" t="str">
        <f>IF(F26&gt;5,"Max. 5!"," ")</f>
        <v xml:space="preserve"> </v>
      </c>
      <c r="G28" s="342"/>
      <c r="H28" s="342"/>
      <c r="I28" s="342"/>
      <c r="J28" s="332" t="str">
        <f>IF(J26&gt;5,"Max. 5!"," ")</f>
        <v xml:space="preserve"> </v>
      </c>
      <c r="K28" s="332" t="str">
        <f>IF(K26&gt;5,"Max. 5!"," ")</f>
        <v xml:space="preserve"> </v>
      </c>
      <c r="L28" s="332" t="str">
        <f>IF(L26&gt;5,"Max. 5!"," ")</f>
        <v xml:space="preserve"> </v>
      </c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/>
      <c r="T28" s="386">
        <f>Cen!F111</f>
        <v>16.390229999999999</v>
      </c>
      <c r="U28" s="387">
        <f t="shared" si="0"/>
        <v>0</v>
      </c>
    </row>
    <row r="29" spans="1:21" ht="9" customHeight="1" x14ac:dyDescent="0.35">
      <c r="A29" s="114"/>
      <c r="B29" s="284"/>
      <c r="C29" s="284"/>
      <c r="D29" s="284"/>
      <c r="E29" s="284"/>
      <c r="F29" s="284"/>
      <c r="G29" s="342"/>
      <c r="H29" s="333"/>
      <c r="I29" s="333"/>
      <c r="J29" s="333"/>
      <c r="K29" s="333"/>
      <c r="L29" s="333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/>
      <c r="T29" s="386">
        <f>Cen!F112</f>
        <v>16.512820000000001</v>
      </c>
      <c r="U29" s="387">
        <f t="shared" si="0"/>
        <v>0</v>
      </c>
    </row>
    <row r="30" spans="1:21" ht="15.5" x14ac:dyDescent="0.25">
      <c r="A30" s="114"/>
      <c r="B30" s="280" t="s">
        <v>885</v>
      </c>
      <c r="C30" s="283"/>
      <c r="D30" s="284"/>
      <c r="E30" s="284"/>
      <c r="F30" s="284"/>
      <c r="G30" s="284"/>
      <c r="H30" s="280" t="s">
        <v>885</v>
      </c>
      <c r="I30" s="354"/>
      <c r="J30" s="285"/>
      <c r="K30" s="285"/>
      <c r="L30" s="285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IF($D$34=0, $D$32*4, $D$32*$D$34)+IF($J$34=0, $J$32*2,$J$32*$J$34)</f>
        <v>0</v>
      </c>
      <c r="T30" s="386">
        <f>Cen!F113</f>
        <v>16.63541</v>
      </c>
      <c r="U30" s="387">
        <f t="shared" si="0"/>
        <v>0</v>
      </c>
    </row>
    <row r="31" spans="1:21" ht="14" x14ac:dyDescent="0.3">
      <c r="A31" s="114"/>
      <c r="B31" s="334"/>
      <c r="C31" s="282" t="str">
        <f>List!$B$45&amp;":"</f>
        <v>Jmenovitá délka:</v>
      </c>
      <c r="D31" s="286">
        <v>450</v>
      </c>
      <c r="E31" s="335">
        <v>500</v>
      </c>
      <c r="F31" s="289">
        <v>550</v>
      </c>
      <c r="G31" s="336"/>
      <c r="H31" s="334"/>
      <c r="I31" s="282" t="str">
        <f>List!$B$45&amp;":"</f>
        <v>Jmenovitá délka:</v>
      </c>
      <c r="J31" s="286">
        <v>450</v>
      </c>
      <c r="K31" s="335">
        <v>500</v>
      </c>
      <c r="L31" s="289">
        <v>550</v>
      </c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IF($D$34=0, $D$32*1, $D$32*$D$35)+IF($J$34=0, $J$32*3,$J$32*$J$35)</f>
        <v>0</v>
      </c>
      <c r="T31" s="386">
        <f>Cen!F114</f>
        <v>22.021810000000002</v>
      </c>
      <c r="U31" s="387">
        <f t="shared" si="0"/>
        <v>0</v>
      </c>
    </row>
    <row r="32" spans="1:21" ht="14" x14ac:dyDescent="0.3">
      <c r="A32" s="114"/>
      <c r="B32" s="337"/>
      <c r="C32" s="282" t="str">
        <f>List!$B$260&amp;":"</f>
        <v>Počet skříní:</v>
      </c>
      <c r="D32" s="338"/>
      <c r="E32" s="338"/>
      <c r="F32" s="339"/>
      <c r="G32" s="330"/>
      <c r="H32" s="337"/>
      <c r="I32" s="282" t="str">
        <f>List!$B$260&amp;":"</f>
        <v>Počet skříní:</v>
      </c>
      <c r="J32" s="338"/>
      <c r="K32" s="338"/>
      <c r="L32" s="340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IF($E$34=0, $E$32*4, $E$32*$E$34)+IF($K$34=0, $K$32*2,$K$32*$K$34)</f>
        <v>0</v>
      </c>
      <c r="T32" s="389">
        <f>Cen!F115</f>
        <v>16.757819999999999</v>
      </c>
      <c r="U32" s="390">
        <f t="shared" si="0"/>
        <v>0</v>
      </c>
    </row>
    <row r="33" spans="1:21" ht="14.5" x14ac:dyDescent="0.35">
      <c r="A33" s="114"/>
      <c r="B33" s="341" t="str">
        <f>List!$B$264</f>
        <v>Korpusové lišty</v>
      </c>
      <c r="C33" s="282"/>
      <c r="D33" s="342"/>
      <c r="E33" s="342"/>
      <c r="F33" s="342"/>
      <c r="G33" s="342"/>
      <c r="H33" s="341" t="str">
        <f>List!$B$264</f>
        <v>Korpusové lišty</v>
      </c>
      <c r="I33" s="282"/>
      <c r="J33" s="342"/>
      <c r="K33" s="342"/>
      <c r="L33" s="342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IF($E$34=0, $E$32*1, $E$32*$E$35)+IF($K$34=0, $K$32*3,$K$32*$K$35)</f>
        <v>0</v>
      </c>
      <c r="T33" s="389">
        <f>Cen!F116</f>
        <v>22.144390000000001</v>
      </c>
      <c r="U33" s="390">
        <f t="shared" si="0"/>
        <v>0</v>
      </c>
    </row>
    <row r="34" spans="1:21" ht="14.5" thickBot="1" x14ac:dyDescent="0.35">
      <c r="A34" s="114"/>
      <c r="B34" s="290" t="s">
        <v>447</v>
      </c>
      <c r="C34" s="343" t="s">
        <v>883</v>
      </c>
      <c r="D34" s="344"/>
      <c r="E34" s="344"/>
      <c r="F34" s="345"/>
      <c r="G34" s="330"/>
      <c r="H34" s="290" t="s">
        <v>447</v>
      </c>
      <c r="I34" s="291" t="str">
        <f>"2 ks*"</f>
        <v>2 ks*</v>
      </c>
      <c r="J34" s="346"/>
      <c r="K34" s="346"/>
      <c r="L34" s="347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IF($F$34=0, $F$32*4, $F$32*$F$34)+IF($L$34=0, $L$32*2,$L$32*$L$34)</f>
        <v>0</v>
      </c>
      <c r="T34" s="386">
        <f>Cen!F117</f>
        <v>17.614419999999999</v>
      </c>
      <c r="U34" s="387">
        <f t="shared" si="0"/>
        <v>0</v>
      </c>
    </row>
    <row r="35" spans="1:21" ht="14" x14ac:dyDescent="0.3">
      <c r="A35" s="114"/>
      <c r="B35" s="295" t="s">
        <v>446</v>
      </c>
      <c r="C35" s="348" t="s">
        <v>884</v>
      </c>
      <c r="D35" s="349">
        <f>IF(D34&gt;0,IF(D34&gt;5,0,5-D34),0)</f>
        <v>0</v>
      </c>
      <c r="E35" s="349">
        <f>IF(E34&gt;0,IF(E34&gt;5,0,5-E34),0)</f>
        <v>0</v>
      </c>
      <c r="F35" s="350">
        <f>IF(F34&gt;0,IF(F34&gt;5,0,5-F34),0)</f>
        <v>0</v>
      </c>
      <c r="G35" s="330"/>
      <c r="H35" s="295" t="s">
        <v>446</v>
      </c>
      <c r="I35" s="348" t="str">
        <f>"3 ks*"</f>
        <v>3 ks*</v>
      </c>
      <c r="J35" s="349">
        <f>IF(J34&gt;0,IF(J34&gt;5,0,5-J34),0)</f>
        <v>0</v>
      </c>
      <c r="K35" s="349">
        <f>IF(K34&gt;0,IF(K34&gt;5,0,5-K34),0)</f>
        <v>0</v>
      </c>
      <c r="L35" s="350">
        <f>IF(L34&gt;0,IF(L34&gt;5,0,5-L34),0)</f>
        <v>0</v>
      </c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IF($F$34=0, $F$32*1, $F$32*$F$35)+IF($L$34=0, $L$32*3,$L$32*$L$35)</f>
        <v>0</v>
      </c>
      <c r="T35" s="386">
        <f>Cen!F118</f>
        <v>23.000999999999998</v>
      </c>
      <c r="U35" s="387">
        <f t="shared" si="0"/>
        <v>0</v>
      </c>
    </row>
    <row r="36" spans="1:21" ht="14" x14ac:dyDescent="0.3">
      <c r="A36" s="114"/>
      <c r="B36" s="284"/>
      <c r="C36" s="351"/>
      <c r="D36" s="332" t="str">
        <f>IF(D34&gt;5,"Max. 5!"," ")</f>
        <v xml:space="preserve"> </v>
      </c>
      <c r="E36" s="332" t="str">
        <f>IF(E34&gt;5,"Max. 5!"," ")</f>
        <v xml:space="preserve"> </v>
      </c>
      <c r="F36" s="332" t="str">
        <f>IF(F34&gt;5,"Max. 5!"," ")</f>
        <v xml:space="preserve"> </v>
      </c>
      <c r="G36" s="330"/>
      <c r="H36" s="352"/>
      <c r="I36" s="351"/>
      <c r="J36" s="332" t="str">
        <f>IF(J34&gt;5,"Max. 5!"," ")</f>
        <v xml:space="preserve"> </v>
      </c>
      <c r="K36" s="332" t="str">
        <f>IF(K34&gt;5,"Max. 5!"," ")</f>
        <v xml:space="preserve"> </v>
      </c>
      <c r="L36" s="332" t="str">
        <f>IF(L34&gt;5,"Max. 5!"," ")</f>
        <v xml:space="preserve"> </v>
      </c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/>
      <c r="T36" s="386">
        <f>Cen!F119</f>
        <v>20.570499999999996</v>
      </c>
      <c r="U36" s="387">
        <f t="shared" si="0"/>
        <v>0</v>
      </c>
    </row>
    <row r="37" spans="1:21" ht="14" x14ac:dyDescent="0.3">
      <c r="A37" s="114"/>
      <c r="B37" s="284"/>
      <c r="C37" s="331"/>
      <c r="D37" s="336"/>
      <c r="E37" s="336"/>
      <c r="F37" s="336"/>
      <c r="G37" s="336"/>
      <c r="H37" s="336"/>
      <c r="I37" s="336"/>
      <c r="J37" s="330"/>
      <c r="K37" s="336"/>
      <c r="L37" s="336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/>
      <c r="T37" s="386">
        <f>Cen!F120</f>
        <v>25.957080000000001</v>
      </c>
      <c r="U37" s="387">
        <f t="shared" si="0"/>
        <v>0</v>
      </c>
    </row>
    <row r="38" spans="1:21" ht="14" x14ac:dyDescent="0.3">
      <c r="A38" s="114"/>
      <c r="B38" s="353" t="str">
        <f>"       * "&amp;List!$B$266</f>
        <v xml:space="preserve">       * Nastavené počty korpusových lišt</v>
      </c>
      <c r="C38" s="331"/>
      <c r="D38" s="336"/>
      <c r="E38" s="336"/>
      <c r="F38" s="336"/>
      <c r="G38" s="336"/>
      <c r="H38" s="336"/>
      <c r="I38" s="336"/>
      <c r="J38" s="330"/>
      <c r="K38" s="336"/>
      <c r="L38" s="336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/>
      <c r="T38" s="386">
        <f>Cen!F121</f>
        <v>26.813510000000001</v>
      </c>
      <c r="U38" s="387">
        <f t="shared" si="0"/>
        <v>0</v>
      </c>
    </row>
    <row r="39" spans="1:21" ht="14" x14ac:dyDescent="0.3">
      <c r="A39" s="114"/>
      <c r="B39" s="353" t="str">
        <f>"     ** "&amp;List!$B$269</f>
        <v xml:space="preserve">     ** Jednotky TIP-ON BLUMOTION jsou přidány automaticky</v>
      </c>
      <c r="C39" s="331"/>
      <c r="D39" s="336"/>
      <c r="E39" s="336"/>
      <c r="F39" s="336"/>
      <c r="G39" s="336"/>
      <c r="H39" s="336"/>
      <c r="I39" s="336"/>
      <c r="J39" s="330"/>
      <c r="K39" s="336"/>
      <c r="L39" s="336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4" x14ac:dyDescent="0.3">
      <c r="A40" s="114"/>
      <c r="B40" s="284" t="str">
        <f>"        "&amp;List!B270</f>
        <v xml:space="preserve">        Synchronizace je přidána automaticky. </v>
      </c>
      <c r="C40" s="331"/>
      <c r="D40" s="336"/>
      <c r="E40" s="336"/>
      <c r="F40" s="336"/>
      <c r="G40" s="336"/>
      <c r="H40" s="336"/>
      <c r="I40" s="336"/>
      <c r="J40" s="330"/>
      <c r="K40" s="336"/>
      <c r="L40" s="336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ht="13" x14ac:dyDescent="0.3">
      <c r="A43" s="114"/>
      <c r="B43" s="193" t="str">
        <f>List!$B$23&amp;": *"</f>
        <v>Volitelně: *</v>
      </c>
      <c r="C43" s="305"/>
      <c r="D43" s="305"/>
      <c r="E43" s="305"/>
      <c r="F43" s="305"/>
      <c r="G43" s="305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SUM(S30, S32, S34)</f>
        <v>0</v>
      </c>
      <c r="T43" s="386">
        <f>Cen!F127</f>
        <v>15.883479999999999</v>
      </c>
      <c r="U43" s="387">
        <f t="shared" si="1"/>
        <v>0</v>
      </c>
    </row>
    <row r="44" spans="1:21" ht="13" x14ac:dyDescent="0.3">
      <c r="A44" s="114"/>
      <c r="B44" s="117" t="str">
        <f>Cen!A328</f>
        <v>Sada držáků zásuvného prvku D, bílošedá</v>
      </c>
      <c r="C44" s="117"/>
      <c r="D44" s="117"/>
      <c r="E44" s="117"/>
      <c r="F44" s="117"/>
      <c r="G44" s="117"/>
      <c r="H44" s="117" t="str">
        <f>Cen!B328</f>
        <v>Z36D0080</v>
      </c>
      <c r="I44" s="117" t="str">
        <f>Cen!C328</f>
        <v>WGR</v>
      </c>
      <c r="J44" s="153"/>
      <c r="K44" s="400"/>
      <c r="L44" s="400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SUM(S31, S33, S35)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14" t="str">
        <f>"     * "&amp;List!$B$148</f>
        <v xml:space="preserve">     * Sada držáků, pro vlastní zásuvný prvek</v>
      </c>
      <c r="C46" s="114"/>
      <c r="D46" s="114"/>
      <c r="E46" s="114"/>
      <c r="F46" s="114"/>
      <c r="G46" s="114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14" t="str">
        <f>"       "&amp;List!$B$150&amp;"!"</f>
        <v xml:space="preserve">       Cena držáků zásuvného prvku není zahrnuta do cen jednotlivých výsuvů!</v>
      </c>
      <c r="C47" s="114"/>
      <c r="D47" s="114"/>
      <c r="E47" s="114"/>
      <c r="F47" s="114"/>
      <c r="G47" s="114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CEILING(SUM(SUM($D$32:$F$32)/6, SUM($J$32:$L$32)/3), 1)*5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>
        <f>SUM($S$3:$S$11)/5</f>
        <v>0</v>
      </c>
      <c r="T53" s="386">
        <f>Cen!F147</f>
        <v>1.59188</v>
      </c>
      <c r="U53" s="387">
        <f>S53*T53</f>
        <v>0</v>
      </c>
    </row>
    <row r="54" spans="1:21" x14ac:dyDescent="0.25">
      <c r="A54" s="114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SUM($S$3:$S$11)/5*4</f>
        <v>0</v>
      </c>
      <c r="T57" s="386">
        <f>Cen!F162</f>
        <v>2.93709</v>
      </c>
      <c r="U57" s="387">
        <f>S57*T57</f>
        <v>0</v>
      </c>
    </row>
    <row r="58" spans="1:21" x14ac:dyDescent="0.25">
      <c r="A58" s="114"/>
      <c r="M58" s="114"/>
      <c r="N58" s="114"/>
      <c r="O58" s="114"/>
      <c r="P58" s="402" t="str">
        <f>Cen!A178</f>
        <v>Držáky čela vnitřní zásuvky M, bílošedé</v>
      </c>
      <c r="Q58" s="402" t="str">
        <f>Cen!B178</f>
        <v>ZIF.71M0</v>
      </c>
      <c r="R58" s="402" t="str">
        <f>Cen!C178</f>
        <v>WGR</v>
      </c>
      <c r="S58" s="385">
        <f>SUM($S$3:$S$11)/5</f>
        <v>0</v>
      </c>
      <c r="T58" s="402">
        <f>Cen!F178</f>
        <v>4.2079700000000004</v>
      </c>
      <c r="U58" s="387">
        <f>S58*T58</f>
        <v>0</v>
      </c>
    </row>
    <row r="59" spans="1:21" x14ac:dyDescent="0.25">
      <c r="A59" s="114"/>
      <c r="M59" s="114"/>
      <c r="N59" s="114"/>
      <c r="O59" s="114"/>
      <c r="P59" s="402" t="str">
        <f>Cen!A189</f>
        <v>Držáky čela vnitřního výsuvu D bílošedé</v>
      </c>
      <c r="Q59" s="402" t="str">
        <f>Cen!B189</f>
        <v>ZIF.74D0</v>
      </c>
      <c r="R59" s="402" t="str">
        <f>Cen!C189</f>
        <v>WGR</v>
      </c>
      <c r="S59" s="385">
        <f>SUM($S$3:$S$11)/5*4</f>
        <v>0</v>
      </c>
      <c r="T59" s="402">
        <f>Cen!F189</f>
        <v>6.1373600000000001</v>
      </c>
      <c r="U59" s="387">
        <f t="shared" si="2"/>
        <v>0</v>
      </c>
    </row>
    <row r="60" spans="1:21" x14ac:dyDescent="0.25">
      <c r="A60" s="114"/>
      <c r="M60" s="114"/>
      <c r="N60" s="114"/>
      <c r="O60" s="114"/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CEILING(SUM(SUM($D$24:$F$24, $D$32:$F$32)/3, SUM($J$24:$L$24, $J$32:$L$32)/2), 1)*5</f>
        <v>0</v>
      </c>
      <c r="T60" s="402">
        <f>Cen!F194</f>
        <v>14.286440000000001</v>
      </c>
      <c r="U60" s="387">
        <f t="shared" si="2"/>
        <v>0</v>
      </c>
    </row>
    <row r="61" spans="1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CEILING(SUM(SUM($D$24:$F$24, $D$32:$F$32)/3, SUM($J$24:$L$24, $J$32:$L$32)/2), 1)*4</f>
        <v>0</v>
      </c>
      <c r="T61" s="402">
        <f>Cen!F199</f>
        <v>6.6514599999999993</v>
      </c>
      <c r="U61" s="387">
        <f t="shared" si="2"/>
        <v>0</v>
      </c>
    </row>
    <row r="62" spans="1:21" x14ac:dyDescent="0.25">
      <c r="A62" s="114"/>
      <c r="M62" s="114"/>
      <c r="N62" s="114"/>
      <c r="O62" s="114"/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>S7/5*4</f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ref="S68:S69" si="5">S8/5*4</f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5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J44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/>
      <c r="Q79" s="123"/>
      <c r="R79" s="123"/>
      <c r="S79" s="385"/>
      <c r="T79" s="402"/>
      <c r="U79" s="387"/>
    </row>
    <row r="80" spans="16:21" x14ac:dyDescent="0.25">
      <c r="P80" s="123"/>
      <c r="Q80" s="123"/>
      <c r="R80" s="123"/>
      <c r="S80" s="385"/>
      <c r="T80" s="402"/>
      <c r="U80" s="387"/>
    </row>
    <row r="81" spans="16:21" x14ac:dyDescent="0.25">
      <c r="P81" s="123"/>
      <c r="Q81" s="123"/>
      <c r="R81" s="123"/>
      <c r="S81" s="385"/>
      <c r="T81" s="402"/>
      <c r="U81" s="387"/>
    </row>
    <row r="82" spans="16:21" x14ac:dyDescent="0.25">
      <c r="P82" s="123"/>
      <c r="Q82" s="123"/>
      <c r="R82" s="123"/>
      <c r="S82" s="385"/>
      <c r="T82" s="402"/>
      <c r="U82" s="387"/>
    </row>
    <row r="83" spans="16:21" x14ac:dyDescent="0.25">
      <c r="P83" s="123"/>
      <c r="Q83" s="123"/>
      <c r="R83" s="123"/>
      <c r="S83" s="385"/>
      <c r="T83" s="402"/>
      <c r="U83" s="387"/>
    </row>
    <row r="84" spans="16:21" x14ac:dyDescent="0.25">
      <c r="P84" s="123"/>
      <c r="Q84" s="123"/>
      <c r="R84" s="123"/>
      <c r="S84" s="385"/>
      <c r="T84" s="402"/>
      <c r="U84" s="387"/>
    </row>
    <row r="85" spans="16:21" x14ac:dyDescent="0.25">
      <c r="P85" s="123" t="str">
        <f>Cen!A632</f>
        <v>CLIP top 155° s nulovým přesahem, EXPANDO</v>
      </c>
      <c r="Q85" s="123" t="str">
        <f>Cen!B632</f>
        <v>71T753EN</v>
      </c>
      <c r="R85" s="123" t="str">
        <f>Cen!C632</f>
        <v>NI</v>
      </c>
      <c r="S85" s="385">
        <f>SUM(SUM($D$24:$F$24, $D$32:$F$32)*3, SUM($J$24:$L$24, $J$32:$L$32)*4)</f>
        <v>0</v>
      </c>
      <c r="T85" s="402">
        <f>Cen!F632</f>
        <v>4.42394</v>
      </c>
      <c r="U85" s="387">
        <f t="shared" ref="U85:U87" si="6">S85*T85</f>
        <v>0</v>
      </c>
    </row>
    <row r="86" spans="16:21" x14ac:dyDescent="0.25">
      <c r="P86" s="123" t="str">
        <f>Cen!A639</f>
        <v>Podložka CLIP s excentrem, EXPANDO</v>
      </c>
      <c r="Q86" s="123" t="str">
        <f>Cen!B639</f>
        <v>174H7100E</v>
      </c>
      <c r="R86" s="123" t="str">
        <f>Cen!C639</f>
        <v>NI</v>
      </c>
      <c r="S86" s="385">
        <f>S85</f>
        <v>0</v>
      </c>
      <c r="T86" s="402">
        <f>Cen!F639</f>
        <v>0.59260999999999997</v>
      </c>
      <c r="U86" s="387">
        <f t="shared" si="6"/>
        <v>0</v>
      </c>
    </row>
    <row r="87" spans="16:21" x14ac:dyDescent="0.25">
      <c r="P87" s="123" t="str">
        <f>Cen!A644</f>
        <v>BLUMOTION pro nasazení na závěs 155° a 125°</v>
      </c>
      <c r="Q87" s="123" t="str">
        <f>Cen!B644</f>
        <v>973A7000</v>
      </c>
      <c r="R87" s="123" t="str">
        <f>Cen!C644</f>
        <v>NI</v>
      </c>
      <c r="S87" s="385">
        <f>SUM(SUM($D$24:$F$24, $D$32:$F$32)*2, SUM($J$24:$L$24, $J$32:$L$32)*3)</f>
        <v>0</v>
      </c>
      <c r="T87" s="402">
        <f>Cen!F644</f>
        <v>1.5222899999999999</v>
      </c>
      <c r="U87" s="387">
        <f t="shared" si="6"/>
        <v>0</v>
      </c>
    </row>
    <row r="90" spans="16:21" x14ac:dyDescent="0.25">
      <c r="U90" s="436">
        <f>SUM(U3:U87)</f>
        <v>0</v>
      </c>
    </row>
  </sheetData>
  <sheetProtection algorithmName="SHA-512" hashValue="8EKXzrccIlWT4Q10h9mU1DsZEdmwHcRr8FZdUpnVG/oLniiuX4Ejlzs4fCKEEM8u+IuwZwEMLpCMv+DrI3DelQ==" saltValue="LVp85kUfXTiCkSKFkzJ1OQ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theme="8" tint="0.59999389629810485"/>
  </sheetPr>
  <dimension ref="A1:U90"/>
  <sheetViews>
    <sheetView showGridLines="0" showRowColHeaders="0" workbookViewId="0">
      <selection activeCell="N14" sqref="N14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1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"SPACE-TOWER, "&amp;List!$B$60&amp;" 5xD"</f>
        <v>SPACE-TOWER, sestava 5xD</v>
      </c>
      <c r="M2" s="114"/>
      <c r="O2" s="114"/>
      <c r="P2" s="416" t="s">
        <v>1209</v>
      </c>
      <c r="Q2" s="417">
        <f>SUM(D24:F24)</f>
        <v>0</v>
      </c>
      <c r="R2" s="418">
        <f>SUM(J24:L24)</f>
        <v>0</v>
      </c>
      <c r="S2" s="418">
        <f>SUM(D32:F32)</f>
        <v>0</v>
      </c>
      <c r="T2" s="418">
        <f>SUM(J32:L32)</f>
        <v>0</v>
      </c>
    </row>
    <row r="3" spans="1:21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List!$B$62</f>
        <v>zásuvný prvek sklo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38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tr">
        <f>List!$B$32&amp;":"</f>
        <v>sklo:</v>
      </c>
      <c r="J6" s="117"/>
      <c r="K6" s="116" t="str">
        <f>Form!$O$8</f>
        <v>čiré</v>
      </c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List!$B$102&amp;" KB:"</f>
        <v>Šířka korpusu KB:</v>
      </c>
      <c r="J7" s="117"/>
      <c r="K7" s="116" t="s">
        <v>248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SUM($D$24, $J$24, $D$32, $J$32)*5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SUM($E$24, $K$24, $E$32, $K$32)*5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SUM($F$24, $L$24, $F$32, $L$32)*5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/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8"/>
      <c r="J11" s="8"/>
      <c r="K11" s="114"/>
      <c r="L11" s="114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/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79"/>
      <c r="J12" s="279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118"/>
      <c r="L13" s="118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303"/>
      <c r="K14" s="114"/>
      <c r="L14" s="114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111"/>
      <c r="J15" s="111"/>
      <c r="K15" s="111"/>
      <c r="L15" s="111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4.5" x14ac:dyDescent="0.35">
      <c r="A17" s="114"/>
      <c r="B17" s="325" t="str">
        <f>"   "&amp;List!B261</f>
        <v xml:space="preserve">   Zadejte počty skříní podle šířky korpusu a délky výsuvů</v>
      </c>
      <c r="C17" s="326"/>
      <c r="D17" s="327"/>
      <c r="E17" s="327"/>
      <c r="F17" s="327"/>
      <c r="G17" s="326"/>
      <c r="H17" s="326"/>
      <c r="I17" s="326"/>
      <c r="J17" s="327"/>
      <c r="K17" s="327"/>
      <c r="L17" s="327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IF($D$26=0, $D$24*4, $D$24*$D$26)+IF($J$26=0, $J$24*2,$J$24*$J$26)</f>
        <v>0</v>
      </c>
      <c r="T17" s="386">
        <f>Cen!F98</f>
        <v>16.63541</v>
      </c>
      <c r="U17" s="387">
        <f t="shared" si="0"/>
        <v>0</v>
      </c>
    </row>
    <row r="18" spans="1:21" ht="14.5" x14ac:dyDescent="0.35">
      <c r="A18" s="114"/>
      <c r="B18" s="325" t="str">
        <f>"   "&amp;List!B265</f>
        <v xml:space="preserve">   Zadejte počet korpusových lišt, pokud chcete jiné, než přednastavené složení</v>
      </c>
      <c r="C18" s="326"/>
      <c r="D18" s="327"/>
      <c r="E18" s="327"/>
      <c r="F18" s="327"/>
      <c r="G18" s="326"/>
      <c r="H18" s="326"/>
      <c r="I18" s="326"/>
      <c r="J18" s="327"/>
      <c r="K18" s="327"/>
      <c r="L18" s="327"/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IF($D$26=0, $D$24*1, $D$24*$D$27)+IF($J$26=0, $J$24*3,$J$24*$J$27)</f>
        <v>0</v>
      </c>
      <c r="T18" s="386">
        <f>Cen!F99</f>
        <v>22.021799999999999</v>
      </c>
      <c r="U18" s="387">
        <f t="shared" si="0"/>
        <v>0</v>
      </c>
    </row>
    <row r="19" spans="1:21" ht="14.5" x14ac:dyDescent="0.35">
      <c r="A19" s="114"/>
      <c r="B19" s="325" t="str">
        <f>"         "&amp;List!B263</f>
        <v xml:space="preserve">         Zadejte počty 30kg korpusových lišt, 65kg lišty se dopočítají</v>
      </c>
      <c r="C19" s="326"/>
      <c r="D19" s="327"/>
      <c r="E19" s="327"/>
      <c r="F19" s="327"/>
      <c r="G19" s="326"/>
      <c r="H19" s="326"/>
      <c r="I19" s="326"/>
      <c r="J19" s="327"/>
      <c r="K19" s="327"/>
      <c r="L19" s="327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IF($E$26=0, $E$24*4, $E$24*$E$26)+IF($K$26=0, $K$24*2,$K$24*$K$26)</f>
        <v>0</v>
      </c>
      <c r="T19" s="389">
        <f>Cen!F100</f>
        <v>15.919919999999999</v>
      </c>
      <c r="U19" s="390">
        <f t="shared" si="0"/>
        <v>0</v>
      </c>
    </row>
    <row r="20" spans="1:21" ht="7.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IF($E$26=0, $E$24*1, $E$24*$E$27)+IF($K$26=0, $K$24*3,$K$24*$K$27)</f>
        <v>0</v>
      </c>
      <c r="T20" s="389">
        <f>Cen!F101</f>
        <v>24.51277</v>
      </c>
      <c r="U20" s="390">
        <f t="shared" si="0"/>
        <v>0</v>
      </c>
    </row>
    <row r="21" spans="1:21" ht="15.5" x14ac:dyDescent="0.25">
      <c r="A21" s="114"/>
      <c r="B21" s="328" t="str">
        <f>"▼   "&amp;List!$B$102&amp;" KB 450 mm"</f>
        <v>▼   Šířka korpusu KB 450 mm</v>
      </c>
      <c r="C21" s="284"/>
      <c r="D21" s="284"/>
      <c r="E21" s="284"/>
      <c r="F21" s="284"/>
      <c r="G21" s="284"/>
      <c r="H21" s="328" t="str">
        <f>"▼   "&amp;List!$B$102&amp;" KB 600 mm"</f>
        <v>▼   Šířka korpusu KB 600 mm</v>
      </c>
      <c r="I21" s="285"/>
      <c r="J21" s="285"/>
      <c r="K21" s="285"/>
      <c r="L21" s="285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IF($F$26=0, $F$24*4, $F$24*$F$26)+IF($L$26=0, $L$24*2,$L$24*$L$26)</f>
        <v>0</v>
      </c>
      <c r="T21" s="386">
        <f>Cen!F102</f>
        <v>17.614419999999999</v>
      </c>
      <c r="U21" s="387">
        <f t="shared" si="0"/>
        <v>0</v>
      </c>
    </row>
    <row r="22" spans="1:21" ht="22.5" customHeight="1" x14ac:dyDescent="0.35">
      <c r="A22" s="114"/>
      <c r="B22" s="329" t="s">
        <v>882</v>
      </c>
      <c r="C22" s="283"/>
      <c r="D22" s="284"/>
      <c r="E22" s="284"/>
      <c r="F22" s="284"/>
      <c r="G22" s="284"/>
      <c r="H22" s="329" t="s">
        <v>882</v>
      </c>
      <c r="I22" s="283"/>
      <c r="J22" s="285"/>
      <c r="K22" s="285"/>
      <c r="L22" s="285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IF($F$26=0, $F$24*1, $F$24*$F$27)+IF($L$26=0, $L$24*3,$L$24*$L$27)</f>
        <v>0</v>
      </c>
      <c r="T22" s="386">
        <f>Cen!F103</f>
        <v>23.000999999999998</v>
      </c>
      <c r="U22" s="387">
        <f t="shared" si="0"/>
        <v>0</v>
      </c>
    </row>
    <row r="23" spans="1:21" ht="14" x14ac:dyDescent="0.3">
      <c r="A23" s="114"/>
      <c r="B23" s="334"/>
      <c r="C23" s="282" t="str">
        <f>List!$B$45&amp;":"</f>
        <v>Jmenovitá délka:</v>
      </c>
      <c r="D23" s="286">
        <v>450</v>
      </c>
      <c r="E23" s="335">
        <v>500</v>
      </c>
      <c r="F23" s="289">
        <v>550</v>
      </c>
      <c r="G23" s="336"/>
      <c r="H23" s="334"/>
      <c r="I23" s="282" t="str">
        <f>List!$B$45&amp;":"</f>
        <v>Jmenovitá délka:</v>
      </c>
      <c r="J23" s="286">
        <v>450</v>
      </c>
      <c r="K23" s="335">
        <v>500</v>
      </c>
      <c r="L23" s="289">
        <v>550</v>
      </c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337"/>
      <c r="C24" s="282" t="str">
        <f>List!$B$260&amp;":"</f>
        <v>Počet skříní:</v>
      </c>
      <c r="D24" s="338"/>
      <c r="E24" s="338"/>
      <c r="F24" s="339"/>
      <c r="G24" s="330"/>
      <c r="H24" s="337"/>
      <c r="I24" s="282" t="str">
        <f>List!$B$260&amp;":"</f>
        <v>Počet skříní:</v>
      </c>
      <c r="J24" s="338"/>
      <c r="K24" s="338"/>
      <c r="L24" s="340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/>
      <c r="T24" s="386">
        <f>Cen!F105</f>
        <v>25.957080000000001</v>
      </c>
      <c r="U24" s="387">
        <f t="shared" si="0"/>
        <v>0</v>
      </c>
    </row>
    <row r="25" spans="1:21" ht="14.5" x14ac:dyDescent="0.35">
      <c r="A25" s="114"/>
      <c r="B25" s="341" t="str">
        <f>List!$B$264</f>
        <v>Korpusové lišty</v>
      </c>
      <c r="C25" s="282"/>
      <c r="D25" s="342"/>
      <c r="E25" s="342"/>
      <c r="F25" s="342"/>
      <c r="G25" s="342"/>
      <c r="H25" s="341" t="str">
        <f>List!$B$264</f>
        <v>Korpusové lišty</v>
      </c>
      <c r="I25" s="282"/>
      <c r="J25" s="342"/>
      <c r="K25" s="342"/>
      <c r="L25" s="342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/>
      <c r="T25" s="395">
        <f>Cen!F106</f>
        <v>26.813510000000001</v>
      </c>
      <c r="U25" s="396">
        <f t="shared" si="0"/>
        <v>0</v>
      </c>
    </row>
    <row r="26" spans="1:21" ht="14.5" thickBot="1" x14ac:dyDescent="0.35">
      <c r="A26" s="114"/>
      <c r="B26" s="290" t="s">
        <v>447</v>
      </c>
      <c r="C26" s="343" t="s">
        <v>883</v>
      </c>
      <c r="D26" s="344"/>
      <c r="E26" s="344"/>
      <c r="F26" s="345"/>
      <c r="G26" s="330"/>
      <c r="H26" s="290" t="s">
        <v>447</v>
      </c>
      <c r="I26" s="291" t="str">
        <f>"2 ks*"</f>
        <v>2 ks*</v>
      </c>
      <c r="J26" s="346"/>
      <c r="K26" s="346"/>
      <c r="L26" s="347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/>
      <c r="T26" s="392">
        <f>Cen!F109</f>
        <v>16.390229999999999</v>
      </c>
      <c r="U26" s="393">
        <f t="shared" si="0"/>
        <v>0</v>
      </c>
    </row>
    <row r="27" spans="1:21" ht="14" x14ac:dyDescent="0.3">
      <c r="A27" s="114"/>
      <c r="B27" s="295" t="s">
        <v>446</v>
      </c>
      <c r="C27" s="348" t="s">
        <v>884</v>
      </c>
      <c r="D27" s="349">
        <f>IF(D26&gt;0, IF(D26&gt;5,0, 5-D26),0)</f>
        <v>0</v>
      </c>
      <c r="E27" s="349">
        <f>IF(E26&gt;0, IF(E26&gt;5,0, 5-E26),0)</f>
        <v>0</v>
      </c>
      <c r="F27" s="350">
        <f>IF(F26&gt;0, IF(F26&gt;5,0, 5-F26),0)</f>
        <v>0</v>
      </c>
      <c r="G27" s="330"/>
      <c r="H27" s="295" t="s">
        <v>446</v>
      </c>
      <c r="I27" s="348" t="str">
        <f>"3 ks*"</f>
        <v>3 ks*</v>
      </c>
      <c r="J27" s="349">
        <f>IF(J26&gt;0, IF(J26&gt;5,0, 5-J26),0)</f>
        <v>0</v>
      </c>
      <c r="K27" s="349">
        <f>IF(K26&gt;0, IF(K26&gt;5,0, 5-K26),0)</f>
        <v>0</v>
      </c>
      <c r="L27" s="350">
        <f>IF(L26&gt;0, IF(L26&gt;5,0, 5-L26),0)</f>
        <v>0</v>
      </c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/>
      <c r="T27" s="386">
        <f>Cen!F110</f>
        <v>16.390229999999999</v>
      </c>
      <c r="U27" s="387">
        <f t="shared" si="0"/>
        <v>0</v>
      </c>
    </row>
    <row r="28" spans="1:21" ht="14.5" x14ac:dyDescent="0.35">
      <c r="A28" s="114"/>
      <c r="B28" s="284"/>
      <c r="C28" s="342"/>
      <c r="D28" s="332" t="str">
        <f>IF(D26&gt;5,"Max. 5!"," ")</f>
        <v xml:space="preserve"> </v>
      </c>
      <c r="E28" s="332" t="str">
        <f>IF(E26&gt;5,"Max. 5!"," ")</f>
        <v xml:space="preserve"> </v>
      </c>
      <c r="F28" s="332" t="str">
        <f>IF(F26&gt;5,"Max. 5!"," ")</f>
        <v xml:space="preserve"> </v>
      </c>
      <c r="G28" s="342"/>
      <c r="H28" s="342"/>
      <c r="I28" s="342"/>
      <c r="J28" s="332" t="str">
        <f>IF(J26&gt;5,"Max. 5!"," ")</f>
        <v xml:space="preserve"> </v>
      </c>
      <c r="K28" s="332" t="str">
        <f>IF(K26&gt;5,"Max. 5!"," ")</f>
        <v xml:space="preserve"> </v>
      </c>
      <c r="L28" s="332" t="str">
        <f>IF(L26&gt;5,"Max. 5!"," ")</f>
        <v xml:space="preserve"> </v>
      </c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/>
      <c r="T28" s="386">
        <f>Cen!F111</f>
        <v>16.390229999999999</v>
      </c>
      <c r="U28" s="387">
        <f t="shared" si="0"/>
        <v>0</v>
      </c>
    </row>
    <row r="29" spans="1:21" ht="9" customHeight="1" x14ac:dyDescent="0.35">
      <c r="A29" s="114"/>
      <c r="B29" s="284"/>
      <c r="C29" s="284"/>
      <c r="D29" s="284"/>
      <c r="E29" s="284"/>
      <c r="F29" s="284"/>
      <c r="G29" s="342"/>
      <c r="H29" s="333"/>
      <c r="I29" s="333"/>
      <c r="J29" s="333"/>
      <c r="K29" s="333"/>
      <c r="L29" s="333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/>
      <c r="T29" s="386">
        <f>Cen!F112</f>
        <v>16.512820000000001</v>
      </c>
      <c r="U29" s="387">
        <f t="shared" si="0"/>
        <v>0</v>
      </c>
    </row>
    <row r="30" spans="1:21" ht="15.5" x14ac:dyDescent="0.25">
      <c r="A30" s="114"/>
      <c r="B30" s="280" t="s">
        <v>885</v>
      </c>
      <c r="C30" s="283"/>
      <c r="D30" s="284"/>
      <c r="E30" s="284"/>
      <c r="F30" s="284"/>
      <c r="G30" s="284"/>
      <c r="H30" s="280" t="s">
        <v>885</v>
      </c>
      <c r="I30" s="354"/>
      <c r="J30" s="285"/>
      <c r="K30" s="285"/>
      <c r="L30" s="285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IF($D$34=0, $D$32*4, $D$32*$D$34)+IF($J$34=0, $J$32*2,$J$32*$J$34)</f>
        <v>0</v>
      </c>
      <c r="T30" s="386">
        <f>Cen!F113</f>
        <v>16.63541</v>
      </c>
      <c r="U30" s="387">
        <f t="shared" si="0"/>
        <v>0</v>
      </c>
    </row>
    <row r="31" spans="1:21" ht="14" x14ac:dyDescent="0.3">
      <c r="A31" s="114"/>
      <c r="B31" s="334"/>
      <c r="C31" s="282" t="str">
        <f>List!$B$45&amp;":"</f>
        <v>Jmenovitá délka:</v>
      </c>
      <c r="D31" s="286">
        <v>450</v>
      </c>
      <c r="E31" s="335">
        <v>500</v>
      </c>
      <c r="F31" s="289">
        <v>550</v>
      </c>
      <c r="G31" s="336"/>
      <c r="H31" s="334"/>
      <c r="I31" s="282" t="str">
        <f>List!$B$45&amp;":"</f>
        <v>Jmenovitá délka:</v>
      </c>
      <c r="J31" s="286">
        <v>450</v>
      </c>
      <c r="K31" s="335">
        <v>500</v>
      </c>
      <c r="L31" s="289">
        <v>550</v>
      </c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IF($D$34=0, $D$32*1, $D$32*$D$35)+IF($J$34=0, $J$32*3,$J$32*$J$35)</f>
        <v>0</v>
      </c>
      <c r="T31" s="386">
        <f>Cen!F114</f>
        <v>22.021810000000002</v>
      </c>
      <c r="U31" s="387">
        <f t="shared" si="0"/>
        <v>0</v>
      </c>
    </row>
    <row r="32" spans="1:21" ht="14" x14ac:dyDescent="0.3">
      <c r="A32" s="114"/>
      <c r="B32" s="337"/>
      <c r="C32" s="282" t="str">
        <f>List!$B$260&amp;":"</f>
        <v>Počet skříní:</v>
      </c>
      <c r="D32" s="338"/>
      <c r="E32" s="338"/>
      <c r="F32" s="339"/>
      <c r="G32" s="330"/>
      <c r="H32" s="337"/>
      <c r="I32" s="282" t="str">
        <f>List!$B$260&amp;":"</f>
        <v>Počet skříní:</v>
      </c>
      <c r="J32" s="338"/>
      <c r="K32" s="338"/>
      <c r="L32" s="340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IF($E$34=0, $E$32*4, $E$32*$E$34)+IF($K$34=0, $K$32*2,$K$32*$K$34)</f>
        <v>0</v>
      </c>
      <c r="T32" s="389">
        <f>Cen!F115</f>
        <v>16.757819999999999</v>
      </c>
      <c r="U32" s="390">
        <f t="shared" si="0"/>
        <v>0</v>
      </c>
    </row>
    <row r="33" spans="1:21" ht="14.5" x14ac:dyDescent="0.35">
      <c r="A33" s="114"/>
      <c r="B33" s="341" t="str">
        <f>List!$B$264</f>
        <v>Korpusové lišty</v>
      </c>
      <c r="C33" s="282"/>
      <c r="D33" s="342"/>
      <c r="E33" s="342"/>
      <c r="F33" s="342"/>
      <c r="G33" s="342"/>
      <c r="H33" s="341" t="str">
        <f>List!$B$264</f>
        <v>Korpusové lišty</v>
      </c>
      <c r="I33" s="282"/>
      <c r="J33" s="342"/>
      <c r="K33" s="342"/>
      <c r="L33" s="342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IF($E$34=0, $E$32*1, $E$32*$E$35)+IF($K$34=0, $K$32*3,$K$32*$K$35)</f>
        <v>0</v>
      </c>
      <c r="T33" s="389">
        <f>Cen!F116</f>
        <v>22.144390000000001</v>
      </c>
      <c r="U33" s="390">
        <f t="shared" si="0"/>
        <v>0</v>
      </c>
    </row>
    <row r="34" spans="1:21" ht="14.5" thickBot="1" x14ac:dyDescent="0.35">
      <c r="A34" s="114"/>
      <c r="B34" s="290" t="s">
        <v>447</v>
      </c>
      <c r="C34" s="343" t="s">
        <v>883</v>
      </c>
      <c r="D34" s="344"/>
      <c r="E34" s="344"/>
      <c r="F34" s="345"/>
      <c r="G34" s="330"/>
      <c r="H34" s="290" t="s">
        <v>447</v>
      </c>
      <c r="I34" s="291" t="str">
        <f>"2 ks*"</f>
        <v>2 ks*</v>
      </c>
      <c r="J34" s="346"/>
      <c r="K34" s="346"/>
      <c r="L34" s="347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IF($F$34=0, $F$32*4, $F$32*$F$34)+IF($L$34=0, $L$32*2,$L$32*$L$34)</f>
        <v>0</v>
      </c>
      <c r="T34" s="386">
        <f>Cen!F117</f>
        <v>17.614419999999999</v>
      </c>
      <c r="U34" s="387">
        <f t="shared" si="0"/>
        <v>0</v>
      </c>
    </row>
    <row r="35" spans="1:21" ht="14" x14ac:dyDescent="0.3">
      <c r="A35" s="114"/>
      <c r="B35" s="295" t="s">
        <v>446</v>
      </c>
      <c r="C35" s="348" t="s">
        <v>884</v>
      </c>
      <c r="D35" s="349">
        <f>IF(D34&gt;0,IF(D34&gt;5,0,5-D34),0)</f>
        <v>0</v>
      </c>
      <c r="E35" s="349">
        <f>IF(E34&gt;0,IF(E34&gt;5,0,5-E34),0)</f>
        <v>0</v>
      </c>
      <c r="F35" s="350">
        <f>IF(F34&gt;0,IF(F34&gt;5,0,5-F34),0)</f>
        <v>0</v>
      </c>
      <c r="G35" s="330"/>
      <c r="H35" s="295" t="s">
        <v>446</v>
      </c>
      <c r="I35" s="348" t="str">
        <f>"3 ks*"</f>
        <v>3 ks*</v>
      </c>
      <c r="J35" s="349">
        <f>IF(J34&gt;0,IF(J34&gt;5,0,5-J34),0)</f>
        <v>0</v>
      </c>
      <c r="K35" s="349">
        <f>IF(K34&gt;0,IF(K34&gt;5,0,5-K34),0)</f>
        <v>0</v>
      </c>
      <c r="L35" s="350">
        <f>IF(L34&gt;0,IF(L34&gt;5,0,5-L34),0)</f>
        <v>0</v>
      </c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IF($F$34=0, $F$32*1, $F$32*$F$35)+IF($L$34=0, $L$32*3,$L$32*$L$35)</f>
        <v>0</v>
      </c>
      <c r="T35" s="386">
        <f>Cen!F118</f>
        <v>23.000999999999998</v>
      </c>
      <c r="U35" s="387">
        <f t="shared" si="0"/>
        <v>0</v>
      </c>
    </row>
    <row r="36" spans="1:21" ht="14" x14ac:dyDescent="0.3">
      <c r="A36" s="114"/>
      <c r="B36" s="284"/>
      <c r="C36" s="351"/>
      <c r="D36" s="332" t="str">
        <f>IF(D34&gt;5,"Max. 5!"," ")</f>
        <v xml:space="preserve"> </v>
      </c>
      <c r="E36" s="332" t="str">
        <f>IF(E34&gt;5,"Max. 5!"," ")</f>
        <v xml:space="preserve"> </v>
      </c>
      <c r="F36" s="332" t="str">
        <f>IF(F34&gt;5,"Max. 5!"," ")</f>
        <v xml:space="preserve"> </v>
      </c>
      <c r="G36" s="330"/>
      <c r="H36" s="352"/>
      <c r="I36" s="351"/>
      <c r="J36" s="332" t="str">
        <f>IF(J34&gt;5,"Max. 5!"," ")</f>
        <v xml:space="preserve"> </v>
      </c>
      <c r="K36" s="332" t="str">
        <f>IF(K34&gt;5,"Max. 5!"," ")</f>
        <v xml:space="preserve"> </v>
      </c>
      <c r="L36" s="332" t="str">
        <f>IF(L34&gt;5,"Max. 5!"," ")</f>
        <v xml:space="preserve"> </v>
      </c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/>
      <c r="T36" s="386">
        <f>Cen!F119</f>
        <v>20.570499999999996</v>
      </c>
      <c r="U36" s="387">
        <f t="shared" si="0"/>
        <v>0</v>
      </c>
    </row>
    <row r="37" spans="1:21" ht="14" x14ac:dyDescent="0.3">
      <c r="A37" s="114"/>
      <c r="B37" s="284"/>
      <c r="C37" s="331"/>
      <c r="D37" s="336"/>
      <c r="E37" s="336"/>
      <c r="F37" s="336"/>
      <c r="G37" s="336"/>
      <c r="H37" s="336"/>
      <c r="I37" s="336"/>
      <c r="J37" s="330"/>
      <c r="K37" s="336"/>
      <c r="L37" s="336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/>
      <c r="T37" s="386">
        <f>Cen!F120</f>
        <v>25.957080000000001</v>
      </c>
      <c r="U37" s="387">
        <f t="shared" si="0"/>
        <v>0</v>
      </c>
    </row>
    <row r="38" spans="1:21" ht="14" x14ac:dyDescent="0.3">
      <c r="A38" s="114"/>
      <c r="B38" s="353" t="str">
        <f>"       * "&amp;List!$B$266</f>
        <v xml:space="preserve">       * Nastavené počty korpusových lišt</v>
      </c>
      <c r="C38" s="331"/>
      <c r="D38" s="336"/>
      <c r="E38" s="336"/>
      <c r="F38" s="336"/>
      <c r="G38" s="336"/>
      <c r="H38" s="336"/>
      <c r="I38" s="336"/>
      <c r="J38" s="330"/>
      <c r="K38" s="336"/>
      <c r="L38" s="336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/>
      <c r="T38" s="386">
        <f>Cen!F121</f>
        <v>26.813510000000001</v>
      </c>
      <c r="U38" s="387">
        <f t="shared" si="0"/>
        <v>0</v>
      </c>
    </row>
    <row r="39" spans="1:21" ht="14" x14ac:dyDescent="0.3">
      <c r="A39" s="114"/>
      <c r="B39" s="353" t="str">
        <f>"     ** "&amp;List!$B$269</f>
        <v xml:space="preserve">     ** Jednotky TIP-ON BLUMOTION jsou přidány automaticky</v>
      </c>
      <c r="C39" s="331"/>
      <c r="D39" s="336"/>
      <c r="E39" s="336"/>
      <c r="F39" s="336"/>
      <c r="G39" s="336"/>
      <c r="H39" s="336"/>
      <c r="I39" s="336"/>
      <c r="J39" s="330"/>
      <c r="K39" s="336"/>
      <c r="L39" s="336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4" x14ac:dyDescent="0.3">
      <c r="A40" s="114"/>
      <c r="B40" s="284" t="str">
        <f>"        "&amp;List!B270</f>
        <v xml:space="preserve">        Synchronizace je přidána automaticky. </v>
      </c>
      <c r="C40" s="331"/>
      <c r="D40" s="336"/>
      <c r="E40" s="336"/>
      <c r="F40" s="336"/>
      <c r="G40" s="336"/>
      <c r="H40" s="336"/>
      <c r="I40" s="336"/>
      <c r="J40" s="330"/>
      <c r="K40" s="336"/>
      <c r="L40" s="336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SUM(S30, S32, S34)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SUM(S31, S33, S35)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358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CEILING(SUM(SUM($D$32:$F$32)/6, SUM($J$32:$L$32)/3), 1)*5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398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398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x14ac:dyDescent="0.25">
      <c r="A54" s="114"/>
      <c r="B54" s="141"/>
      <c r="C54" s="141"/>
      <c r="D54" s="141"/>
      <c r="E54" s="141"/>
      <c r="F54" s="141"/>
      <c r="G54" s="141"/>
      <c r="H54" s="141"/>
      <c r="I54" s="141"/>
      <c r="J54" s="147"/>
      <c r="K54" s="152"/>
      <c r="L54" s="152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B55" s="141"/>
      <c r="C55" s="141"/>
      <c r="D55" s="141"/>
      <c r="E55" s="141"/>
      <c r="F55" s="141"/>
      <c r="G55" s="141"/>
      <c r="H55" s="141"/>
      <c r="I55" s="141"/>
      <c r="J55" s="147"/>
      <c r="K55" s="152"/>
      <c r="L55" s="152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B56" s="141"/>
      <c r="C56" s="141"/>
      <c r="D56" s="141"/>
      <c r="E56" s="141"/>
      <c r="F56" s="141"/>
      <c r="G56" s="141"/>
      <c r="H56" s="141"/>
      <c r="I56" s="141"/>
      <c r="J56" s="147"/>
      <c r="K56" s="152"/>
      <c r="L56" s="152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B57" s="141"/>
      <c r="C57" s="141"/>
      <c r="D57" s="141"/>
      <c r="E57" s="141"/>
      <c r="F57" s="141"/>
      <c r="G57" s="141"/>
      <c r="H57" s="141"/>
      <c r="I57" s="141"/>
      <c r="J57" s="147"/>
      <c r="K57" s="152"/>
      <c r="L57" s="152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>S57*T57</f>
        <v>0</v>
      </c>
    </row>
    <row r="58" spans="1:21" x14ac:dyDescent="0.25">
      <c r="A58" s="114"/>
      <c r="B58" s="141"/>
      <c r="C58" s="141"/>
      <c r="D58" s="141"/>
      <c r="E58" s="141"/>
      <c r="F58" s="141"/>
      <c r="G58" s="141"/>
      <c r="H58" s="141"/>
      <c r="I58" s="141"/>
      <c r="J58" s="147"/>
      <c r="K58" s="152"/>
      <c r="L58" s="152"/>
      <c r="M58" s="114"/>
      <c r="N58" s="114"/>
      <c r="O58" s="114"/>
      <c r="P58" s="123"/>
      <c r="Q58" s="123"/>
      <c r="R58" s="123"/>
      <c r="S58" s="385"/>
      <c r="T58" s="386"/>
      <c r="U58" s="387"/>
    </row>
    <row r="59" spans="1:21" x14ac:dyDescent="0.25">
      <c r="P59" s="402" t="str">
        <f>Cen!A189</f>
        <v>Držáky čela vnitřního výsuvu D bílošedé</v>
      </c>
      <c r="Q59" s="402" t="str">
        <f>Cen!B189</f>
        <v>ZIF.74D0</v>
      </c>
      <c r="R59" s="402" t="str">
        <f>Cen!C189</f>
        <v>WGR</v>
      </c>
      <c r="S59" s="385">
        <f>SUM($S$3:$S$11)</f>
        <v>0</v>
      </c>
      <c r="T59" s="402">
        <f>Cen!F189</f>
        <v>6.1373600000000001</v>
      </c>
      <c r="U59" s="387">
        <f t="shared" si="2"/>
        <v>0</v>
      </c>
    </row>
    <row r="60" spans="1:21" x14ac:dyDescent="0.25"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CEILING(SUM(SUM($D$24:$F$24, $D$32:$F$32)/3, SUM($J$24:$L$24, $J$32:$L$32)/2), 1)*5</f>
        <v>0</v>
      </c>
      <c r="T60" s="402">
        <f>Cen!F194</f>
        <v>14.286440000000001</v>
      </c>
      <c r="U60" s="387">
        <f t="shared" si="2"/>
        <v>0</v>
      </c>
    </row>
    <row r="61" spans="1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CEILING(SUM(SUM($D$24:$F$24, $D$32:$F$32)/3, SUM($J$24:$L$24, $J$32:$L$32)/2), 1)*5</f>
        <v>0</v>
      </c>
      <c r="T61" s="402">
        <f>Cen!F199</f>
        <v>6.6514599999999993</v>
      </c>
      <c r="U61" s="387">
        <f t="shared" si="2"/>
        <v>0</v>
      </c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Cen!A254</f>
        <v>Zásuvný prvek D, 270mm, čiré sko</v>
      </c>
      <c r="Q75" s="123" t="str">
        <f>Cen!B254</f>
        <v>Z37R237D</v>
      </c>
      <c r="R75" s="123" t="str">
        <f>Cen!C254</f>
        <v>KL</v>
      </c>
      <c r="S75" s="385">
        <f t="shared" ref="S75:S83" si="5">S3</f>
        <v>0</v>
      </c>
      <c r="T75" s="402">
        <f>Cen!F254</f>
        <v>9.78749</v>
      </c>
      <c r="U75" s="387">
        <f t="shared" ref="U75:U83" si="6">S75*T75</f>
        <v>0</v>
      </c>
    </row>
    <row r="76" spans="16:21" x14ac:dyDescent="0.25">
      <c r="P76" s="123" t="str">
        <f>Cen!A256</f>
        <v>Zásuvný prvek D, 300mm, čiré sko</v>
      </c>
      <c r="Q76" s="123" t="str">
        <f>Cen!B256</f>
        <v>Z37R267D</v>
      </c>
      <c r="R76" s="123" t="str">
        <f>Cen!C256</f>
        <v>KL</v>
      </c>
      <c r="S76" s="385">
        <f t="shared" si="5"/>
        <v>0</v>
      </c>
      <c r="T76" s="402">
        <f>Cen!F256</f>
        <v>10.956569999999999</v>
      </c>
      <c r="U76" s="387">
        <f t="shared" si="6"/>
        <v>0</v>
      </c>
    </row>
    <row r="77" spans="16:21" x14ac:dyDescent="0.25">
      <c r="P77" s="123" t="str">
        <f>Cen!A258</f>
        <v>Zásuvný prvek D, 350mm, čiré sko</v>
      </c>
      <c r="Q77" s="123" t="str">
        <f>Cen!B258</f>
        <v>Z37R317D</v>
      </c>
      <c r="R77" s="123" t="str">
        <f>Cen!C258</f>
        <v>KL</v>
      </c>
      <c r="S77" s="385">
        <f t="shared" si="5"/>
        <v>0</v>
      </c>
      <c r="T77" s="402">
        <f>Cen!F258</f>
        <v>10.55153</v>
      </c>
      <c r="U77" s="387">
        <f t="shared" si="6"/>
        <v>0</v>
      </c>
    </row>
    <row r="78" spans="16:21" x14ac:dyDescent="0.25">
      <c r="P78" s="123" t="str">
        <f>Cen!A260</f>
        <v>Zásuvný prvek D, 400mm, čiré sko</v>
      </c>
      <c r="Q78" s="123" t="str">
        <f>Cen!B260</f>
        <v>Z37R367D</v>
      </c>
      <c r="R78" s="123" t="str">
        <f>Cen!C260</f>
        <v>KL</v>
      </c>
      <c r="S78" s="385">
        <f t="shared" si="5"/>
        <v>0</v>
      </c>
      <c r="T78" s="402">
        <f>Cen!F260</f>
        <v>11.739190000000001</v>
      </c>
      <c r="U78" s="387">
        <f t="shared" si="6"/>
        <v>0</v>
      </c>
    </row>
    <row r="79" spans="16:21" x14ac:dyDescent="0.25">
      <c r="P79" s="123" t="str">
        <f>Cen!A262</f>
        <v>Zásuvný prvek D, 450mm, čiré sko</v>
      </c>
      <c r="Q79" s="123" t="str">
        <f>Cen!B262</f>
        <v>Z37R417D</v>
      </c>
      <c r="R79" s="123" t="str">
        <f>Cen!C262</f>
        <v>KL</v>
      </c>
      <c r="S79" s="385">
        <f t="shared" si="5"/>
        <v>0</v>
      </c>
      <c r="T79" s="402">
        <f>Cen!F262</f>
        <v>14.23917</v>
      </c>
      <c r="U79" s="387">
        <f t="shared" si="6"/>
        <v>0</v>
      </c>
    </row>
    <row r="80" spans="16:21" x14ac:dyDescent="0.25">
      <c r="P80" s="123" t="str">
        <f>Cen!A264</f>
        <v>Zásuvný prvek D, 500mm, čiré sko</v>
      </c>
      <c r="Q80" s="123" t="str">
        <f>Cen!B264</f>
        <v>Z37R467D</v>
      </c>
      <c r="R80" s="123" t="str">
        <f>Cen!C264</f>
        <v>KL</v>
      </c>
      <c r="S80" s="385">
        <f t="shared" si="5"/>
        <v>0</v>
      </c>
      <c r="T80" s="402">
        <f>Cen!F264</f>
        <v>11.697749999999999</v>
      </c>
      <c r="U80" s="387">
        <f t="shared" si="6"/>
        <v>0</v>
      </c>
    </row>
    <row r="81" spans="16:21" x14ac:dyDescent="0.25">
      <c r="P81" s="123" t="str">
        <f>Cen!A266</f>
        <v>Zásuvný prvek D, 550mm, čiré sko</v>
      </c>
      <c r="Q81" s="123" t="str">
        <f>Cen!B266</f>
        <v>Z37R517D</v>
      </c>
      <c r="R81" s="123" t="str">
        <f>Cen!C266</f>
        <v>KL</v>
      </c>
      <c r="S81" s="385">
        <f t="shared" si="5"/>
        <v>0</v>
      </c>
      <c r="T81" s="402">
        <f>Cen!F266</f>
        <v>13.304410000000001</v>
      </c>
      <c r="U81" s="387">
        <f t="shared" si="6"/>
        <v>0</v>
      </c>
    </row>
    <row r="82" spans="16:21" x14ac:dyDescent="0.25">
      <c r="P82" s="123" t="str">
        <f>Cen!A268</f>
        <v>Zásuvný prvek D, 600mm, čiré sko</v>
      </c>
      <c r="Q82" s="123" t="str">
        <f>Cen!B268</f>
        <v>Z37R567D</v>
      </c>
      <c r="R82" s="123" t="str">
        <f>Cen!C268</f>
        <v>KL</v>
      </c>
      <c r="S82" s="385">
        <f t="shared" si="5"/>
        <v>0</v>
      </c>
      <c r="T82" s="402">
        <f>Cen!F268</f>
        <v>14.08703</v>
      </c>
      <c r="U82" s="387">
        <f t="shared" si="6"/>
        <v>0</v>
      </c>
    </row>
    <row r="83" spans="16:21" x14ac:dyDescent="0.25">
      <c r="P83" s="123" t="str">
        <f>Cen!A270</f>
        <v>Zásuvný prvek D, 650mm, čiré sko</v>
      </c>
      <c r="Q83" s="123" t="str">
        <f>Cen!B270</f>
        <v>Z37R617D</v>
      </c>
      <c r="R83" s="123" t="str">
        <f>Cen!C270</f>
        <v>KL</v>
      </c>
      <c r="S83" s="385">
        <f t="shared" si="5"/>
        <v>0</v>
      </c>
      <c r="T83" s="402">
        <f>Cen!F270</f>
        <v>13.988720000000001</v>
      </c>
      <c r="U83" s="387">
        <f t="shared" si="6"/>
        <v>0</v>
      </c>
    </row>
    <row r="84" spans="16:21" x14ac:dyDescent="0.25">
      <c r="P84" s="123"/>
      <c r="Q84" s="123"/>
      <c r="R84" s="123"/>
      <c r="S84" s="385"/>
      <c r="T84" s="402"/>
      <c r="U84" s="387"/>
    </row>
    <row r="85" spans="16:21" x14ac:dyDescent="0.25">
      <c r="P85" s="123" t="str">
        <f>Cen!A632</f>
        <v>CLIP top 155° s nulovým přesahem, EXPANDO</v>
      </c>
      <c r="Q85" s="123" t="str">
        <f>Cen!B632</f>
        <v>71T753EN</v>
      </c>
      <c r="R85" s="123" t="str">
        <f>Cen!C632</f>
        <v>NI</v>
      </c>
      <c r="S85" s="385">
        <f>SUM(SUM($D$24:$F$24, $D$32:$F$32)*3, SUM($J$24:$L$24, $J$32:$L$32)*4)</f>
        <v>0</v>
      </c>
      <c r="T85" s="402">
        <f>Cen!F632</f>
        <v>4.42394</v>
      </c>
      <c r="U85" s="387">
        <f t="shared" ref="U85:U87" si="7">S85*T85</f>
        <v>0</v>
      </c>
    </row>
    <row r="86" spans="16:21" x14ac:dyDescent="0.25">
      <c r="P86" s="123" t="str">
        <f>Cen!A639</f>
        <v>Podložka CLIP s excentrem, EXPANDO</v>
      </c>
      <c r="Q86" s="123" t="str">
        <f>Cen!B639</f>
        <v>174H7100E</v>
      </c>
      <c r="R86" s="123" t="str">
        <f>Cen!C639</f>
        <v>NI</v>
      </c>
      <c r="S86" s="385">
        <f>S85</f>
        <v>0</v>
      </c>
      <c r="T86" s="402">
        <f>Cen!F639</f>
        <v>0.59260999999999997</v>
      </c>
      <c r="U86" s="387">
        <f t="shared" si="7"/>
        <v>0</v>
      </c>
    </row>
    <row r="87" spans="16:21" x14ac:dyDescent="0.25">
      <c r="P87" s="123" t="str">
        <f>Cen!A644</f>
        <v>BLUMOTION pro nasazení na závěs 155° a 125°</v>
      </c>
      <c r="Q87" s="123" t="str">
        <f>Cen!B644</f>
        <v>973A7000</v>
      </c>
      <c r="R87" s="123" t="str">
        <f>Cen!C644</f>
        <v>NI</v>
      </c>
      <c r="S87" s="385">
        <f>SUM(SUM($D$24:$F$24, $D$32:$F$32)*2, SUM($J$24:$L$24, $J$32:$L$32)*3)</f>
        <v>0</v>
      </c>
      <c r="T87" s="402">
        <f>Cen!F644</f>
        <v>1.5222899999999999</v>
      </c>
      <c r="U87" s="387">
        <f t="shared" si="7"/>
        <v>0</v>
      </c>
    </row>
    <row r="90" spans="16:21" x14ac:dyDescent="0.25">
      <c r="U90" s="436">
        <f>SUM(U3:U87)</f>
        <v>0</v>
      </c>
    </row>
  </sheetData>
  <sheetProtection algorithmName="SHA-512" hashValue="rNssCB1EPqUvTQHYjzicmVP0W/bIaCbFPuobI5xNqmZ22qfYmm3mgb6QWv1Fa+2wC2HVA+le0AbbkjDyUfRZqw==" saltValue="dfn4I9m0dWUVApPjvDCg3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8" tint="0.59999389629810485"/>
  </sheetPr>
  <dimension ref="A1:V104"/>
  <sheetViews>
    <sheetView showGridLines="0" showRowColHeaders="0" zoomScaleNormal="100" workbookViewId="0">
      <selection activeCell="N15" sqref="N15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2.45312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"SPACE-TOWER, "&amp;List!$B$60&amp;" 5xD"</f>
        <v>SPACE-TOWER, sestava 5xD</v>
      </c>
      <c r="M2" s="114"/>
      <c r="O2" s="114"/>
      <c r="P2" s="416" t="s">
        <v>1209</v>
      </c>
      <c r="Q2" s="417">
        <f>SUM(D24:F24)</f>
        <v>0</v>
      </c>
      <c r="R2" s="418">
        <f>SUM(J24:L24)</f>
        <v>0</v>
      </c>
      <c r="S2" s="418">
        <f>SUM(D32:F32)</f>
        <v>0</v>
      </c>
      <c r="T2" s="418">
        <f>SUM(J32:L32)</f>
        <v>0</v>
      </c>
      <c r="U2" s="541">
        <f>Form!N2</f>
        <v>1</v>
      </c>
      <c r="V2" s="2" t="s">
        <v>1478</v>
      </c>
    </row>
    <row r="3" spans="1:22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List!$B$63</f>
        <v>kovový zásuvný prvek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38" si="0">S3*T3</f>
        <v>0</v>
      </c>
    </row>
    <row r="4" spans="1:22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2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List!$B$102&amp;" KB:"</f>
        <v>Šířka korpusu KB:</v>
      </c>
      <c r="J7" s="117"/>
      <c r="K7" s="116" t="s">
        <v>248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IF($U$2=4, 0, SUM($D$24, $J$24, $D$32, $J$32)*5)</f>
        <v>0</v>
      </c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IF($U$2=4, 0, SUM($E$24, $K$24, $E$32, $K$32)*5)</f>
        <v>0</v>
      </c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IF($U$2=4, 0, SUM($F$24, $L$24, $F$32, $L$32)*5)</f>
        <v>0</v>
      </c>
      <c r="T9" s="386">
        <f>Cen!F52</f>
        <v>18.128509999999999</v>
      </c>
      <c r="U9" s="387">
        <f t="shared" si="0"/>
        <v>0</v>
      </c>
    </row>
    <row r="10" spans="1:22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/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8"/>
      <c r="J11" s="8"/>
      <c r="K11" s="114"/>
      <c r="L11" s="114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/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83"/>
      <c r="I12" s="323"/>
      <c r="J12" s="323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83"/>
      <c r="I13" s="281"/>
      <c r="J13" s="281"/>
      <c r="K13" s="281"/>
      <c r="L13" s="118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83"/>
      <c r="I14" s="303"/>
      <c r="J14" s="303"/>
      <c r="K14" s="183"/>
      <c r="L14" s="114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83"/>
      <c r="I15" s="304"/>
      <c r="J15" s="304"/>
      <c r="K15" s="304"/>
      <c r="L15" s="111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4.5" x14ac:dyDescent="0.35">
      <c r="A17" s="114"/>
      <c r="B17" s="325" t="str">
        <f>"   "&amp;List!B261</f>
        <v xml:space="preserve">   Zadejte počty skříní podle šířky korpusu a délky výsuvů</v>
      </c>
      <c r="C17" s="326"/>
      <c r="D17" s="327"/>
      <c r="E17" s="327"/>
      <c r="F17" s="327"/>
      <c r="G17" s="326"/>
      <c r="H17" s="326"/>
      <c r="I17" s="326"/>
      <c r="J17" s="327"/>
      <c r="K17" s="327"/>
      <c r="L17" s="327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IF($D$26=0, $D$24*4, $D$24*$D$26)+IF($J$26=0, $J$24*2,$J$24*$J$26))</f>
        <v>0</v>
      </c>
      <c r="T17" s="386">
        <f>Cen!F98</f>
        <v>16.63541</v>
      </c>
      <c r="U17" s="387">
        <f t="shared" si="0"/>
        <v>0</v>
      </c>
    </row>
    <row r="18" spans="1:21" ht="14.5" x14ac:dyDescent="0.35">
      <c r="A18" s="114"/>
      <c r="B18" s="325" t="str">
        <f>"   "&amp;List!B265</f>
        <v xml:space="preserve">   Zadejte počet korpusových lišt, pokud chcete jiné, než přednastavené složení</v>
      </c>
      <c r="C18" s="326"/>
      <c r="D18" s="327"/>
      <c r="E18" s="327"/>
      <c r="F18" s="327"/>
      <c r="G18" s="326"/>
      <c r="H18" s="326"/>
      <c r="I18" s="326"/>
      <c r="J18" s="327"/>
      <c r="K18" s="327"/>
      <c r="L18" s="327"/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IF($U$2=4, 0, IF($D$26=0, $D$24*1, $D$24*$D$27)+IF($J$26=0, $J$24*3,$J$24*$J$27))</f>
        <v>0</v>
      </c>
      <c r="T18" s="386">
        <f>Cen!F99</f>
        <v>22.021799999999999</v>
      </c>
      <c r="U18" s="387">
        <f t="shared" si="0"/>
        <v>0</v>
      </c>
    </row>
    <row r="19" spans="1:21" ht="14.5" x14ac:dyDescent="0.35">
      <c r="A19" s="114"/>
      <c r="B19" s="325" t="str">
        <f>"         "&amp;List!B263</f>
        <v xml:space="preserve">         Zadejte počty 30kg korpusových lišt, 65kg lišty se dopočítají</v>
      </c>
      <c r="C19" s="326"/>
      <c r="D19" s="327"/>
      <c r="E19" s="327"/>
      <c r="F19" s="327"/>
      <c r="G19" s="326"/>
      <c r="H19" s="326"/>
      <c r="I19" s="326"/>
      <c r="J19" s="327"/>
      <c r="K19" s="327"/>
      <c r="L19" s="327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IF($E$26=0, $E$24*4, $E$24*$E$26)+IF($K$26=0, $K$24*2,$K$24*$K$26))</f>
        <v>0</v>
      </c>
      <c r="T19" s="389">
        <f>Cen!F100</f>
        <v>15.919919999999999</v>
      </c>
      <c r="U19" s="390">
        <f t="shared" si="0"/>
        <v>0</v>
      </c>
    </row>
    <row r="20" spans="1:21" ht="7.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IF($U$2=4, 0, IF($E$26=0, $E$24*1, $E$24*$E$27)+IF($K$26=0, $K$24*3,$K$24*$K$27))</f>
        <v>0</v>
      </c>
      <c r="T20" s="389">
        <f>Cen!F101</f>
        <v>24.51277</v>
      </c>
      <c r="U20" s="390">
        <f t="shared" si="0"/>
        <v>0</v>
      </c>
    </row>
    <row r="21" spans="1:21" ht="15.5" x14ac:dyDescent="0.25">
      <c r="A21" s="114"/>
      <c r="B21" s="328" t="str">
        <f>"▼   "&amp;List!$B$102&amp;" KB 450 mm"</f>
        <v>▼   Šířka korpusu KB 450 mm</v>
      </c>
      <c r="C21" s="284"/>
      <c r="D21" s="284"/>
      <c r="E21" s="284"/>
      <c r="F21" s="284"/>
      <c r="G21" s="284"/>
      <c r="H21" s="328" t="str">
        <f>"▼   "&amp;List!$B$102&amp;" KB 600 mm"</f>
        <v>▼   Šířka korpusu KB 600 mm</v>
      </c>
      <c r="I21" s="285"/>
      <c r="J21" s="285"/>
      <c r="K21" s="285"/>
      <c r="L21" s="285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IF($F$26=0, $F$24*4, $F$24*$F$26)+IF($L$26=0, $L$24*2,$L$24*$L$26))</f>
        <v>0</v>
      </c>
      <c r="T21" s="386">
        <f>Cen!F102</f>
        <v>17.614419999999999</v>
      </c>
      <c r="U21" s="387">
        <f t="shared" si="0"/>
        <v>0</v>
      </c>
    </row>
    <row r="22" spans="1:21" ht="22.5" customHeight="1" x14ac:dyDescent="0.35">
      <c r="A22" s="114"/>
      <c r="B22" s="329" t="s">
        <v>882</v>
      </c>
      <c r="C22" s="283"/>
      <c r="D22" s="284"/>
      <c r="E22" s="284"/>
      <c r="F22" s="284"/>
      <c r="G22" s="284"/>
      <c r="H22" s="329" t="s">
        <v>882</v>
      </c>
      <c r="I22" s="283"/>
      <c r="J22" s="285"/>
      <c r="K22" s="285"/>
      <c r="L22" s="285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IF($U$2=4, 0, IF($F$26=0, $F$24*1, $F$24*$F$27)+IF($L$26=0, $L$24*3,$L$24*$L$27))</f>
        <v>0</v>
      </c>
      <c r="T22" s="386">
        <f>Cen!F103</f>
        <v>23.000999999999998</v>
      </c>
      <c r="U22" s="387">
        <f t="shared" si="0"/>
        <v>0</v>
      </c>
    </row>
    <row r="23" spans="1:21" ht="14" x14ac:dyDescent="0.3">
      <c r="A23" s="114"/>
      <c r="B23" s="334"/>
      <c r="C23" s="282" t="str">
        <f>List!$B$45&amp;":"</f>
        <v>Jmenovitá délka:</v>
      </c>
      <c r="D23" s="286">
        <v>450</v>
      </c>
      <c r="E23" s="335">
        <v>500</v>
      </c>
      <c r="F23" s="289">
        <v>550</v>
      </c>
      <c r="G23" s="336"/>
      <c r="H23" s="334"/>
      <c r="I23" s="282" t="str">
        <f>List!$B$45&amp;":"</f>
        <v>Jmenovitá délka:</v>
      </c>
      <c r="J23" s="286">
        <v>450</v>
      </c>
      <c r="K23" s="335">
        <v>500</v>
      </c>
      <c r="L23" s="289">
        <v>550</v>
      </c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337"/>
      <c r="C24" s="282" t="str">
        <f>List!$B$260&amp;":"</f>
        <v>Počet skříní:</v>
      </c>
      <c r="D24" s="338"/>
      <c r="E24" s="338"/>
      <c r="F24" s="339"/>
      <c r="G24" s="330"/>
      <c r="H24" s="337"/>
      <c r="I24" s="282" t="str">
        <f>List!$B$260&amp;":"</f>
        <v>Počet skříní:</v>
      </c>
      <c r="J24" s="338"/>
      <c r="K24" s="338"/>
      <c r="L24" s="340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/>
      <c r="T24" s="386">
        <f>Cen!F105</f>
        <v>25.957080000000001</v>
      </c>
      <c r="U24" s="387">
        <f t="shared" si="0"/>
        <v>0</v>
      </c>
    </row>
    <row r="25" spans="1:21" ht="14.5" x14ac:dyDescent="0.35">
      <c r="A25" s="114"/>
      <c r="B25" s="341" t="str">
        <f>List!$B$264</f>
        <v>Korpusové lišty</v>
      </c>
      <c r="C25" s="282"/>
      <c r="D25" s="342"/>
      <c r="E25" s="342"/>
      <c r="F25" s="342"/>
      <c r="G25" s="342"/>
      <c r="H25" s="341" t="str">
        <f>List!$B$264</f>
        <v>Korpusové lišty</v>
      </c>
      <c r="I25" s="282"/>
      <c r="J25" s="342"/>
      <c r="K25" s="342"/>
      <c r="L25" s="342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/>
      <c r="T25" s="395">
        <f>Cen!F106</f>
        <v>26.813510000000001</v>
      </c>
      <c r="U25" s="396">
        <f t="shared" si="0"/>
        <v>0</v>
      </c>
    </row>
    <row r="26" spans="1:21" ht="14.5" thickBot="1" x14ac:dyDescent="0.35">
      <c r="A26" s="114"/>
      <c r="B26" s="290" t="s">
        <v>447</v>
      </c>
      <c r="C26" s="343" t="s">
        <v>883</v>
      </c>
      <c r="D26" s="344"/>
      <c r="E26" s="344"/>
      <c r="F26" s="345"/>
      <c r="G26" s="330"/>
      <c r="H26" s="290" t="s">
        <v>447</v>
      </c>
      <c r="I26" s="291" t="str">
        <f>"2 ks*"</f>
        <v>2 ks*</v>
      </c>
      <c r="J26" s="346"/>
      <c r="K26" s="346"/>
      <c r="L26" s="347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/>
      <c r="T26" s="392">
        <f>Cen!F109</f>
        <v>16.390229999999999</v>
      </c>
      <c r="U26" s="393">
        <f t="shared" si="0"/>
        <v>0</v>
      </c>
    </row>
    <row r="27" spans="1:21" ht="14" x14ac:dyDescent="0.3">
      <c r="A27" s="114"/>
      <c r="B27" s="295" t="s">
        <v>446</v>
      </c>
      <c r="C27" s="348" t="s">
        <v>884</v>
      </c>
      <c r="D27" s="349">
        <f>IF(D26&gt;0, IF(D26&gt;5,0, 5-D26),0)</f>
        <v>0</v>
      </c>
      <c r="E27" s="349">
        <f>IF(E26&gt;0, IF(E26&gt;5,0, 5-E26),0)</f>
        <v>0</v>
      </c>
      <c r="F27" s="350">
        <f>IF(F26&gt;0, IF(F26&gt;5,0, 5-F26),0)</f>
        <v>0</v>
      </c>
      <c r="G27" s="330"/>
      <c r="H27" s="295" t="s">
        <v>446</v>
      </c>
      <c r="I27" s="348" t="str">
        <f>"3 ks*"</f>
        <v>3 ks*</v>
      </c>
      <c r="J27" s="349">
        <f>IF(J26&gt;0, IF(J26&gt;5,0, 5-J26),0)</f>
        <v>0</v>
      </c>
      <c r="K27" s="349">
        <f>IF(K26&gt;0, IF(K26&gt;5,0, 5-K26),0)</f>
        <v>0</v>
      </c>
      <c r="L27" s="350">
        <f>IF(L26&gt;0, IF(L26&gt;5,0, 5-L26),0)</f>
        <v>0</v>
      </c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/>
      <c r="T27" s="386">
        <f>Cen!F110</f>
        <v>16.390229999999999</v>
      </c>
      <c r="U27" s="387">
        <f t="shared" si="0"/>
        <v>0</v>
      </c>
    </row>
    <row r="28" spans="1:21" ht="14.5" x14ac:dyDescent="0.35">
      <c r="A28" s="114"/>
      <c r="B28" s="284"/>
      <c r="C28" s="342"/>
      <c r="D28" s="332" t="str">
        <f>IF(D26&gt;5,"Max. 5!"," ")</f>
        <v xml:space="preserve"> </v>
      </c>
      <c r="E28" s="332" t="str">
        <f>IF(E26&gt;5,"Max. 5!"," ")</f>
        <v xml:space="preserve"> </v>
      </c>
      <c r="F28" s="332" t="str">
        <f>IF(F26&gt;5,"Max. 5!"," ")</f>
        <v xml:space="preserve"> </v>
      </c>
      <c r="G28" s="342"/>
      <c r="H28" s="342"/>
      <c r="I28" s="342"/>
      <c r="J28" s="332" t="str">
        <f>IF(J26&gt;5,"Max. 5!"," ")</f>
        <v xml:space="preserve"> </v>
      </c>
      <c r="K28" s="332" t="str">
        <f>IF(K26&gt;5,"Max. 5!"," ")</f>
        <v xml:space="preserve"> </v>
      </c>
      <c r="L28" s="332" t="str">
        <f>IF(L26&gt;5,"Max. 5!"," ")</f>
        <v xml:space="preserve"> </v>
      </c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/>
      <c r="T28" s="386">
        <f>Cen!F111</f>
        <v>16.390229999999999</v>
      </c>
      <c r="U28" s="387">
        <f t="shared" si="0"/>
        <v>0</v>
      </c>
    </row>
    <row r="29" spans="1:21" ht="9" customHeight="1" x14ac:dyDescent="0.35">
      <c r="A29" s="114"/>
      <c r="B29" s="284"/>
      <c r="C29" s="284"/>
      <c r="D29" s="284"/>
      <c r="E29" s="284"/>
      <c r="F29" s="284"/>
      <c r="G29" s="342"/>
      <c r="H29" s="333"/>
      <c r="I29" s="333"/>
      <c r="J29" s="333"/>
      <c r="K29" s="333"/>
      <c r="L29" s="333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/>
      <c r="T29" s="386">
        <f>Cen!F112</f>
        <v>16.512820000000001</v>
      </c>
      <c r="U29" s="387">
        <f t="shared" si="0"/>
        <v>0</v>
      </c>
    </row>
    <row r="30" spans="1:21" ht="15.5" x14ac:dyDescent="0.25">
      <c r="A30" s="114"/>
      <c r="B30" s="280" t="s">
        <v>885</v>
      </c>
      <c r="C30" s="283"/>
      <c r="D30" s="284"/>
      <c r="E30" s="284"/>
      <c r="F30" s="284"/>
      <c r="G30" s="284"/>
      <c r="H30" s="280" t="s">
        <v>885</v>
      </c>
      <c r="I30" s="354"/>
      <c r="J30" s="285"/>
      <c r="K30" s="285"/>
      <c r="L30" s="285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IF($U$2=4, 0, IF($D$34=0, $D$32*4, $D$32*$D$34)+IF($J$34=0, $J$32*2,$J$32*$J$34))</f>
        <v>0</v>
      </c>
      <c r="T30" s="386">
        <f>Cen!F113</f>
        <v>16.63541</v>
      </c>
      <c r="U30" s="387">
        <f t="shared" si="0"/>
        <v>0</v>
      </c>
    </row>
    <row r="31" spans="1:21" ht="14" x14ac:dyDescent="0.3">
      <c r="A31" s="114"/>
      <c r="B31" s="334"/>
      <c r="C31" s="282" t="str">
        <f>List!$B$45&amp;":"</f>
        <v>Jmenovitá délka:</v>
      </c>
      <c r="D31" s="286">
        <v>450</v>
      </c>
      <c r="E31" s="335">
        <v>500</v>
      </c>
      <c r="F31" s="289">
        <v>550</v>
      </c>
      <c r="G31" s="336"/>
      <c r="H31" s="334"/>
      <c r="I31" s="282" t="str">
        <f>List!$B$45&amp;":"</f>
        <v>Jmenovitá délka:</v>
      </c>
      <c r="J31" s="286">
        <v>450</v>
      </c>
      <c r="K31" s="335">
        <v>500</v>
      </c>
      <c r="L31" s="289">
        <v>550</v>
      </c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IF($U$2=4, 0, IF($D$34=0, $D$32*1, $D$32*$D$35)+IF($J$34=0, $J$32*3,$J$32*$J$35))</f>
        <v>0</v>
      </c>
      <c r="T31" s="386">
        <f>Cen!F114</f>
        <v>22.021810000000002</v>
      </c>
      <c r="U31" s="387">
        <f t="shared" si="0"/>
        <v>0</v>
      </c>
    </row>
    <row r="32" spans="1:21" ht="14" x14ac:dyDescent="0.3">
      <c r="A32" s="114"/>
      <c r="B32" s="337"/>
      <c r="C32" s="282" t="str">
        <f>List!$B$260&amp;":"</f>
        <v>Počet skříní:</v>
      </c>
      <c r="D32" s="338"/>
      <c r="E32" s="338"/>
      <c r="F32" s="339"/>
      <c r="G32" s="330"/>
      <c r="H32" s="337"/>
      <c r="I32" s="282" t="str">
        <f>List!$B$260&amp;":"</f>
        <v>Počet skříní:</v>
      </c>
      <c r="J32" s="338"/>
      <c r="K32" s="338"/>
      <c r="L32" s="340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IF($U$2=4, 0, IF($E$34=0, $E$32*4, $E$32*$E$34)+IF($K$34=0, $K$32*2,$K$32*$K$34))</f>
        <v>0</v>
      </c>
      <c r="T32" s="389">
        <f>Cen!F115</f>
        <v>16.757819999999999</v>
      </c>
      <c r="U32" s="390">
        <f t="shared" si="0"/>
        <v>0</v>
      </c>
    </row>
    <row r="33" spans="1:21" ht="14.5" x14ac:dyDescent="0.35">
      <c r="A33" s="114"/>
      <c r="B33" s="341" t="str">
        <f>List!$B$264</f>
        <v>Korpusové lišty</v>
      </c>
      <c r="C33" s="282"/>
      <c r="D33" s="342"/>
      <c r="E33" s="342"/>
      <c r="F33" s="342"/>
      <c r="G33" s="342"/>
      <c r="H33" s="341" t="str">
        <f>List!$B$264</f>
        <v>Korpusové lišty</v>
      </c>
      <c r="I33" s="282"/>
      <c r="J33" s="342"/>
      <c r="K33" s="342"/>
      <c r="L33" s="342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IF($U$2=4, 0, IF($E$34=0, $E$32*1, $E$32*$E$35)+IF($K$34=0, $K$32*3,$K$32*$K$35))</f>
        <v>0</v>
      </c>
      <c r="T33" s="389">
        <f>Cen!F116</f>
        <v>22.144390000000001</v>
      </c>
      <c r="U33" s="390">
        <f t="shared" si="0"/>
        <v>0</v>
      </c>
    </row>
    <row r="34" spans="1:21" ht="14.5" thickBot="1" x14ac:dyDescent="0.35">
      <c r="A34" s="114"/>
      <c r="B34" s="290" t="s">
        <v>447</v>
      </c>
      <c r="C34" s="343" t="s">
        <v>883</v>
      </c>
      <c r="D34" s="344"/>
      <c r="E34" s="344"/>
      <c r="F34" s="345"/>
      <c r="G34" s="330"/>
      <c r="H34" s="290" t="s">
        <v>447</v>
      </c>
      <c r="I34" s="291" t="str">
        <f>"2 ks*"</f>
        <v>2 ks*</v>
      </c>
      <c r="J34" s="346"/>
      <c r="K34" s="346"/>
      <c r="L34" s="347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IF($U$2=4, 0, IF($F$34=0, $F$32*4, $F$32*$F$34)+IF($L$34=0, $L$32*2,$L$32*$L$34))</f>
        <v>0</v>
      </c>
      <c r="T34" s="386">
        <f>Cen!F117</f>
        <v>17.614419999999999</v>
      </c>
      <c r="U34" s="387">
        <f t="shared" si="0"/>
        <v>0</v>
      </c>
    </row>
    <row r="35" spans="1:21" ht="14" x14ac:dyDescent="0.3">
      <c r="A35" s="114"/>
      <c r="B35" s="295" t="s">
        <v>446</v>
      </c>
      <c r="C35" s="348" t="s">
        <v>884</v>
      </c>
      <c r="D35" s="349">
        <f>IF(D34&gt;0,IF(D34&gt;5,0,5-D34),0)</f>
        <v>0</v>
      </c>
      <c r="E35" s="349">
        <f>IF(E34&gt;0,IF(E34&gt;5,0,5-E34),0)</f>
        <v>0</v>
      </c>
      <c r="F35" s="350">
        <f>IF(F34&gt;0,IF(F34&gt;5,0,5-F34),0)</f>
        <v>0</v>
      </c>
      <c r="G35" s="330"/>
      <c r="H35" s="295" t="s">
        <v>446</v>
      </c>
      <c r="I35" s="348" t="str">
        <f>"3 ks*"</f>
        <v>3 ks*</v>
      </c>
      <c r="J35" s="349">
        <f>IF(J34&gt;0,IF(J34&gt;5,0,5-J34),0)</f>
        <v>0</v>
      </c>
      <c r="K35" s="349">
        <f>IF(K34&gt;0,IF(K34&gt;5,0,5-K34),0)</f>
        <v>0</v>
      </c>
      <c r="L35" s="350">
        <f>IF(L34&gt;0,IF(L34&gt;5,0,5-L34),0)</f>
        <v>0</v>
      </c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IF($U$2=4, 0, IF($F$34=0, $F$32*1, $F$32*$F$35)+IF($L$34=0, $L$32*3,$L$32*$L$35))</f>
        <v>0</v>
      </c>
      <c r="T35" s="386">
        <f>Cen!F118</f>
        <v>23.000999999999998</v>
      </c>
      <c r="U35" s="387">
        <f t="shared" si="0"/>
        <v>0</v>
      </c>
    </row>
    <row r="36" spans="1:21" ht="14" x14ac:dyDescent="0.3">
      <c r="A36" s="114"/>
      <c r="B36" s="284"/>
      <c r="C36" s="351"/>
      <c r="D36" s="332" t="str">
        <f>IF(D34&gt;5,"Max. 5!"," ")</f>
        <v xml:space="preserve"> </v>
      </c>
      <c r="E36" s="332" t="str">
        <f>IF(E34&gt;5,"Max. 5!"," ")</f>
        <v xml:space="preserve"> </v>
      </c>
      <c r="F36" s="332" t="str">
        <f>IF(F34&gt;5,"Max. 5!"," ")</f>
        <v xml:space="preserve"> </v>
      </c>
      <c r="G36" s="330"/>
      <c r="H36" s="352"/>
      <c r="I36" s="351"/>
      <c r="J36" s="332" t="str">
        <f>IF(J34&gt;5,"Max. 5!"," ")</f>
        <v xml:space="preserve"> </v>
      </c>
      <c r="K36" s="332" t="str">
        <f>IF(K34&gt;5,"Max. 5!"," ")</f>
        <v xml:space="preserve"> </v>
      </c>
      <c r="L36" s="332" t="str">
        <f>IF(L34&gt;5,"Max. 5!"," ")</f>
        <v xml:space="preserve"> </v>
      </c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/>
      <c r="T36" s="386">
        <f>Cen!F119</f>
        <v>20.570499999999996</v>
      </c>
      <c r="U36" s="387">
        <f t="shared" si="0"/>
        <v>0</v>
      </c>
    </row>
    <row r="37" spans="1:21" ht="14" x14ac:dyDescent="0.3">
      <c r="A37" s="114"/>
      <c r="B37" s="284"/>
      <c r="C37" s="331"/>
      <c r="D37" s="336"/>
      <c r="E37" s="336"/>
      <c r="F37" s="336"/>
      <c r="G37" s="336"/>
      <c r="H37" s="336"/>
      <c r="I37" s="336"/>
      <c r="J37" s="330"/>
      <c r="K37" s="336"/>
      <c r="L37" s="336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/>
      <c r="T37" s="386">
        <f>Cen!F120</f>
        <v>25.957080000000001</v>
      </c>
      <c r="U37" s="387">
        <f t="shared" si="0"/>
        <v>0</v>
      </c>
    </row>
    <row r="38" spans="1:21" ht="14" x14ac:dyDescent="0.3">
      <c r="A38" s="114"/>
      <c r="B38" s="353" t="str">
        <f>"       * "&amp;List!$B$266</f>
        <v xml:space="preserve">       * Nastavené počty korpusových lišt</v>
      </c>
      <c r="C38" s="331"/>
      <c r="D38" s="336"/>
      <c r="E38" s="336"/>
      <c r="F38" s="336"/>
      <c r="G38" s="336"/>
      <c r="H38" s="336"/>
      <c r="I38" s="336"/>
      <c r="J38" s="330"/>
      <c r="K38" s="336"/>
      <c r="L38" s="336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/>
      <c r="T38" s="386">
        <f>Cen!F121</f>
        <v>26.813510000000001</v>
      </c>
      <c r="U38" s="387">
        <f t="shared" si="0"/>
        <v>0</v>
      </c>
    </row>
    <row r="39" spans="1:21" ht="14" x14ac:dyDescent="0.3">
      <c r="A39" s="114"/>
      <c r="B39" s="353" t="str">
        <f>"     ** "&amp;List!$B$269</f>
        <v xml:space="preserve">     ** Jednotky TIP-ON BLUMOTION jsou přidány automaticky</v>
      </c>
      <c r="C39" s="331"/>
      <c r="D39" s="336"/>
      <c r="E39" s="336"/>
      <c r="F39" s="336"/>
      <c r="G39" s="336"/>
      <c r="H39" s="336"/>
      <c r="I39" s="336"/>
      <c r="J39" s="330"/>
      <c r="K39" s="336"/>
      <c r="L39" s="336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4" x14ac:dyDescent="0.3">
      <c r="A40" s="114"/>
      <c r="B40" s="284" t="str">
        <f>"        "&amp;List!B270</f>
        <v xml:space="preserve">        Synchronizace je přidána automaticky. </v>
      </c>
      <c r="C40" s="331"/>
      <c r="D40" s="336"/>
      <c r="E40" s="336"/>
      <c r="F40" s="336"/>
      <c r="G40" s="336"/>
      <c r="H40" s="336"/>
      <c r="I40" s="336"/>
      <c r="J40" s="330"/>
      <c r="K40" s="336"/>
      <c r="L40" s="336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SUM(S30, S32, S34)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SUM(S31, S33, S35)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IF($U$2=4, 0, CEILING(SUM(SUM($D$32:$F$32)/6, SUM($J$32:$L$32)/3), 1)*5)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358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7"/>
      <c r="K52" s="152"/>
      <c r="L52" s="152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B53" s="141"/>
      <c r="C53" s="141"/>
      <c r="D53" s="141"/>
      <c r="E53" s="141"/>
      <c r="F53" s="141"/>
      <c r="G53" s="141"/>
      <c r="H53" s="141"/>
      <c r="I53" s="141"/>
      <c r="J53" s="147"/>
      <c r="K53" s="152"/>
      <c r="L53" s="152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x14ac:dyDescent="0.25">
      <c r="A54" s="114"/>
      <c r="B54" s="141"/>
      <c r="C54" s="141"/>
      <c r="D54" s="141"/>
      <c r="E54" s="141"/>
      <c r="F54" s="141"/>
      <c r="G54" s="141"/>
      <c r="H54" s="141"/>
      <c r="I54" s="141"/>
      <c r="J54" s="147"/>
      <c r="K54" s="398"/>
      <c r="L54" s="152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B55" s="141"/>
      <c r="C55" s="141"/>
      <c r="D55" s="141"/>
      <c r="E55" s="141"/>
      <c r="F55" s="141"/>
      <c r="G55" s="141"/>
      <c r="H55" s="141"/>
      <c r="I55" s="141"/>
      <c r="J55" s="147"/>
      <c r="K55" s="398"/>
      <c r="L55" s="152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B56" s="141"/>
      <c r="C56" s="141"/>
      <c r="D56" s="141"/>
      <c r="E56" s="141"/>
      <c r="F56" s="141"/>
      <c r="G56" s="141"/>
      <c r="H56" s="141"/>
      <c r="I56" s="141"/>
      <c r="J56" s="147"/>
      <c r="K56" s="152"/>
      <c r="L56" s="152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B57" s="141"/>
      <c r="C57" s="141"/>
      <c r="D57" s="141"/>
      <c r="E57" s="141"/>
      <c r="F57" s="141"/>
      <c r="G57" s="141"/>
      <c r="H57" s="141"/>
      <c r="I57" s="141"/>
      <c r="J57" s="147"/>
      <c r="K57" s="152"/>
      <c r="L57" s="152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>S57*T57</f>
        <v>0</v>
      </c>
    </row>
    <row r="58" spans="1:21" x14ac:dyDescent="0.25">
      <c r="A58" s="114"/>
      <c r="B58" s="141"/>
      <c r="C58" s="141"/>
      <c r="D58" s="141"/>
      <c r="E58" s="141"/>
      <c r="F58" s="141"/>
      <c r="G58" s="141"/>
      <c r="H58" s="141"/>
      <c r="I58" s="141"/>
      <c r="J58" s="147"/>
      <c r="K58" s="152"/>
      <c r="L58" s="152"/>
      <c r="M58" s="114"/>
      <c r="N58" s="114"/>
      <c r="O58" s="114"/>
      <c r="P58" s="123"/>
      <c r="Q58" s="123"/>
      <c r="R58" s="123"/>
      <c r="S58" s="385"/>
      <c r="T58" s="386"/>
      <c r="U58" s="387"/>
    </row>
    <row r="59" spans="1:21" x14ac:dyDescent="0.25">
      <c r="A59" s="114"/>
      <c r="B59" s="141"/>
      <c r="C59" s="141"/>
      <c r="D59" s="141"/>
      <c r="E59" s="141"/>
      <c r="F59" s="141"/>
      <c r="G59" s="141"/>
      <c r="H59" s="141"/>
      <c r="I59" s="141"/>
      <c r="J59" s="147"/>
      <c r="K59" s="152"/>
      <c r="L59" s="152"/>
      <c r="M59" s="114"/>
      <c r="N59" s="114"/>
      <c r="O59" s="114"/>
      <c r="P59" s="402" t="str">
        <f>Cen!A189</f>
        <v>Držáky čela vnitřního výsuvu D bílošedé</v>
      </c>
      <c r="Q59" s="402" t="str">
        <f>Cen!B189</f>
        <v>ZIF.74D0</v>
      </c>
      <c r="R59" s="402" t="str">
        <f>Cen!C189</f>
        <v>WGR</v>
      </c>
      <c r="S59" s="385">
        <f>SUM($S$3:$S$11)</f>
        <v>0</v>
      </c>
      <c r="T59" s="402">
        <f>Cen!F189</f>
        <v>6.1373600000000001</v>
      </c>
      <c r="U59" s="387">
        <f t="shared" si="2"/>
        <v>0</v>
      </c>
    </row>
    <row r="60" spans="1:21" x14ac:dyDescent="0.25">
      <c r="A60" s="114"/>
      <c r="B60" s="141"/>
      <c r="C60" s="141"/>
      <c r="D60" s="141"/>
      <c r="E60" s="141"/>
      <c r="F60" s="141"/>
      <c r="G60" s="141"/>
      <c r="H60" s="141"/>
      <c r="I60" s="141"/>
      <c r="J60" s="147"/>
      <c r="K60" s="152"/>
      <c r="L60" s="152"/>
      <c r="M60" s="114"/>
      <c r="N60" s="114"/>
      <c r="O60" s="114"/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IF($U$2=4, 0, CEILING(SUM(SUM($D$24:$F$24, $D$32:$F$32)/3, SUM($J$24:$L$24, $J$32:$L$32)/2), 1)*5)</f>
        <v>0</v>
      </c>
      <c r="T60" s="402">
        <f>Cen!F194</f>
        <v>14.286440000000001</v>
      </c>
      <c r="U60" s="387">
        <f t="shared" si="2"/>
        <v>0</v>
      </c>
    </row>
    <row r="61" spans="1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IF($U$2=4, 0, CEILING(SUM(SUM($D$24:$F$24, $D$32:$F$32)/3, SUM($J$24:$L$24, $J$32:$L$32)/2), 1)*5)</f>
        <v>0</v>
      </c>
      <c r="T61" s="402">
        <f>Cen!F199</f>
        <v>6.6514599999999993</v>
      </c>
      <c r="U61" s="387">
        <f t="shared" si="2"/>
        <v>0</v>
      </c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 t="str">
        <f>Cen!A292</f>
        <v>Kovový zásuvný prvek D, 450mm, šedý</v>
      </c>
      <c r="Q79" s="123" t="str">
        <f>Cen!B292</f>
        <v>Z37A417D</v>
      </c>
      <c r="R79" s="123" t="str">
        <f>Cen!C292</f>
        <v>R906</v>
      </c>
      <c r="S79" s="385">
        <f t="shared" ref="S79:S82" si="5">S7</f>
        <v>0</v>
      </c>
      <c r="T79" s="402">
        <f>Cen!F292</f>
        <v>6.1435899999999997</v>
      </c>
      <c r="U79" s="387">
        <f t="shared" ref="U79:U83" si="6">S79*T79</f>
        <v>0</v>
      </c>
    </row>
    <row r="80" spans="16:21" x14ac:dyDescent="0.25">
      <c r="P80" s="123" t="str">
        <f>Cen!A295</f>
        <v>Kovový zásuvný prvek D, 500mm, šedý</v>
      </c>
      <c r="Q80" s="123" t="str">
        <f>Cen!B295</f>
        <v>Z37A467D</v>
      </c>
      <c r="R80" s="123" t="str">
        <f>Cen!C295</f>
        <v>R906</v>
      </c>
      <c r="S80" s="385">
        <f t="shared" si="5"/>
        <v>0</v>
      </c>
      <c r="T80" s="402">
        <f>Cen!F295</f>
        <v>6.4565700000000001</v>
      </c>
      <c r="U80" s="387">
        <f t="shared" si="6"/>
        <v>0</v>
      </c>
    </row>
    <row r="81" spans="16:21" x14ac:dyDescent="0.25">
      <c r="P81" s="123" t="str">
        <f>Cen!A298</f>
        <v>Kovový zásuvný prvek D, 550mm, šedý</v>
      </c>
      <c r="Q81" s="123" t="str">
        <f>Cen!B298</f>
        <v>Z37A517D</v>
      </c>
      <c r="R81" s="123" t="str">
        <f>Cen!C298</f>
        <v>R906</v>
      </c>
      <c r="S81" s="385">
        <f t="shared" si="5"/>
        <v>0</v>
      </c>
      <c r="T81" s="402">
        <f>Cen!F298</f>
        <v>6.9749699999999999</v>
      </c>
      <c r="U81" s="387">
        <f t="shared" si="6"/>
        <v>0</v>
      </c>
    </row>
    <row r="82" spans="16:21" x14ac:dyDescent="0.25">
      <c r="P82" s="123">
        <f>Cen!A301</f>
        <v>0</v>
      </c>
      <c r="Q82" s="123">
        <f>Cen!B301</f>
        <v>0</v>
      </c>
      <c r="R82" s="123">
        <f>Cen!C301</f>
        <v>0</v>
      </c>
      <c r="S82" s="385">
        <f t="shared" si="5"/>
        <v>0</v>
      </c>
      <c r="T82" s="402">
        <f>Cen!F301</f>
        <v>0</v>
      </c>
      <c r="U82" s="387">
        <f t="shared" si="6"/>
        <v>0</v>
      </c>
    </row>
    <row r="83" spans="16:21" x14ac:dyDescent="0.25">
      <c r="P83" s="123" t="str">
        <f>Cen!A304</f>
        <v>Kovový zásuvný prvek D, 650mm, šedý</v>
      </c>
      <c r="Q83" s="123" t="str">
        <f>Cen!B304</f>
        <v>Z37A617D</v>
      </c>
      <c r="R83" s="123" t="str">
        <f>Cen!C304</f>
        <v>R906</v>
      </c>
      <c r="S83" s="385">
        <f>SUM(S10:S11)</f>
        <v>0</v>
      </c>
      <c r="T83" s="402">
        <f>Cen!F304</f>
        <v>8.0120000000000005</v>
      </c>
      <c r="U83" s="387">
        <f t="shared" si="6"/>
        <v>0</v>
      </c>
    </row>
    <row r="84" spans="16:21" x14ac:dyDescent="0.25">
      <c r="P84" s="123"/>
      <c r="Q84" s="123"/>
      <c r="R84" s="123"/>
      <c r="S84" s="385"/>
      <c r="T84" s="402"/>
      <c r="U84" s="387"/>
    </row>
    <row r="85" spans="16:21" x14ac:dyDescent="0.25">
      <c r="P85" s="123" t="str">
        <f>Cen!A632</f>
        <v>CLIP top 155° s nulovým přesahem, EXPANDO</v>
      </c>
      <c r="Q85" s="123" t="str">
        <f>Cen!B632</f>
        <v>71T753EN</v>
      </c>
      <c r="R85" s="123" t="str">
        <f>Cen!C632</f>
        <v>NI</v>
      </c>
      <c r="S85" s="385">
        <f>IF($U$2=4, 0, SUM(SUM($D$24:$F$24, $D$32:$F$32)*3, SUM($J$24:$L$24, $J$32:$L$32)*4))</f>
        <v>0</v>
      </c>
      <c r="T85" s="402">
        <f>Cen!F632</f>
        <v>4.42394</v>
      </c>
      <c r="U85" s="387">
        <f t="shared" ref="U85:U87" si="7">S85*T85</f>
        <v>0</v>
      </c>
    </row>
    <row r="86" spans="16:21" x14ac:dyDescent="0.25">
      <c r="P86" s="123" t="str">
        <f>Cen!A639</f>
        <v>Podložka CLIP s excentrem, EXPANDO</v>
      </c>
      <c r="Q86" s="123" t="str">
        <f>Cen!B639</f>
        <v>174H7100E</v>
      </c>
      <c r="R86" s="123" t="str">
        <f>Cen!C639</f>
        <v>NI</v>
      </c>
      <c r="S86" s="385">
        <f>S85</f>
        <v>0</v>
      </c>
      <c r="T86" s="402">
        <f>Cen!F639</f>
        <v>0.59260999999999997</v>
      </c>
      <c r="U86" s="387">
        <f t="shared" si="7"/>
        <v>0</v>
      </c>
    </row>
    <row r="87" spans="16:21" x14ac:dyDescent="0.25">
      <c r="P87" s="123" t="str">
        <f>Cen!A644</f>
        <v>BLUMOTION pro nasazení na závěs 155° a 125°</v>
      </c>
      <c r="Q87" s="123" t="str">
        <f>Cen!B644</f>
        <v>973A7000</v>
      </c>
      <c r="R87" s="123" t="str">
        <f>Cen!C644</f>
        <v>NI</v>
      </c>
      <c r="S87" s="385">
        <f>IF($U$2=4, 0, SUM(SUM($D$24:$F$24, $D$32:$F$32)*2, SUM($J$24:$L$24, $J$32:$L$32)*3))</f>
        <v>0</v>
      </c>
      <c r="T87" s="402">
        <f>Cen!F644</f>
        <v>1.5222899999999999</v>
      </c>
      <c r="U87" s="387">
        <f t="shared" si="7"/>
        <v>0</v>
      </c>
    </row>
    <row r="90" spans="16:21" x14ac:dyDescent="0.25">
      <c r="U90" s="436">
        <f>SUM(U3:U87)</f>
        <v>0</v>
      </c>
    </row>
    <row r="103" spans="16:16" x14ac:dyDescent="0.25">
      <c r="P103" s="114" t="str">
        <f>List!$B$289&amp;"!"</f>
        <v>Kovové zásuvné prvky pro nerez (Inox) se nevyrábí!</v>
      </c>
    </row>
    <row r="104" spans="16:16" x14ac:dyDescent="0.25">
      <c r="P104" s="114" t="str">
        <f>List!$B$290&amp;"!"</f>
        <v>Kování naplánované na tomto listu se neprojeví v objednávce!</v>
      </c>
    </row>
  </sheetData>
  <sheetProtection algorithmName="SHA-512" hashValue="fwiLLNH0EG4oNPJRG07eF4j3/zwuAlZMNA/ts8mjPdiINzepVbhWVVh1NQBC4GtPuhDYNzkBg7NkZcluCX6+hQ==" saltValue="LILapydtsx7rVZhFGT5jQw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8" tint="0.59999389629810485"/>
  </sheetPr>
  <dimension ref="A1:U90"/>
  <sheetViews>
    <sheetView showGridLines="0" showRowColHeaders="0" zoomScaleNormal="100" workbookViewId="0">
      <selection activeCell="N26" sqref="N26"/>
    </sheetView>
  </sheetViews>
  <sheetFormatPr defaultColWidth="9.1796875" defaultRowHeight="12.5" x14ac:dyDescent="0.25"/>
  <cols>
    <col min="1" max="1" width="3.54296875" style="2" customWidth="1"/>
    <col min="2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0" width="9.1796875" style="2" hidden="1" customWidth="1"/>
    <col min="21" max="21" width="12.81640625" style="2" hidden="1" customWidth="1"/>
    <col min="22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"SPACE-TOWER, "&amp;List!$B$60&amp;" 5xD"</f>
        <v>SPACE-TOWER, sestava 5xD</v>
      </c>
      <c r="M2" s="114"/>
      <c r="O2" s="114"/>
      <c r="P2" s="416" t="s">
        <v>1209</v>
      </c>
      <c r="Q2" s="417">
        <f>SUM(D24:F24)</f>
        <v>0</v>
      </c>
      <c r="R2" s="418">
        <f>SUM(J24:L24)</f>
        <v>0</v>
      </c>
      <c r="S2" s="418">
        <f>SUM(D32:F32)</f>
        <v>0</v>
      </c>
      <c r="T2" s="418">
        <f>SUM(J32:L32)</f>
        <v>0</v>
      </c>
    </row>
    <row r="3" spans="1:21" ht="17.5" x14ac:dyDescent="0.35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58" t="str">
        <f>List!$B$64</f>
        <v>podélný reling</v>
      </c>
      <c r="M3" s="114"/>
      <c r="N3" s="2" t="str">
        <f>List!$B$11&amp;":"</f>
        <v>Zpět na: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/>
      <c r="T3" s="386">
        <f>Cen!F28</f>
        <v>16.219809999999999</v>
      </c>
      <c r="U3" s="387">
        <f t="shared" ref="U3:U38" si="0">S3*T3</f>
        <v>0</v>
      </c>
    </row>
    <row r="4" spans="1:21" ht="13" thickBot="1" x14ac:dyDescent="0.3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49" t="str">
        <f>" "&amp;List!$B$13</f>
        <v xml:space="preserve"> Úvod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/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N5" s="150" t="str">
        <f>" "&amp;List!$B$4</f>
        <v xml:space="preserve"> Výběr zásuvek a výsuvů</v>
      </c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/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/>
      <c r="T6" s="386">
        <f>Cen!F40</f>
        <v>16.366499999999998</v>
      </c>
      <c r="U6" s="387">
        <f t="shared" si="0"/>
        <v>0</v>
      </c>
    </row>
    <row r="7" spans="1:21" x14ac:dyDescent="0.25">
      <c r="A7" s="114"/>
      <c r="B7" s="114"/>
      <c r="C7" s="114"/>
      <c r="D7" s="114"/>
      <c r="E7" s="114"/>
      <c r="F7" s="114"/>
      <c r="G7" s="114"/>
      <c r="H7" s="114"/>
      <c r="I7" s="117" t="str">
        <f>List!$B$102&amp;" KB:"</f>
        <v>Šířka korpusu KB:</v>
      </c>
      <c r="J7" s="117"/>
      <c r="K7" s="116" t="s">
        <v>248</v>
      </c>
      <c r="L7" s="117"/>
      <c r="M7" s="114"/>
      <c r="N7" s="2" t="str">
        <f>List!$B$12&amp;":"</f>
        <v>Pokračovat na: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SUM($D$24, $J$24, $D$32, $J$32)*5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"&amp;List!$B$5</f>
        <v xml:space="preserve"> Výběr doplňků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SUM($E$24, $K$24, $E$32, $K$32)*5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49" t="str">
        <f>" "&amp;List!$B$6</f>
        <v xml:space="preserve"> Výběr SERVO-DRIVE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SUM($F$24, $L$24, $F$32, $L$32)*5</f>
        <v>0</v>
      </c>
      <c r="T9" s="386">
        <f>Cen!F52</f>
        <v>18.128509999999999</v>
      </c>
      <c r="U9" s="387">
        <f t="shared" si="0"/>
        <v>0</v>
      </c>
    </row>
    <row r="10" spans="1:21" ht="13.5" thickBot="1" x14ac:dyDescent="0.3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265" t="str">
        <f>" "&amp;List!$B$7</f>
        <v xml:space="preserve"> Výběr ORGA-LINE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/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8"/>
      <c r="J11" s="8"/>
      <c r="K11" s="114"/>
      <c r="L11" s="114"/>
      <c r="M11" s="114"/>
      <c r="N11" s="150" t="str">
        <f>" "&amp;List!$B$18</f>
        <v xml:space="preserve"> Souhrn</v>
      </c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/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83"/>
      <c r="I12" s="323"/>
      <c r="J12" s="323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83"/>
      <c r="I13" s="281"/>
      <c r="J13" s="281"/>
      <c r="K13" s="281"/>
      <c r="L13" s="118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/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83"/>
      <c r="I14" s="303"/>
      <c r="J14" s="303"/>
      <c r="K14" s="183"/>
      <c r="L14" s="114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/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83"/>
      <c r="I15" s="304"/>
      <c r="J15" s="304"/>
      <c r="K15" s="304"/>
      <c r="L15" s="111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/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/>
      <c r="T16" s="386">
        <f>Cen!F97</f>
        <v>16.512820000000001</v>
      </c>
      <c r="U16" s="387">
        <f t="shared" si="0"/>
        <v>0</v>
      </c>
    </row>
    <row r="17" spans="1:21" ht="14.5" x14ac:dyDescent="0.35">
      <c r="A17" s="114"/>
      <c r="B17" s="325" t="str">
        <f>"   "&amp;List!B261</f>
        <v xml:space="preserve">   Zadejte počty skříní podle šířky korpusu a délky výsuvů</v>
      </c>
      <c r="C17" s="326"/>
      <c r="D17" s="327"/>
      <c r="E17" s="327"/>
      <c r="F17" s="327"/>
      <c r="G17" s="326"/>
      <c r="H17" s="326"/>
      <c r="I17" s="326"/>
      <c r="J17" s="327"/>
      <c r="K17" s="327"/>
      <c r="L17" s="327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IF($D$26=0, $D$24*4, $D$24*$D$26)+IF($J$26=0, $J$24*2,$J$24*$J$26)</f>
        <v>0</v>
      </c>
      <c r="T17" s="386">
        <f>Cen!F98</f>
        <v>16.63541</v>
      </c>
      <c r="U17" s="387">
        <f t="shared" si="0"/>
        <v>0</v>
      </c>
    </row>
    <row r="18" spans="1:21" ht="14.5" x14ac:dyDescent="0.35">
      <c r="A18" s="114"/>
      <c r="B18" s="325" t="str">
        <f>"   "&amp;List!B265</f>
        <v xml:space="preserve">   Zadejte počet korpusových lišt, pokud chcete jiné, než přednastavené složení</v>
      </c>
      <c r="C18" s="326"/>
      <c r="D18" s="327"/>
      <c r="E18" s="327"/>
      <c r="F18" s="327"/>
      <c r="G18" s="326"/>
      <c r="H18" s="326"/>
      <c r="I18" s="326"/>
      <c r="J18" s="327"/>
      <c r="K18" s="327"/>
      <c r="L18" s="327"/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IF($D$26=0, $D$24*1, $D$24*$D$27)+IF($J$26=0, $J$24*3,$J$24*$J$27)</f>
        <v>0</v>
      </c>
      <c r="T18" s="386">
        <f>Cen!F99</f>
        <v>22.021799999999999</v>
      </c>
      <c r="U18" s="387">
        <f t="shared" si="0"/>
        <v>0</v>
      </c>
    </row>
    <row r="19" spans="1:21" ht="14.5" x14ac:dyDescent="0.35">
      <c r="A19" s="114"/>
      <c r="B19" s="325" t="str">
        <f>"         "&amp;List!B263</f>
        <v xml:space="preserve">         Zadejte počty 30kg korpusových lišt, 65kg lišty se dopočítají</v>
      </c>
      <c r="C19" s="326"/>
      <c r="D19" s="327"/>
      <c r="E19" s="327"/>
      <c r="F19" s="327"/>
      <c r="G19" s="326"/>
      <c r="H19" s="326"/>
      <c r="I19" s="326"/>
      <c r="J19" s="327"/>
      <c r="K19" s="327"/>
      <c r="L19" s="327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IF($E$26=0, $E$24*4, $E$24*$E$26)+IF($K$26=0, $K$24*2,$K$24*$K$26)</f>
        <v>0</v>
      </c>
      <c r="T19" s="389">
        <f>Cen!F100</f>
        <v>15.919919999999999</v>
      </c>
      <c r="U19" s="390">
        <f t="shared" si="0"/>
        <v>0</v>
      </c>
    </row>
    <row r="20" spans="1:21" ht="7.5" customHeight="1" x14ac:dyDescent="0.3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IF($E$26=0, $E$24*1, $E$24*$E$27)+IF($K$26=0, $K$24*3,$K$24*$K$27)</f>
        <v>0</v>
      </c>
      <c r="T20" s="389">
        <f>Cen!F101</f>
        <v>24.51277</v>
      </c>
      <c r="U20" s="390">
        <f t="shared" si="0"/>
        <v>0</v>
      </c>
    </row>
    <row r="21" spans="1:21" ht="15.5" x14ac:dyDescent="0.25">
      <c r="A21" s="114"/>
      <c r="B21" s="328" t="str">
        <f>"▼   "&amp;List!$B$102&amp;" KB 450 mm"</f>
        <v>▼   Šířka korpusu KB 450 mm</v>
      </c>
      <c r="C21" s="284"/>
      <c r="D21" s="284"/>
      <c r="E21" s="284"/>
      <c r="F21" s="284"/>
      <c r="G21" s="284"/>
      <c r="H21" s="328" t="str">
        <f>"▼   "&amp;List!$B$102&amp;" KB 600 mm"</f>
        <v>▼   Šířka korpusu KB 600 mm</v>
      </c>
      <c r="I21" s="285"/>
      <c r="J21" s="285"/>
      <c r="K21" s="285"/>
      <c r="L21" s="285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IF($F$26=0, $F$24*4, $F$24*$F$26)+IF($L$26=0, $L$24*2,$L$24*$L$26)</f>
        <v>0</v>
      </c>
      <c r="T21" s="386">
        <f>Cen!F102</f>
        <v>17.614419999999999</v>
      </c>
      <c r="U21" s="387">
        <f t="shared" si="0"/>
        <v>0</v>
      </c>
    </row>
    <row r="22" spans="1:21" ht="22.5" customHeight="1" x14ac:dyDescent="0.35">
      <c r="A22" s="114"/>
      <c r="B22" s="329" t="s">
        <v>882</v>
      </c>
      <c r="C22" s="283"/>
      <c r="D22" s="284"/>
      <c r="E22" s="284"/>
      <c r="F22" s="284"/>
      <c r="G22" s="284"/>
      <c r="H22" s="329" t="s">
        <v>882</v>
      </c>
      <c r="I22" s="283"/>
      <c r="J22" s="285"/>
      <c r="K22" s="285"/>
      <c r="L22" s="285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IF($F$26=0, $F$24*1, $F$24*$F$27)+IF($L$26=0, $L$24*3,$L$24*$L$27)</f>
        <v>0</v>
      </c>
      <c r="T22" s="386">
        <f>Cen!F103</f>
        <v>23.000999999999998</v>
      </c>
      <c r="U22" s="387">
        <f t="shared" si="0"/>
        <v>0</v>
      </c>
    </row>
    <row r="23" spans="1:21" ht="14" x14ac:dyDescent="0.3">
      <c r="A23" s="114"/>
      <c r="B23" s="334"/>
      <c r="C23" s="282" t="str">
        <f>List!$B$45&amp;":"</f>
        <v>Jmenovitá délka:</v>
      </c>
      <c r="D23" s="286">
        <v>450</v>
      </c>
      <c r="E23" s="335">
        <v>500</v>
      </c>
      <c r="F23" s="289">
        <v>550</v>
      </c>
      <c r="G23" s="336"/>
      <c r="H23" s="334"/>
      <c r="I23" s="282" t="str">
        <f>List!$B$45&amp;":"</f>
        <v>Jmenovitá délka:</v>
      </c>
      <c r="J23" s="286">
        <v>450</v>
      </c>
      <c r="K23" s="335">
        <v>500</v>
      </c>
      <c r="L23" s="289">
        <v>550</v>
      </c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/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337"/>
      <c r="C24" s="282" t="str">
        <f>List!$B$260&amp;":"</f>
        <v>Počet skříní:</v>
      </c>
      <c r="D24" s="338"/>
      <c r="E24" s="338"/>
      <c r="F24" s="339"/>
      <c r="G24" s="330"/>
      <c r="H24" s="337"/>
      <c r="I24" s="282" t="str">
        <f>List!$B$260&amp;":"</f>
        <v>Počet skříní:</v>
      </c>
      <c r="J24" s="338"/>
      <c r="K24" s="338"/>
      <c r="L24" s="340"/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/>
      <c r="T24" s="386">
        <f>Cen!F105</f>
        <v>25.957080000000001</v>
      </c>
      <c r="U24" s="387">
        <f t="shared" si="0"/>
        <v>0</v>
      </c>
    </row>
    <row r="25" spans="1:21" ht="14.5" x14ac:dyDescent="0.35">
      <c r="A25" s="114"/>
      <c r="B25" s="341" t="str">
        <f>List!$B$264</f>
        <v>Korpusové lišty</v>
      </c>
      <c r="C25" s="282"/>
      <c r="D25" s="342"/>
      <c r="E25" s="342"/>
      <c r="F25" s="342"/>
      <c r="G25" s="342"/>
      <c r="H25" s="341" t="str">
        <f>List!$B$264</f>
        <v>Korpusové lišty</v>
      </c>
      <c r="I25" s="282"/>
      <c r="J25" s="342"/>
      <c r="K25" s="342"/>
      <c r="L25" s="342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/>
      <c r="T25" s="395">
        <f>Cen!F106</f>
        <v>26.813510000000001</v>
      </c>
      <c r="U25" s="396">
        <f t="shared" si="0"/>
        <v>0</v>
      </c>
    </row>
    <row r="26" spans="1:21" ht="14.5" thickBot="1" x14ac:dyDescent="0.35">
      <c r="A26" s="114"/>
      <c r="B26" s="290" t="s">
        <v>447</v>
      </c>
      <c r="C26" s="343" t="s">
        <v>883</v>
      </c>
      <c r="D26" s="344"/>
      <c r="E26" s="344"/>
      <c r="F26" s="345"/>
      <c r="G26" s="330"/>
      <c r="H26" s="290" t="s">
        <v>447</v>
      </c>
      <c r="I26" s="291" t="str">
        <f>"2 ks*"</f>
        <v>2 ks*</v>
      </c>
      <c r="J26" s="346"/>
      <c r="K26" s="346"/>
      <c r="L26" s="347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/>
      <c r="T26" s="392">
        <f>Cen!F109</f>
        <v>16.390229999999999</v>
      </c>
      <c r="U26" s="393">
        <f t="shared" si="0"/>
        <v>0</v>
      </c>
    </row>
    <row r="27" spans="1:21" ht="14" x14ac:dyDescent="0.3">
      <c r="A27" s="114"/>
      <c r="B27" s="295" t="s">
        <v>446</v>
      </c>
      <c r="C27" s="348" t="s">
        <v>884</v>
      </c>
      <c r="D27" s="349">
        <f>IF(D26&gt;0, IF(D26&gt;5,0, 5-D26),0)</f>
        <v>0</v>
      </c>
      <c r="E27" s="349">
        <f>IF(E26&gt;0, IF(E26&gt;5,0, 5-E26),0)</f>
        <v>0</v>
      </c>
      <c r="F27" s="350">
        <f>IF(F26&gt;0, IF(F26&gt;5,0, 5-F26),0)</f>
        <v>0</v>
      </c>
      <c r="G27" s="330"/>
      <c r="H27" s="295" t="s">
        <v>446</v>
      </c>
      <c r="I27" s="348" t="str">
        <f>"3 ks*"</f>
        <v>3 ks*</v>
      </c>
      <c r="J27" s="349">
        <f>IF(J26&gt;0, IF(J26&gt;5,0, 5-J26),0)</f>
        <v>0</v>
      </c>
      <c r="K27" s="349">
        <f>IF(K26&gt;0, IF(K26&gt;5,0, 5-K26),0)</f>
        <v>0</v>
      </c>
      <c r="L27" s="350">
        <f>IF(L26&gt;0, IF(L26&gt;5,0, 5-L26),0)</f>
        <v>0</v>
      </c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/>
      <c r="T27" s="386">
        <f>Cen!F110</f>
        <v>16.390229999999999</v>
      </c>
      <c r="U27" s="387">
        <f t="shared" si="0"/>
        <v>0</v>
      </c>
    </row>
    <row r="28" spans="1:21" ht="14.5" x14ac:dyDescent="0.35">
      <c r="A28" s="114"/>
      <c r="B28" s="284"/>
      <c r="C28" s="342"/>
      <c r="D28" s="332" t="str">
        <f>IF(D26&gt;5,"Max. 5!"," ")</f>
        <v xml:space="preserve"> </v>
      </c>
      <c r="E28" s="332" t="str">
        <f>IF(E26&gt;5,"Max. 5!"," ")</f>
        <v xml:space="preserve"> </v>
      </c>
      <c r="F28" s="332" t="str">
        <f>IF(F26&gt;5,"Max. 5!"," ")</f>
        <v xml:space="preserve"> </v>
      </c>
      <c r="G28" s="342"/>
      <c r="H28" s="342"/>
      <c r="I28" s="342"/>
      <c r="J28" s="332" t="str">
        <f>IF(J26&gt;5,"Max. 5!"," ")</f>
        <v xml:space="preserve"> </v>
      </c>
      <c r="K28" s="332" t="str">
        <f>IF(K26&gt;5,"Max. 5!"," ")</f>
        <v xml:space="preserve"> </v>
      </c>
      <c r="L28" s="332" t="str">
        <f>IF(L26&gt;5,"Max. 5!"," ")</f>
        <v xml:space="preserve"> </v>
      </c>
      <c r="M28" s="114"/>
      <c r="N28" s="114"/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/>
      <c r="T28" s="386">
        <f>Cen!F111</f>
        <v>16.390229999999999</v>
      </c>
      <c r="U28" s="387">
        <f t="shared" si="0"/>
        <v>0</v>
      </c>
    </row>
    <row r="29" spans="1:21" ht="9" customHeight="1" x14ac:dyDescent="0.35">
      <c r="A29" s="114"/>
      <c r="B29" s="284"/>
      <c r="C29" s="284"/>
      <c r="D29" s="284"/>
      <c r="E29" s="284"/>
      <c r="F29" s="284"/>
      <c r="G29" s="342"/>
      <c r="H29" s="333"/>
      <c r="I29" s="333"/>
      <c r="J29" s="333"/>
      <c r="K29" s="333"/>
      <c r="L29" s="333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/>
      <c r="T29" s="386">
        <f>Cen!F112</f>
        <v>16.512820000000001</v>
      </c>
      <c r="U29" s="387">
        <f t="shared" si="0"/>
        <v>0</v>
      </c>
    </row>
    <row r="30" spans="1:21" ht="15.5" x14ac:dyDescent="0.25">
      <c r="A30" s="114"/>
      <c r="B30" s="280" t="s">
        <v>885</v>
      </c>
      <c r="C30" s="283"/>
      <c r="D30" s="284"/>
      <c r="E30" s="284"/>
      <c r="F30" s="284"/>
      <c r="G30" s="284"/>
      <c r="H30" s="280" t="s">
        <v>885</v>
      </c>
      <c r="I30" s="354"/>
      <c r="J30" s="285"/>
      <c r="K30" s="285"/>
      <c r="L30" s="285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IF($D$34=0, $D$32*4, $D$32*$D$34)+IF($J$34=0, $J$32*2,$J$32*$J$34)</f>
        <v>0</v>
      </c>
      <c r="T30" s="386">
        <f>Cen!F113</f>
        <v>16.63541</v>
      </c>
      <c r="U30" s="387">
        <f t="shared" si="0"/>
        <v>0</v>
      </c>
    </row>
    <row r="31" spans="1:21" ht="14" x14ac:dyDescent="0.3">
      <c r="A31" s="114"/>
      <c r="B31" s="334"/>
      <c r="C31" s="282" t="str">
        <f>List!$B$45&amp;":"</f>
        <v>Jmenovitá délka:</v>
      </c>
      <c r="D31" s="286">
        <v>450</v>
      </c>
      <c r="E31" s="335">
        <v>500</v>
      </c>
      <c r="F31" s="289">
        <v>550</v>
      </c>
      <c r="G31" s="336"/>
      <c r="H31" s="334"/>
      <c r="I31" s="282" t="str">
        <f>List!$B$45&amp;":"</f>
        <v>Jmenovitá délka:</v>
      </c>
      <c r="J31" s="286">
        <v>450</v>
      </c>
      <c r="K31" s="335">
        <v>500</v>
      </c>
      <c r="L31" s="289">
        <v>550</v>
      </c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IF($D$34=0, $D$32*1, $D$32*$D$35)+IF($J$34=0, $J$32*3,$J$32*$J$35)</f>
        <v>0</v>
      </c>
      <c r="T31" s="386">
        <f>Cen!F114</f>
        <v>22.021810000000002</v>
      </c>
      <c r="U31" s="387">
        <f t="shared" si="0"/>
        <v>0</v>
      </c>
    </row>
    <row r="32" spans="1:21" ht="14" x14ac:dyDescent="0.3">
      <c r="A32" s="114"/>
      <c r="B32" s="337"/>
      <c r="C32" s="282" t="str">
        <f>List!$B$260&amp;":"</f>
        <v>Počet skříní:</v>
      </c>
      <c r="D32" s="338"/>
      <c r="E32" s="338"/>
      <c r="F32" s="339"/>
      <c r="G32" s="330"/>
      <c r="H32" s="337"/>
      <c r="I32" s="282" t="str">
        <f>List!$B$260&amp;":"</f>
        <v>Počet skříní:</v>
      </c>
      <c r="J32" s="338"/>
      <c r="K32" s="338"/>
      <c r="L32" s="340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IF($E$34=0, $E$32*4, $E$32*$E$34)+IF($K$34=0, $K$32*2,$K$32*$K$34)</f>
        <v>0</v>
      </c>
      <c r="T32" s="389">
        <f>Cen!F115</f>
        <v>16.757819999999999</v>
      </c>
      <c r="U32" s="390">
        <f t="shared" si="0"/>
        <v>0</v>
      </c>
    </row>
    <row r="33" spans="1:21" ht="14.5" x14ac:dyDescent="0.35">
      <c r="A33" s="114"/>
      <c r="B33" s="341" t="str">
        <f>List!$B$264</f>
        <v>Korpusové lišty</v>
      </c>
      <c r="C33" s="282"/>
      <c r="D33" s="342"/>
      <c r="E33" s="342"/>
      <c r="F33" s="342"/>
      <c r="G33" s="342"/>
      <c r="H33" s="341" t="str">
        <f>List!$B$264</f>
        <v>Korpusové lišty</v>
      </c>
      <c r="I33" s="282"/>
      <c r="J33" s="342"/>
      <c r="K33" s="342"/>
      <c r="L33" s="342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IF($E$34=0, $E$32*1, $E$32*$E$35)+IF($K$34=0, $K$32*3,$K$32*$K$35)</f>
        <v>0</v>
      </c>
      <c r="T33" s="389">
        <f>Cen!F116</f>
        <v>22.144390000000001</v>
      </c>
      <c r="U33" s="390">
        <f t="shared" si="0"/>
        <v>0</v>
      </c>
    </row>
    <row r="34" spans="1:21" ht="14.5" thickBot="1" x14ac:dyDescent="0.35">
      <c r="A34" s="114"/>
      <c r="B34" s="290" t="s">
        <v>447</v>
      </c>
      <c r="C34" s="343" t="s">
        <v>883</v>
      </c>
      <c r="D34" s="344"/>
      <c r="E34" s="344"/>
      <c r="F34" s="345"/>
      <c r="G34" s="330"/>
      <c r="H34" s="290" t="s">
        <v>447</v>
      </c>
      <c r="I34" s="291" t="str">
        <f>"2 ks*"</f>
        <v>2 ks*</v>
      </c>
      <c r="J34" s="346"/>
      <c r="K34" s="346"/>
      <c r="L34" s="347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IF($F$34=0, $F$32*4, $F$32*$F$34)+IF($L$34=0, $L$32*2,$L$32*$L$34)</f>
        <v>0</v>
      </c>
      <c r="T34" s="386">
        <f>Cen!F117</f>
        <v>17.614419999999999</v>
      </c>
      <c r="U34" s="387">
        <f t="shared" si="0"/>
        <v>0</v>
      </c>
    </row>
    <row r="35" spans="1:21" ht="14" x14ac:dyDescent="0.3">
      <c r="A35" s="114"/>
      <c r="B35" s="295" t="s">
        <v>446</v>
      </c>
      <c r="C35" s="348" t="s">
        <v>884</v>
      </c>
      <c r="D35" s="349">
        <f>IF(D34&gt;0,IF(D34&gt;5,0,5-D34),0)</f>
        <v>0</v>
      </c>
      <c r="E35" s="349">
        <f>IF(E34&gt;0,IF(E34&gt;5,0,5-E34),0)</f>
        <v>0</v>
      </c>
      <c r="F35" s="350">
        <f>IF(F34&gt;0,IF(F34&gt;5,0,5-F34),0)</f>
        <v>0</v>
      </c>
      <c r="G35" s="330"/>
      <c r="H35" s="295" t="s">
        <v>446</v>
      </c>
      <c r="I35" s="348" t="str">
        <f>"3 ks*"</f>
        <v>3 ks*</v>
      </c>
      <c r="J35" s="349">
        <f>IF(J34&gt;0,IF(J34&gt;5,0,5-J34),0)</f>
        <v>0</v>
      </c>
      <c r="K35" s="349">
        <f>IF(K34&gt;0,IF(K34&gt;5,0,5-K34),0)</f>
        <v>0</v>
      </c>
      <c r="L35" s="350">
        <f>IF(L34&gt;0,IF(L34&gt;5,0,5-L34),0)</f>
        <v>0</v>
      </c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IF($F$34=0, $F$32*1, $F$32*$F$35)+IF($L$34=0, $L$32*3,$L$32*$L$35)</f>
        <v>0</v>
      </c>
      <c r="T35" s="386">
        <f>Cen!F118</f>
        <v>23.000999999999998</v>
      </c>
      <c r="U35" s="387">
        <f t="shared" si="0"/>
        <v>0</v>
      </c>
    </row>
    <row r="36" spans="1:21" ht="14" x14ac:dyDescent="0.3">
      <c r="A36" s="114"/>
      <c r="B36" s="284"/>
      <c r="C36" s="351"/>
      <c r="D36" s="332" t="str">
        <f>IF(D34&gt;5,"Max. 5!"," ")</f>
        <v xml:space="preserve"> </v>
      </c>
      <c r="E36" s="332" t="str">
        <f>IF(E34&gt;5,"Max. 5!"," ")</f>
        <v xml:space="preserve"> </v>
      </c>
      <c r="F36" s="332" t="str">
        <f>IF(F34&gt;5,"Max. 5!"," ")</f>
        <v xml:space="preserve"> </v>
      </c>
      <c r="G36" s="330"/>
      <c r="H36" s="352"/>
      <c r="I36" s="351"/>
      <c r="J36" s="332" t="str">
        <f>IF(J34&gt;5,"Max. 5!"," ")</f>
        <v xml:space="preserve"> </v>
      </c>
      <c r="K36" s="332" t="str">
        <f>IF(K34&gt;5,"Max. 5!"," ")</f>
        <v xml:space="preserve"> </v>
      </c>
      <c r="L36" s="332" t="str">
        <f>IF(L34&gt;5,"Max. 5!"," ")</f>
        <v xml:space="preserve"> </v>
      </c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/>
      <c r="T36" s="386">
        <f>Cen!F119</f>
        <v>20.570499999999996</v>
      </c>
      <c r="U36" s="387">
        <f t="shared" si="0"/>
        <v>0</v>
      </c>
    </row>
    <row r="37" spans="1:21" ht="14" x14ac:dyDescent="0.3">
      <c r="A37" s="114"/>
      <c r="B37" s="284"/>
      <c r="C37" s="331"/>
      <c r="D37" s="336"/>
      <c r="E37" s="336"/>
      <c r="F37" s="336"/>
      <c r="G37" s="336"/>
      <c r="H37" s="336"/>
      <c r="I37" s="336"/>
      <c r="J37" s="330"/>
      <c r="K37" s="336"/>
      <c r="L37" s="336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/>
      <c r="T37" s="386">
        <f>Cen!F120</f>
        <v>25.957080000000001</v>
      </c>
      <c r="U37" s="387">
        <f t="shared" si="0"/>
        <v>0</v>
      </c>
    </row>
    <row r="38" spans="1:21" ht="14" x14ac:dyDescent="0.3">
      <c r="A38" s="114"/>
      <c r="B38" s="353" t="str">
        <f>"       * "&amp;List!$B$266</f>
        <v xml:space="preserve">       * Nastavené počty korpusových lišt</v>
      </c>
      <c r="C38" s="331"/>
      <c r="D38" s="336"/>
      <c r="E38" s="336"/>
      <c r="F38" s="336"/>
      <c r="G38" s="336"/>
      <c r="H38" s="336"/>
      <c r="I38" s="336"/>
      <c r="J38" s="330"/>
      <c r="K38" s="336"/>
      <c r="L38" s="336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/>
      <c r="T38" s="386">
        <f>Cen!F121</f>
        <v>26.813510000000001</v>
      </c>
      <c r="U38" s="387">
        <f t="shared" si="0"/>
        <v>0</v>
      </c>
    </row>
    <row r="39" spans="1:21" ht="14" x14ac:dyDescent="0.3">
      <c r="A39" s="114"/>
      <c r="B39" s="353" t="str">
        <f>"     ** "&amp;List!$B$269</f>
        <v xml:space="preserve">     ** Jednotky TIP-ON BLUMOTION jsou přidány automaticky</v>
      </c>
      <c r="C39" s="331"/>
      <c r="D39" s="336"/>
      <c r="E39" s="336"/>
      <c r="F39" s="336"/>
      <c r="G39" s="336"/>
      <c r="H39" s="336"/>
      <c r="I39" s="336"/>
      <c r="J39" s="330"/>
      <c r="K39" s="336"/>
      <c r="L39" s="336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4" x14ac:dyDescent="0.3">
      <c r="A40" s="114"/>
      <c r="B40" s="284" t="str">
        <f>"        "&amp;List!B270</f>
        <v xml:space="preserve">        Synchronizace je přidána automaticky. </v>
      </c>
      <c r="C40" s="331"/>
      <c r="D40" s="336"/>
      <c r="E40" s="336"/>
      <c r="F40" s="336"/>
      <c r="G40" s="336"/>
      <c r="H40" s="336"/>
      <c r="I40" s="336"/>
      <c r="J40" s="330"/>
      <c r="K40" s="336"/>
      <c r="L40" s="336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/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/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/>
      <c r="T42" s="386">
        <f>Cen!F126</f>
        <v>15.883479999999999</v>
      </c>
      <c r="U42" s="387">
        <f t="shared" si="1"/>
        <v>0</v>
      </c>
    </row>
    <row r="43" spans="1:21" ht="13" x14ac:dyDescent="0.3">
      <c r="A43" s="114"/>
      <c r="B43" s="193" t="str">
        <f>List!$B$23&amp;": *"</f>
        <v>Volitelně: *</v>
      </c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SUM(S30, S32, S34)</f>
        <v>0</v>
      </c>
      <c r="T43" s="386">
        <f>Cen!F127</f>
        <v>15.883479999999999</v>
      </c>
      <c r="U43" s="387">
        <f t="shared" si="1"/>
        <v>0</v>
      </c>
    </row>
    <row r="44" spans="1:21" ht="13" x14ac:dyDescent="0.3">
      <c r="A44" s="114"/>
      <c r="B44" s="117" t="str">
        <f>Cen!A328</f>
        <v>Sada držáků zásuvného prvku D, bílošedá</v>
      </c>
      <c r="C44" s="117" t="str">
        <f>Cen!B328</f>
        <v>Z36D0080</v>
      </c>
      <c r="D44" s="117"/>
      <c r="E44" s="117"/>
      <c r="F44" s="117"/>
      <c r="G44" s="117"/>
      <c r="H44" s="117"/>
      <c r="I44" s="117" t="str">
        <f>Cen!C328</f>
        <v>WGR</v>
      </c>
      <c r="J44" s="153"/>
      <c r="K44" s="400"/>
      <c r="L44" s="400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SUM(S31, S33, S35)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14" t="str">
        <f>"     * "&amp;List!$B$148</f>
        <v xml:space="preserve">     * Sada držáků, pro vlastní zásuvný prvek</v>
      </c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14" t="str">
        <f>"       "&amp;List!$B$150&amp;"!"</f>
        <v xml:space="preserve">       Cena držáků zásuvného prvku není zahrnuta do cen jednotlivých výsuvů!</v>
      </c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CEILING(SUM(SUM($D$32:$F$32)/6, SUM($J$32:$L$32)/3), 1)*5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1:21" x14ac:dyDescent="0.25">
      <c r="A53" s="114"/>
      <c r="M53" s="114"/>
      <c r="N53" s="114"/>
      <c r="O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x14ac:dyDescent="0.25">
      <c r="A54" s="114"/>
      <c r="M54" s="114"/>
      <c r="N54" s="114"/>
      <c r="O54" s="114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A55" s="114"/>
      <c r="M55" s="114"/>
      <c r="N55" s="114"/>
      <c r="O55" s="114"/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A56" s="114"/>
      <c r="M56" s="114"/>
      <c r="N56" s="114"/>
      <c r="O56" s="114"/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A57" s="114"/>
      <c r="M57" s="114"/>
      <c r="N57" s="114"/>
      <c r="O57" s="114"/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>S57*T57</f>
        <v>0</v>
      </c>
    </row>
    <row r="58" spans="1:21" x14ac:dyDescent="0.25">
      <c r="A58" s="114"/>
      <c r="M58" s="114"/>
      <c r="N58" s="114"/>
      <c r="O58" s="114"/>
      <c r="P58" s="123"/>
      <c r="Q58" s="123"/>
      <c r="R58" s="123"/>
      <c r="S58" s="385"/>
      <c r="T58" s="386"/>
      <c r="U58" s="387"/>
    </row>
    <row r="59" spans="1:21" x14ac:dyDescent="0.25">
      <c r="P59" s="402" t="str">
        <f>Cen!A189</f>
        <v>Držáky čela vnitřního výsuvu D bílošedé</v>
      </c>
      <c r="Q59" s="402" t="str">
        <f>Cen!B189</f>
        <v>ZIF.74D0</v>
      </c>
      <c r="R59" s="402" t="str">
        <f>Cen!C189</f>
        <v>WGR</v>
      </c>
      <c r="S59" s="385">
        <f>SUM($S$3:$S$11)</f>
        <v>0</v>
      </c>
      <c r="T59" s="402">
        <f>Cen!F189</f>
        <v>6.1373600000000001</v>
      </c>
      <c r="U59" s="387">
        <f t="shared" si="2"/>
        <v>0</v>
      </c>
    </row>
    <row r="60" spans="1:21" x14ac:dyDescent="0.25">
      <c r="A60" s="114"/>
      <c r="M60" s="114"/>
      <c r="N60" s="114"/>
      <c r="O60" s="114"/>
      <c r="P60" s="402" t="str">
        <f>Cen!A194</f>
        <v>Přední díl vnitřní zásuvky, šedý</v>
      </c>
      <c r="Q60" s="402" t="str">
        <f>Cen!B194</f>
        <v xml:space="preserve">Z31L1036A  </v>
      </c>
      <c r="R60" s="402" t="str">
        <f>Cen!C194</f>
        <v>R906</v>
      </c>
      <c r="S60" s="385">
        <f>CEILING(SUM(SUM($D$24:$F$24, $D$32:$F$32)/3, SUM($J$24:$L$24, $J$32:$L$32)/2), 1)*5</f>
        <v>0</v>
      </c>
      <c r="T60" s="402">
        <f>Cen!F194</f>
        <v>14.286440000000001</v>
      </c>
      <c r="U60" s="387">
        <f t="shared" si="2"/>
        <v>0</v>
      </c>
    </row>
    <row r="61" spans="1:21" x14ac:dyDescent="0.25">
      <c r="P61" s="402" t="str">
        <f>Cen!A199</f>
        <v>Příčný reling vnitřní zásuvky, šedý</v>
      </c>
      <c r="Q61" s="402" t="str">
        <f>Cen!B199</f>
        <v xml:space="preserve">ZRG.1046Z </v>
      </c>
      <c r="R61" s="402" t="str">
        <f>Cen!C199</f>
        <v>R906</v>
      </c>
      <c r="S61" s="385">
        <f>CEILING(SUM(SUM($D$24:$F$24, $D$32:$F$32)/3, SUM($J$24:$L$24, $J$32:$L$32)/2), 1)*5</f>
        <v>0</v>
      </c>
      <c r="T61" s="402">
        <f>Cen!F199</f>
        <v>6.6514599999999993</v>
      </c>
      <c r="U61" s="387">
        <f t="shared" si="2"/>
        <v>0</v>
      </c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J44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/>
      <c r="Q79" s="123"/>
      <c r="R79" s="123"/>
      <c r="S79" s="385"/>
      <c r="T79" s="402"/>
      <c r="U79" s="387"/>
    </row>
    <row r="80" spans="16:21" x14ac:dyDescent="0.25">
      <c r="P80" s="123"/>
      <c r="Q80" s="123"/>
      <c r="R80" s="123"/>
      <c r="S80" s="385"/>
      <c r="T80" s="402"/>
      <c r="U80" s="387"/>
    </row>
    <row r="81" spans="16:21" x14ac:dyDescent="0.25">
      <c r="P81" s="123"/>
      <c r="Q81" s="123"/>
      <c r="R81" s="123"/>
      <c r="S81" s="385"/>
      <c r="T81" s="402"/>
      <c r="U81" s="387"/>
    </row>
    <row r="82" spans="16:21" x14ac:dyDescent="0.25">
      <c r="P82" s="123"/>
      <c r="Q82" s="123"/>
      <c r="R82" s="123"/>
      <c r="S82" s="385"/>
      <c r="T82" s="402"/>
      <c r="U82" s="387"/>
    </row>
    <row r="83" spans="16:21" x14ac:dyDescent="0.25">
      <c r="P83" s="123"/>
      <c r="Q83" s="123"/>
      <c r="R83" s="123"/>
      <c r="S83" s="385"/>
      <c r="T83" s="402"/>
      <c r="U83" s="387"/>
    </row>
    <row r="84" spans="16:21" x14ac:dyDescent="0.25">
      <c r="P84" s="123"/>
      <c r="Q84" s="123"/>
      <c r="R84" s="123"/>
      <c r="S84" s="385"/>
      <c r="T84" s="402"/>
      <c r="U84" s="387"/>
    </row>
    <row r="85" spans="16:21" x14ac:dyDescent="0.25">
      <c r="P85" s="123" t="str">
        <f>Cen!A632</f>
        <v>CLIP top 155° s nulovým přesahem, EXPANDO</v>
      </c>
      <c r="Q85" s="123" t="str">
        <f>Cen!B632</f>
        <v>71T753EN</v>
      </c>
      <c r="R85" s="123" t="str">
        <f>Cen!C632</f>
        <v>NI</v>
      </c>
      <c r="S85" s="385">
        <f>SUM(SUM($D$24:$F$24, $D$32:$F$32)*3, SUM($J$24:$L$24, $J$32:$L$32)*4)</f>
        <v>0</v>
      </c>
      <c r="T85" s="402">
        <f>Cen!F632</f>
        <v>4.42394</v>
      </c>
      <c r="U85" s="387">
        <f t="shared" ref="U85:U87" si="5">S85*T85</f>
        <v>0</v>
      </c>
    </row>
    <row r="86" spans="16:21" x14ac:dyDescent="0.25">
      <c r="P86" s="123" t="str">
        <f>Cen!A639</f>
        <v>Podložka CLIP s excentrem, EXPANDO</v>
      </c>
      <c r="Q86" s="123" t="str">
        <f>Cen!B639</f>
        <v>174H7100E</v>
      </c>
      <c r="R86" s="123" t="str">
        <f>Cen!C639</f>
        <v>NI</v>
      </c>
      <c r="S86" s="385">
        <f>S85</f>
        <v>0</v>
      </c>
      <c r="T86" s="402">
        <f>Cen!F639</f>
        <v>0.59260999999999997</v>
      </c>
      <c r="U86" s="387">
        <f t="shared" si="5"/>
        <v>0</v>
      </c>
    </row>
    <row r="87" spans="16:21" x14ac:dyDescent="0.25">
      <c r="P87" s="123" t="str">
        <f>Cen!A644</f>
        <v>BLUMOTION pro nasazení na závěs 155° a 125°</v>
      </c>
      <c r="Q87" s="123" t="str">
        <f>Cen!B644</f>
        <v>973A7000</v>
      </c>
      <c r="R87" s="123" t="str">
        <f>Cen!C644</f>
        <v>NI</v>
      </c>
      <c r="S87" s="385">
        <f>SUM(SUM($D$24:$F$24, $D$32:$F$32)*2, SUM($J$24:$L$24, $J$32:$L$32)*3)</f>
        <v>0</v>
      </c>
      <c r="T87" s="402">
        <f>Cen!F644</f>
        <v>1.5222899999999999</v>
      </c>
      <c r="U87" s="387">
        <f t="shared" si="5"/>
        <v>0</v>
      </c>
    </row>
    <row r="90" spans="16:21" x14ac:dyDescent="0.25">
      <c r="U90" s="436">
        <f>SUM(U3:U87)</f>
        <v>0</v>
      </c>
    </row>
  </sheetData>
  <sheetProtection algorithmName="SHA-512" hashValue="MpuqFvWOonCrrnxRLOL0BDFJGqNntmdFZqGpVOmlp4rId8/Ta7XNLZcGB2riwYZNGkGpKgrzUzXf3rMWItbZ2g==" saltValue="EHgVABSH5x+zc5+znQXiKA==" spinCount="100000" sheet="1" objects="1" scenarios="1"/>
  <phoneticPr fontId="53" type="noConversion"/>
  <hyperlinks>
    <hyperlink ref="N4" location="Form!A1" tooltip=" " display="Form!A1"/>
    <hyperlink ref="N5" location="Menu!A1" tooltip=" " display="Menu!A1"/>
    <hyperlink ref="N8" location="Acs!A1" tooltip=" " display="Acs!A1"/>
    <hyperlink ref="N10" location="OL!A1" tooltip=" " display="ORGA-LINE"/>
    <hyperlink ref="N11" location="Sum!A1" tooltip=" " display="Sum!A1"/>
    <hyperlink ref="N9" location="SD!A1" tooltip=" " display="SD!A1"/>
  </hyperlinks>
  <pageMargins left="0.70866141732283472" right="0.70866141732283472" top="0.39370078740157483" bottom="0.59055118110236227" header="0.31496062992125984" footer="0.31496062992125984"/>
  <pageSetup orientation="landscape" horizontalDpi="1200" verticalDpi="12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indexed="57"/>
  </sheetPr>
  <dimension ref="A1:K333"/>
  <sheetViews>
    <sheetView showGridLines="0" showRowColHeaders="0" workbookViewId="0">
      <selection activeCell="I26" sqref="I26"/>
    </sheetView>
  </sheetViews>
  <sheetFormatPr defaultColWidth="9.1796875" defaultRowHeight="12.5" x14ac:dyDescent="0.25"/>
  <cols>
    <col min="1" max="1" width="5.7265625" style="114" customWidth="1"/>
    <col min="2" max="2" width="44.26953125" style="114" customWidth="1"/>
    <col min="3" max="3" width="17.1796875" style="114" customWidth="1"/>
    <col min="4" max="7" width="10" style="114" customWidth="1"/>
    <col min="8" max="8" width="3.1796875" style="114" customWidth="1"/>
    <col min="9" max="9" width="27.54296875" style="114" customWidth="1"/>
    <col min="10" max="16384" width="9.1796875" style="114"/>
  </cols>
  <sheetData>
    <row r="1" spans="1:9" ht="19.5" customHeight="1" x14ac:dyDescent="0.4">
      <c r="G1" s="201" t="str">
        <f>List!B5</f>
        <v>Výběr doplňků</v>
      </c>
    </row>
    <row r="2" spans="1:9" ht="17.5" x14ac:dyDescent="0.35">
      <c r="A2" s="2"/>
      <c r="B2" s="202" t="str">
        <f>List!$B$141</f>
        <v>Ostatní</v>
      </c>
      <c r="C2" s="7"/>
      <c r="D2" s="7"/>
      <c r="E2" s="196" t="str">
        <f>List!$B$90&amp;":"</f>
        <v>Počet:</v>
      </c>
      <c r="F2" s="106"/>
      <c r="G2" s="110"/>
      <c r="I2" s="151" t="str">
        <f>List!$B$11&amp;":"</f>
        <v>Zpět na:</v>
      </c>
    </row>
    <row r="3" spans="1:9" ht="13" thickBot="1" x14ac:dyDescent="0.3">
      <c r="A3" s="108">
        <v>1</v>
      </c>
      <c r="B3" s="6" t="str">
        <f>Cen!A154</f>
        <v>Držáky zadní stěny B, šedé</v>
      </c>
      <c r="C3" s="6" t="str">
        <f>Cen!B154</f>
        <v>Z30B000S.04</v>
      </c>
      <c r="D3" s="6" t="str">
        <f>Cen!C154</f>
        <v>R906</v>
      </c>
      <c r="E3" s="9"/>
      <c r="F3" s="107">
        <f>Cen!F154</f>
        <v>1.74017</v>
      </c>
      <c r="G3" s="3">
        <f>E3*F3</f>
        <v>0</v>
      </c>
      <c r="I3" s="149" t="str">
        <f>" "&amp;List!$B$13</f>
        <v xml:space="preserve"> Úvod</v>
      </c>
    </row>
    <row r="4" spans="1:9" x14ac:dyDescent="0.25">
      <c r="A4" s="108">
        <v>2</v>
      </c>
      <c r="B4" s="6" t="str">
        <f>Cen!A167</f>
        <v>Variabilní držák relingu, vlevo/vpravo, šedý</v>
      </c>
      <c r="C4" s="6" t="str">
        <f>Cen!B167</f>
        <v>ZRR.5200</v>
      </c>
      <c r="D4" s="6" t="str">
        <f>Cen!C167</f>
        <v>R906</v>
      </c>
      <c r="E4" s="9"/>
      <c r="F4" s="107">
        <f>Cen!F167</f>
        <v>2.1385900000000002</v>
      </c>
      <c r="G4" s="3">
        <f>E4*F4</f>
        <v>0</v>
      </c>
      <c r="I4" s="150" t="str">
        <f>" "&amp;List!$B$4</f>
        <v xml:space="preserve"> Výběr zásuvek a výsuvů</v>
      </c>
    </row>
    <row r="5" spans="1:9" x14ac:dyDescent="0.25">
      <c r="A5" s="618">
        <v>3</v>
      </c>
      <c r="B5" s="6" t="str">
        <f>Cen!A215</f>
        <v>Podélný reling vlevo/vpravo, 270mm, šedý</v>
      </c>
      <c r="C5" s="6" t="str">
        <f>Cen!B215</f>
        <v>ZRG.207RSIC</v>
      </c>
      <c r="D5" s="6" t="str">
        <f>Cen!C215</f>
        <v>R906</v>
      </c>
      <c r="E5" s="9"/>
      <c r="F5" s="107">
        <f>Cen!F215</f>
        <v>6.5190299999999999</v>
      </c>
      <c r="G5" s="3">
        <f t="shared" ref="G5:G9" si="0">E5*F5</f>
        <v>0</v>
      </c>
      <c r="I5" s="2"/>
    </row>
    <row r="6" spans="1:9" x14ac:dyDescent="0.25">
      <c r="A6" s="619"/>
      <c r="B6" s="6" t="str">
        <f>Cen!A219</f>
        <v>Podélný reling vlevo/vpravo, 300mm, šedý</v>
      </c>
      <c r="C6" s="6" t="str">
        <f>Cen!B219</f>
        <v>ZRG.237RSIC</v>
      </c>
      <c r="D6" s="6" t="str">
        <f>Cen!C219</f>
        <v>R906</v>
      </c>
      <c r="E6" s="9"/>
      <c r="F6" s="107">
        <f>Cen!F219</f>
        <v>6.62744</v>
      </c>
      <c r="G6" s="3">
        <f t="shared" si="0"/>
        <v>0</v>
      </c>
      <c r="I6" s="2" t="str">
        <f>List!$B$12&amp;":"</f>
        <v>Pokračovat na:</v>
      </c>
    </row>
    <row r="7" spans="1:9" ht="13" thickBot="1" x14ac:dyDescent="0.3">
      <c r="A7" s="619"/>
      <c r="B7" s="6" t="str">
        <f>Cen!A223</f>
        <v>Podélný reling vlevo/vpravo, 350mm, šedý</v>
      </c>
      <c r="C7" s="6" t="str">
        <f>Cen!B223</f>
        <v>ZRG.287RSIC</v>
      </c>
      <c r="D7" s="6" t="str">
        <f>Cen!C223</f>
        <v>R906</v>
      </c>
      <c r="E7" s="9"/>
      <c r="F7" s="107">
        <f>Cen!F223</f>
        <v>6.7358200000000004</v>
      </c>
      <c r="G7" s="3">
        <f t="shared" si="0"/>
        <v>0</v>
      </c>
      <c r="I7" s="149" t="str">
        <f>" "&amp;List!$B$6</f>
        <v xml:space="preserve"> Výběr SERVO-DRIVE</v>
      </c>
    </row>
    <row r="8" spans="1:9" ht="13" thickBot="1" x14ac:dyDescent="0.3">
      <c r="A8" s="619"/>
      <c r="B8" s="6" t="str">
        <f>Cen!A227</f>
        <v>Podélný reling vlevo/vpravo, 400mm, šedý</v>
      </c>
      <c r="C8" s="6" t="str">
        <f>Cen!B227</f>
        <v>ZRG.337RSIC</v>
      </c>
      <c r="D8" s="6" t="str">
        <f>Cen!C227</f>
        <v>R906</v>
      </c>
      <c r="E8" s="9"/>
      <c r="F8" s="107">
        <f>Cen!F227</f>
        <v>6.8442100000000003</v>
      </c>
      <c r="G8" s="3">
        <f t="shared" si="0"/>
        <v>0</v>
      </c>
      <c r="I8" s="265" t="str">
        <f>" "&amp;List!$B$7</f>
        <v xml:space="preserve"> Výběr ORGA-LINE</v>
      </c>
    </row>
    <row r="9" spans="1:9" x14ac:dyDescent="0.25">
      <c r="A9" s="619"/>
      <c r="B9" s="6" t="str">
        <f>Cen!A231</f>
        <v>Podélný reling vlevo/vpravo, 450mm, šedý</v>
      </c>
      <c r="C9" s="6" t="str">
        <f>Cen!B231</f>
        <v>ZRG.387RSIC</v>
      </c>
      <c r="D9" s="6" t="str">
        <f>Cen!C231</f>
        <v>R906</v>
      </c>
      <c r="E9" s="9"/>
      <c r="F9" s="107">
        <f>Cen!F231</f>
        <v>6.2810499999999987</v>
      </c>
      <c r="G9" s="3">
        <f t="shared" si="0"/>
        <v>0</v>
      </c>
      <c r="I9" s="150" t="str">
        <f>" "&amp;List!$B$18</f>
        <v xml:space="preserve"> Souhrn</v>
      </c>
    </row>
    <row r="10" spans="1:9" x14ac:dyDescent="0.25">
      <c r="A10" s="619"/>
      <c r="B10" s="6" t="str">
        <f>Cen!A235</f>
        <v>Podélný reling vlevo/vpravo, 500mm, šedý</v>
      </c>
      <c r="C10" s="6" t="str">
        <f>Cen!B235</f>
        <v>ZRG.437RSIC</v>
      </c>
      <c r="D10" s="6" t="str">
        <f>Cen!C235</f>
        <v>R906</v>
      </c>
      <c r="E10" s="9"/>
      <c r="F10" s="107">
        <f>Cen!F235</f>
        <v>6.3789800000000003</v>
      </c>
      <c r="G10" s="3">
        <f>E10*F10</f>
        <v>0</v>
      </c>
    </row>
    <row r="11" spans="1:9" x14ac:dyDescent="0.25">
      <c r="A11" s="619"/>
      <c r="B11" s="6" t="str">
        <f>Cen!A239</f>
        <v>Podélný reling vlevo/vpravo, 550mm, šedý</v>
      </c>
      <c r="C11" s="6" t="str">
        <f>Cen!B239</f>
        <v>ZRG.487RSIC</v>
      </c>
      <c r="D11" s="6" t="str">
        <f>Cen!C239</f>
        <v>R906</v>
      </c>
      <c r="E11" s="9"/>
      <c r="F11" s="107">
        <f>Cen!F239</f>
        <v>7.3622199999999998</v>
      </c>
      <c r="G11" s="3">
        <f t="shared" ref="G11:G13" si="1">E11*F11</f>
        <v>0</v>
      </c>
      <c r="I11" s="192" t="str">
        <f>"     "&amp;List!$B$25</f>
        <v xml:space="preserve">     Informace k objednávání</v>
      </c>
    </row>
    <row r="12" spans="1:9" x14ac:dyDescent="0.25">
      <c r="A12" s="619"/>
      <c r="B12" s="6" t="str">
        <f>Cen!A243</f>
        <v>Podélný reling vlevo/vpravo, 600mm, šedý</v>
      </c>
      <c r="C12" s="6" t="str">
        <f>Cen!B243</f>
        <v>ZRG.537RSIC</v>
      </c>
      <c r="D12" s="6" t="str">
        <f>Cen!C243</f>
        <v>R906</v>
      </c>
      <c r="E12" s="9"/>
      <c r="F12" s="107">
        <f>Cen!F243</f>
        <v>6.9229999999999992</v>
      </c>
      <c r="G12" s="3">
        <f t="shared" si="1"/>
        <v>0</v>
      </c>
    </row>
    <row r="13" spans="1:9" x14ac:dyDescent="0.25">
      <c r="A13" s="620"/>
      <c r="B13" s="6" t="str">
        <f>Cen!A247</f>
        <v>Podélný reling vlevo/vpravo, 650mm, šedý</v>
      </c>
      <c r="C13" s="6" t="str">
        <f>Cen!B247</f>
        <v>ZRG.587RSIC</v>
      </c>
      <c r="D13" s="6" t="str">
        <f>Cen!C247</f>
        <v>R906</v>
      </c>
      <c r="E13" s="9"/>
      <c r="F13" s="107">
        <f>Cen!F247</f>
        <v>7.9644300000000001</v>
      </c>
      <c r="G13" s="3">
        <f t="shared" si="1"/>
        <v>0</v>
      </c>
    </row>
    <row r="14" spans="1:9" x14ac:dyDescent="0.25">
      <c r="A14" s="108">
        <v>4</v>
      </c>
      <c r="B14" s="6" t="str">
        <f>Cen!A204</f>
        <v>Úchytka pro vnirřní zásuvku, bílošedá</v>
      </c>
      <c r="C14" s="6" t="str">
        <f>Cen!B204</f>
        <v>ZIF.80M5</v>
      </c>
      <c r="D14" s="6" t="str">
        <f>Cen!C204</f>
        <v>WGR</v>
      </c>
      <c r="E14" s="9"/>
      <c r="F14" s="107">
        <f>Cen!F204</f>
        <v>4.0720000000000001</v>
      </c>
      <c r="G14" s="3">
        <f t="shared" ref="G14:G25" si="2">E14*F14</f>
        <v>0</v>
      </c>
      <c r="I14" s="203"/>
    </row>
    <row r="15" spans="1:9" x14ac:dyDescent="0.25">
      <c r="A15" s="108">
        <v>5</v>
      </c>
      <c r="B15" s="6" t="str">
        <f>Cen!A208</f>
        <v>Úchytka a unašeč pro vnirřní zásuvku, bílošedá</v>
      </c>
      <c r="C15" s="6" t="str">
        <f>Cen!B208</f>
        <v>ZIF.80M7</v>
      </c>
      <c r="D15" s="6" t="str">
        <f>Cen!C208</f>
        <v>WGR</v>
      </c>
      <c r="E15" s="9"/>
      <c r="F15" s="107">
        <f>Cen!F208</f>
        <v>6.2968700000000002</v>
      </c>
      <c r="G15" s="3">
        <f t="shared" si="2"/>
        <v>0</v>
      </c>
      <c r="I15" s="203"/>
    </row>
    <row r="16" spans="1:9" x14ac:dyDescent="0.25">
      <c r="A16" s="621">
        <v>6</v>
      </c>
      <c r="B16" s="6" t="str">
        <f>Cen!A124</f>
        <v>Sada jednotek TIP-ON BLUMOTION, S0</v>
      </c>
      <c r="C16" s="6" t="str">
        <f>Cen!B124</f>
        <v>T60B3030</v>
      </c>
      <c r="D16" s="6" t="str">
        <f>Cen!C124</f>
        <v>W</v>
      </c>
      <c r="E16" s="9"/>
      <c r="F16" s="107">
        <f>Cen!F124</f>
        <v>15.88349</v>
      </c>
      <c r="G16" s="3">
        <f t="shared" ref="G16:G17" si="3">E16*F16</f>
        <v>0</v>
      </c>
      <c r="I16" s="203"/>
    </row>
    <row r="17" spans="1:9" x14ac:dyDescent="0.25">
      <c r="A17" s="622"/>
      <c r="B17" s="6" t="str">
        <f>Cen!A125</f>
        <v>Sada jednotek TIP-ON BLUMOTION, S1</v>
      </c>
      <c r="C17" s="6" t="str">
        <f>Cen!B125</f>
        <v>T60B3130</v>
      </c>
      <c r="D17" s="6" t="str">
        <f>Cen!C125</f>
        <v>R735</v>
      </c>
      <c r="E17" s="9"/>
      <c r="F17" s="107">
        <f>Cen!F125</f>
        <v>15.88349</v>
      </c>
      <c r="G17" s="3">
        <f t="shared" si="3"/>
        <v>0</v>
      </c>
      <c r="I17" s="203"/>
    </row>
    <row r="18" spans="1:9" x14ac:dyDescent="0.25">
      <c r="A18" s="622"/>
      <c r="B18" s="6" t="str">
        <f>Cen!A126</f>
        <v>Sada jednotek TIP-ON BLUMOTION, L1</v>
      </c>
      <c r="C18" s="6" t="str">
        <f>Cen!B126</f>
        <v>T60B3330</v>
      </c>
      <c r="D18" s="6" t="str">
        <f>Cen!C126</f>
        <v>R735</v>
      </c>
      <c r="E18" s="9"/>
      <c r="F18" s="107">
        <f>Cen!F126</f>
        <v>15.883479999999999</v>
      </c>
      <c r="G18" s="3">
        <f t="shared" si="2"/>
        <v>0</v>
      </c>
      <c r="I18" s="203"/>
    </row>
    <row r="19" spans="1:9" x14ac:dyDescent="0.25">
      <c r="A19" s="622"/>
      <c r="B19" s="6" t="str">
        <f>Cen!A127</f>
        <v>Sada jednotek TIP-ON BLUMOTION, L3</v>
      </c>
      <c r="C19" s="6" t="str">
        <f>Cen!B127</f>
        <v>T60B3530</v>
      </c>
      <c r="D19" s="6" t="str">
        <f>Cen!C127</f>
        <v>R737</v>
      </c>
      <c r="E19" s="9"/>
      <c r="F19" s="107">
        <f>Cen!F127</f>
        <v>15.883479999999999</v>
      </c>
      <c r="G19" s="3">
        <f t="shared" si="2"/>
        <v>0</v>
      </c>
      <c r="I19" s="203"/>
    </row>
    <row r="20" spans="1:9" x14ac:dyDescent="0.25">
      <c r="A20" s="623"/>
      <c r="B20" s="6" t="str">
        <f>Cen!A128</f>
        <v>Sada jednotek TIP-ON BLUMOTION, L5</v>
      </c>
      <c r="C20" s="6" t="str">
        <f>Cen!B128</f>
        <v>T60B3560</v>
      </c>
      <c r="D20" s="6" t="str">
        <f>Cen!C128</f>
        <v>S</v>
      </c>
      <c r="E20" s="9"/>
      <c r="F20" s="107">
        <f>Cen!F128</f>
        <v>15.883479999999999</v>
      </c>
      <c r="G20" s="3">
        <f t="shared" si="2"/>
        <v>0</v>
      </c>
      <c r="I20" s="203"/>
    </row>
    <row r="21" spans="1:9" x14ac:dyDescent="0.25">
      <c r="A21" s="561" t="s">
        <v>763</v>
      </c>
      <c r="B21" s="6" t="str">
        <f>Cen!A130</f>
        <v>Synchronizační adaptér</v>
      </c>
      <c r="C21" s="6" t="str">
        <f>Cen!B130</f>
        <v>T60.000D</v>
      </c>
      <c r="D21" s="6" t="str">
        <f>Cen!C130</f>
        <v>R735</v>
      </c>
      <c r="E21" s="9"/>
      <c r="F21" s="107">
        <f>Cen!F130</f>
        <v>0.22786000000000001</v>
      </c>
      <c r="G21" s="3">
        <f t="shared" si="2"/>
        <v>0</v>
      </c>
      <c r="I21" s="203"/>
    </row>
    <row r="22" spans="1:9" ht="12.75" customHeight="1" x14ac:dyDescent="0.25">
      <c r="A22" s="561" t="s">
        <v>764</v>
      </c>
      <c r="B22" s="6" t="str">
        <f>Cen!A131</f>
        <v>Hřídel synchronizace</v>
      </c>
      <c r="C22" s="6" t="str">
        <f>Cen!B131</f>
        <v>T60.1125W</v>
      </c>
      <c r="D22" s="6" t="str">
        <f>Cen!C131</f>
        <v>GR</v>
      </c>
      <c r="E22" s="9"/>
      <c r="F22" s="107">
        <f>Cen!F131</f>
        <v>3.7524400000000004</v>
      </c>
      <c r="G22" s="3">
        <f t="shared" si="2"/>
        <v>0</v>
      </c>
    </row>
    <row r="23" spans="1:9" x14ac:dyDescent="0.25">
      <c r="A23" s="108" t="s">
        <v>820</v>
      </c>
      <c r="B23" s="6" t="str">
        <f>Cen!A132</f>
        <v>Jednodílná synchronizace</v>
      </c>
      <c r="C23" s="6" t="str">
        <f>Cen!B132</f>
        <v>T60.300D</v>
      </c>
      <c r="D23" s="6" t="str">
        <f>Cen!C132</f>
        <v>R735</v>
      </c>
      <c r="E23" s="9"/>
      <c r="F23" s="107">
        <f>Cen!F132</f>
        <v>0.9112300000000001</v>
      </c>
      <c r="G23" s="3">
        <f t="shared" si="2"/>
        <v>0</v>
      </c>
    </row>
    <row r="24" spans="1:9" ht="12.75" customHeight="1" x14ac:dyDescent="0.25">
      <c r="A24" s="108">
        <v>7</v>
      </c>
      <c r="B24" s="6" t="str">
        <f>Cen!A134</f>
        <v>Držák hřídele synchronizace</v>
      </c>
      <c r="C24" s="6" t="str">
        <f>Cen!B134</f>
        <v>T60B000H</v>
      </c>
      <c r="D24" s="6" t="str">
        <f>Cen!C134</f>
        <v>NI</v>
      </c>
      <c r="E24" s="9"/>
      <c r="F24" s="107">
        <f>Cen!F134</f>
        <v>0.23594999999999999</v>
      </c>
      <c r="G24" s="3">
        <f t="shared" si="2"/>
        <v>0</v>
      </c>
    </row>
    <row r="25" spans="1:9" x14ac:dyDescent="0.25">
      <c r="A25" s="108">
        <v>8</v>
      </c>
      <c r="B25" s="6" t="str">
        <f>Cen!A135</f>
        <v>Podpěrný úhelník pro dno</v>
      </c>
      <c r="C25" s="6" t="str">
        <f>Cen!B135</f>
        <v>Z96.2011</v>
      </c>
      <c r="D25" s="6" t="str">
        <f>Cen!C135</f>
        <v>R737</v>
      </c>
      <c r="E25" s="9"/>
      <c r="F25" s="107">
        <f>Cen!F135</f>
        <v>1.1712800000000001</v>
      </c>
      <c r="G25" s="3">
        <f t="shared" si="2"/>
        <v>0</v>
      </c>
    </row>
    <row r="26" spans="1:9" x14ac:dyDescent="0.25">
      <c r="A26" s="108">
        <v>9</v>
      </c>
      <c r="B26" s="6" t="str">
        <f>Cen!A610</f>
        <v>Stabilizace čel</v>
      </c>
      <c r="C26" s="6" t="str">
        <f>Cen!B610</f>
        <v>Z96.10E1</v>
      </c>
      <c r="D26" s="6" t="str">
        <f>Cen!C610</f>
        <v>R737</v>
      </c>
      <c r="E26" s="9"/>
      <c r="F26" s="107">
        <f>Cen!F610</f>
        <v>1.3134000000000001</v>
      </c>
      <c r="G26" s="3">
        <f>E26*F26</f>
        <v>0</v>
      </c>
    </row>
    <row r="27" spans="1:9" x14ac:dyDescent="0.25">
      <c r="A27" s="108">
        <v>10</v>
      </c>
      <c r="B27" s="107" t="str">
        <f>Cen!A611</f>
        <v>Tlumící čočka k zavrtání</v>
      </c>
      <c r="C27" s="6" t="str">
        <f>Cen!B611</f>
        <v>993.706</v>
      </c>
      <c r="D27" s="6" t="str">
        <f>Cen!C611</f>
        <v>R906</v>
      </c>
      <c r="E27" s="9"/>
      <c r="F27" s="107">
        <f>Cen!F611</f>
        <v>0.13461999999999999</v>
      </c>
      <c r="G27" s="3">
        <f>E27*F27</f>
        <v>0</v>
      </c>
    </row>
    <row r="28" spans="1:9" ht="12.75" customHeight="1" x14ac:dyDescent="0.25">
      <c r="A28" s="618">
        <v>11</v>
      </c>
      <c r="B28" s="6" t="str">
        <f>Cen!A612</f>
        <v>Boční stabilizace, 450 mm</v>
      </c>
      <c r="C28" s="6" t="str">
        <f>Cen!B612</f>
        <v>ZST.450BA</v>
      </c>
      <c r="D28" s="6" t="str">
        <f>Cen!C612</f>
        <v>R737</v>
      </c>
      <c r="E28" s="9"/>
      <c r="F28" s="107">
        <f>Cen!F612</f>
        <v>19.826840000000001</v>
      </c>
      <c r="G28" s="3">
        <f>E28*F28</f>
        <v>0</v>
      </c>
    </row>
    <row r="29" spans="1:9" x14ac:dyDescent="0.25">
      <c r="A29" s="619"/>
      <c r="B29" s="6" t="str">
        <f>Cen!A613</f>
        <v>Boční stabilizace, 500 mm</v>
      </c>
      <c r="C29" s="6" t="str">
        <f>Cen!B613</f>
        <v>ZST.500BA</v>
      </c>
      <c r="D29" s="6" t="str">
        <f>Cen!C613</f>
        <v>R737</v>
      </c>
      <c r="E29" s="9"/>
      <c r="F29" s="107">
        <f>Cen!F613</f>
        <v>12.35749</v>
      </c>
      <c r="G29" s="3">
        <f>E29*F29</f>
        <v>0</v>
      </c>
    </row>
    <row r="30" spans="1:9" x14ac:dyDescent="0.25">
      <c r="A30" s="619"/>
      <c r="B30" s="6" t="str">
        <f>Cen!A614</f>
        <v>Boční stabilizace, 550 mm</v>
      </c>
      <c r="C30" s="6" t="str">
        <f>Cen!B614</f>
        <v>ZST.550BA</v>
      </c>
      <c r="D30" s="6" t="str">
        <f>Cen!C614</f>
        <v>R737</v>
      </c>
      <c r="E30" s="9"/>
      <c r="F30" s="107">
        <f>Cen!F614</f>
        <v>0</v>
      </c>
      <c r="G30" s="3">
        <f t="shared" ref="G30:G31" si="4">E30*F30</f>
        <v>0</v>
      </c>
    </row>
    <row r="31" spans="1:9" x14ac:dyDescent="0.25">
      <c r="A31" s="619"/>
      <c r="B31" s="6" t="str">
        <f>Cen!A615</f>
        <v>Boční stabilizace, 600 mm</v>
      </c>
      <c r="C31" s="6" t="str">
        <f>Cen!B615</f>
        <v>ZST.600BA</v>
      </c>
      <c r="D31" s="6" t="str">
        <f>Cen!C615</f>
        <v>R737</v>
      </c>
      <c r="E31" s="9"/>
      <c r="F31" s="107">
        <f>Cen!F615</f>
        <v>37.947380000000003</v>
      </c>
      <c r="G31" s="3">
        <f t="shared" si="4"/>
        <v>0</v>
      </c>
    </row>
    <row r="32" spans="1:9" x14ac:dyDescent="0.25">
      <c r="A32" s="620"/>
      <c r="B32" s="6" t="str">
        <f>Cen!A616</f>
        <v>Boční stabilizace, 650 mm</v>
      </c>
      <c r="C32" s="6" t="str">
        <f>Cen!B616</f>
        <v>ZST.650BA</v>
      </c>
      <c r="D32" s="6" t="str">
        <f>Cen!C616</f>
        <v>R737</v>
      </c>
      <c r="E32" s="9"/>
      <c r="F32" s="107">
        <f>Cen!F616</f>
        <v>38.109929999999999</v>
      </c>
      <c r="G32" s="3">
        <f t="shared" ref="G32" si="5">E32*F32</f>
        <v>0</v>
      </c>
    </row>
    <row r="33" spans="1:9" x14ac:dyDescent="0.25">
      <c r="A33" s="2"/>
      <c r="B33" s="6"/>
      <c r="C33" s="6"/>
      <c r="D33" s="6"/>
      <c r="E33" s="5"/>
      <c r="F33" s="4" t="str">
        <f>List!$B$93&amp;":"</f>
        <v>Celkem:</v>
      </c>
      <c r="G33" s="3">
        <f>SUM(G3:G32)</f>
        <v>0</v>
      </c>
    </row>
    <row r="34" spans="1:9" x14ac:dyDescent="0.25">
      <c r="A34" s="2"/>
      <c r="B34" s="2"/>
      <c r="C34" s="2"/>
      <c r="D34" s="2"/>
      <c r="E34" s="2"/>
      <c r="F34" s="2"/>
      <c r="G34" s="2"/>
    </row>
    <row r="35" spans="1:9" ht="17.5" x14ac:dyDescent="0.35">
      <c r="B35" s="202" t="str">
        <f>List!B142</f>
        <v>Závěsy pro potravinové skříně</v>
      </c>
      <c r="C35" s="7"/>
      <c r="D35" s="7"/>
      <c r="E35" s="196" t="str">
        <f>List!$B$90&amp;":"</f>
        <v>Počet:</v>
      </c>
      <c r="F35" s="106"/>
      <c r="G35" s="110"/>
    </row>
    <row r="36" spans="1:9" x14ac:dyDescent="0.25">
      <c r="A36" s="108" t="s">
        <v>462</v>
      </c>
      <c r="B36" s="6" t="str">
        <f>Cen!A631</f>
        <v>CLIP top 155° s nulovým přesahem</v>
      </c>
      <c r="C36" s="6" t="str">
        <f>Cen!B631</f>
        <v>71T7500N</v>
      </c>
      <c r="D36" s="6" t="str">
        <f>Cen!C631</f>
        <v>NI</v>
      </c>
      <c r="E36" s="9"/>
      <c r="F36" s="107">
        <f>Cen!F631</f>
        <v>4.4192400000000003</v>
      </c>
      <c r="G36" s="3">
        <f>E36*F36</f>
        <v>0</v>
      </c>
      <c r="I36" s="192" t="str">
        <f>"     "&amp;List!$B$25</f>
        <v xml:space="preserve">     Informace k objednávání</v>
      </c>
    </row>
    <row r="37" spans="1:9" x14ac:dyDescent="0.25">
      <c r="A37" s="108" t="s">
        <v>460</v>
      </c>
      <c r="B37" s="6" t="str">
        <f>Cen!A632</f>
        <v>CLIP top 155° s nulovým přesahem, EXPANDO</v>
      </c>
      <c r="C37" s="6" t="str">
        <f>Cen!B632</f>
        <v>71T753EN</v>
      </c>
      <c r="D37" s="6" t="str">
        <f>Cen!C632</f>
        <v>NI</v>
      </c>
      <c r="E37" s="9"/>
      <c r="F37" s="107">
        <f>Cen!F632</f>
        <v>4.42394</v>
      </c>
      <c r="G37" s="3">
        <f>E37*F37</f>
        <v>0</v>
      </c>
    </row>
    <row r="38" spans="1:9" x14ac:dyDescent="0.25">
      <c r="A38" s="108" t="s">
        <v>459</v>
      </c>
      <c r="B38" s="6" t="str">
        <f>Cen!A633</f>
        <v>CLIP top 155° s nulovým přesahem, bez pružiny</v>
      </c>
      <c r="C38" s="6" t="str">
        <f>Cen!B633</f>
        <v>70T7500NTL</v>
      </c>
      <c r="D38" s="6" t="str">
        <f>Cen!C633</f>
        <v>NI</v>
      </c>
      <c r="E38" s="9"/>
      <c r="F38" s="107">
        <f>Cen!F633</f>
        <v>4.4192400000000003</v>
      </c>
      <c r="G38" s="3">
        <f>E38*F38</f>
        <v>0</v>
      </c>
    </row>
    <row r="39" spans="1:9" x14ac:dyDescent="0.25">
      <c r="A39" s="108">
        <v>2</v>
      </c>
      <c r="B39" s="6" t="str">
        <f>Cen!A634</f>
        <v>CLIP top 125° s nulovým přesahem</v>
      </c>
      <c r="C39" s="6" t="str">
        <f>Cen!B634</f>
        <v>71T7500D</v>
      </c>
      <c r="D39" s="6" t="str">
        <f>Cen!C634</f>
        <v>NI</v>
      </c>
      <c r="E39" s="9"/>
      <c r="F39" s="107">
        <f>Cen!F634</f>
        <v>6.0096900000000009</v>
      </c>
      <c r="G39" s="3">
        <f>E39*F39</f>
        <v>0</v>
      </c>
    </row>
    <row r="40" spans="1:9" x14ac:dyDescent="0.25">
      <c r="A40" s="108" t="s">
        <v>457</v>
      </c>
      <c r="B40" s="6" t="str">
        <f>Cen!A636</f>
        <v>Podložka CLIP na vruty</v>
      </c>
      <c r="C40" s="6" t="str">
        <f>Cen!B636</f>
        <v>173L6100</v>
      </c>
      <c r="D40" s="6" t="str">
        <f>Cen!C636</f>
        <v>NI</v>
      </c>
      <c r="E40" s="9"/>
      <c r="F40" s="107">
        <f>Cen!F636</f>
        <v>0.18021000000000001</v>
      </c>
      <c r="G40" s="3">
        <f t="shared" ref="G40:G51" si="6">E40*F40</f>
        <v>0</v>
      </c>
    </row>
    <row r="41" spans="1:9" x14ac:dyDescent="0.25">
      <c r="A41" s="108" t="s">
        <v>456</v>
      </c>
      <c r="B41" s="6" t="str">
        <f>Cen!A637</f>
        <v>Podložka CLIP EXPANDO</v>
      </c>
      <c r="C41" s="6" t="str">
        <f>Cen!B637</f>
        <v>174E6100.01</v>
      </c>
      <c r="D41" s="6" t="str">
        <f>Cen!C637</f>
        <v>NI</v>
      </c>
      <c r="E41" s="9"/>
      <c r="F41" s="107">
        <f>Cen!F637</f>
        <v>0.24679000000000001</v>
      </c>
      <c r="G41" s="3">
        <f t="shared" si="6"/>
        <v>0</v>
      </c>
    </row>
    <row r="42" spans="1:9" x14ac:dyDescent="0.25">
      <c r="A42" s="108" t="s">
        <v>221</v>
      </c>
      <c r="B42" s="6" t="str">
        <f>Cen!A638</f>
        <v>Podložka CLIP s excentrem</v>
      </c>
      <c r="C42" s="6" t="str">
        <f>Cen!B638</f>
        <v>173H7100</v>
      </c>
      <c r="D42" s="6" t="str">
        <f>Cen!C638</f>
        <v>NI</v>
      </c>
      <c r="E42" s="9"/>
      <c r="F42" s="107">
        <f>Cen!F638</f>
        <v>0.4849</v>
      </c>
      <c r="G42" s="3">
        <f t="shared" si="6"/>
        <v>0</v>
      </c>
    </row>
    <row r="43" spans="1:9" x14ac:dyDescent="0.25">
      <c r="A43" s="108" t="s">
        <v>222</v>
      </c>
      <c r="B43" s="6" t="str">
        <f>Cen!A639</f>
        <v>Podložka CLIP s excentrem, EXPANDO</v>
      </c>
      <c r="C43" s="6" t="str">
        <f>Cen!B639</f>
        <v>174H7100E</v>
      </c>
      <c r="D43" s="6" t="str">
        <f>Cen!C639</f>
        <v>NI</v>
      </c>
      <c r="E43" s="9"/>
      <c r="F43" s="107">
        <f>Cen!F639</f>
        <v>0.59260999999999997</v>
      </c>
      <c r="G43" s="3">
        <f t="shared" si="6"/>
        <v>0</v>
      </c>
    </row>
    <row r="44" spans="1:9" x14ac:dyDescent="0.25">
      <c r="A44" s="108" t="s">
        <v>640</v>
      </c>
      <c r="B44" s="6" t="str">
        <f>Cen!A640</f>
        <v>Podložka CLIP top přímá</v>
      </c>
      <c r="C44" s="6" t="str">
        <f>Cen!B640</f>
        <v>175H5400</v>
      </c>
      <c r="D44" s="6" t="str">
        <f>Cen!C640</f>
        <v>NI</v>
      </c>
      <c r="E44" s="9"/>
      <c r="F44" s="107">
        <f>Cen!F640</f>
        <v>0.70503000000000005</v>
      </c>
      <c r="G44" s="3">
        <f t="shared" si="6"/>
        <v>0</v>
      </c>
    </row>
    <row r="45" spans="1:9" x14ac:dyDescent="0.25">
      <c r="A45" s="108" t="s">
        <v>223</v>
      </c>
      <c r="B45" s="6" t="str">
        <f>Cen!A641</f>
        <v>Podložka CLIP top přímá, EXPANDO</v>
      </c>
      <c r="C45" s="6" t="str">
        <f>Cen!B641</f>
        <v>177H5400E</v>
      </c>
      <c r="D45" s="6" t="str">
        <f>Cen!C641</f>
        <v>NI</v>
      </c>
      <c r="E45" s="9"/>
      <c r="F45" s="107">
        <f>Cen!F641</f>
        <v>0.81311999999999995</v>
      </c>
      <c r="G45" s="3">
        <f t="shared" si="6"/>
        <v>0</v>
      </c>
    </row>
    <row r="46" spans="1:9" x14ac:dyDescent="0.25">
      <c r="A46" s="108" t="s">
        <v>763</v>
      </c>
      <c r="B46" s="6" t="str">
        <f>Cen!A642</f>
        <v>Podložka CLIP top přímá</v>
      </c>
      <c r="C46" s="6" t="str">
        <f>Cen!B642</f>
        <v>175H3100</v>
      </c>
      <c r="D46" s="6" t="str">
        <f>Cen!C642</f>
        <v>NI</v>
      </c>
      <c r="E46" s="9"/>
      <c r="F46" s="107">
        <f>Cen!F642</f>
        <v>0.46155000000000002</v>
      </c>
      <c r="G46" s="3">
        <f t="shared" si="6"/>
        <v>0</v>
      </c>
    </row>
    <row r="47" spans="1:9" ht="18" customHeight="1" x14ac:dyDescent="0.25">
      <c r="A47" s="108" t="s">
        <v>764</v>
      </c>
      <c r="B47" s="6" t="str">
        <f>Cen!A643</f>
        <v>Podložka CLIP top přímá, EXPANDO</v>
      </c>
      <c r="C47" s="6" t="str">
        <f>Cen!B643</f>
        <v>177H3100E</v>
      </c>
      <c r="D47" s="6" t="str">
        <f>Cen!C643</f>
        <v>NI</v>
      </c>
      <c r="E47" s="9"/>
      <c r="F47" s="107">
        <f>Cen!F643</f>
        <v>0.46936999999999995</v>
      </c>
      <c r="G47" s="3">
        <f t="shared" si="6"/>
        <v>0</v>
      </c>
    </row>
    <row r="48" spans="1:9" x14ac:dyDescent="0.25">
      <c r="A48" s="108">
        <v>7</v>
      </c>
      <c r="B48" s="6" t="str">
        <f>Cen!A644</f>
        <v>BLUMOTION pro nasazení na závěs 155° a 125°</v>
      </c>
      <c r="C48" s="6" t="str">
        <f>Cen!B644</f>
        <v>973A7000</v>
      </c>
      <c r="D48" s="6" t="str">
        <f>Cen!C644</f>
        <v>NI</v>
      </c>
      <c r="E48" s="9"/>
      <c r="F48" s="107">
        <f>Cen!F644</f>
        <v>1.5222899999999999</v>
      </c>
      <c r="G48" s="3">
        <f t="shared" si="6"/>
        <v>0</v>
      </c>
    </row>
    <row r="49" spans="1:7" x14ac:dyDescent="0.25">
      <c r="A49" s="108">
        <v>9</v>
      </c>
      <c r="B49" s="6" t="str">
        <f>Cen!A645</f>
        <v>BLUMOTION v křížovém adaptéru</v>
      </c>
      <c r="C49" s="6" t="str">
        <f>Cen!B645</f>
        <v>971A0500</v>
      </c>
      <c r="D49" s="6" t="str">
        <f>Cen!C645</f>
        <v>NI</v>
      </c>
      <c r="E49" s="9"/>
      <c r="F49" s="107">
        <f>Cen!F645</f>
        <v>2.7470500000000002</v>
      </c>
      <c r="G49" s="3">
        <f t="shared" si="6"/>
        <v>0</v>
      </c>
    </row>
    <row r="50" spans="1:7" x14ac:dyDescent="0.25">
      <c r="A50" s="108">
        <v>9</v>
      </c>
      <c r="B50" s="6" t="str">
        <f>Cen!A646</f>
        <v>TIP-ON, prodloužená délka, šedý</v>
      </c>
      <c r="C50" s="6" t="str">
        <f>Cen!B646</f>
        <v>956A1004</v>
      </c>
      <c r="D50" s="6" t="str">
        <f>Cen!C646</f>
        <v>PG</v>
      </c>
      <c r="E50" s="9"/>
      <c r="F50" s="107">
        <f>Cen!F646</f>
        <v>4.4877799999999999</v>
      </c>
      <c r="G50" s="3">
        <f t="shared" si="6"/>
        <v>0</v>
      </c>
    </row>
    <row r="51" spans="1:7" x14ac:dyDescent="0.25">
      <c r="A51" s="108">
        <v>10</v>
      </c>
      <c r="B51" s="6" t="str">
        <f>Cen!A649</f>
        <v>TIP-ON přímý adaptér, prodl.délka, šedý</v>
      </c>
      <c r="C51" s="6" t="str">
        <f>Cen!B649</f>
        <v>956A1201</v>
      </c>
      <c r="D51" s="6" t="str">
        <f>Cen!C649</f>
        <v>PG</v>
      </c>
      <c r="E51" s="9"/>
      <c r="F51" s="107">
        <f>Cen!F649</f>
        <v>0.88392000000000015</v>
      </c>
      <c r="G51" s="3">
        <f t="shared" si="6"/>
        <v>0</v>
      </c>
    </row>
    <row r="52" spans="1:7" x14ac:dyDescent="0.25">
      <c r="A52" s="108">
        <v>11</v>
      </c>
      <c r="B52" s="6" t="str">
        <f>Cen!A653</f>
        <v>TIP-ON křížový adaptér, šedý</v>
      </c>
      <c r="C52" s="6" t="str">
        <f>Cen!B653</f>
        <v>956A1501</v>
      </c>
      <c r="D52" s="6" t="str">
        <f>Cen!C653</f>
        <v>PG</v>
      </c>
      <c r="E52" s="9"/>
      <c r="F52" s="107">
        <f>Cen!F653</f>
        <v>0.65625999999999995</v>
      </c>
      <c r="G52" s="3">
        <f>E52*F52</f>
        <v>0</v>
      </c>
    </row>
    <row r="53" spans="1:7" x14ac:dyDescent="0.25">
      <c r="A53" s="108"/>
      <c r="B53" s="6"/>
      <c r="C53" s="6"/>
      <c r="D53" s="6"/>
      <c r="E53" s="9"/>
      <c r="F53" s="6"/>
      <c r="G53" s="3"/>
    </row>
    <row r="54" spans="1:7" x14ac:dyDescent="0.25">
      <c r="B54" s="6"/>
      <c r="C54" s="6"/>
      <c r="D54" s="6"/>
      <c r="E54" s="5"/>
      <c r="F54" s="4" t="str">
        <f>List!$B$93&amp;":"</f>
        <v>Celkem:</v>
      </c>
      <c r="G54" s="3">
        <f>SUM(G36:G53)</f>
        <v>0</v>
      </c>
    </row>
    <row r="128" spans="1:1" x14ac:dyDescent="0.25">
      <c r="A128" s="579"/>
    </row>
    <row r="129" spans="1:11" x14ac:dyDescent="0.25">
      <c r="A129" s="579"/>
    </row>
    <row r="130" spans="1:11" x14ac:dyDescent="0.25">
      <c r="A130" s="579"/>
      <c r="J130" s="624" t="str">
        <f>List!$B$99</f>
        <v>Zpět</v>
      </c>
      <c r="K130" s="624"/>
    </row>
    <row r="131" spans="1:11" x14ac:dyDescent="0.25">
      <c r="A131" s="579"/>
    </row>
    <row r="132" spans="1:11" x14ac:dyDescent="0.25">
      <c r="A132" s="579"/>
    </row>
    <row r="133" spans="1:11" x14ac:dyDescent="0.25">
      <c r="A133" s="579"/>
    </row>
    <row r="134" spans="1:11" x14ac:dyDescent="0.25">
      <c r="A134" s="579"/>
    </row>
    <row r="135" spans="1:11" x14ac:dyDescent="0.25">
      <c r="A135" s="579"/>
    </row>
    <row r="136" spans="1:11" x14ac:dyDescent="0.25">
      <c r="A136" s="579"/>
    </row>
    <row r="137" spans="1:11" x14ac:dyDescent="0.25">
      <c r="A137" s="579"/>
    </row>
    <row r="138" spans="1:11" x14ac:dyDescent="0.25">
      <c r="A138" s="579"/>
    </row>
    <row r="139" spans="1:11" x14ac:dyDescent="0.25">
      <c r="A139" s="579"/>
    </row>
    <row r="140" spans="1:11" x14ac:dyDescent="0.25">
      <c r="A140" s="579"/>
    </row>
    <row r="141" spans="1:11" x14ac:dyDescent="0.25">
      <c r="A141" s="579"/>
    </row>
    <row r="142" spans="1:11" x14ac:dyDescent="0.25">
      <c r="A142" s="579"/>
    </row>
    <row r="143" spans="1:11" x14ac:dyDescent="0.25">
      <c r="A143" s="579"/>
    </row>
    <row r="144" spans="1:11" x14ac:dyDescent="0.25">
      <c r="A144" s="579"/>
    </row>
    <row r="145" spans="1:1" x14ac:dyDescent="0.25">
      <c r="A145" s="579"/>
    </row>
    <row r="146" spans="1:1" x14ac:dyDescent="0.25">
      <c r="A146" s="579"/>
    </row>
    <row r="147" spans="1:1" x14ac:dyDescent="0.25">
      <c r="A147" s="579"/>
    </row>
    <row r="148" spans="1:1" x14ac:dyDescent="0.25">
      <c r="A148" s="579"/>
    </row>
    <row r="149" spans="1:1" x14ac:dyDescent="0.25">
      <c r="A149" s="579"/>
    </row>
    <row r="150" spans="1:1" x14ac:dyDescent="0.25">
      <c r="A150" s="579"/>
    </row>
    <row r="151" spans="1:1" x14ac:dyDescent="0.25">
      <c r="A151" s="579"/>
    </row>
    <row r="152" spans="1:1" x14ac:dyDescent="0.25">
      <c r="A152" s="579"/>
    </row>
    <row r="153" spans="1:1" x14ac:dyDescent="0.25">
      <c r="A153" s="579"/>
    </row>
    <row r="154" spans="1:1" x14ac:dyDescent="0.25">
      <c r="A154" s="579"/>
    </row>
    <row r="155" spans="1:1" x14ac:dyDescent="0.25">
      <c r="A155" s="579"/>
    </row>
    <row r="156" spans="1:1" x14ac:dyDescent="0.25">
      <c r="A156" s="579"/>
    </row>
    <row r="157" spans="1:1" x14ac:dyDescent="0.25">
      <c r="A157" s="579"/>
    </row>
    <row r="158" spans="1:1" x14ac:dyDescent="0.25">
      <c r="A158" s="579"/>
    </row>
    <row r="159" spans="1:1" x14ac:dyDescent="0.25">
      <c r="A159" s="579"/>
    </row>
    <row r="160" spans="1:1" x14ac:dyDescent="0.25">
      <c r="A160" s="579"/>
    </row>
    <row r="161" spans="1:1" x14ac:dyDescent="0.25">
      <c r="A161" s="579"/>
    </row>
    <row r="162" spans="1:1" x14ac:dyDescent="0.25">
      <c r="A162" s="579"/>
    </row>
    <row r="163" spans="1:1" x14ac:dyDescent="0.25">
      <c r="A163" s="579"/>
    </row>
    <row r="164" spans="1:1" x14ac:dyDescent="0.25">
      <c r="A164" s="579"/>
    </row>
    <row r="165" spans="1:1" x14ac:dyDescent="0.25">
      <c r="A165" s="579"/>
    </row>
    <row r="166" spans="1:1" x14ac:dyDescent="0.25">
      <c r="A166" s="579"/>
    </row>
    <row r="167" spans="1:1" x14ac:dyDescent="0.25">
      <c r="A167" s="579"/>
    </row>
    <row r="168" spans="1:1" x14ac:dyDescent="0.25">
      <c r="A168" s="579"/>
    </row>
    <row r="169" spans="1:1" x14ac:dyDescent="0.25">
      <c r="A169" s="579"/>
    </row>
    <row r="170" spans="1:1" x14ac:dyDescent="0.25">
      <c r="A170" s="579"/>
    </row>
    <row r="171" spans="1:1" x14ac:dyDescent="0.25">
      <c r="A171" s="579"/>
    </row>
    <row r="172" spans="1:1" x14ac:dyDescent="0.25">
      <c r="A172" s="579"/>
    </row>
    <row r="173" spans="1:1" x14ac:dyDescent="0.25">
      <c r="A173" s="579"/>
    </row>
    <row r="174" spans="1:1" x14ac:dyDescent="0.25">
      <c r="A174" s="579"/>
    </row>
    <row r="175" spans="1:1" x14ac:dyDescent="0.25">
      <c r="A175" s="579"/>
    </row>
    <row r="176" spans="1:1" x14ac:dyDescent="0.25">
      <c r="A176" s="579"/>
    </row>
    <row r="177" spans="1:11" x14ac:dyDescent="0.25">
      <c r="A177" s="579"/>
    </row>
    <row r="178" spans="1:11" x14ac:dyDescent="0.25">
      <c r="A178" s="579"/>
    </row>
    <row r="179" spans="1:11" x14ac:dyDescent="0.25">
      <c r="A179" s="579"/>
    </row>
    <row r="180" spans="1:11" x14ac:dyDescent="0.25">
      <c r="A180" s="579"/>
    </row>
    <row r="181" spans="1:11" x14ac:dyDescent="0.25">
      <c r="A181" s="579"/>
    </row>
    <row r="182" spans="1:11" x14ac:dyDescent="0.25">
      <c r="A182" s="579"/>
    </row>
    <row r="183" spans="1:11" x14ac:dyDescent="0.25">
      <c r="A183" s="579"/>
    </row>
    <row r="184" spans="1:11" x14ac:dyDescent="0.25">
      <c r="A184" s="579"/>
    </row>
    <row r="185" spans="1:11" x14ac:dyDescent="0.25">
      <c r="A185" s="579"/>
    </row>
    <row r="186" spans="1:11" x14ac:dyDescent="0.25">
      <c r="A186" s="579"/>
      <c r="J186" s="624" t="str">
        <f>List!$B$99</f>
        <v>Zpět</v>
      </c>
      <c r="K186" s="624"/>
    </row>
    <row r="187" spans="1:11" x14ac:dyDescent="0.25">
      <c r="A187" s="579"/>
    </row>
    <row r="188" spans="1:11" x14ac:dyDescent="0.25">
      <c r="A188" s="579"/>
    </row>
    <row r="189" spans="1:11" x14ac:dyDescent="0.25">
      <c r="A189" s="579"/>
    </row>
    <row r="190" spans="1:11" x14ac:dyDescent="0.25">
      <c r="A190" s="163"/>
    </row>
    <row r="191" spans="1:11" x14ac:dyDescent="0.25">
      <c r="A191" s="163"/>
    </row>
    <row r="192" spans="1:11" x14ac:dyDescent="0.25">
      <c r="A192" s="163"/>
    </row>
    <row r="193" spans="1:1" x14ac:dyDescent="0.25">
      <c r="A193" s="163"/>
    </row>
    <row r="194" spans="1:1" x14ac:dyDescent="0.25">
      <c r="A194" s="163"/>
    </row>
    <row r="195" spans="1:1" x14ac:dyDescent="0.25">
      <c r="A195" s="163"/>
    </row>
    <row r="196" spans="1:1" x14ac:dyDescent="0.25">
      <c r="A196" s="163"/>
    </row>
    <row r="197" spans="1:1" x14ac:dyDescent="0.25">
      <c r="A197" s="163"/>
    </row>
    <row r="198" spans="1:1" x14ac:dyDescent="0.25">
      <c r="A198" s="163"/>
    </row>
    <row r="199" spans="1:1" x14ac:dyDescent="0.25">
      <c r="A199" s="163"/>
    </row>
    <row r="200" spans="1:1" x14ac:dyDescent="0.25">
      <c r="A200" s="163"/>
    </row>
    <row r="201" spans="1:1" x14ac:dyDescent="0.25">
      <c r="A201" s="163"/>
    </row>
    <row r="202" spans="1:1" x14ac:dyDescent="0.25">
      <c r="A202" s="163"/>
    </row>
    <row r="203" spans="1:1" x14ac:dyDescent="0.25">
      <c r="A203" s="163"/>
    </row>
    <row r="204" spans="1:1" x14ac:dyDescent="0.25">
      <c r="A204" s="163"/>
    </row>
    <row r="205" spans="1:1" x14ac:dyDescent="0.25">
      <c r="A205" s="163"/>
    </row>
    <row r="206" spans="1:1" x14ac:dyDescent="0.25">
      <c r="A206" s="163"/>
    </row>
    <row r="207" spans="1:1" x14ac:dyDescent="0.25">
      <c r="A207" s="163"/>
    </row>
    <row r="208" spans="1:1" x14ac:dyDescent="0.25">
      <c r="A208" s="163"/>
    </row>
    <row r="209" spans="1:1" x14ac:dyDescent="0.25">
      <c r="A209" s="163"/>
    </row>
    <row r="210" spans="1:1" x14ac:dyDescent="0.25">
      <c r="A210" s="163"/>
    </row>
    <row r="211" spans="1:1" x14ac:dyDescent="0.25">
      <c r="A211" s="163"/>
    </row>
    <row r="212" spans="1:1" x14ac:dyDescent="0.25">
      <c r="A212" s="163"/>
    </row>
    <row r="213" spans="1:1" x14ac:dyDescent="0.25">
      <c r="A213" s="163"/>
    </row>
    <row r="214" spans="1:1" x14ac:dyDescent="0.25">
      <c r="A214" s="163"/>
    </row>
    <row r="215" spans="1:1" x14ac:dyDescent="0.25">
      <c r="A215" s="163"/>
    </row>
    <row r="216" spans="1:1" x14ac:dyDescent="0.25">
      <c r="A216" s="163"/>
    </row>
    <row r="217" spans="1:1" x14ac:dyDescent="0.25">
      <c r="A217" s="163"/>
    </row>
    <row r="218" spans="1:1" x14ac:dyDescent="0.25">
      <c r="A218" s="163"/>
    </row>
    <row r="219" spans="1:1" x14ac:dyDescent="0.25">
      <c r="A219" s="163"/>
    </row>
    <row r="220" spans="1:1" x14ac:dyDescent="0.25">
      <c r="A220" s="163"/>
    </row>
    <row r="221" spans="1:1" x14ac:dyDescent="0.25">
      <c r="A221" s="163"/>
    </row>
    <row r="222" spans="1:1" x14ac:dyDescent="0.25">
      <c r="A222" s="163"/>
    </row>
    <row r="223" spans="1:1" x14ac:dyDescent="0.25">
      <c r="A223" s="163"/>
    </row>
    <row r="224" spans="1:1" x14ac:dyDescent="0.25">
      <c r="A224" s="163"/>
    </row>
    <row r="225" spans="1:1" x14ac:dyDescent="0.25">
      <c r="A225" s="163"/>
    </row>
    <row r="226" spans="1:1" x14ac:dyDescent="0.25">
      <c r="A226" s="163"/>
    </row>
    <row r="227" spans="1:1" x14ac:dyDescent="0.25">
      <c r="A227" s="163"/>
    </row>
    <row r="284" spans="1:1" x14ac:dyDescent="0.25">
      <c r="A284" s="579"/>
    </row>
    <row r="285" spans="1:1" x14ac:dyDescent="0.25">
      <c r="A285" s="579"/>
    </row>
    <row r="286" spans="1:1" x14ac:dyDescent="0.25">
      <c r="A286" s="579"/>
    </row>
    <row r="287" spans="1:1" x14ac:dyDescent="0.25">
      <c r="A287" s="579"/>
    </row>
    <row r="288" spans="1:1" x14ac:dyDescent="0.25">
      <c r="A288" s="579"/>
    </row>
    <row r="289" spans="1:11" x14ac:dyDescent="0.25">
      <c r="A289" s="579"/>
    </row>
    <row r="290" spans="1:11" x14ac:dyDescent="0.25">
      <c r="A290" s="579"/>
    </row>
    <row r="291" spans="1:11" x14ac:dyDescent="0.25">
      <c r="A291" s="579"/>
    </row>
    <row r="292" spans="1:11" x14ac:dyDescent="0.25">
      <c r="A292" s="579"/>
    </row>
    <row r="293" spans="1:11" x14ac:dyDescent="0.25">
      <c r="A293" s="579"/>
    </row>
    <row r="294" spans="1:11" x14ac:dyDescent="0.25">
      <c r="A294" s="579"/>
      <c r="J294" s="624" t="str">
        <f>List!$B$99</f>
        <v>Zpět</v>
      </c>
      <c r="K294" s="624"/>
    </row>
    <row r="295" spans="1:11" x14ac:dyDescent="0.25">
      <c r="A295" s="579"/>
    </row>
    <row r="296" spans="1:11" x14ac:dyDescent="0.25">
      <c r="A296" s="579"/>
    </row>
    <row r="297" spans="1:11" x14ac:dyDescent="0.25">
      <c r="A297" s="579"/>
    </row>
    <row r="298" spans="1:11" x14ac:dyDescent="0.25">
      <c r="A298" s="579"/>
    </row>
    <row r="299" spans="1:11" x14ac:dyDescent="0.25">
      <c r="A299" s="579"/>
    </row>
    <row r="300" spans="1:11" x14ac:dyDescent="0.25">
      <c r="A300" s="579"/>
    </row>
    <row r="301" spans="1:11" x14ac:dyDescent="0.25">
      <c r="A301" s="579"/>
    </row>
    <row r="302" spans="1:11" x14ac:dyDescent="0.25">
      <c r="A302" s="579"/>
    </row>
    <row r="303" spans="1:11" x14ac:dyDescent="0.25">
      <c r="A303" s="579"/>
    </row>
    <row r="304" spans="1:11" x14ac:dyDescent="0.25">
      <c r="A304" s="579"/>
    </row>
    <row r="305" spans="1:1" x14ac:dyDescent="0.25">
      <c r="A305" s="579"/>
    </row>
    <row r="306" spans="1:1" x14ac:dyDescent="0.25">
      <c r="A306" s="579"/>
    </row>
    <row r="307" spans="1:1" x14ac:dyDescent="0.25">
      <c r="A307" s="579"/>
    </row>
    <row r="308" spans="1:1" x14ac:dyDescent="0.25">
      <c r="A308" s="579"/>
    </row>
    <row r="309" spans="1:1" x14ac:dyDescent="0.25">
      <c r="A309" s="579"/>
    </row>
    <row r="310" spans="1:1" x14ac:dyDescent="0.25">
      <c r="A310" s="579"/>
    </row>
    <row r="311" spans="1:1" x14ac:dyDescent="0.25">
      <c r="A311" s="579"/>
    </row>
    <row r="312" spans="1:1" x14ac:dyDescent="0.25">
      <c r="A312" s="579"/>
    </row>
    <row r="313" spans="1:1" x14ac:dyDescent="0.25">
      <c r="A313" s="579"/>
    </row>
    <row r="314" spans="1:1" x14ac:dyDescent="0.25">
      <c r="A314" s="579"/>
    </row>
    <row r="315" spans="1:1" x14ac:dyDescent="0.25">
      <c r="A315" s="579"/>
    </row>
    <row r="316" spans="1:1" x14ac:dyDescent="0.25">
      <c r="A316" s="579"/>
    </row>
    <row r="317" spans="1:1" x14ac:dyDescent="0.25">
      <c r="A317" s="579"/>
    </row>
    <row r="318" spans="1:1" x14ac:dyDescent="0.25">
      <c r="A318" s="579"/>
    </row>
    <row r="319" spans="1:1" x14ac:dyDescent="0.25">
      <c r="A319" s="579"/>
    </row>
    <row r="320" spans="1:1" x14ac:dyDescent="0.25">
      <c r="A320" s="579"/>
    </row>
    <row r="321" spans="1:1" x14ac:dyDescent="0.25">
      <c r="A321" s="579"/>
    </row>
    <row r="322" spans="1:1" x14ac:dyDescent="0.25">
      <c r="A322" s="579"/>
    </row>
    <row r="323" spans="1:1" x14ac:dyDescent="0.25">
      <c r="A323" s="579"/>
    </row>
    <row r="324" spans="1:1" x14ac:dyDescent="0.25">
      <c r="A324" s="579"/>
    </row>
    <row r="325" spans="1:1" x14ac:dyDescent="0.25">
      <c r="A325" s="579"/>
    </row>
    <row r="326" spans="1:1" x14ac:dyDescent="0.25">
      <c r="A326" s="579"/>
    </row>
    <row r="327" spans="1:1" x14ac:dyDescent="0.25">
      <c r="A327" s="579"/>
    </row>
    <row r="328" spans="1:1" x14ac:dyDescent="0.25">
      <c r="A328" s="579"/>
    </row>
    <row r="329" spans="1:1" x14ac:dyDescent="0.25">
      <c r="A329" s="579"/>
    </row>
    <row r="330" spans="1:1" x14ac:dyDescent="0.25">
      <c r="A330" s="579"/>
    </row>
    <row r="331" spans="1:1" x14ac:dyDescent="0.25">
      <c r="A331" s="579"/>
    </row>
    <row r="332" spans="1:1" x14ac:dyDescent="0.25">
      <c r="A332" s="579"/>
    </row>
    <row r="333" spans="1:1" x14ac:dyDescent="0.25">
      <c r="A333" s="579"/>
    </row>
  </sheetData>
  <sheetProtection algorithmName="SHA-512" hashValue="GjAG5NjcNRKzwn+EG2UAE1i9Ftbl3xYmAn6pd5/wusCpSI4wqU0uWO1mWoMYUaemD3iChSljDJ0DK/Jn7JuJzw==" saltValue="avZZ16o6m+pbuOVPno6uIg==" spinCount="100000" sheet="1" objects="1" scenarios="1"/>
  <mergeCells count="8">
    <mergeCell ref="A5:A13"/>
    <mergeCell ref="A16:A20"/>
    <mergeCell ref="J294:K294"/>
    <mergeCell ref="J130:K130"/>
    <mergeCell ref="A284:A333"/>
    <mergeCell ref="J186:K186"/>
    <mergeCell ref="A128:A189"/>
    <mergeCell ref="A28:A32"/>
  </mergeCells>
  <phoneticPr fontId="53" type="noConversion"/>
  <hyperlinks>
    <hyperlink ref="I3" location="Form!A1" tooltip=" " display="Form!A1"/>
    <hyperlink ref="I4" location="Menu!A1" tooltip=" " display="Menu!A1"/>
    <hyperlink ref="I8" location="OL!A1" tooltip=" " display="ORGA-LINE"/>
    <hyperlink ref="I11" location="Acs!A150" tooltip=" " display="Acs!A150"/>
    <hyperlink ref="I36" location="Acs!A280" tooltip=" " display="Acs!A280"/>
    <hyperlink ref="I9" location="Sum!A1" tooltip=" " display="Sum!A1"/>
    <hyperlink ref="J294:K294" location="Acs!A1" tooltip=" " display="Acs!A1"/>
    <hyperlink ref="J130:K130" location="Acs!A1" tooltip=" " display="Acs!A1"/>
    <hyperlink ref="I7" location="SD!A1" tooltip=" " display="SD!A1"/>
    <hyperlink ref="J186:K186" location="Acs!A1" tooltip=" " display="Acs!A1"/>
  </hyperlinks>
  <pageMargins left="0.31496062992125984" right="0.31496062992125984" top="0.39370078740157483" bottom="0.59055118110236227" header="0.31496062992125984" footer="0.31496062992125984"/>
  <pageSetup paperSize="9" scale="90" orientation="portrait" horizontalDpi="1200" verticalDpi="12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indexed="57"/>
  </sheetPr>
  <dimension ref="A1:K266"/>
  <sheetViews>
    <sheetView showGridLines="0" showRowColHeaders="0" workbookViewId="0"/>
  </sheetViews>
  <sheetFormatPr defaultColWidth="9.1796875" defaultRowHeight="12.5" x14ac:dyDescent="0.25"/>
  <cols>
    <col min="1" max="1" width="7.1796875" style="114" customWidth="1"/>
    <col min="2" max="2" width="44.26953125" style="114" customWidth="1"/>
    <col min="3" max="3" width="17.1796875" style="114" customWidth="1"/>
    <col min="4" max="7" width="10" style="114" customWidth="1"/>
    <col min="8" max="8" width="3.1796875" style="114" customWidth="1"/>
    <col min="9" max="9" width="27.54296875" style="114" customWidth="1"/>
    <col min="10" max="16384" width="9.1796875" style="114"/>
  </cols>
  <sheetData>
    <row r="1" spans="1:9" ht="19.5" customHeight="1" x14ac:dyDescent="0.4">
      <c r="G1" s="201" t="s">
        <v>634</v>
      </c>
    </row>
    <row r="2" spans="1:9" ht="17.5" x14ac:dyDescent="0.35">
      <c r="B2" s="202"/>
      <c r="C2" s="7"/>
      <c r="D2" s="7"/>
      <c r="E2" s="196" t="str">
        <f>List!$B$90&amp;":"</f>
        <v>Počet:</v>
      </c>
      <c r="F2" s="106"/>
      <c r="G2" s="110"/>
      <c r="I2" s="151" t="str">
        <f>List!$B$11&amp;":"</f>
        <v>Zpět na:</v>
      </c>
    </row>
    <row r="3" spans="1:9" ht="13" thickBot="1" x14ac:dyDescent="0.3">
      <c r="A3" s="108">
        <v>1</v>
      </c>
      <c r="B3" s="6" t="str">
        <f>Cen!A570</f>
        <v>Distanční doraz Blum, 5mm</v>
      </c>
      <c r="C3" s="6" t="str">
        <f>Cen!B570</f>
        <v>993.0530</v>
      </c>
      <c r="D3" s="6" t="str">
        <f>Cen!C570</f>
        <v>R737</v>
      </c>
      <c r="E3" s="9"/>
      <c r="F3" s="107">
        <f>Cen!F570</f>
        <v>0.69091000000000014</v>
      </c>
      <c r="G3" s="3">
        <f t="shared" ref="G3:G28" si="0">E3*F3</f>
        <v>0</v>
      </c>
      <c r="I3" s="149" t="str">
        <f>" "&amp;List!$B$13</f>
        <v xml:space="preserve"> Úvod</v>
      </c>
    </row>
    <row r="4" spans="1:9" ht="13" thickBot="1" x14ac:dyDescent="0.3">
      <c r="A4" s="108">
        <v>1</v>
      </c>
      <c r="B4" s="6" t="str">
        <f>Cen!A571</f>
        <v>Distanční doraz Blum, 8mm</v>
      </c>
      <c r="C4" s="6" t="str">
        <f>Cen!B571</f>
        <v>993.0830.01</v>
      </c>
      <c r="D4" s="6" t="str">
        <f>Cen!C571</f>
        <v>R737</v>
      </c>
      <c r="E4" s="9"/>
      <c r="F4" s="107">
        <f>Cen!F571</f>
        <v>0.62067000000000005</v>
      </c>
      <c r="G4" s="3">
        <f t="shared" si="0"/>
        <v>0</v>
      </c>
      <c r="I4" s="149" t="str">
        <f>" "&amp;List!$B$4</f>
        <v xml:space="preserve"> Výběr zásuvek a výsuvů</v>
      </c>
    </row>
    <row r="5" spans="1:9" x14ac:dyDescent="0.25">
      <c r="A5" s="108">
        <v>2</v>
      </c>
      <c r="B5" s="6" t="str">
        <f>Cen!A590</f>
        <v xml:space="preserve">Nosník, 670mm, s předmont. kabelem </v>
      </c>
      <c r="C5" s="6" t="str">
        <f>Cen!B590</f>
        <v xml:space="preserve">Z10T670AA </v>
      </c>
      <c r="D5" s="6" t="str">
        <f>Cen!C590</f>
        <v>Alu</v>
      </c>
      <c r="E5" s="9"/>
      <c r="F5" s="107">
        <f>Cen!F590</f>
        <v>34.334380000000003</v>
      </c>
      <c r="G5" s="3">
        <f t="shared" si="0"/>
        <v>0</v>
      </c>
      <c r="I5" s="150" t="s">
        <v>716</v>
      </c>
    </row>
    <row r="6" spans="1:9" x14ac:dyDescent="0.25">
      <c r="A6" s="108">
        <v>2</v>
      </c>
      <c r="B6" s="6" t="str">
        <f>Cen!A592</f>
        <v xml:space="preserve">Nosník, 750mm, s předmont. kabelem </v>
      </c>
      <c r="C6" s="6" t="str">
        <f>Cen!B592</f>
        <v xml:space="preserve">Z10T750AA </v>
      </c>
      <c r="D6" s="6" t="str">
        <f>Cen!C592</f>
        <v>Alu</v>
      </c>
      <c r="E6" s="9"/>
      <c r="F6" s="107">
        <f>Cen!F592</f>
        <v>37.613590000000002</v>
      </c>
      <c r="G6" s="3">
        <f t="shared" si="0"/>
        <v>0</v>
      </c>
      <c r="I6" s="2"/>
    </row>
    <row r="7" spans="1:9" x14ac:dyDescent="0.25">
      <c r="A7" s="108">
        <v>2</v>
      </c>
      <c r="B7" s="6" t="str">
        <f>Cen!A594</f>
        <v>Nosník 1170mm, bez kabelu</v>
      </c>
      <c r="C7" s="6" t="str">
        <f>Cen!B594</f>
        <v>Z10T1170A</v>
      </c>
      <c r="D7" s="6" t="str">
        <f>Cen!C594</f>
        <v>Alu</v>
      </c>
      <c r="E7" s="9"/>
      <c r="F7" s="107">
        <f>Cen!F594</f>
        <v>40.049750000000003</v>
      </c>
      <c r="G7" s="3">
        <f t="shared" si="0"/>
        <v>0</v>
      </c>
      <c r="I7" s="2" t="str">
        <f>List!$B$12&amp;":"</f>
        <v>Pokračovat na:</v>
      </c>
    </row>
    <row r="8" spans="1:9" ht="13" thickBot="1" x14ac:dyDescent="0.3">
      <c r="A8" s="108">
        <v>3.4</v>
      </c>
      <c r="B8" s="6" t="str">
        <f>Cen!A573</f>
        <v>Držák nosníku, vlys naležato</v>
      </c>
      <c r="C8" s="6" t="str">
        <f>Cen!B573</f>
        <v>Z10D01E0.01</v>
      </c>
      <c r="D8" s="6" t="str">
        <f>Cen!C573</f>
        <v>R737</v>
      </c>
      <c r="E8" s="9"/>
      <c r="F8" s="107">
        <f>Cen!F573</f>
        <v>3.29522</v>
      </c>
      <c r="G8" s="3">
        <f t="shared" si="0"/>
        <v>0</v>
      </c>
      <c r="I8" s="266" t="str">
        <f>" "&amp;List!$B$7</f>
        <v xml:space="preserve"> Výběr ORGA-LINE</v>
      </c>
    </row>
    <row r="9" spans="1:9" ht="13" thickBot="1" x14ac:dyDescent="0.3">
      <c r="A9" s="108" t="s">
        <v>641</v>
      </c>
      <c r="B9" s="6" t="str">
        <f>Cen!A574</f>
        <v>Držák nosníku, vlys nastojato</v>
      </c>
      <c r="C9" s="6" t="str">
        <f>Cen!B574</f>
        <v>Z10D01EA.01</v>
      </c>
      <c r="D9" s="6" t="str">
        <f>Cen!C574</f>
        <v>R737</v>
      </c>
      <c r="E9" s="9"/>
      <c r="F9" s="107">
        <f>Cen!F574</f>
        <v>4.1090900000000001</v>
      </c>
      <c r="G9" s="3">
        <f t="shared" si="0"/>
        <v>0</v>
      </c>
      <c r="I9" s="149" t="str">
        <f>" "&amp;List!$B$18</f>
        <v xml:space="preserve"> Souhrn</v>
      </c>
    </row>
    <row r="10" spans="1:9" x14ac:dyDescent="0.25">
      <c r="A10" s="108">
        <v>5</v>
      </c>
      <c r="B10" s="6" t="str">
        <f>Cen!A572</f>
        <v>Pohonná servo jednotka</v>
      </c>
      <c r="C10" s="6" t="str">
        <f>Cen!B572</f>
        <v>Z10A3000.03</v>
      </c>
      <c r="D10" s="6" t="str">
        <f>Cen!C572</f>
        <v>R737</v>
      </c>
      <c r="E10" s="9"/>
      <c r="F10" s="107">
        <f>Cen!F572</f>
        <v>67.216899999999995</v>
      </c>
      <c r="G10" s="3">
        <f t="shared" si="0"/>
        <v>0</v>
      </c>
    </row>
    <row r="11" spans="1:9" x14ac:dyDescent="0.25">
      <c r="A11" s="108" t="s">
        <v>640</v>
      </c>
      <c r="B11" s="6" t="str">
        <f>Cen!A595</f>
        <v xml:space="preserve">Mechanizmus vyhazovače </v>
      </c>
      <c r="C11" s="6" t="str">
        <f>Cen!B595</f>
        <v>Z10A3H00</v>
      </c>
      <c r="D11" s="6" t="str">
        <f>Cen!C595</f>
        <v>R737</v>
      </c>
      <c r="E11" s="9"/>
      <c r="F11" s="107">
        <f>Cen!F595</f>
        <v>2.8103199999999999</v>
      </c>
      <c r="G11" s="3">
        <f t="shared" si="0"/>
        <v>0</v>
      </c>
      <c r="I11" s="192" t="str">
        <f>"     "&amp;List!$B$25</f>
        <v xml:space="preserve">     Informace k objednávání</v>
      </c>
    </row>
    <row r="12" spans="1:9" x14ac:dyDescent="0.25">
      <c r="A12" s="108">
        <v>6.7</v>
      </c>
      <c r="B12" s="6" t="str">
        <f>Cen!A588</f>
        <v>Propojovací svorka s hroty + krytka</v>
      </c>
      <c r="C12" s="6" t="str">
        <f>Cen!B588</f>
        <v>Z10V100E.01</v>
      </c>
      <c r="D12" s="6" t="str">
        <f>Cen!C588</f>
        <v>S</v>
      </c>
      <c r="E12" s="9"/>
      <c r="F12" s="107">
        <f>Cen!F588</f>
        <v>6.2567500000000003</v>
      </c>
      <c r="G12" s="3">
        <f t="shared" si="0"/>
        <v>0</v>
      </c>
    </row>
    <row r="13" spans="1:9" x14ac:dyDescent="0.25">
      <c r="A13" s="108">
        <v>8.6999999999999993</v>
      </c>
      <c r="B13" s="6" t="str">
        <f>Cen!A583</f>
        <v>Elektrokabel, délka 8m + 5 krytek</v>
      </c>
      <c r="C13" s="6" t="str">
        <f>Cen!B583</f>
        <v>Z10K800AE</v>
      </c>
      <c r="D13" s="6" t="str">
        <f>Cen!C583</f>
        <v>S</v>
      </c>
      <c r="E13" s="9"/>
      <c r="F13" s="107">
        <f>Cen!F583</f>
        <v>26.267219999999998</v>
      </c>
      <c r="G13" s="3">
        <f t="shared" si="0"/>
        <v>0</v>
      </c>
    </row>
    <row r="14" spans="1:9" x14ac:dyDescent="0.25">
      <c r="A14" s="108">
        <v>9</v>
      </c>
      <c r="B14" s="6" t="str">
        <f>Cen!A585</f>
        <v>Napájecí zdroj 24W</v>
      </c>
      <c r="C14" s="6" t="str">
        <f>Cen!B585</f>
        <v>Z10NE030E</v>
      </c>
      <c r="D14" s="6" t="str">
        <f>Cen!C585</f>
        <v>S</v>
      </c>
      <c r="E14" s="9"/>
      <c r="F14" s="107">
        <f>Cen!F585</f>
        <v>96.961060000000003</v>
      </c>
      <c r="G14" s="3">
        <f t="shared" si="0"/>
        <v>0</v>
      </c>
    </row>
    <row r="15" spans="1:9" x14ac:dyDescent="0.25">
      <c r="A15" s="108">
        <v>10</v>
      </c>
      <c r="B15" s="6" t="str">
        <f>Cen!A584</f>
        <v>Napájecí kabel se zástrčkou, 2m</v>
      </c>
      <c r="C15" s="6" t="str">
        <f>Cen!B584</f>
        <v xml:space="preserve">Z10M200E </v>
      </c>
      <c r="D15" s="6" t="str">
        <f>Cen!C584</f>
        <v>S</v>
      </c>
      <c r="E15" s="9"/>
      <c r="F15" s="107">
        <f>Cen!F584</f>
        <v>6.3704900000000002</v>
      </c>
      <c r="G15" s="3">
        <f t="shared" si="0"/>
        <v>0</v>
      </c>
    </row>
    <row r="16" spans="1:9" x14ac:dyDescent="0.25">
      <c r="A16" s="108">
        <v>11</v>
      </c>
      <c r="B16" s="6" t="str">
        <f>Cen!A586</f>
        <v>Držák napájecího zdroje - montáž do dna</v>
      </c>
      <c r="C16" s="6" t="str">
        <f>Cen!B586</f>
        <v>Z10NG000</v>
      </c>
      <c r="D16" s="6" t="str">
        <f>Cen!C586</f>
        <v>R737</v>
      </c>
      <c r="E16" s="9"/>
      <c r="F16" s="107">
        <f>Cen!F586</f>
        <v>6.557669999999999</v>
      </c>
      <c r="G16" s="3">
        <f t="shared" si="0"/>
        <v>0</v>
      </c>
    </row>
    <row r="17" spans="1:7" x14ac:dyDescent="0.25">
      <c r="A17" s="108">
        <v>12</v>
      </c>
      <c r="B17" s="6" t="str">
        <f>Cen!A587</f>
        <v>Držák napájecího zdroje - montáž na stěnu</v>
      </c>
      <c r="C17" s="6" t="str">
        <f>Cen!B587</f>
        <v>Z10NG120</v>
      </c>
      <c r="D17" s="6" t="str">
        <f>Cen!C587</f>
        <v>WGR</v>
      </c>
      <c r="E17" s="9"/>
      <c r="F17" s="107">
        <f>Cen!F587</f>
        <v>3.5366300000000002</v>
      </c>
      <c r="G17" s="3">
        <f t="shared" si="0"/>
        <v>0</v>
      </c>
    </row>
    <row r="18" spans="1:7" x14ac:dyDescent="0.25">
      <c r="A18" s="108">
        <v>13</v>
      </c>
      <c r="B18" s="6" t="str">
        <f>Cen!A579</f>
        <v>Synchronizační kabel 8cm</v>
      </c>
      <c r="C18" s="6" t="str">
        <f>Cen!B579</f>
        <v xml:space="preserve">Z10K008S </v>
      </c>
      <c r="D18" s="6" t="str">
        <f>Cen!C579</f>
        <v>W</v>
      </c>
      <c r="E18" s="9"/>
      <c r="F18" s="107">
        <f>Cen!F579</f>
        <v>4.2158600000000002</v>
      </c>
      <c r="G18" s="3">
        <f t="shared" si="0"/>
        <v>0</v>
      </c>
    </row>
    <row r="19" spans="1:7" x14ac:dyDescent="0.25">
      <c r="A19" s="108">
        <v>13</v>
      </c>
      <c r="B19" s="6" t="str">
        <f>Cen!A580</f>
        <v>Synchronizační kabel 50cm</v>
      </c>
      <c r="C19" s="6" t="str">
        <f>Cen!B580</f>
        <v>Z10K050S</v>
      </c>
      <c r="D19" s="6" t="str">
        <f>Cen!C580</f>
        <v>W</v>
      </c>
      <c r="E19" s="9"/>
      <c r="F19" s="107">
        <f>Cen!F580</f>
        <v>5.8548999999999998</v>
      </c>
      <c r="G19" s="3">
        <f t="shared" si="0"/>
        <v>0</v>
      </c>
    </row>
    <row r="20" spans="1:7" x14ac:dyDescent="0.25">
      <c r="A20" s="108">
        <v>13</v>
      </c>
      <c r="B20" s="6" t="str">
        <f>Cen!A581</f>
        <v>Synchronizační kabel 120cm</v>
      </c>
      <c r="C20" s="6" t="str">
        <f>Cen!B581</f>
        <v>Z10K120S</v>
      </c>
      <c r="D20" s="6" t="str">
        <f>Cen!C581</f>
        <v>W</v>
      </c>
      <c r="E20" s="9"/>
      <c r="F20" s="107">
        <f>Cen!F581</f>
        <v>9.0636899999999994</v>
      </c>
      <c r="G20" s="3">
        <f t="shared" si="0"/>
        <v>0</v>
      </c>
    </row>
    <row r="21" spans="1:7" x14ac:dyDescent="0.25">
      <c r="A21" s="108">
        <v>13</v>
      </c>
      <c r="B21" s="6" t="str">
        <f>Cen!A582</f>
        <v>Synchronizační kabel 160cm</v>
      </c>
      <c r="C21" s="6" t="str">
        <f>Cen!B582</f>
        <v>Z10K160S</v>
      </c>
      <c r="D21" s="6" t="str">
        <f>Cen!C582</f>
        <v>W</v>
      </c>
      <c r="E21" s="9"/>
      <c r="F21" s="107">
        <f>Cen!F582</f>
        <v>10.234780000000001</v>
      </c>
      <c r="G21" s="3">
        <f t="shared" si="0"/>
        <v>0</v>
      </c>
    </row>
    <row r="22" spans="1:7" x14ac:dyDescent="0.25">
      <c r="A22" s="108">
        <v>14</v>
      </c>
      <c r="B22" s="6" t="str">
        <f>Cen!A576</f>
        <v>Držák servo jednotky zdvojený</v>
      </c>
      <c r="C22" s="6" t="str">
        <f>Cen!B576</f>
        <v>Z10D7201.01</v>
      </c>
      <c r="D22" s="6" t="str">
        <f>Cen!C576</f>
        <v>R737</v>
      </c>
      <c r="E22" s="9"/>
      <c r="F22" s="107">
        <f>Cen!F576</f>
        <v>13.40591</v>
      </c>
      <c r="G22" s="3">
        <f t="shared" si="0"/>
        <v>0</v>
      </c>
    </row>
    <row r="23" spans="1:7" x14ac:dyDescent="0.25">
      <c r="A23" s="108">
        <v>15</v>
      </c>
      <c r="B23" s="6" t="str">
        <f>Cen!A575</f>
        <v>Držák servo jednotky jednoduchý</v>
      </c>
      <c r="C23" s="6" t="str">
        <f>Cen!B575</f>
        <v>Z10D0311</v>
      </c>
      <c r="D23" s="6" t="str">
        <f>Cen!C575</f>
        <v>R737</v>
      </c>
      <c r="E23" s="9"/>
      <c r="F23" s="107">
        <f>Cen!F575</f>
        <v>6.7205600000000008</v>
      </c>
      <c r="G23" s="3">
        <f t="shared" si="0"/>
        <v>0</v>
      </c>
    </row>
    <row r="24" spans="1:7" x14ac:dyDescent="0.25">
      <c r="A24" s="108">
        <v>16</v>
      </c>
      <c r="B24" s="6" t="str">
        <f>Cen!A578</f>
        <v>Držák kabelu s Klebesockel</v>
      </c>
      <c r="C24" s="6" t="str">
        <f>Cen!B578</f>
        <v>Z10K0009</v>
      </c>
      <c r="D24" s="6" t="str">
        <f>Cen!C578</f>
        <v>NA</v>
      </c>
      <c r="E24" s="9"/>
      <c r="F24" s="107">
        <f>Cen!F578</f>
        <v>0.75662999999999991</v>
      </c>
      <c r="G24" s="3">
        <f t="shared" si="0"/>
        <v>0</v>
      </c>
    </row>
    <row r="25" spans="1:7" x14ac:dyDescent="0.25">
      <c r="A25" s="108">
        <v>17</v>
      </c>
      <c r="B25" s="6" t="str">
        <f>Cen!A610</f>
        <v>Stabilizace čel</v>
      </c>
      <c r="C25" s="6" t="str">
        <f>Cen!B610</f>
        <v>Z96.10E1</v>
      </c>
      <c r="D25" s="6" t="str">
        <f>Cen!C610</f>
        <v>R737</v>
      </c>
      <c r="E25" s="9"/>
      <c r="F25" s="107">
        <f>Cen!F610</f>
        <v>1.3134000000000001</v>
      </c>
      <c r="G25" s="3">
        <f t="shared" si="0"/>
        <v>0</v>
      </c>
    </row>
    <row r="26" spans="1:7" x14ac:dyDescent="0.25">
      <c r="A26" s="108">
        <v>18.2</v>
      </c>
      <c r="B26" s="6" t="str">
        <f>Cen!A597</f>
        <v>Adaptér + držák horizont. nosníku</v>
      </c>
      <c r="C26" s="6" t="str">
        <f>Cen!B597</f>
        <v>Z10D5210</v>
      </c>
      <c r="D26" s="6" t="str">
        <f>Cen!C597</f>
        <v>R737</v>
      </c>
      <c r="E26" s="9"/>
      <c r="F26" s="107">
        <f>Cen!F597</f>
        <v>5.199209999999999</v>
      </c>
      <c r="G26" s="3">
        <f t="shared" si="0"/>
        <v>0</v>
      </c>
    </row>
    <row r="27" spans="1:7" x14ac:dyDescent="0.25">
      <c r="A27" s="108">
        <v>19</v>
      </c>
      <c r="B27" s="6" t="str">
        <f>Cen!A596</f>
        <v>Horizontální nosník</v>
      </c>
      <c r="C27" s="6" t="str">
        <f>Cen!B596</f>
        <v>Z10T1143B</v>
      </c>
      <c r="D27" s="6" t="str">
        <f>Cen!C596</f>
        <v>Alu</v>
      </c>
      <c r="E27" s="9"/>
      <c r="F27" s="107">
        <f>Cen!F596</f>
        <v>16.558009999999999</v>
      </c>
      <c r="G27" s="3">
        <f t="shared" si="0"/>
        <v>0</v>
      </c>
    </row>
    <row r="28" spans="1:7" x14ac:dyDescent="0.25">
      <c r="A28" s="108">
        <v>21</v>
      </c>
      <c r="B28" s="6" t="str">
        <f>Cen!A577</f>
        <v>Držák servo jednotky horní</v>
      </c>
      <c r="C28" s="6" t="str">
        <f>Cen!B577</f>
        <v>Z10D6252</v>
      </c>
      <c r="D28" s="6" t="str">
        <f>Cen!C577</f>
        <v>R737</v>
      </c>
      <c r="E28" s="9"/>
      <c r="F28" s="107">
        <f>Cen!F577</f>
        <v>18.91206</v>
      </c>
      <c r="G28" s="3">
        <f t="shared" si="0"/>
        <v>0</v>
      </c>
    </row>
    <row r="29" spans="1:7" x14ac:dyDescent="0.25">
      <c r="A29" s="108"/>
      <c r="B29" s="6"/>
      <c r="C29" s="6"/>
      <c r="D29" s="6"/>
      <c r="E29" s="267"/>
      <c r="F29" s="107"/>
      <c r="G29" s="3"/>
    </row>
    <row r="30" spans="1:7" x14ac:dyDescent="0.25">
      <c r="A30" s="108"/>
      <c r="B30" s="6" t="str">
        <f>Cen!A598</f>
        <v>COMBOX</v>
      </c>
      <c r="C30" s="6" t="str">
        <f>Cen!B598</f>
        <v>Z10ZC00A</v>
      </c>
      <c r="D30" s="6" t="str">
        <f>Cen!C598</f>
        <v>S</v>
      </c>
      <c r="E30" s="9"/>
      <c r="F30" s="107">
        <f>Cen!F598</f>
        <v>110.51904999999999</v>
      </c>
      <c r="G30" s="3">
        <f t="shared" ref="G30:G35" si="1">E30*F30</f>
        <v>0</v>
      </c>
    </row>
    <row r="31" spans="1:7" x14ac:dyDescent="0.25">
      <c r="A31" s="108"/>
      <c r="B31" s="6" t="str">
        <f>Cen!A599</f>
        <v>SD uno - sada pro výsuv na odpad</v>
      </c>
      <c r="C31" s="6" t="str">
        <f>Cen!B599</f>
        <v>Z10NA30EE</v>
      </c>
      <c r="D31" s="6" t="str">
        <f>Cen!C599</f>
        <v>R737</v>
      </c>
      <c r="E31" s="9"/>
      <c r="F31" s="107">
        <f>Cen!F599</f>
        <v>132.19479999999999</v>
      </c>
      <c r="G31" s="3">
        <f t="shared" si="1"/>
        <v>0</v>
      </c>
    </row>
    <row r="32" spans="1:7" x14ac:dyDescent="0.25">
      <c r="A32" s="108"/>
      <c r="B32" s="6" t="str">
        <f>Cen!A601</f>
        <v>SERVO-DRIVE flex - jednotka (sada)</v>
      </c>
      <c r="C32" s="6" t="str">
        <f>Cen!B601</f>
        <v>Z10C500A</v>
      </c>
      <c r="D32" s="6" t="str">
        <f>Cen!C601</f>
        <v>R736</v>
      </c>
      <c r="E32" s="9"/>
      <c r="F32" s="107">
        <f>Cen!F601</f>
        <v>156.82427999999999</v>
      </c>
      <c r="G32" s="3">
        <f t="shared" si="1"/>
        <v>0</v>
      </c>
    </row>
    <row r="33" spans="1:7" x14ac:dyDescent="0.25">
      <c r="A33" s="108"/>
      <c r="B33" s="6" t="str">
        <f>Cen!A602</f>
        <v>SERVO-DRIVE flex - bezdrátový přijímač</v>
      </c>
      <c r="C33" s="6" t="str">
        <f>Cen!B602</f>
        <v>Z10C5007</v>
      </c>
      <c r="D33" s="6" t="str">
        <f>Cen!C602</f>
        <v>R736</v>
      </c>
      <c r="E33" s="9"/>
      <c r="F33" s="107">
        <f>Cen!F602</f>
        <v>61.456240000000001</v>
      </c>
      <c r="G33" s="3">
        <f t="shared" si="1"/>
        <v>0</v>
      </c>
    </row>
    <row r="34" spans="1:7" x14ac:dyDescent="0.25">
      <c r="A34" s="108"/>
      <c r="B34" s="6" t="str">
        <f>Cen!A603</f>
        <v>Spínač SERVO-DRIVE, světle šedý</v>
      </c>
      <c r="C34" s="6" t="str">
        <f>Cen!B603</f>
        <v>21P5020</v>
      </c>
      <c r="D34" s="6" t="str">
        <f>Cen!C603</f>
        <v>HGR</v>
      </c>
      <c r="E34" s="9"/>
      <c r="F34" s="107">
        <f>Cen!F603</f>
        <v>29.275839999999999</v>
      </c>
      <c r="G34" s="3">
        <f t="shared" si="1"/>
        <v>0</v>
      </c>
    </row>
    <row r="35" spans="1:7" x14ac:dyDescent="0.25">
      <c r="A35" s="108"/>
      <c r="B35" s="6" t="str">
        <f>Cen!A604</f>
        <v>Spínač SERVO-DRIVE, hedvábně bílý</v>
      </c>
      <c r="C35" s="6" t="str">
        <f>Cen!B604</f>
        <v>21P5020</v>
      </c>
      <c r="D35" s="6" t="str">
        <f>Cen!C604</f>
        <v>SW</v>
      </c>
      <c r="E35" s="9"/>
      <c r="F35" s="107">
        <f>Cen!F604</f>
        <v>30.447119999999998</v>
      </c>
      <c r="G35" s="3">
        <f t="shared" si="1"/>
        <v>0</v>
      </c>
    </row>
    <row r="36" spans="1:7" ht="18" customHeight="1" x14ac:dyDescent="0.25">
      <c r="B36" s="6"/>
      <c r="C36" s="6"/>
      <c r="D36" s="6"/>
      <c r="E36" s="5"/>
      <c r="F36" s="4" t="str">
        <f>List!$B$93&amp;":"</f>
        <v>Celkem:</v>
      </c>
      <c r="G36" s="3">
        <f>SUM(G3:G35)</f>
        <v>0</v>
      </c>
    </row>
    <row r="37" spans="1:7" x14ac:dyDescent="0.25">
      <c r="A37" s="262"/>
    </row>
    <row r="38" spans="1:7" x14ac:dyDescent="0.25">
      <c r="A38" s="262"/>
    </row>
    <row r="39" spans="1:7" x14ac:dyDescent="0.25">
      <c r="A39" s="262"/>
    </row>
    <row r="40" spans="1:7" x14ac:dyDescent="0.25">
      <c r="A40" s="262"/>
    </row>
    <row r="41" spans="1:7" x14ac:dyDescent="0.25">
      <c r="A41" s="262"/>
    </row>
    <row r="42" spans="1:7" x14ac:dyDescent="0.25">
      <c r="A42" s="262"/>
    </row>
    <row r="43" spans="1:7" x14ac:dyDescent="0.25">
      <c r="A43" s="262"/>
    </row>
    <row r="44" spans="1:7" x14ac:dyDescent="0.25">
      <c r="A44" s="262"/>
    </row>
    <row r="45" spans="1:7" x14ac:dyDescent="0.25">
      <c r="A45" s="262"/>
    </row>
    <row r="46" spans="1:7" x14ac:dyDescent="0.25">
      <c r="A46" s="262"/>
    </row>
    <row r="47" spans="1:7" x14ac:dyDescent="0.25">
      <c r="A47" s="262"/>
    </row>
    <row r="48" spans="1:7" x14ac:dyDescent="0.25">
      <c r="A48" s="262"/>
    </row>
    <row r="49" spans="1:1" x14ac:dyDescent="0.25">
      <c r="A49" s="262"/>
    </row>
    <row r="50" spans="1:1" x14ac:dyDescent="0.25">
      <c r="A50" s="262"/>
    </row>
    <row r="51" spans="1:1" x14ac:dyDescent="0.25">
      <c r="A51" s="262"/>
    </row>
    <row r="52" spans="1:1" x14ac:dyDescent="0.25">
      <c r="A52" s="262"/>
    </row>
    <row r="53" spans="1:1" x14ac:dyDescent="0.25">
      <c r="A53" s="262"/>
    </row>
    <row r="54" spans="1:1" x14ac:dyDescent="0.25">
      <c r="A54" s="262"/>
    </row>
    <row r="55" spans="1:1" x14ac:dyDescent="0.25">
      <c r="A55" s="262"/>
    </row>
    <row r="56" spans="1:1" x14ac:dyDescent="0.25">
      <c r="A56" s="262"/>
    </row>
    <row r="57" spans="1:1" x14ac:dyDescent="0.25">
      <c r="A57" s="262"/>
    </row>
    <row r="58" spans="1:1" x14ac:dyDescent="0.25">
      <c r="A58" s="262"/>
    </row>
    <row r="59" spans="1:1" x14ac:dyDescent="0.25">
      <c r="A59" s="262"/>
    </row>
    <row r="60" spans="1:1" x14ac:dyDescent="0.25">
      <c r="A60" s="262"/>
    </row>
    <row r="61" spans="1:1" x14ac:dyDescent="0.25">
      <c r="A61" s="262"/>
    </row>
    <row r="62" spans="1:1" x14ac:dyDescent="0.25">
      <c r="A62" s="262"/>
    </row>
    <row r="63" spans="1:1" x14ac:dyDescent="0.25">
      <c r="A63" s="262"/>
    </row>
    <row r="64" spans="1:1" x14ac:dyDescent="0.25">
      <c r="A64" s="262"/>
    </row>
    <row r="65" spans="1:1" x14ac:dyDescent="0.25">
      <c r="A65" s="262"/>
    </row>
    <row r="66" spans="1:1" x14ac:dyDescent="0.25">
      <c r="A66" s="262"/>
    </row>
    <row r="67" spans="1:1" x14ac:dyDescent="0.25">
      <c r="A67" s="262"/>
    </row>
    <row r="68" spans="1:1" x14ac:dyDescent="0.25">
      <c r="A68" s="262"/>
    </row>
    <row r="69" spans="1:1" x14ac:dyDescent="0.25">
      <c r="A69" s="262"/>
    </row>
    <row r="70" spans="1:1" x14ac:dyDescent="0.25">
      <c r="A70" s="262"/>
    </row>
    <row r="71" spans="1:1" x14ac:dyDescent="0.25">
      <c r="A71" s="262"/>
    </row>
    <row r="72" spans="1:1" x14ac:dyDescent="0.25">
      <c r="A72" s="262"/>
    </row>
    <row r="73" spans="1:1" x14ac:dyDescent="0.25">
      <c r="A73" s="262"/>
    </row>
    <row r="74" spans="1:1" x14ac:dyDescent="0.25">
      <c r="A74" s="262"/>
    </row>
    <row r="75" spans="1:1" x14ac:dyDescent="0.25">
      <c r="A75" s="262"/>
    </row>
    <row r="76" spans="1:1" x14ac:dyDescent="0.25">
      <c r="A76" s="262"/>
    </row>
    <row r="77" spans="1:1" x14ac:dyDescent="0.25">
      <c r="A77" s="262"/>
    </row>
    <row r="78" spans="1:1" x14ac:dyDescent="0.25">
      <c r="A78" s="262"/>
    </row>
    <row r="79" spans="1:1" x14ac:dyDescent="0.25">
      <c r="A79" s="262"/>
    </row>
    <row r="80" spans="1:1" x14ac:dyDescent="0.25">
      <c r="A80" s="262"/>
    </row>
    <row r="81" spans="1:1" x14ac:dyDescent="0.25">
      <c r="A81" s="262"/>
    </row>
    <row r="82" spans="1:1" x14ac:dyDescent="0.25">
      <c r="A82" s="262"/>
    </row>
    <row r="83" spans="1:1" x14ac:dyDescent="0.25">
      <c r="A83" s="262"/>
    </row>
    <row r="84" spans="1:1" x14ac:dyDescent="0.25">
      <c r="A84" s="262"/>
    </row>
    <row r="85" spans="1:1" x14ac:dyDescent="0.25">
      <c r="A85" s="262"/>
    </row>
    <row r="86" spans="1:1" x14ac:dyDescent="0.25">
      <c r="A86" s="163"/>
    </row>
    <row r="87" spans="1:1" x14ac:dyDescent="0.25">
      <c r="A87" s="163"/>
    </row>
    <row r="88" spans="1:1" x14ac:dyDescent="0.25">
      <c r="A88" s="163"/>
    </row>
    <row r="89" spans="1:1" x14ac:dyDescent="0.25">
      <c r="A89" s="163"/>
    </row>
    <row r="90" spans="1:1" x14ac:dyDescent="0.25">
      <c r="A90" s="163"/>
    </row>
    <row r="91" spans="1:1" x14ac:dyDescent="0.25">
      <c r="A91" s="163"/>
    </row>
    <row r="92" spans="1:1" x14ac:dyDescent="0.25">
      <c r="A92" s="163"/>
    </row>
    <row r="93" spans="1:1" x14ac:dyDescent="0.25">
      <c r="A93" s="163"/>
    </row>
    <row r="94" spans="1:1" x14ac:dyDescent="0.25">
      <c r="A94" s="163"/>
    </row>
    <row r="95" spans="1:1" x14ac:dyDescent="0.25">
      <c r="A95" s="163"/>
    </row>
    <row r="96" spans="1:1" x14ac:dyDescent="0.25">
      <c r="A96" s="163"/>
    </row>
    <row r="97" spans="1:1" x14ac:dyDescent="0.25">
      <c r="A97" s="163"/>
    </row>
    <row r="98" spans="1:1" x14ac:dyDescent="0.25">
      <c r="A98" s="163"/>
    </row>
    <row r="99" spans="1:1" x14ac:dyDescent="0.25">
      <c r="A99" s="163"/>
    </row>
    <row r="100" spans="1:1" x14ac:dyDescent="0.25">
      <c r="A100" s="163"/>
    </row>
    <row r="101" spans="1:1" x14ac:dyDescent="0.25">
      <c r="A101" s="163"/>
    </row>
    <row r="102" spans="1:1" x14ac:dyDescent="0.25">
      <c r="A102" s="163"/>
    </row>
    <row r="103" spans="1:1" x14ac:dyDescent="0.25">
      <c r="A103" s="163"/>
    </row>
    <row r="104" spans="1:1" x14ac:dyDescent="0.25">
      <c r="A104" s="163"/>
    </row>
    <row r="105" spans="1:1" x14ac:dyDescent="0.25">
      <c r="A105" s="163"/>
    </row>
    <row r="106" spans="1:1" x14ac:dyDescent="0.25">
      <c r="A106" s="163"/>
    </row>
    <row r="107" spans="1:1" x14ac:dyDescent="0.25">
      <c r="A107" s="163"/>
    </row>
    <row r="108" spans="1:1" x14ac:dyDescent="0.25">
      <c r="A108" s="163"/>
    </row>
    <row r="109" spans="1:1" x14ac:dyDescent="0.25">
      <c r="A109" s="163"/>
    </row>
    <row r="110" spans="1:1" x14ac:dyDescent="0.25">
      <c r="A110" s="163"/>
    </row>
    <row r="111" spans="1:1" x14ac:dyDescent="0.25">
      <c r="A111" s="163"/>
    </row>
    <row r="112" spans="1:1" x14ac:dyDescent="0.25">
      <c r="A112" s="163"/>
    </row>
    <row r="113" spans="1:1" x14ac:dyDescent="0.25">
      <c r="A113" s="163"/>
    </row>
    <row r="114" spans="1:1" x14ac:dyDescent="0.25">
      <c r="A114" s="163"/>
    </row>
    <row r="115" spans="1:1" x14ac:dyDescent="0.25">
      <c r="A115" s="163"/>
    </row>
    <row r="116" spans="1:1" x14ac:dyDescent="0.25">
      <c r="A116" s="163"/>
    </row>
    <row r="117" spans="1:1" x14ac:dyDescent="0.25">
      <c r="A117" s="163"/>
    </row>
    <row r="118" spans="1:1" x14ac:dyDescent="0.25">
      <c r="A118" s="163"/>
    </row>
    <row r="119" spans="1:1" x14ac:dyDescent="0.25">
      <c r="A119" s="163"/>
    </row>
    <row r="120" spans="1:1" x14ac:dyDescent="0.25">
      <c r="A120" s="163"/>
    </row>
    <row r="121" spans="1:1" x14ac:dyDescent="0.25">
      <c r="A121" s="163"/>
    </row>
    <row r="122" spans="1:1" x14ac:dyDescent="0.25">
      <c r="A122" s="163"/>
    </row>
    <row r="123" spans="1:1" x14ac:dyDescent="0.25">
      <c r="A123" s="163"/>
    </row>
    <row r="124" spans="1:1" x14ac:dyDescent="0.25">
      <c r="A124" s="163"/>
    </row>
    <row r="125" spans="1:1" x14ac:dyDescent="0.25">
      <c r="A125" s="163"/>
    </row>
    <row r="126" spans="1:1" x14ac:dyDescent="0.25">
      <c r="A126" s="163"/>
    </row>
    <row r="127" spans="1:1" x14ac:dyDescent="0.25">
      <c r="A127" s="163"/>
    </row>
    <row r="128" spans="1:1" x14ac:dyDescent="0.25">
      <c r="A128" s="163"/>
    </row>
    <row r="129" spans="1:11" x14ac:dyDescent="0.25">
      <c r="A129" s="163"/>
    </row>
    <row r="130" spans="1:11" x14ac:dyDescent="0.25">
      <c r="A130" s="163"/>
    </row>
    <row r="131" spans="1:11" x14ac:dyDescent="0.25">
      <c r="A131" s="163"/>
    </row>
    <row r="132" spans="1:11" x14ac:dyDescent="0.25">
      <c r="A132" s="579"/>
    </row>
    <row r="133" spans="1:11" x14ac:dyDescent="0.25">
      <c r="A133" s="579"/>
      <c r="J133" s="624" t="str">
        <f>List!$B$99</f>
        <v>Zpět</v>
      </c>
      <c r="K133" s="624"/>
    </row>
    <row r="134" spans="1:11" x14ac:dyDescent="0.25">
      <c r="A134" s="579"/>
    </row>
    <row r="135" spans="1:11" x14ac:dyDescent="0.25">
      <c r="A135" s="579"/>
    </row>
    <row r="136" spans="1:11" x14ac:dyDescent="0.25">
      <c r="A136" s="579"/>
    </row>
    <row r="137" spans="1:11" x14ac:dyDescent="0.25">
      <c r="A137" s="579"/>
    </row>
    <row r="138" spans="1:11" x14ac:dyDescent="0.25">
      <c r="A138" s="579"/>
    </row>
    <row r="139" spans="1:11" x14ac:dyDescent="0.25">
      <c r="A139" s="579"/>
    </row>
    <row r="140" spans="1:11" x14ac:dyDescent="0.25">
      <c r="A140" s="579"/>
    </row>
    <row r="141" spans="1:11" x14ac:dyDescent="0.25">
      <c r="A141" s="579"/>
    </row>
    <row r="142" spans="1:11" x14ac:dyDescent="0.25">
      <c r="A142" s="579"/>
    </row>
    <row r="143" spans="1:11" x14ac:dyDescent="0.25">
      <c r="A143" s="579"/>
    </row>
    <row r="144" spans="1:11" x14ac:dyDescent="0.25">
      <c r="A144" s="579"/>
    </row>
    <row r="145" spans="1:1" x14ac:dyDescent="0.25">
      <c r="A145" s="579"/>
    </row>
    <row r="146" spans="1:1" x14ac:dyDescent="0.25">
      <c r="A146" s="579"/>
    </row>
    <row r="147" spans="1:1" x14ac:dyDescent="0.25">
      <c r="A147" s="579"/>
    </row>
    <row r="148" spans="1:1" x14ac:dyDescent="0.25">
      <c r="A148" s="579"/>
    </row>
    <row r="149" spans="1:1" x14ac:dyDescent="0.25">
      <c r="A149" s="579"/>
    </row>
    <row r="150" spans="1:1" x14ac:dyDescent="0.25">
      <c r="A150" s="579"/>
    </row>
    <row r="151" spans="1:1" x14ac:dyDescent="0.25">
      <c r="A151" s="579"/>
    </row>
    <row r="152" spans="1:1" x14ac:dyDescent="0.25">
      <c r="A152" s="579"/>
    </row>
    <row r="153" spans="1:1" x14ac:dyDescent="0.25">
      <c r="A153" s="579"/>
    </row>
    <row r="154" spans="1:1" x14ac:dyDescent="0.25">
      <c r="A154" s="579"/>
    </row>
    <row r="155" spans="1:1" x14ac:dyDescent="0.25">
      <c r="A155" s="579"/>
    </row>
    <row r="156" spans="1:1" x14ac:dyDescent="0.25">
      <c r="A156" s="579"/>
    </row>
    <row r="157" spans="1:1" x14ac:dyDescent="0.25">
      <c r="A157" s="579"/>
    </row>
    <row r="158" spans="1:1" x14ac:dyDescent="0.25">
      <c r="A158" s="579"/>
    </row>
    <row r="159" spans="1:1" x14ac:dyDescent="0.25">
      <c r="A159" s="579"/>
    </row>
    <row r="160" spans="1:1" x14ac:dyDescent="0.25">
      <c r="A160" s="579"/>
    </row>
    <row r="161" spans="1:1" x14ac:dyDescent="0.25">
      <c r="A161" s="579"/>
    </row>
    <row r="162" spans="1:1" x14ac:dyDescent="0.25">
      <c r="A162" s="579"/>
    </row>
    <row r="163" spans="1:1" x14ac:dyDescent="0.25">
      <c r="A163" s="579"/>
    </row>
    <row r="164" spans="1:1" x14ac:dyDescent="0.25">
      <c r="A164" s="579"/>
    </row>
    <row r="165" spans="1:1" x14ac:dyDescent="0.25">
      <c r="A165" s="579"/>
    </row>
    <row r="166" spans="1:1" x14ac:dyDescent="0.25">
      <c r="A166" s="579"/>
    </row>
    <row r="167" spans="1:1" x14ac:dyDescent="0.25">
      <c r="A167" s="579"/>
    </row>
    <row r="168" spans="1:1" x14ac:dyDescent="0.25">
      <c r="A168" s="579"/>
    </row>
    <row r="169" spans="1:1" x14ac:dyDescent="0.25">
      <c r="A169" s="579"/>
    </row>
    <row r="170" spans="1:1" x14ac:dyDescent="0.25">
      <c r="A170" s="579"/>
    </row>
    <row r="171" spans="1:1" x14ac:dyDescent="0.25">
      <c r="A171" s="579"/>
    </row>
    <row r="172" spans="1:1" x14ac:dyDescent="0.25">
      <c r="A172" s="579"/>
    </row>
    <row r="173" spans="1:1" x14ac:dyDescent="0.25">
      <c r="A173" s="579"/>
    </row>
    <row r="174" spans="1:1" x14ac:dyDescent="0.25">
      <c r="A174" s="579"/>
    </row>
    <row r="175" spans="1:1" x14ac:dyDescent="0.25">
      <c r="A175" s="579"/>
    </row>
    <row r="176" spans="1:1" x14ac:dyDescent="0.25">
      <c r="A176" s="579"/>
    </row>
    <row r="177" spans="1:1" x14ac:dyDescent="0.25">
      <c r="A177" s="579"/>
    </row>
    <row r="178" spans="1:1" x14ac:dyDescent="0.25">
      <c r="A178" s="579"/>
    </row>
    <row r="179" spans="1:1" x14ac:dyDescent="0.25">
      <c r="A179" s="579"/>
    </row>
    <row r="180" spans="1:1" x14ac:dyDescent="0.25">
      <c r="A180" s="579"/>
    </row>
    <row r="181" spans="1:1" x14ac:dyDescent="0.25">
      <c r="A181" s="579"/>
    </row>
    <row r="182" spans="1:1" x14ac:dyDescent="0.25">
      <c r="A182" s="579"/>
    </row>
    <row r="183" spans="1:1" x14ac:dyDescent="0.25">
      <c r="A183" s="579"/>
    </row>
    <row r="184" spans="1:1" x14ac:dyDescent="0.25">
      <c r="A184" s="579"/>
    </row>
    <row r="185" spans="1:1" x14ac:dyDescent="0.25">
      <c r="A185" s="579"/>
    </row>
    <row r="186" spans="1:1" x14ac:dyDescent="0.25">
      <c r="A186" s="579"/>
    </row>
    <row r="187" spans="1:1" x14ac:dyDescent="0.25">
      <c r="A187" s="579"/>
    </row>
    <row r="188" spans="1:1" x14ac:dyDescent="0.25">
      <c r="A188" s="579"/>
    </row>
    <row r="189" spans="1:1" x14ac:dyDescent="0.25">
      <c r="A189" s="579"/>
    </row>
    <row r="190" spans="1:1" x14ac:dyDescent="0.25">
      <c r="A190" s="579"/>
    </row>
    <row r="191" spans="1:1" x14ac:dyDescent="0.25">
      <c r="A191" s="579"/>
    </row>
    <row r="192" spans="1:1" x14ac:dyDescent="0.25">
      <c r="A192" s="579"/>
    </row>
    <row r="193" spans="1:1" x14ac:dyDescent="0.25">
      <c r="A193" s="579"/>
    </row>
    <row r="194" spans="1:1" x14ac:dyDescent="0.25">
      <c r="A194" s="579"/>
    </row>
    <row r="195" spans="1:1" x14ac:dyDescent="0.25">
      <c r="A195" s="579"/>
    </row>
    <row r="196" spans="1:1" x14ac:dyDescent="0.25">
      <c r="A196" s="579"/>
    </row>
    <row r="197" spans="1:1" x14ac:dyDescent="0.25">
      <c r="A197" s="579"/>
    </row>
    <row r="198" spans="1:1" x14ac:dyDescent="0.25">
      <c r="A198" s="579"/>
    </row>
    <row r="199" spans="1:1" x14ac:dyDescent="0.25">
      <c r="A199" s="579"/>
    </row>
    <row r="200" spans="1:1" x14ac:dyDescent="0.25">
      <c r="A200" s="579"/>
    </row>
    <row r="201" spans="1:1" x14ac:dyDescent="0.25">
      <c r="A201" s="579"/>
    </row>
    <row r="202" spans="1:1" x14ac:dyDescent="0.25">
      <c r="A202" s="579"/>
    </row>
    <row r="203" spans="1:1" x14ac:dyDescent="0.25">
      <c r="A203" s="579"/>
    </row>
    <row r="204" spans="1:1" x14ac:dyDescent="0.25">
      <c r="A204" s="579"/>
    </row>
    <row r="205" spans="1:1" x14ac:dyDescent="0.25">
      <c r="A205" s="579"/>
    </row>
    <row r="206" spans="1:1" x14ac:dyDescent="0.25">
      <c r="A206" s="579"/>
    </row>
    <row r="207" spans="1:1" x14ac:dyDescent="0.25">
      <c r="A207" s="579"/>
    </row>
    <row r="208" spans="1:1" x14ac:dyDescent="0.25">
      <c r="A208" s="579"/>
    </row>
    <row r="209" spans="1:1" x14ac:dyDescent="0.25">
      <c r="A209" s="579"/>
    </row>
    <row r="210" spans="1:1" x14ac:dyDescent="0.25">
      <c r="A210" s="579"/>
    </row>
    <row r="211" spans="1:1" x14ac:dyDescent="0.25">
      <c r="A211" s="579"/>
    </row>
    <row r="212" spans="1:1" x14ac:dyDescent="0.25">
      <c r="A212" s="579"/>
    </row>
    <row r="213" spans="1:1" x14ac:dyDescent="0.25">
      <c r="A213" s="579"/>
    </row>
    <row r="214" spans="1:1" x14ac:dyDescent="0.25">
      <c r="A214" s="579"/>
    </row>
    <row r="215" spans="1:1" x14ac:dyDescent="0.25">
      <c r="A215" s="579"/>
    </row>
    <row r="216" spans="1:1" x14ac:dyDescent="0.25">
      <c r="A216" s="579"/>
    </row>
    <row r="217" spans="1:1" x14ac:dyDescent="0.25">
      <c r="A217" s="579"/>
    </row>
    <row r="218" spans="1:1" x14ac:dyDescent="0.25">
      <c r="A218" s="579"/>
    </row>
    <row r="219" spans="1:1" x14ac:dyDescent="0.25">
      <c r="A219" s="579"/>
    </row>
    <row r="220" spans="1:1" x14ac:dyDescent="0.25">
      <c r="A220" s="579"/>
    </row>
    <row r="221" spans="1:1" x14ac:dyDescent="0.25">
      <c r="A221" s="579"/>
    </row>
    <row r="222" spans="1:1" x14ac:dyDescent="0.25">
      <c r="A222" s="579"/>
    </row>
    <row r="223" spans="1:1" x14ac:dyDescent="0.25">
      <c r="A223" s="579"/>
    </row>
    <row r="224" spans="1:1" x14ac:dyDescent="0.25">
      <c r="A224" s="579"/>
    </row>
    <row r="225" spans="1:11" x14ac:dyDescent="0.25">
      <c r="A225" s="579"/>
    </row>
    <row r="226" spans="1:11" x14ac:dyDescent="0.25">
      <c r="A226" s="579"/>
    </row>
    <row r="227" spans="1:11" x14ac:dyDescent="0.25">
      <c r="A227" s="579"/>
    </row>
    <row r="228" spans="1:11" x14ac:dyDescent="0.25">
      <c r="A228" s="579"/>
    </row>
    <row r="229" spans="1:11" x14ac:dyDescent="0.25">
      <c r="A229" s="579"/>
    </row>
    <row r="230" spans="1:11" x14ac:dyDescent="0.25">
      <c r="A230" s="579"/>
    </row>
    <row r="231" spans="1:11" x14ac:dyDescent="0.25">
      <c r="A231" s="579"/>
    </row>
    <row r="232" spans="1:11" x14ac:dyDescent="0.25">
      <c r="A232" s="579"/>
    </row>
    <row r="233" spans="1:11" x14ac:dyDescent="0.25">
      <c r="A233" s="579"/>
    </row>
    <row r="234" spans="1:11" x14ac:dyDescent="0.25">
      <c r="A234" s="579"/>
    </row>
    <row r="235" spans="1:11" x14ac:dyDescent="0.25">
      <c r="A235" s="579"/>
    </row>
    <row r="236" spans="1:11" x14ac:dyDescent="0.25">
      <c r="A236" s="579"/>
    </row>
    <row r="237" spans="1:11" x14ac:dyDescent="0.25">
      <c r="A237" s="579"/>
    </row>
    <row r="238" spans="1:11" x14ac:dyDescent="0.25">
      <c r="A238" s="579"/>
      <c r="J238" s="624" t="str">
        <f>List!$B$99</f>
        <v>Zpět</v>
      </c>
      <c r="K238" s="624"/>
    </row>
    <row r="239" spans="1:11" x14ac:dyDescent="0.25">
      <c r="A239" s="579"/>
    </row>
    <row r="240" spans="1:11" x14ac:dyDescent="0.25">
      <c r="A240" s="579"/>
    </row>
    <row r="241" spans="1:1" x14ac:dyDescent="0.25">
      <c r="A241" s="579"/>
    </row>
    <row r="242" spans="1:1" x14ac:dyDescent="0.25">
      <c r="A242" s="579"/>
    </row>
    <row r="243" spans="1:1" x14ac:dyDescent="0.25">
      <c r="A243" s="579"/>
    </row>
    <row r="244" spans="1:1" x14ac:dyDescent="0.25">
      <c r="A244" s="579"/>
    </row>
    <row r="245" spans="1:1" x14ac:dyDescent="0.25">
      <c r="A245" s="579"/>
    </row>
    <row r="246" spans="1:1" x14ac:dyDescent="0.25">
      <c r="A246" s="579"/>
    </row>
    <row r="247" spans="1:1" x14ac:dyDescent="0.25">
      <c r="A247" s="579"/>
    </row>
    <row r="248" spans="1:1" x14ac:dyDescent="0.25">
      <c r="A248" s="579"/>
    </row>
    <row r="249" spans="1:1" x14ac:dyDescent="0.25">
      <c r="A249" s="579"/>
    </row>
    <row r="250" spans="1:1" x14ac:dyDescent="0.25">
      <c r="A250" s="579"/>
    </row>
    <row r="251" spans="1:1" x14ac:dyDescent="0.25">
      <c r="A251" s="579"/>
    </row>
    <row r="252" spans="1:1" x14ac:dyDescent="0.25">
      <c r="A252" s="579"/>
    </row>
    <row r="253" spans="1:1" x14ac:dyDescent="0.25">
      <c r="A253" s="579"/>
    </row>
    <row r="254" spans="1:1" x14ac:dyDescent="0.25">
      <c r="A254" s="579"/>
    </row>
    <row r="255" spans="1:1" x14ac:dyDescent="0.25">
      <c r="A255" s="579"/>
    </row>
    <row r="256" spans="1:1" x14ac:dyDescent="0.25">
      <c r="A256" s="579"/>
    </row>
    <row r="257" spans="1:1" x14ac:dyDescent="0.25">
      <c r="A257" s="579"/>
    </row>
    <row r="258" spans="1:1" x14ac:dyDescent="0.25">
      <c r="A258" s="579"/>
    </row>
    <row r="259" spans="1:1" x14ac:dyDescent="0.25">
      <c r="A259" s="579"/>
    </row>
    <row r="260" spans="1:1" x14ac:dyDescent="0.25">
      <c r="A260" s="579"/>
    </row>
    <row r="261" spans="1:1" x14ac:dyDescent="0.25">
      <c r="A261" s="579"/>
    </row>
    <row r="262" spans="1:1" x14ac:dyDescent="0.25">
      <c r="A262" s="579"/>
    </row>
    <row r="263" spans="1:1" x14ac:dyDescent="0.25">
      <c r="A263" s="579"/>
    </row>
    <row r="264" spans="1:1" x14ac:dyDescent="0.25">
      <c r="A264" s="579"/>
    </row>
    <row r="265" spans="1:1" x14ac:dyDescent="0.25">
      <c r="A265" s="579"/>
    </row>
    <row r="266" spans="1:1" x14ac:dyDescent="0.25">
      <c r="A266" s="579"/>
    </row>
  </sheetData>
  <sheetProtection password="CF46" sheet="1" objects="1" scenarios="1"/>
  <mergeCells count="3">
    <mergeCell ref="J133:K133"/>
    <mergeCell ref="A132:A266"/>
    <mergeCell ref="J238:K238"/>
  </mergeCells>
  <phoneticPr fontId="53" type="noConversion"/>
  <hyperlinks>
    <hyperlink ref="I3" location="Form!A1" tooltip=" " display="Form!A1"/>
    <hyperlink ref="I4" location="Menu!A1" tooltip=" " display="Menu!A1"/>
    <hyperlink ref="I8" location="OL!A1" tooltip=" " display="ORGA-LINE"/>
    <hyperlink ref="I11" location="SD!A150" tooltip=" " display="SD!A150"/>
    <hyperlink ref="I9" location="Sum!A1" tooltip=" " display="Sum!A1"/>
    <hyperlink ref="J133:K133" location="SD!A1" tooltip=" " display="SD!A1"/>
    <hyperlink ref="I5" location="Acs!A1" tooltip=" " display="Acs!A1"/>
    <hyperlink ref="J238:K238" location="SD!A1" tooltip=" " display="SD!A1"/>
  </hyperlinks>
  <pageMargins left="0.31496062992125984" right="0.31496062992125984" top="0.39370078740157483" bottom="0.59055118110236227" header="0.31496062992125984" footer="0.31496062992125984"/>
  <pageSetup paperSize="9" scale="90" orientation="portrait" horizontalDpi="1200" verticalDpi="12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5"/>
  </sheetPr>
  <dimension ref="A1:W62"/>
  <sheetViews>
    <sheetView showGridLines="0" showRowColHeaders="0" workbookViewId="0">
      <selection activeCell="L2" sqref="L2:M2"/>
    </sheetView>
  </sheetViews>
  <sheetFormatPr defaultColWidth="9.1796875" defaultRowHeight="12.5" x14ac:dyDescent="0.25"/>
  <cols>
    <col min="1" max="1" width="2.54296875" style="114" customWidth="1"/>
    <col min="2" max="4" width="9.1796875" style="114"/>
    <col min="5" max="5" width="18.81640625" style="114" customWidth="1"/>
    <col min="6" max="6" width="13.54296875" style="114" customWidth="1"/>
    <col min="7" max="7" width="1.453125" style="114" customWidth="1"/>
    <col min="8" max="8" width="2.81640625" style="114" customWidth="1"/>
    <col min="9" max="11" width="9.1796875" style="114"/>
    <col min="12" max="12" width="18.81640625" style="114" customWidth="1"/>
    <col min="13" max="13" width="13.54296875" style="114" customWidth="1"/>
    <col min="14" max="14" width="1.453125" style="114" customWidth="1"/>
    <col min="15" max="15" width="4.81640625" style="114" customWidth="1"/>
    <col min="16" max="16" width="27.453125" style="114" customWidth="1"/>
    <col min="17" max="16384" width="9.1796875" style="114"/>
  </cols>
  <sheetData>
    <row r="1" spans="2:16" ht="21" customHeight="1" x14ac:dyDescent="0.4">
      <c r="B1" s="184" t="str">
        <f>"ORGA-LINE "&amp;List!$B$103</f>
        <v>ORGA-LINE pro zásuvky</v>
      </c>
      <c r="P1" s="190" t="s">
        <v>112</v>
      </c>
    </row>
    <row r="2" spans="2:16" ht="15" customHeight="1" x14ac:dyDescent="0.3">
      <c r="B2" s="182"/>
      <c r="C2" s="182"/>
      <c r="D2" s="182"/>
      <c r="E2" s="182"/>
      <c r="F2" s="206" t="str">
        <f>List!$B$106</f>
        <v>Sady misek</v>
      </c>
      <c r="G2" s="185"/>
      <c r="I2" s="182"/>
      <c r="J2" s="182"/>
      <c r="K2" s="182"/>
      <c r="L2" s="625" t="str">
        <f>List!$B$107</f>
        <v>Sady rozdělovníků</v>
      </c>
      <c r="M2" s="625"/>
      <c r="N2" s="185"/>
      <c r="P2" s="151" t="str">
        <f>List!$B$11&amp;":"</f>
        <v>Zpět na:</v>
      </c>
    </row>
    <row r="3" spans="2:16" ht="13" thickBot="1" x14ac:dyDescent="0.3">
      <c r="G3" s="143"/>
      <c r="N3" s="143"/>
      <c r="P3" s="149" t="str">
        <f>" "&amp;List!$B$13</f>
        <v xml:space="preserve"> Úvod</v>
      </c>
    </row>
    <row r="4" spans="2:16" ht="13" thickBot="1" x14ac:dyDescent="0.3">
      <c r="G4" s="143"/>
      <c r="N4" s="143"/>
      <c r="P4" s="150" t="str">
        <f>" "&amp;List!$B$4</f>
        <v xml:space="preserve"> Výběr zásuvek a výsuvů</v>
      </c>
    </row>
    <row r="5" spans="2:16" ht="13" thickBot="1" x14ac:dyDescent="0.3">
      <c r="E5" s="164" t="str">
        <f>List!$B$129&amp;":"</f>
        <v>Základní prvek:</v>
      </c>
      <c r="F5" s="164" t="str">
        <f>List!$B$46&amp;" M"</f>
        <v>Zásuvka M</v>
      </c>
      <c r="G5" s="143"/>
      <c r="L5" s="164" t="str">
        <f>List!$B$129&amp;":"</f>
        <v>Základní prvek:</v>
      </c>
      <c r="M5" s="164" t="str">
        <f>List!$B$46&amp;" M"</f>
        <v>Zásuvka M</v>
      </c>
      <c r="N5" s="143"/>
      <c r="P5" s="150" t="str">
        <f>" "&amp;List!$B$5</f>
        <v xml:space="preserve"> Výběr doplňků</v>
      </c>
    </row>
    <row r="6" spans="2:16" x14ac:dyDescent="0.25">
      <c r="E6" s="164" t="str">
        <f>List!$B$102&amp;" KB:"</f>
        <v>Šířka korpusu KB:</v>
      </c>
      <c r="F6" s="164" t="s">
        <v>96</v>
      </c>
      <c r="G6" s="143"/>
      <c r="L6" s="164" t="str">
        <f>List!$B$102&amp;" KB:"</f>
        <v>Šířka korpusu KB:</v>
      </c>
      <c r="M6" s="164" t="s">
        <v>96</v>
      </c>
      <c r="N6" s="143"/>
      <c r="P6" s="150" t="str">
        <f>" "&amp;List!$B$6</f>
        <v xml:space="preserve"> Výběr SERVO-DRIVE</v>
      </c>
    </row>
    <row r="7" spans="2:16" x14ac:dyDescent="0.25">
      <c r="G7" s="143"/>
      <c r="N7" s="143"/>
      <c r="P7" s="2"/>
    </row>
    <row r="8" spans="2:16" ht="13" thickBot="1" x14ac:dyDescent="0.3">
      <c r="P8" s="2" t="str">
        <f>List!$B$12&amp;":"</f>
        <v>Pokračovat na:</v>
      </c>
    </row>
    <row r="9" spans="2:16" ht="13" thickBot="1" x14ac:dyDescent="0.3">
      <c r="P9" s="150" t="str">
        <f>" "&amp;List!$B$18</f>
        <v xml:space="preserve"> Souhrn</v>
      </c>
    </row>
    <row r="10" spans="2:16" ht="14" x14ac:dyDescent="0.3">
      <c r="B10" s="184" t="str">
        <f>"ORGA-LINE "&amp;List!$B$104&amp;" D"</f>
        <v>ORGA-LINE pro čelní výsuvy D</v>
      </c>
      <c r="P10" s="150" t="str">
        <f>" "&amp;List!$B$20</f>
        <v xml:space="preserve"> Objednávka</v>
      </c>
    </row>
    <row r="11" spans="2:16" ht="15" customHeight="1" x14ac:dyDescent="0.3">
      <c r="B11" s="182"/>
      <c r="C11" s="182"/>
      <c r="D11" s="182"/>
      <c r="E11" s="625" t="str">
        <f>List!$B$117&amp;", "&amp;List!$B$118</f>
        <v>Příčné dělení, Podélné dělení</v>
      </c>
      <c r="F11" s="625"/>
      <c r="G11" s="185"/>
      <c r="I11" s="182"/>
      <c r="J11" s="182"/>
      <c r="K11" s="182"/>
      <c r="L11" s="625" t="str">
        <f>List!$B$117&amp;", "&amp;List!$B$118</f>
        <v>Příčné dělení, Podélné dělení</v>
      </c>
      <c r="M11" s="625"/>
      <c r="N11" s="185"/>
    </row>
    <row r="12" spans="2:16" x14ac:dyDescent="0.25">
      <c r="G12" s="143"/>
      <c r="N12" s="143"/>
      <c r="P12" s="2"/>
    </row>
    <row r="13" spans="2:16" x14ac:dyDescent="0.25">
      <c r="G13" s="143"/>
      <c r="N13" s="143"/>
    </row>
    <row r="14" spans="2:16" x14ac:dyDescent="0.25">
      <c r="G14" s="143"/>
      <c r="N14" s="143"/>
    </row>
    <row r="15" spans="2:16" ht="13" x14ac:dyDescent="0.3">
      <c r="E15" s="164" t="str">
        <f>List!$B$129&amp;":"</f>
        <v>Základní prvek:</v>
      </c>
      <c r="F15" s="164" t="str">
        <f>List!$B$48&amp;" D"</f>
        <v>Čelní výsuv D</v>
      </c>
      <c r="G15" s="143"/>
      <c r="L15" s="164" t="str">
        <f>List!$B$129&amp;":"</f>
        <v>Základní prvek:</v>
      </c>
      <c r="M15" s="164" t="str">
        <f>List!$B$48&amp;" D"</f>
        <v>Čelní výsuv D</v>
      </c>
      <c r="N15" s="143"/>
      <c r="P15" s="189" t="str">
        <f>List!$B$156&amp;":"</f>
        <v>Zóny DYNAMIC SPACE:</v>
      </c>
    </row>
    <row r="16" spans="2:16" x14ac:dyDescent="0.25">
      <c r="E16" s="164" t="str">
        <f>List!$B$102&amp;" KB:"</f>
        <v>Šířka korpusu KB:</v>
      </c>
      <c r="F16" s="164" t="s">
        <v>96</v>
      </c>
      <c r="G16" s="143"/>
      <c r="L16" s="164" t="str">
        <f>List!$B$102&amp;" KB:"</f>
        <v>Šířka korpusu KB:</v>
      </c>
      <c r="M16" s="164" t="s">
        <v>96</v>
      </c>
      <c r="N16" s="143"/>
    </row>
    <row r="17" spans="1:23" x14ac:dyDescent="0.25">
      <c r="G17" s="143"/>
      <c r="N17" s="143"/>
      <c r="P17" s="114" t="str">
        <f>"       "&amp;List!$B$157</f>
        <v xml:space="preserve">       Zásoby</v>
      </c>
    </row>
    <row r="18" spans="1:23" x14ac:dyDescent="0.25">
      <c r="A18" s="183"/>
      <c r="B18" s="183"/>
      <c r="C18" s="183"/>
      <c r="D18" s="183"/>
      <c r="E18" s="183"/>
      <c r="F18" s="183"/>
      <c r="G18" s="186"/>
      <c r="H18" s="183"/>
      <c r="I18" s="183"/>
      <c r="J18" s="183"/>
      <c r="K18" s="183"/>
      <c r="L18" s="183"/>
      <c r="M18" s="183"/>
      <c r="N18" s="186"/>
    </row>
    <row r="19" spans="1:23" x14ac:dyDescent="0.25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P19" s="114" t="str">
        <f>"       "&amp;List!$B$158</f>
        <v xml:space="preserve">       Ukládání</v>
      </c>
    </row>
    <row r="20" spans="1:23" ht="13" x14ac:dyDescent="0.3">
      <c r="B20" s="182"/>
      <c r="C20" s="182"/>
      <c r="D20" s="182"/>
      <c r="E20" s="182"/>
      <c r="F20" s="206" t="str">
        <f>List!$B$120</f>
        <v>Držáky talířů</v>
      </c>
      <c r="G20" s="185"/>
      <c r="I20" s="182"/>
      <c r="J20" s="182"/>
      <c r="K20" s="182"/>
      <c r="L20" s="182"/>
      <c r="M20" s="206" t="str">
        <f>List!$B$123</f>
        <v>Mezistěny</v>
      </c>
      <c r="N20" s="185"/>
    </row>
    <row r="21" spans="1:23" x14ac:dyDescent="0.25">
      <c r="G21" s="143"/>
      <c r="N21" s="143"/>
      <c r="P21" s="114" t="str">
        <f>"       "&amp;List!$B$159</f>
        <v xml:space="preserve">       Mytí</v>
      </c>
    </row>
    <row r="22" spans="1:23" x14ac:dyDescent="0.25">
      <c r="G22" s="143"/>
      <c r="N22" s="143"/>
    </row>
    <row r="23" spans="1:23" x14ac:dyDescent="0.25">
      <c r="G23" s="143"/>
      <c r="N23" s="143"/>
      <c r="P23" s="114" t="str">
        <f>"       "&amp;List!$B$160</f>
        <v xml:space="preserve">       Příprava</v>
      </c>
    </row>
    <row r="24" spans="1:23" x14ac:dyDescent="0.25">
      <c r="E24" s="164" t="str">
        <f>List!$B$129&amp;":"</f>
        <v>Základní prvek:</v>
      </c>
      <c r="F24" s="164" t="str">
        <f>List!$B$48&amp;" D"</f>
        <v>Čelní výsuv D</v>
      </c>
      <c r="G24" s="143"/>
      <c r="L24" s="164" t="str">
        <f>List!$B$129&amp;":"</f>
        <v>Základní prvek:</v>
      </c>
      <c r="M24" s="164" t="str">
        <f>List!$B$48&amp;" D"</f>
        <v>Čelní výsuv D</v>
      </c>
      <c r="N24" s="143"/>
    </row>
    <row r="25" spans="1:23" x14ac:dyDescent="0.25">
      <c r="E25" s="164" t="str">
        <f>List!$B$102&amp;" KB:"</f>
        <v>Šířka korpusu KB:</v>
      </c>
      <c r="F25" s="164" t="s">
        <v>98</v>
      </c>
      <c r="G25" s="143"/>
      <c r="L25" s="164" t="str">
        <f>List!$B$102&amp;" KB:"</f>
        <v>Šířka korpusu KB:</v>
      </c>
      <c r="M25" s="164" t="s">
        <v>99</v>
      </c>
      <c r="N25" s="143"/>
      <c r="P25" s="114" t="str">
        <f>"       "&amp;List!$B$161</f>
        <v xml:space="preserve">       Vaření / pečení</v>
      </c>
    </row>
    <row r="26" spans="1:23" x14ac:dyDescent="0.25">
      <c r="G26" s="143"/>
      <c r="N26" s="143"/>
      <c r="Q26" s="141"/>
      <c r="R26" s="141"/>
      <c r="S26" s="141"/>
      <c r="T26" s="141"/>
      <c r="U26" s="141"/>
      <c r="V26" s="141"/>
      <c r="W26" s="141"/>
    </row>
    <row r="27" spans="1:23" x14ac:dyDescent="0.25">
      <c r="A27" s="183"/>
      <c r="B27" s="183"/>
      <c r="C27" s="183"/>
      <c r="D27" s="183"/>
      <c r="E27" s="183"/>
      <c r="F27" s="183"/>
      <c r="G27" s="186"/>
      <c r="H27" s="183"/>
      <c r="I27" s="183"/>
      <c r="J27" s="183"/>
      <c r="K27" s="183"/>
      <c r="L27" s="183"/>
      <c r="M27" s="183"/>
      <c r="N27" s="186"/>
      <c r="P27" s="141"/>
      <c r="Q27" s="141"/>
      <c r="R27" s="141"/>
      <c r="S27" s="141"/>
      <c r="T27" s="141"/>
      <c r="U27" s="141"/>
      <c r="V27" s="141"/>
      <c r="W27" s="141"/>
    </row>
    <row r="28" spans="1:23" ht="13" x14ac:dyDescent="0.3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P28" s="141"/>
      <c r="Q28" s="141"/>
      <c r="R28" s="141"/>
      <c r="S28" s="141"/>
      <c r="T28" s="141"/>
      <c r="U28" s="198"/>
      <c r="V28" s="141"/>
      <c r="W28" s="141"/>
    </row>
    <row r="29" spans="1:23" ht="15" customHeight="1" x14ac:dyDescent="0.3">
      <c r="A29" s="183"/>
      <c r="B29" s="182"/>
      <c r="C29" s="182"/>
      <c r="D29" s="625" t="str">
        <f>List!$B$117&amp;", "&amp;List!$B$122&amp;", "&amp;List!$B$121</f>
        <v>Příčné dělení, Mezistěna, Vana na láhve</v>
      </c>
      <c r="E29" s="625"/>
      <c r="F29" s="625"/>
      <c r="G29" s="185"/>
      <c r="I29" s="182"/>
      <c r="J29" s="182"/>
      <c r="K29" s="625" t="str">
        <f>List!$B$117&amp;", "&amp;List!$B$122&amp;", "&amp;List!$B$125</f>
        <v>Příčné dělení, Mezistěna, Držáky na kořenky</v>
      </c>
      <c r="L29" s="625"/>
      <c r="M29" s="625"/>
      <c r="N29" s="185"/>
      <c r="P29" s="141"/>
      <c r="Q29" s="141"/>
      <c r="R29" s="141"/>
      <c r="S29" s="141"/>
      <c r="T29" s="141"/>
      <c r="U29" s="141"/>
      <c r="V29" s="141"/>
      <c r="W29" s="141"/>
    </row>
    <row r="30" spans="1:23" x14ac:dyDescent="0.25">
      <c r="A30" s="183"/>
      <c r="G30" s="143"/>
      <c r="N30" s="143"/>
      <c r="P30" s="141"/>
      <c r="Q30" s="141"/>
      <c r="R30" s="141"/>
      <c r="S30" s="141"/>
      <c r="T30" s="141"/>
      <c r="U30" s="141"/>
      <c r="V30" s="141"/>
      <c r="W30" s="141"/>
    </row>
    <row r="31" spans="1:23" x14ac:dyDescent="0.25">
      <c r="A31" s="183"/>
      <c r="G31" s="143"/>
      <c r="N31" s="143"/>
      <c r="P31" s="141"/>
      <c r="Q31" s="141"/>
      <c r="R31" s="141"/>
      <c r="S31" s="141"/>
      <c r="T31" s="141"/>
      <c r="U31" s="141"/>
      <c r="V31" s="141"/>
      <c r="W31" s="141"/>
    </row>
    <row r="32" spans="1:23" x14ac:dyDescent="0.25">
      <c r="A32" s="183"/>
      <c r="G32" s="143"/>
      <c r="N32" s="143"/>
      <c r="P32" s="141"/>
      <c r="Q32" s="141"/>
      <c r="R32" s="141"/>
      <c r="S32" s="141"/>
      <c r="T32" s="142"/>
      <c r="U32" s="142"/>
      <c r="V32" s="141"/>
      <c r="W32" s="141"/>
    </row>
    <row r="33" spans="1:23" x14ac:dyDescent="0.25">
      <c r="A33" s="183"/>
      <c r="E33" s="164"/>
      <c r="F33" s="164"/>
      <c r="G33" s="143"/>
      <c r="L33" s="164"/>
      <c r="M33" s="164"/>
      <c r="N33" s="143"/>
      <c r="P33" s="141"/>
      <c r="Q33" s="141"/>
      <c r="R33" s="141"/>
      <c r="S33" s="141"/>
      <c r="T33" s="142"/>
      <c r="U33" s="142"/>
      <c r="V33" s="141"/>
      <c r="W33" s="141"/>
    </row>
    <row r="34" spans="1:23" x14ac:dyDescent="0.25">
      <c r="A34" s="183"/>
      <c r="E34" s="164" t="str">
        <f>List!$B$129&amp;":"</f>
        <v>Základní prvek:</v>
      </c>
      <c r="F34" s="164" t="str">
        <f>List!$B$48&amp;" D"</f>
        <v>Čelní výsuv D</v>
      </c>
      <c r="G34" s="143"/>
      <c r="L34" s="164" t="str">
        <f>List!$B$129&amp;":"</f>
        <v>Základní prvek:</v>
      </c>
      <c r="M34" s="164" t="str">
        <f>List!$B$48&amp;" D"</f>
        <v>Čelní výsuv D</v>
      </c>
      <c r="N34" s="143"/>
      <c r="P34" s="141"/>
      <c r="Q34" s="141"/>
      <c r="R34" s="141"/>
      <c r="S34" s="141"/>
      <c r="T34" s="141"/>
      <c r="U34" s="141"/>
      <c r="V34" s="141"/>
      <c r="W34" s="141"/>
    </row>
    <row r="35" spans="1:23" x14ac:dyDescent="0.25">
      <c r="A35" s="183"/>
      <c r="E35" s="164" t="str">
        <f>List!$B$102&amp;" KB:"</f>
        <v>Šířka korpusu KB:</v>
      </c>
      <c r="F35" s="164" t="s">
        <v>104</v>
      </c>
      <c r="G35" s="143"/>
      <c r="L35" s="164" t="str">
        <f>List!$B$102&amp;" KB:"</f>
        <v>Šířka korpusu KB:</v>
      </c>
      <c r="M35" s="164" t="s">
        <v>104</v>
      </c>
      <c r="N35" s="143"/>
      <c r="P35" s="141"/>
      <c r="Q35" s="183"/>
      <c r="R35" s="183"/>
      <c r="S35" s="183"/>
      <c r="T35" s="183"/>
      <c r="U35" s="183"/>
      <c r="V35" s="183"/>
      <c r="W35" s="141"/>
    </row>
    <row r="36" spans="1:23" x14ac:dyDescent="0.25">
      <c r="A36" s="183"/>
      <c r="B36" s="183"/>
      <c r="C36" s="183"/>
      <c r="D36" s="183"/>
      <c r="E36" s="183"/>
      <c r="F36" s="183"/>
      <c r="G36" s="186"/>
      <c r="H36" s="183"/>
      <c r="I36" s="183"/>
      <c r="J36" s="183"/>
      <c r="K36" s="183"/>
      <c r="L36" s="183"/>
      <c r="M36" s="183"/>
      <c r="N36" s="186"/>
      <c r="P36" s="141"/>
      <c r="Q36" s="141"/>
      <c r="R36" s="141"/>
      <c r="S36" s="141"/>
      <c r="T36" s="141"/>
      <c r="U36" s="141"/>
      <c r="V36" s="141"/>
      <c r="W36" s="141"/>
    </row>
    <row r="37" spans="1:23" x14ac:dyDescent="0.25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P37" s="141"/>
    </row>
    <row r="38" spans="1:23" ht="15" customHeight="1" x14ac:dyDescent="0.3">
      <c r="B38" s="182"/>
      <c r="C38" s="182"/>
      <c r="D38" s="182"/>
      <c r="E38" s="625" t="str">
        <f>List!$B$121&amp;", "&amp;List!$B$122</f>
        <v>Vana na láhve, Mezistěna</v>
      </c>
      <c r="F38" s="625"/>
      <c r="G38" s="185"/>
      <c r="I38" s="182"/>
      <c r="J38" s="182"/>
      <c r="K38" s="182"/>
      <c r="L38" s="625" t="str">
        <f>List!$B$125</f>
        <v>Držáky na kořenky</v>
      </c>
      <c r="M38" s="625"/>
      <c r="N38" s="185"/>
    </row>
    <row r="39" spans="1:23" x14ac:dyDescent="0.25">
      <c r="G39" s="143"/>
      <c r="N39" s="143"/>
    </row>
    <row r="40" spans="1:23" x14ac:dyDescent="0.25">
      <c r="G40" s="143"/>
      <c r="N40" s="143"/>
    </row>
    <row r="41" spans="1:23" x14ac:dyDescent="0.25">
      <c r="E41" s="164" t="str">
        <f>List!$B$129&amp;":"</f>
        <v>Základní prvek:</v>
      </c>
      <c r="F41" s="164" t="str">
        <f>List!$B$48&amp;" D"</f>
        <v>Čelní výsuv D</v>
      </c>
      <c r="G41" s="143"/>
      <c r="L41" s="164" t="str">
        <f>List!$B$129&amp;":"</f>
        <v>Základní prvek:</v>
      </c>
      <c r="M41" s="164" t="str">
        <f>List!$B$48&amp;" D"</f>
        <v>Čelní výsuv D</v>
      </c>
      <c r="N41" s="143"/>
    </row>
    <row r="42" spans="1:23" x14ac:dyDescent="0.25">
      <c r="E42" s="164" t="str">
        <f>List!$B$102&amp;" KB:"</f>
        <v>Šířka korpusu KB:</v>
      </c>
      <c r="F42" s="164" t="s">
        <v>106</v>
      </c>
      <c r="G42" s="143"/>
      <c r="L42" s="164" t="str">
        <f>List!$B$102&amp;" KB:"</f>
        <v>Šířka korpusu KB:</v>
      </c>
      <c r="M42" s="164" t="s">
        <v>105</v>
      </c>
      <c r="N42" s="143"/>
    </row>
    <row r="43" spans="1:23" x14ac:dyDescent="0.25">
      <c r="E43" s="164"/>
      <c r="F43" s="164"/>
      <c r="G43" s="143"/>
      <c r="L43" s="164"/>
      <c r="M43" s="164"/>
      <c r="N43" s="143"/>
    </row>
    <row r="44" spans="1:23" x14ac:dyDescent="0.25">
      <c r="E44" s="164"/>
      <c r="F44" s="164"/>
      <c r="G44" s="143"/>
      <c r="L44" s="164"/>
      <c r="M44" s="164"/>
      <c r="N44" s="143"/>
    </row>
    <row r="45" spans="1:23" x14ac:dyDescent="0.25">
      <c r="E45" s="164"/>
      <c r="F45" s="164"/>
      <c r="G45" s="141"/>
      <c r="L45" s="164"/>
      <c r="M45" s="164"/>
      <c r="N45" s="141"/>
    </row>
    <row r="46" spans="1:23" ht="15" customHeight="1" x14ac:dyDescent="0.3">
      <c r="A46" s="183"/>
      <c r="B46" s="182"/>
      <c r="C46" s="182"/>
      <c r="D46" s="182"/>
      <c r="E46" s="182"/>
      <c r="F46" s="206" t="str">
        <f>List!$B$121</f>
        <v>Vana na láhve</v>
      </c>
      <c r="G46" s="185"/>
      <c r="I46" s="182"/>
      <c r="J46" s="182"/>
      <c r="K46" s="182"/>
      <c r="L46" s="625" t="str">
        <f>List!$B$141&amp;" ORGA-LINE"</f>
        <v>Ostatní ORGA-LINE</v>
      </c>
      <c r="M46" s="625"/>
      <c r="N46" s="185"/>
    </row>
    <row r="47" spans="1:23" x14ac:dyDescent="0.25">
      <c r="A47" s="183"/>
      <c r="G47" s="143"/>
      <c r="N47" s="143"/>
    </row>
    <row r="48" spans="1:23" x14ac:dyDescent="0.25">
      <c r="G48" s="143"/>
      <c r="M48" s="164" t="str">
        <f>List!$B$108</f>
        <v>Samostatné sady</v>
      </c>
      <c r="N48" s="143"/>
    </row>
    <row r="49" spans="2:14" x14ac:dyDescent="0.25">
      <c r="E49" s="164" t="str">
        <f>List!$B$129&amp;":"</f>
        <v>Základní prvek:</v>
      </c>
      <c r="F49" s="164" t="str">
        <f>List!$B$48&amp;" D"</f>
        <v>Čelní výsuv D</v>
      </c>
      <c r="G49" s="143"/>
      <c r="L49" s="164"/>
      <c r="M49" s="164" t="str">
        <f>List!$B$109&amp;", "&amp;List!$B$110</f>
        <v>Misky, Příčné dělící prvky</v>
      </c>
      <c r="N49" s="143"/>
    </row>
    <row r="50" spans="2:14" x14ac:dyDescent="0.25">
      <c r="E50" s="164" t="str">
        <f>List!$B$102&amp;" KB:"</f>
        <v>Šířka korpusu KB:</v>
      </c>
      <c r="F50" s="164">
        <v>300</v>
      </c>
      <c r="G50" s="143"/>
      <c r="L50" s="164"/>
      <c r="M50" s="164" t="str">
        <f>List!$B$111</f>
        <v>Pomůcky do kuchyně</v>
      </c>
      <c r="N50" s="143"/>
    </row>
    <row r="51" spans="2:14" x14ac:dyDescent="0.25">
      <c r="E51" s="164"/>
      <c r="F51" s="164"/>
      <c r="G51" s="143"/>
      <c r="L51" s="164"/>
      <c r="M51" s="164"/>
      <c r="N51" s="143"/>
    </row>
    <row r="52" spans="2:14" x14ac:dyDescent="0.25">
      <c r="E52" s="164"/>
      <c r="F52" s="164"/>
      <c r="G52" s="143"/>
      <c r="L52" s="164"/>
      <c r="M52" s="164"/>
      <c r="N52" s="143"/>
    </row>
    <row r="55" spans="2:14" ht="14" x14ac:dyDescent="0.3">
      <c r="B55" s="184" t="str">
        <f>"ORGA-LINE "&amp;List!$B$104&amp;" C, D"</f>
        <v>ORGA-LINE pro čelní výsuvy C, D</v>
      </c>
    </row>
    <row r="56" spans="2:14" ht="13" x14ac:dyDescent="0.3">
      <c r="B56" s="182"/>
      <c r="C56" s="182"/>
      <c r="D56" s="182"/>
      <c r="E56" s="182"/>
      <c r="F56" s="206" t="str">
        <f>List!$B$137</f>
        <v>Příčný reling</v>
      </c>
      <c r="G56" s="185"/>
    </row>
    <row r="57" spans="2:14" x14ac:dyDescent="0.25">
      <c r="G57" s="143"/>
    </row>
    <row r="58" spans="2:14" x14ac:dyDescent="0.25">
      <c r="G58" s="143"/>
    </row>
    <row r="59" spans="2:14" x14ac:dyDescent="0.25">
      <c r="E59" s="164" t="str">
        <f>List!$B$129&amp;":"</f>
        <v>Základní prvek:</v>
      </c>
      <c r="F59" s="164" t="str">
        <f>List!$B$48&amp;" C,D"</f>
        <v>Čelní výsuv C,D</v>
      </c>
      <c r="G59" s="143"/>
    </row>
    <row r="60" spans="2:14" x14ac:dyDescent="0.25">
      <c r="E60" s="164" t="str">
        <f>List!$B$102&amp;" KB:"</f>
        <v>Šířka korpusu KB:</v>
      </c>
      <c r="F60" s="164" t="s">
        <v>107</v>
      </c>
      <c r="G60" s="143"/>
    </row>
    <row r="61" spans="2:14" x14ac:dyDescent="0.25">
      <c r="E61" s="164"/>
      <c r="F61" s="164"/>
      <c r="G61" s="143"/>
    </row>
    <row r="62" spans="2:14" x14ac:dyDescent="0.25">
      <c r="E62" s="164"/>
      <c r="F62" s="164"/>
      <c r="G62" s="143"/>
    </row>
  </sheetData>
  <sheetProtection password="CF46" sheet="1" objects="1" scenarios="1"/>
  <mergeCells count="8">
    <mergeCell ref="L2:M2"/>
    <mergeCell ref="E38:F38"/>
    <mergeCell ref="L38:M38"/>
    <mergeCell ref="L46:M46"/>
    <mergeCell ref="L11:M11"/>
    <mergeCell ref="E11:F11"/>
    <mergeCell ref="K29:M29"/>
    <mergeCell ref="D29:F29"/>
  </mergeCells>
  <phoneticPr fontId="53" type="noConversion"/>
  <hyperlinks>
    <hyperlink ref="P3" location="Form!A1" tooltip=" " display="Form!A1"/>
    <hyperlink ref="P4" location="Menu!A1" tooltip=" " display="Menu!A1"/>
    <hyperlink ref="P9" location="Sum!A1" tooltip=" " display="Sum!A1"/>
    <hyperlink ref="P5" location="Acs!A1" tooltip=" " display="Acs!A1"/>
    <hyperlink ref="P10" location="Ord!A1" tooltip=" " display="Ord!A1"/>
    <hyperlink ref="F2" location="OLMi!A1" tooltip=" " display="OLMi!A1"/>
    <hyperlink ref="L2" location="OLRo!A1" tooltip=" " display="OLRo!A1"/>
    <hyperlink ref="E11" location="OLP1!A1" tooltip=" " display="OLP1!A1"/>
    <hyperlink ref="L11" location="OLP2!A1" tooltip=" " display="OLP2!A1"/>
    <hyperlink ref="F20" location="OLTa!A1" tooltip=" " display="OLTa!A1"/>
    <hyperlink ref="M20" location="OLMe!A1" tooltip=" " display="OLMe!A1"/>
    <hyperlink ref="D29" location="OLVMP!A1" tooltip=" " display="OLVMP!A1"/>
    <hyperlink ref="K29" location="OLKMP!A1" tooltip=" " display="OLKMP!A1"/>
    <hyperlink ref="E38" location="OLVM!A1" tooltip=" " display="OLVM!A1"/>
    <hyperlink ref="L38" location="OLKo!A1" tooltip=" " display="OLKo!A1"/>
    <hyperlink ref="F46" location="OLVa!A1" tooltip=" " display="OLVa!A1"/>
    <hyperlink ref="L46" location="OLOst!A1" tooltip=" " display="OLOst!A1"/>
    <hyperlink ref="F56" location="OLRel!A1" tooltip=" " display="OLRel!A1"/>
    <hyperlink ref="P6" location="SD!A1" tooltip=" " display="SD!A1"/>
  </hyperlinks>
  <pageMargins left="0.7" right="0.7" top="0.78740157499999996" bottom="0.78740157499999996" header="0.3" footer="0.3"/>
  <pageSetup paperSize="9" orientation="landscape" horizontalDpi="4294967293" verticalDpi="12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5"/>
  </sheetPr>
  <dimension ref="A1:R198"/>
  <sheetViews>
    <sheetView showGridLines="0" showRowColHeaders="0" workbookViewId="0">
      <selection activeCell="J22" sqref="J22"/>
    </sheetView>
  </sheetViews>
  <sheetFormatPr defaultColWidth="9.1796875" defaultRowHeight="12.5" x14ac:dyDescent="0.25"/>
  <cols>
    <col min="1" max="1" width="3.54296875" style="2" customWidth="1"/>
    <col min="2" max="2" width="35.7265625" style="2" customWidth="1"/>
    <col min="3" max="3" width="17.1796875" style="2" customWidth="1"/>
    <col min="4" max="8" width="9.26953125" style="2" customWidth="1"/>
    <col min="9" max="9" width="5.81640625" style="2" customWidth="1"/>
    <col min="10" max="10" width="25.81640625" style="2" customWidth="1"/>
    <col min="11" max="11" width="9.1796875" style="2"/>
    <col min="12" max="12" width="37.1796875" style="2" hidden="1" customWidth="1"/>
    <col min="13" max="13" width="12.81640625" style="2" hidden="1" customWidth="1"/>
    <col min="14" max="14" width="0" style="2" hidden="1" customWidth="1"/>
    <col min="15" max="15" width="1.81640625" style="2" hidden="1" customWidth="1"/>
    <col min="16" max="16" width="6.54296875" style="2" hidden="1" customWidth="1"/>
    <col min="17" max="17" width="0" style="478" hidden="1" customWidth="1"/>
    <col min="18" max="18" width="10.1796875" style="2" hidden="1" customWidth="1"/>
    <col min="19" max="16384" width="9.1796875" style="2"/>
  </cols>
  <sheetData>
    <row r="1" spans="5:18" ht="22.5" customHeight="1" x14ac:dyDescent="0.45">
      <c r="H1" s="10" t="str">
        <f>"ORGA-LINE"&amp;" - "&amp;List!$B$106</f>
        <v>ORGA-LINE - Sady misek</v>
      </c>
      <c r="J1" s="151" t="str">
        <f>List!$B$11&amp;":"</f>
        <v>Zpět na:</v>
      </c>
    </row>
    <row r="2" spans="5:18" ht="13.5" customHeight="1" thickBot="1" x14ac:dyDescent="0.3">
      <c r="E2" s="194"/>
      <c r="F2" s="194" t="str">
        <f>List!$B$129&amp;":"</f>
        <v>Základní prvek:</v>
      </c>
      <c r="G2" s="195"/>
      <c r="H2" s="194" t="str">
        <f>List!$B$46&amp;" M"</f>
        <v>Zásuvka M</v>
      </c>
      <c r="J2" s="149" t="str">
        <f>" "&amp;List!$B$13</f>
        <v xml:space="preserve"> Úvod</v>
      </c>
      <c r="L2" s="477" t="str">
        <f>Cen!A381</f>
        <v>Sada BI1, 450 mm</v>
      </c>
      <c r="M2" s="477" t="str">
        <f>Cen!B381</f>
        <v>ZSI.450BI1N</v>
      </c>
      <c r="N2" s="477" t="str">
        <f>Cen!C381</f>
        <v>IG/G</v>
      </c>
      <c r="O2" s="477">
        <f>Cen!D381</f>
        <v>0</v>
      </c>
      <c r="P2" s="385">
        <f>$D$20</f>
        <v>0</v>
      </c>
      <c r="Q2" s="386">
        <f>Cen!F381</f>
        <v>27.854489999999995</v>
      </c>
      <c r="R2" s="387">
        <f t="shared" ref="R2:R16" si="0">P2*Q2</f>
        <v>0</v>
      </c>
    </row>
    <row r="3" spans="5:18" ht="13.5" customHeight="1" thickBot="1" x14ac:dyDescent="0.3">
      <c r="H3" s="59" t="str">
        <f>List!$B$47&amp;" M"</f>
        <v>Vnitřní zásuvka M</v>
      </c>
      <c r="J3" s="150" t="str">
        <f>" "&amp;List!$B$4</f>
        <v xml:space="preserve"> Výběr zásuvek a výsuvů</v>
      </c>
      <c r="L3" s="477" t="str">
        <f>Cen!A382</f>
        <v>Sada BI1, 500 mm</v>
      </c>
      <c r="M3" s="477" t="str">
        <f>Cen!B382</f>
        <v>ZSI.500BI1N</v>
      </c>
      <c r="N3" s="477" t="str">
        <f>Cen!C382</f>
        <v>IG/G</v>
      </c>
      <c r="O3" s="477">
        <f>Cen!D382</f>
        <v>0</v>
      </c>
      <c r="P3" s="385">
        <f>$E$20</f>
        <v>0</v>
      </c>
      <c r="Q3" s="386">
        <f>Cen!F382</f>
        <v>33.880009999999999</v>
      </c>
      <c r="R3" s="387">
        <f t="shared" si="0"/>
        <v>0</v>
      </c>
    </row>
    <row r="4" spans="5:18" ht="13.5" customHeight="1" thickBot="1" x14ac:dyDescent="0.3">
      <c r="E4" s="7"/>
      <c r="F4" s="7"/>
      <c r="G4" s="7"/>
      <c r="H4" s="110" t="str">
        <f>List!$B$46&amp;" SPACE-CORNER M"</f>
        <v>Zásuvka SPACE-CORNER M</v>
      </c>
      <c r="J4" s="150" t="str">
        <f>" "&amp;List!$B$5</f>
        <v xml:space="preserve"> Výběr doplňků</v>
      </c>
      <c r="L4" s="477" t="str">
        <f>Cen!A383</f>
        <v>Sada BI1, 550 mm</v>
      </c>
      <c r="M4" s="477" t="str">
        <f>Cen!B383</f>
        <v>ZSI.550BI1N</v>
      </c>
      <c r="N4" s="477" t="str">
        <f>Cen!C383</f>
        <v>IG/G</v>
      </c>
      <c r="O4" s="477">
        <f>Cen!D383</f>
        <v>0</v>
      </c>
      <c r="P4" s="385">
        <f>$F$20</f>
        <v>0</v>
      </c>
      <c r="Q4" s="386">
        <f>Cen!F383</f>
        <v>36.572949999999999</v>
      </c>
      <c r="R4" s="387">
        <f t="shared" si="0"/>
        <v>0</v>
      </c>
    </row>
    <row r="5" spans="5:18" ht="13.5" customHeight="1" thickBot="1" x14ac:dyDescent="0.3">
      <c r="E5" s="181"/>
      <c r="F5" s="108" t="str">
        <f>List!$B$102&amp;" KB:"</f>
        <v>Šířka korpusu KB:</v>
      </c>
      <c r="G5" s="181"/>
      <c r="H5" s="108" t="s">
        <v>92</v>
      </c>
      <c r="J5" s="150" t="str">
        <f>" "&amp;List!$B$6</f>
        <v xml:space="preserve"> Výběr SERVO-DRIVE</v>
      </c>
      <c r="L5" s="477" t="str">
        <f>Cen!A384</f>
        <v>Sada BI1, 600 mm</v>
      </c>
      <c r="M5" s="477" t="str">
        <f>Cen!B384</f>
        <v>ZSI.600BI1N</v>
      </c>
      <c r="N5" s="477" t="str">
        <f>Cen!C384</f>
        <v>IG/G</v>
      </c>
      <c r="O5" s="477">
        <f>Cen!D384</f>
        <v>0</v>
      </c>
      <c r="P5" s="385">
        <f>$G$20</f>
        <v>0</v>
      </c>
      <c r="Q5" s="386">
        <f>Cen!F384</f>
        <v>42.864629999999998</v>
      </c>
      <c r="R5" s="387">
        <f t="shared" si="0"/>
        <v>0</v>
      </c>
    </row>
    <row r="6" spans="5:18" ht="13.5" customHeight="1" x14ac:dyDescent="0.25">
      <c r="E6" s="179"/>
      <c r="F6" s="180"/>
      <c r="G6" s="180"/>
      <c r="H6" s="180"/>
      <c r="J6" s="265" t="str">
        <f>" "&amp;List!$B$7</f>
        <v xml:space="preserve"> Výběr ORGA-LINE</v>
      </c>
      <c r="L6" s="477" t="str">
        <f>Cen!A385</f>
        <v>Sada BI1, 650 mm</v>
      </c>
      <c r="M6" s="477" t="str">
        <f>Cen!B385</f>
        <v>ZSI.650BI1N</v>
      </c>
      <c r="N6" s="477" t="str">
        <f>Cen!C385</f>
        <v>IG/G</v>
      </c>
      <c r="O6" s="477">
        <f>Cen!D385</f>
        <v>0</v>
      </c>
      <c r="P6" s="385">
        <f>$H$20</f>
        <v>0</v>
      </c>
      <c r="Q6" s="386">
        <f>Cen!F385</f>
        <v>49.022210000000001</v>
      </c>
      <c r="R6" s="387">
        <f t="shared" si="0"/>
        <v>0</v>
      </c>
    </row>
    <row r="7" spans="5:18" ht="13.5" customHeight="1" x14ac:dyDescent="0.25">
      <c r="E7" s="179"/>
      <c r="F7" s="180"/>
      <c r="G7" s="180"/>
      <c r="H7" s="180"/>
      <c r="L7" s="477" t="str">
        <f>Cen!A386</f>
        <v>Sada BI2, 450 mm</v>
      </c>
      <c r="M7" s="477" t="str">
        <f>Cen!B386</f>
        <v>ZSI.450BI2N</v>
      </c>
      <c r="N7" s="477" t="str">
        <f>Cen!C386</f>
        <v>IG/G</v>
      </c>
      <c r="O7" s="477">
        <f>Cen!D386</f>
        <v>0</v>
      </c>
      <c r="P7" s="385">
        <f>$D$21</f>
        <v>0</v>
      </c>
      <c r="Q7" s="386">
        <f>Cen!F386</f>
        <v>32.756999999999998</v>
      </c>
      <c r="R7" s="387">
        <f t="shared" si="0"/>
        <v>0</v>
      </c>
    </row>
    <row r="8" spans="5:18" ht="13.5" customHeight="1" thickBot="1" x14ac:dyDescent="0.3">
      <c r="E8" s="179"/>
      <c r="F8" s="180"/>
      <c r="G8" s="180"/>
      <c r="H8" s="180"/>
      <c r="J8" s="2" t="str">
        <f>List!$B$12&amp;":"</f>
        <v>Pokračovat na:</v>
      </c>
      <c r="L8" s="477" t="str">
        <f>Cen!A387</f>
        <v>Sada BI2, 500 mm</v>
      </c>
      <c r="M8" s="477" t="str">
        <f>Cen!B387</f>
        <v>ZSI.500BI2N</v>
      </c>
      <c r="N8" s="477" t="str">
        <f>Cen!C387</f>
        <v>IG/G</v>
      </c>
      <c r="O8" s="477">
        <f>Cen!D387</f>
        <v>0</v>
      </c>
      <c r="P8" s="385">
        <f>$E$21</f>
        <v>0</v>
      </c>
      <c r="Q8" s="386">
        <f>Cen!F387</f>
        <v>38.677849999999999</v>
      </c>
      <c r="R8" s="387">
        <f t="shared" si="0"/>
        <v>0</v>
      </c>
    </row>
    <row r="9" spans="5:18" ht="13.5" customHeight="1" thickBot="1" x14ac:dyDescent="0.3">
      <c r="E9" s="179"/>
      <c r="F9" s="180"/>
      <c r="G9" s="180"/>
      <c r="H9" s="180"/>
      <c r="J9" s="150" t="str">
        <f>" "&amp;List!$B$18</f>
        <v xml:space="preserve"> Souhrn</v>
      </c>
      <c r="L9" s="477" t="str">
        <f>Cen!A388</f>
        <v>Sada BI2, 550 mm</v>
      </c>
      <c r="M9" s="477" t="str">
        <f>Cen!B388</f>
        <v>ZSI.550BI2N</v>
      </c>
      <c r="N9" s="477" t="str">
        <f>Cen!C388</f>
        <v>IG/G</v>
      </c>
      <c r="O9" s="477">
        <f>Cen!D388</f>
        <v>0</v>
      </c>
      <c r="P9" s="385">
        <f>$F$21</f>
        <v>0</v>
      </c>
      <c r="Q9" s="386">
        <f>Cen!F388</f>
        <v>45.077739999999991</v>
      </c>
      <c r="R9" s="387">
        <f t="shared" si="0"/>
        <v>0</v>
      </c>
    </row>
    <row r="10" spans="5:18" ht="13.5" customHeight="1" x14ac:dyDescent="0.25">
      <c r="E10" s="179"/>
      <c r="F10" s="180"/>
      <c r="G10" s="180"/>
      <c r="H10" s="180"/>
      <c r="J10" s="150" t="str">
        <f>" "&amp;List!$B$20</f>
        <v xml:space="preserve"> Objednávka</v>
      </c>
      <c r="L10" s="477" t="str">
        <f>Cen!A389</f>
        <v>Sada BI2, 600 mm</v>
      </c>
      <c r="M10" s="477" t="str">
        <f>Cen!B389</f>
        <v>ZSI.600BI2N</v>
      </c>
      <c r="N10" s="477" t="str">
        <f>Cen!C389</f>
        <v>IG/G</v>
      </c>
      <c r="O10" s="477">
        <f>Cen!D389</f>
        <v>0</v>
      </c>
      <c r="P10" s="385">
        <f>$G$21</f>
        <v>0</v>
      </c>
      <c r="Q10" s="386">
        <f>Cen!F389</f>
        <v>51.383819999999993</v>
      </c>
      <c r="R10" s="387">
        <f t="shared" si="0"/>
        <v>0</v>
      </c>
    </row>
    <row r="11" spans="5:18" ht="13.5" customHeight="1" x14ac:dyDescent="0.25">
      <c r="E11" s="180"/>
      <c r="F11" s="180"/>
      <c r="G11" s="180"/>
      <c r="H11" s="180"/>
      <c r="L11" s="477" t="str">
        <f>Cen!A390</f>
        <v>Sada BI2, 650 mm</v>
      </c>
      <c r="M11" s="477" t="str">
        <f>Cen!B390</f>
        <v>ZSI.650BI2N</v>
      </c>
      <c r="N11" s="477" t="str">
        <f>Cen!C390</f>
        <v>IG/G</v>
      </c>
      <c r="O11" s="477">
        <f>Cen!D390</f>
        <v>0</v>
      </c>
      <c r="P11" s="385">
        <f>$H$21</f>
        <v>0</v>
      </c>
      <c r="Q11" s="386">
        <f>Cen!F390</f>
        <v>58.345699999999994</v>
      </c>
      <c r="R11" s="387">
        <f t="shared" si="0"/>
        <v>0</v>
      </c>
    </row>
    <row r="12" spans="5:18" ht="13.5" customHeight="1" x14ac:dyDescent="0.25">
      <c r="E12" s="180"/>
      <c r="F12" s="180"/>
      <c r="G12" s="180"/>
      <c r="H12" s="180"/>
      <c r="L12" s="477" t="str">
        <f>Cen!A391</f>
        <v>Sada BI3, 450 mm</v>
      </c>
      <c r="M12" s="477" t="str">
        <f>Cen!B391</f>
        <v>ZSI.450BI3N</v>
      </c>
      <c r="N12" s="477" t="str">
        <f>Cen!C391</f>
        <v>IG/G</v>
      </c>
      <c r="O12" s="477">
        <f>Cen!D391</f>
        <v>0</v>
      </c>
      <c r="P12" s="385">
        <f>$D$22</f>
        <v>0</v>
      </c>
      <c r="Q12" s="386">
        <f>Cen!F391</f>
        <v>43.159669999999998</v>
      </c>
      <c r="R12" s="387">
        <f t="shared" si="0"/>
        <v>0</v>
      </c>
    </row>
    <row r="13" spans="5:18" ht="13.5" customHeight="1" x14ac:dyDescent="0.25">
      <c r="E13" s="180"/>
      <c r="F13" s="180"/>
      <c r="G13" s="180"/>
      <c r="H13" s="180"/>
      <c r="L13" s="477" t="str">
        <f>Cen!A392</f>
        <v>Sada BI3, 500 mm</v>
      </c>
      <c r="M13" s="477" t="str">
        <f>Cen!B392</f>
        <v>ZSI.500BI3</v>
      </c>
      <c r="N13" s="477" t="str">
        <f>Cen!C392</f>
        <v>IG/G</v>
      </c>
      <c r="O13" s="477">
        <f>Cen!D392</f>
        <v>0</v>
      </c>
      <c r="P13" s="385">
        <f>$E$22</f>
        <v>0</v>
      </c>
      <c r="Q13" s="386">
        <f>Cen!F392</f>
        <v>53.315179999999998</v>
      </c>
      <c r="R13" s="387">
        <f t="shared" si="0"/>
        <v>0</v>
      </c>
    </row>
    <row r="14" spans="5:18" ht="13.5" customHeight="1" x14ac:dyDescent="0.25">
      <c r="E14" s="180"/>
      <c r="F14" s="180"/>
      <c r="G14" s="180"/>
      <c r="H14" s="180"/>
      <c r="J14" s="192" t="str">
        <f>" "&amp;List!$B$25</f>
        <v xml:space="preserve"> Informace k objednávání</v>
      </c>
      <c r="L14" s="477" t="str">
        <f>Cen!A393</f>
        <v>Sada BI3, 550 mm</v>
      </c>
      <c r="M14" s="477" t="str">
        <f>Cen!B393</f>
        <v>ZSI.550BI3</v>
      </c>
      <c r="N14" s="477" t="str">
        <f>Cen!C393</f>
        <v>IG/G</v>
      </c>
      <c r="O14" s="477">
        <f>Cen!D393</f>
        <v>0</v>
      </c>
      <c r="P14" s="385">
        <f>$F$22</f>
        <v>0</v>
      </c>
      <c r="Q14" s="386">
        <f>Cen!F393</f>
        <v>60.554529999999993</v>
      </c>
      <c r="R14" s="387">
        <f t="shared" si="0"/>
        <v>0</v>
      </c>
    </row>
    <row r="15" spans="5:18" ht="13.5" customHeight="1" x14ac:dyDescent="0.25">
      <c r="E15" s="180"/>
      <c r="F15" s="180"/>
      <c r="G15" s="180"/>
      <c r="H15" s="180"/>
      <c r="L15" s="477" t="str">
        <f>Cen!A394</f>
        <v>Sada BI3, 600 mm</v>
      </c>
      <c r="M15" s="477" t="str">
        <f>Cen!B394</f>
        <v>ZSI.600BI3</v>
      </c>
      <c r="N15" s="477" t="str">
        <f>Cen!C394</f>
        <v>IG/G</v>
      </c>
      <c r="O15" s="477">
        <f>Cen!D394</f>
        <v>0</v>
      </c>
      <c r="P15" s="385">
        <f>$G$22</f>
        <v>0</v>
      </c>
      <c r="Q15" s="386">
        <f>Cen!F394</f>
        <v>64.283320000000003</v>
      </c>
      <c r="R15" s="387">
        <f t="shared" si="0"/>
        <v>0</v>
      </c>
    </row>
    <row r="16" spans="5:18" ht="13.5" customHeight="1" x14ac:dyDescent="0.25">
      <c r="E16" s="180"/>
      <c r="F16" s="180"/>
      <c r="G16" s="180"/>
      <c r="H16" s="180"/>
      <c r="L16" s="477" t="str">
        <f>Cen!A395</f>
        <v>Sada BI3, 650 mm</v>
      </c>
      <c r="M16" s="477" t="str">
        <f>Cen!B395</f>
        <v>ZSI.650BI3</v>
      </c>
      <c r="N16" s="477" t="str">
        <f>Cen!C395</f>
        <v>IG/G</v>
      </c>
      <c r="O16" s="477">
        <f>Cen!D395</f>
        <v>0</v>
      </c>
      <c r="P16" s="385">
        <f>$H$22</f>
        <v>0</v>
      </c>
      <c r="Q16" s="386">
        <f>Cen!F395</f>
        <v>78.98603</v>
      </c>
      <c r="R16" s="387">
        <f t="shared" si="0"/>
        <v>0</v>
      </c>
    </row>
    <row r="17" spans="2:18" ht="13.5" customHeight="1" x14ac:dyDescent="0.25">
      <c r="E17" s="180"/>
      <c r="F17" s="180"/>
      <c r="G17" s="180"/>
      <c r="H17" s="180"/>
      <c r="L17" s="477" t="str">
        <f>Cen!A445</f>
        <v>Sada KI4, 450mm</v>
      </c>
      <c r="M17" s="477" t="str">
        <f>Cen!B445</f>
        <v>ZSI.450KI4N</v>
      </c>
      <c r="N17" s="477" t="str">
        <f>Cen!C445</f>
        <v>IG/G</v>
      </c>
      <c r="O17" s="477">
        <f>Cen!D445</f>
        <v>0</v>
      </c>
      <c r="P17" s="385">
        <f>$D$23</f>
        <v>0</v>
      </c>
      <c r="Q17" s="386">
        <f>Cen!F445</f>
        <v>51.256480000000003</v>
      </c>
      <c r="R17" s="387">
        <f t="shared" ref="R17" si="1">P17*Q17</f>
        <v>0</v>
      </c>
    </row>
    <row r="18" spans="2:18" ht="13.5" customHeight="1" x14ac:dyDescent="0.25">
      <c r="E18" s="180"/>
      <c r="F18" s="180"/>
      <c r="G18" s="180"/>
      <c r="H18" s="180"/>
      <c r="L18" s="477" t="str">
        <f>Cen!A446</f>
        <v>Sada KI4, 500mm</v>
      </c>
      <c r="M18" s="477" t="str">
        <f>Cen!B446</f>
        <v>ZSI.500KI4</v>
      </c>
      <c r="N18" s="477" t="str">
        <f>Cen!C446</f>
        <v>IG/G</v>
      </c>
      <c r="O18" s="477">
        <f>Cen!D446</f>
        <v>0</v>
      </c>
      <c r="P18" s="385">
        <f>$E$23</f>
        <v>0</v>
      </c>
      <c r="Q18" s="386">
        <f>Cen!F446</f>
        <v>68.25694</v>
      </c>
      <c r="R18" s="387">
        <f t="shared" ref="R18:R22" si="2">P18*Q18</f>
        <v>0</v>
      </c>
    </row>
    <row r="19" spans="2:18" ht="13.5" customHeight="1" x14ac:dyDescent="0.3">
      <c r="C19" s="59" t="str">
        <f>List!$B$45&amp;":"</f>
        <v>Jmenovitá délka:</v>
      </c>
      <c r="D19" s="287" t="s">
        <v>246</v>
      </c>
      <c r="E19" s="288" t="s">
        <v>825</v>
      </c>
      <c r="F19" s="287" t="s">
        <v>826</v>
      </c>
      <c r="G19" s="289" t="s">
        <v>247</v>
      </c>
      <c r="H19" s="289" t="s">
        <v>827</v>
      </c>
      <c r="J19" s="2" t="str">
        <f>"         "&amp;List!$B$166</f>
        <v xml:space="preserve">         Jídelní příbory</v>
      </c>
      <c r="L19" s="477" t="str">
        <f>Cen!A447</f>
        <v>Sada KI4, 550mm</v>
      </c>
      <c r="M19" s="477" t="str">
        <f>Cen!B447</f>
        <v>ZSI.550KI4</v>
      </c>
      <c r="N19" s="477" t="str">
        <f>Cen!C447</f>
        <v>IG/G</v>
      </c>
      <c r="O19" s="477">
        <f>Cen!D447</f>
        <v>0</v>
      </c>
      <c r="P19" s="385">
        <f>$F$23</f>
        <v>0</v>
      </c>
      <c r="Q19" s="386">
        <f>Cen!F447</f>
        <v>70.976650000000006</v>
      </c>
      <c r="R19" s="387">
        <f t="shared" si="2"/>
        <v>0</v>
      </c>
    </row>
    <row r="20" spans="2:18" ht="15" customHeight="1" x14ac:dyDescent="0.3">
      <c r="B20" s="446" t="str">
        <f>List!$B$186&amp;" BI1"</f>
        <v>Sada BI1</v>
      </c>
      <c r="C20" s="306" t="s">
        <v>1355</v>
      </c>
      <c r="D20" s="307"/>
      <c r="E20" s="308"/>
      <c r="F20" s="308"/>
      <c r="G20" s="309"/>
      <c r="H20" s="309"/>
      <c r="L20" s="477" t="str">
        <f>Cen!A448</f>
        <v>Sada KI4, 600mm</v>
      </c>
      <c r="M20" s="477" t="str">
        <f>Cen!B448</f>
        <v>ZSI.600KI4</v>
      </c>
      <c r="N20" s="477" t="str">
        <f>Cen!C448</f>
        <v>IG/G</v>
      </c>
      <c r="O20" s="477">
        <f>Cen!D448</f>
        <v>0</v>
      </c>
      <c r="P20" s="385">
        <f>$G$23</f>
        <v>0</v>
      </c>
      <c r="Q20" s="386">
        <f>Cen!F448</f>
        <v>85.055520000000001</v>
      </c>
      <c r="R20" s="387">
        <f t="shared" si="2"/>
        <v>0</v>
      </c>
    </row>
    <row r="21" spans="2:18" ht="15" customHeight="1" x14ac:dyDescent="0.3">
      <c r="B21" s="446" t="str">
        <f>List!$B$186&amp;" BI2"</f>
        <v>Sada BI2</v>
      </c>
      <c r="C21" s="310" t="s">
        <v>1356</v>
      </c>
      <c r="D21" s="311"/>
      <c r="E21" s="312"/>
      <c r="F21" s="312"/>
      <c r="G21" s="313"/>
      <c r="H21" s="313"/>
      <c r="L21" s="477" t="str">
        <f>Cen!A449</f>
        <v>Sada KI4, 650mm</v>
      </c>
      <c r="M21" s="477" t="str">
        <f>Cen!B449</f>
        <v>ZSI.650KI4</v>
      </c>
      <c r="N21" s="477" t="str">
        <f>Cen!C449</f>
        <v>IG/G</v>
      </c>
      <c r="O21" s="477">
        <f>Cen!D449</f>
        <v>0</v>
      </c>
      <c r="P21" s="385">
        <f>$H$23</f>
        <v>0</v>
      </c>
      <c r="Q21" s="386">
        <f>Cen!F449</f>
        <v>94.886810000000011</v>
      </c>
      <c r="R21" s="387">
        <f t="shared" si="2"/>
        <v>0</v>
      </c>
    </row>
    <row r="22" spans="2:18" ht="15" customHeight="1" x14ac:dyDescent="0.3">
      <c r="B22" s="446" t="str">
        <f>List!$B$186&amp;" BI3"</f>
        <v>Sada BI3</v>
      </c>
      <c r="C22" s="310" t="s">
        <v>1357</v>
      </c>
      <c r="D22" s="311"/>
      <c r="E22" s="312"/>
      <c r="F22" s="312"/>
      <c r="G22" s="313"/>
      <c r="H22" s="313"/>
      <c r="L22" s="477" t="str">
        <f>Cen!A398</f>
        <v>Sada pro korpus KB 600mm, NL 450mm</v>
      </c>
      <c r="M22" s="477" t="str">
        <f>Cen!B398</f>
        <v>ZSI.60VEI4</v>
      </c>
      <c r="N22" s="477" t="str">
        <f>Cen!C398</f>
        <v>IG/G</v>
      </c>
      <c r="O22" s="477">
        <f>Cen!D398</f>
        <v>0</v>
      </c>
      <c r="P22" s="385">
        <f>$D$24</f>
        <v>0</v>
      </c>
      <c r="Q22" s="386">
        <f>Cen!F398</f>
        <v>73.077280000000002</v>
      </c>
      <c r="R22" s="387">
        <f t="shared" si="2"/>
        <v>0</v>
      </c>
    </row>
    <row r="23" spans="2:18" ht="15" customHeight="1" x14ac:dyDescent="0.3">
      <c r="B23" s="446" t="str">
        <f>List!$B$186&amp;" KI4"</f>
        <v>Sada KI4</v>
      </c>
      <c r="C23" s="310" t="s">
        <v>1362</v>
      </c>
      <c r="D23" s="311"/>
      <c r="E23" s="312"/>
      <c r="F23" s="312"/>
      <c r="G23" s="313"/>
      <c r="H23" s="313"/>
      <c r="L23" s="477" t="str">
        <f>Cen!A399</f>
        <v>Sada pro korpus KB 600mm, NL 500mm</v>
      </c>
      <c r="M23" s="477" t="str">
        <f>Cen!B399</f>
        <v>ZSI.60VEI6</v>
      </c>
      <c r="N23" s="477" t="str">
        <f>Cen!C399</f>
        <v>IG/G</v>
      </c>
      <c r="O23" s="477">
        <f>Cen!D399</f>
        <v>0</v>
      </c>
      <c r="P23" s="385">
        <f>$E$24</f>
        <v>0</v>
      </c>
      <c r="Q23" s="386">
        <f>Cen!F399</f>
        <v>89.258300000000006</v>
      </c>
      <c r="R23" s="387">
        <f t="shared" ref="R23:R27" si="3">P23*Q23</f>
        <v>0</v>
      </c>
    </row>
    <row r="24" spans="2:18" ht="15" customHeight="1" x14ac:dyDescent="0.3">
      <c r="B24" s="446" t="str">
        <f>List!$B$187&amp;" KB 600 mm"</f>
        <v>Sada pro korpus KB 600 mm</v>
      </c>
      <c r="C24" s="310" t="s">
        <v>1358</v>
      </c>
      <c r="D24" s="311"/>
      <c r="E24" s="312"/>
      <c r="F24" s="312"/>
      <c r="L24" s="477" t="str">
        <f>Cen!A400</f>
        <v>Sada pro korpus KB 600mm, NL 550mm</v>
      </c>
      <c r="M24" s="477" t="str">
        <f>Cen!B400</f>
        <v>ZSI.60VEI7</v>
      </c>
      <c r="N24" s="477" t="str">
        <f>Cen!C400</f>
        <v>IG/G</v>
      </c>
      <c r="O24" s="477">
        <f>Cen!D400</f>
        <v>0</v>
      </c>
      <c r="P24" s="385">
        <f>$F$24</f>
        <v>0</v>
      </c>
      <c r="Q24" s="386">
        <f>Cen!F400</f>
        <v>103.2907</v>
      </c>
      <c r="R24" s="387">
        <f t="shared" si="3"/>
        <v>0</v>
      </c>
    </row>
    <row r="25" spans="2:18" ht="15" customHeight="1" x14ac:dyDescent="0.3">
      <c r="B25" s="446" t="str">
        <f>List!$B$187&amp;" KB 900 mm"</f>
        <v>Sada pro korpus KB 900 mm</v>
      </c>
      <c r="C25" s="310" t="s">
        <v>1359</v>
      </c>
      <c r="D25" s="311"/>
      <c r="E25" s="312"/>
      <c r="F25" s="312"/>
      <c r="L25" s="477" t="str">
        <f>Cen!A401</f>
        <v>Sada pro korpus KB 900mm, NL 450mm</v>
      </c>
      <c r="M25" s="477" t="str">
        <f>Cen!B401</f>
        <v>ZSI.90VEI4</v>
      </c>
      <c r="N25" s="477" t="str">
        <f>Cen!C401</f>
        <v>IG/G</v>
      </c>
      <c r="O25" s="477">
        <f>Cen!D401</f>
        <v>0</v>
      </c>
      <c r="P25" s="385">
        <f>$D$25</f>
        <v>0</v>
      </c>
      <c r="Q25" s="386">
        <f>Cen!F401</f>
        <v>100.48037000000001</v>
      </c>
      <c r="R25" s="387">
        <f t="shared" si="3"/>
        <v>0</v>
      </c>
    </row>
    <row r="26" spans="2:18" ht="15" customHeight="1" x14ac:dyDescent="0.3">
      <c r="B26" s="446" t="str">
        <f>List!$B$187&amp;" KB 1200 mm"</f>
        <v>Sada pro korpus KB 1200 mm</v>
      </c>
      <c r="C26" s="310" t="s">
        <v>1360</v>
      </c>
      <c r="D26" s="311"/>
      <c r="E26" s="312"/>
      <c r="F26" s="312"/>
      <c r="L26" s="477" t="str">
        <f>Cen!A402</f>
        <v>Sada pro korpus KB 900mm, NL 500mm</v>
      </c>
      <c r="M26" s="477" t="str">
        <f>Cen!B402</f>
        <v>ZSI.90VEI6</v>
      </c>
      <c r="N26" s="477" t="str">
        <f>Cen!C402</f>
        <v>IG/G</v>
      </c>
      <c r="O26" s="477">
        <f>Cen!D402</f>
        <v>0</v>
      </c>
      <c r="P26" s="385">
        <f>$E$25</f>
        <v>0</v>
      </c>
      <c r="Q26" s="386">
        <f>Cen!F402</f>
        <v>121.89036</v>
      </c>
      <c r="R26" s="387">
        <f t="shared" si="3"/>
        <v>0</v>
      </c>
    </row>
    <row r="27" spans="2:18" ht="15" customHeight="1" x14ac:dyDescent="0.3">
      <c r="B27" s="446" t="str">
        <f>List!$B$188</f>
        <v>Sada pro SPACE CORNER</v>
      </c>
      <c r="C27" s="310" t="s">
        <v>1361</v>
      </c>
      <c r="D27" s="311"/>
      <c r="E27" s="312"/>
      <c r="L27" s="477" t="str">
        <f>Cen!A403</f>
        <v>Sada pro korpus KB 900mm, NL 550mm</v>
      </c>
      <c r="M27" s="477" t="str">
        <f>Cen!B403</f>
        <v>ZSI.90VEI7</v>
      </c>
      <c r="N27" s="477" t="str">
        <f>Cen!C403</f>
        <v>IG/G</v>
      </c>
      <c r="O27" s="477">
        <f>Cen!D403</f>
        <v>0</v>
      </c>
      <c r="P27" s="385">
        <f>$F$25</f>
        <v>0</v>
      </c>
      <c r="Q27" s="386">
        <f>Cen!F403</f>
        <v>139.80625000000001</v>
      </c>
      <c r="R27" s="387">
        <f t="shared" si="3"/>
        <v>0</v>
      </c>
    </row>
    <row r="28" spans="2:18" ht="13.5" customHeight="1" x14ac:dyDescent="0.25">
      <c r="E28" s="180"/>
      <c r="F28" s="180"/>
      <c r="G28" s="180"/>
      <c r="H28" s="180"/>
      <c r="L28" s="477" t="str">
        <f>Cen!A404</f>
        <v>Sada pro korpus KB 1200mm, NL 450mm</v>
      </c>
      <c r="M28" s="477" t="str">
        <f>Cen!B404</f>
        <v>ZSI.12VEI4</v>
      </c>
      <c r="N28" s="477" t="str">
        <f>Cen!C404</f>
        <v>IG/G</v>
      </c>
      <c r="O28" s="477">
        <f>Cen!D404</f>
        <v>0</v>
      </c>
      <c r="P28" s="385">
        <f>$D$26</f>
        <v>0</v>
      </c>
      <c r="Q28" s="386">
        <f>Cen!F404</f>
        <v>126.084</v>
      </c>
      <c r="R28" s="387">
        <f t="shared" ref="R28:R32" si="4">P28*Q28</f>
        <v>0</v>
      </c>
    </row>
    <row r="29" spans="2:18" ht="13.5" customHeight="1" x14ac:dyDescent="0.25">
      <c r="E29" s="180"/>
      <c r="F29" s="180"/>
      <c r="G29" s="180"/>
      <c r="H29" s="180"/>
      <c r="L29" s="477" t="str">
        <f>Cen!A405</f>
        <v>Sada pro korpus KB 1200mm, NL 500mm</v>
      </c>
      <c r="M29" s="477" t="str">
        <f>Cen!B405</f>
        <v>ZSI.12VEI6</v>
      </c>
      <c r="N29" s="477" t="str">
        <f>Cen!C405</f>
        <v>IG/G</v>
      </c>
      <c r="O29" s="477">
        <f>Cen!D405</f>
        <v>0</v>
      </c>
      <c r="P29" s="385">
        <f>$E$26</f>
        <v>0</v>
      </c>
      <c r="Q29" s="386">
        <f>Cen!F405</f>
        <v>149.69191000000001</v>
      </c>
      <c r="R29" s="387">
        <f t="shared" si="4"/>
        <v>0</v>
      </c>
    </row>
    <row r="30" spans="2:18" ht="13.5" customHeight="1" x14ac:dyDescent="0.25">
      <c r="E30" s="180"/>
      <c r="F30" s="180"/>
      <c r="G30" s="180"/>
      <c r="H30" s="180"/>
      <c r="L30" s="477" t="str">
        <f>Cen!A406</f>
        <v>Sada pro korpus KB 1200mm, NL 550mm</v>
      </c>
      <c r="M30" s="477" t="str">
        <f>Cen!B406</f>
        <v>ZSI.12VEI7</v>
      </c>
      <c r="N30" s="477" t="str">
        <f>Cen!C406</f>
        <v>IG/G</v>
      </c>
      <c r="O30" s="477">
        <f>Cen!D406</f>
        <v>0</v>
      </c>
      <c r="P30" s="385">
        <f>$F$25</f>
        <v>0</v>
      </c>
      <c r="Q30" s="386">
        <f>Cen!F406</f>
        <v>174.48204999999999</v>
      </c>
      <c r="R30" s="387">
        <f t="shared" si="4"/>
        <v>0</v>
      </c>
    </row>
    <row r="31" spans="2:18" ht="13.5" customHeight="1" x14ac:dyDescent="0.25">
      <c r="E31" s="180"/>
      <c r="F31" s="180"/>
      <c r="G31" s="180"/>
      <c r="H31" s="180"/>
      <c r="L31" s="477" t="str">
        <f>Cen!A396</f>
        <v>Sada pro SPACE CORNER, NL 600mm</v>
      </c>
      <c r="M31" s="477" t="str">
        <f>Cen!B396</f>
        <v>ZSI.450BI3E</v>
      </c>
      <c r="N31" s="477" t="str">
        <f>Cen!C396</f>
        <v>IG/G</v>
      </c>
      <c r="O31" s="477" t="str">
        <f>Cen!D396</f>
        <v>!</v>
      </c>
      <c r="P31" s="385">
        <f>$D$27</f>
        <v>0</v>
      </c>
      <c r="Q31" s="386">
        <f>Cen!F396</f>
        <v>47.621290000000002</v>
      </c>
      <c r="R31" s="387">
        <f t="shared" si="4"/>
        <v>0</v>
      </c>
    </row>
    <row r="32" spans="2:18" ht="13.5" customHeight="1" x14ac:dyDescent="0.25">
      <c r="E32" s="180"/>
      <c r="F32" s="180"/>
      <c r="G32" s="180"/>
      <c r="H32" s="180"/>
      <c r="L32" s="477" t="str">
        <f>Cen!A397</f>
        <v>Sada pro SPACE CORNER, NL 650mm</v>
      </c>
      <c r="M32" s="477" t="str">
        <f>Cen!B397</f>
        <v>ZSI.500BI3E</v>
      </c>
      <c r="N32" s="477" t="str">
        <f>Cen!C397</f>
        <v>IG/G</v>
      </c>
      <c r="O32" s="477">
        <f>Cen!D397</f>
        <v>0</v>
      </c>
      <c r="P32" s="385">
        <f>$E$27</f>
        <v>0</v>
      </c>
      <c r="Q32" s="386">
        <f>Cen!F397</f>
        <v>57.387929999999997</v>
      </c>
      <c r="R32" s="387">
        <f t="shared" si="4"/>
        <v>0</v>
      </c>
    </row>
    <row r="33" spans="2:18" ht="13.5" customHeight="1" x14ac:dyDescent="0.25">
      <c r="E33" s="180"/>
      <c r="F33" s="180"/>
      <c r="G33" s="180"/>
      <c r="H33" s="180"/>
    </row>
    <row r="34" spans="2:18" ht="13.5" customHeight="1" x14ac:dyDescent="0.25">
      <c r="E34" s="180"/>
      <c r="F34" s="180"/>
      <c r="G34" s="180"/>
      <c r="H34" s="180"/>
      <c r="R34" s="436">
        <f>SUM(R2:R33)</f>
        <v>0</v>
      </c>
    </row>
    <row r="35" spans="2:18" ht="13.5" customHeight="1" x14ac:dyDescent="0.25">
      <c r="E35" s="180"/>
      <c r="F35" s="180"/>
      <c r="G35" s="180"/>
      <c r="H35" s="180"/>
    </row>
    <row r="36" spans="2:18" ht="13.5" customHeight="1" x14ac:dyDescent="0.25">
      <c r="E36" s="180"/>
      <c r="F36" s="180"/>
      <c r="G36" s="180"/>
      <c r="H36" s="180"/>
    </row>
    <row r="37" spans="2:18" ht="13.5" customHeight="1" x14ac:dyDescent="0.25">
      <c r="E37" s="180"/>
      <c r="F37" s="180"/>
      <c r="G37" s="180"/>
      <c r="H37" s="180"/>
    </row>
    <row r="38" spans="2:18" ht="13.5" customHeight="1" x14ac:dyDescent="0.25">
      <c r="B38" s="314"/>
      <c r="C38" s="314"/>
      <c r="D38" s="314"/>
      <c r="E38" s="314"/>
      <c r="F38" s="314"/>
      <c r="G38" s="314"/>
      <c r="H38" s="314"/>
      <c r="I38" s="314"/>
    </row>
    <row r="39" spans="2:18" ht="13.5" customHeight="1" x14ac:dyDescent="0.3">
      <c r="B39" s="315"/>
      <c r="C39" s="314"/>
      <c r="D39" s="314"/>
      <c r="E39" s="314"/>
      <c r="F39" s="316"/>
      <c r="G39" s="317"/>
      <c r="H39" s="318"/>
      <c r="I39" s="314"/>
    </row>
    <row r="40" spans="2:18" ht="13.5" customHeight="1" x14ac:dyDescent="0.25">
      <c r="B40" s="314"/>
      <c r="C40" s="314"/>
      <c r="D40" s="314"/>
      <c r="E40" s="314"/>
      <c r="F40" s="319"/>
      <c r="G40" s="320"/>
      <c r="H40" s="321"/>
      <c r="I40" s="314"/>
    </row>
    <row r="41" spans="2:18" ht="13.5" customHeight="1" x14ac:dyDescent="0.25">
      <c r="B41" s="314"/>
      <c r="C41" s="314"/>
      <c r="D41" s="314"/>
      <c r="E41" s="314"/>
      <c r="F41" s="319"/>
      <c r="G41" s="320"/>
      <c r="H41" s="321"/>
      <c r="I41" s="314"/>
    </row>
    <row r="42" spans="2:18" x14ac:dyDescent="0.25">
      <c r="B42" s="314"/>
      <c r="C42" s="314"/>
      <c r="D42" s="314"/>
      <c r="E42" s="314"/>
      <c r="F42" s="319"/>
      <c r="G42" s="320"/>
      <c r="H42" s="321"/>
      <c r="I42" s="314"/>
    </row>
    <row r="43" spans="2:18" x14ac:dyDescent="0.25">
      <c r="B43" s="314"/>
      <c r="C43" s="314"/>
      <c r="D43" s="314"/>
      <c r="E43" s="314"/>
      <c r="F43" s="319"/>
      <c r="G43" s="320"/>
      <c r="H43" s="321"/>
      <c r="I43" s="314"/>
    </row>
    <row r="44" spans="2:18" x14ac:dyDescent="0.25">
      <c r="B44" s="314"/>
      <c r="C44" s="314"/>
      <c r="D44" s="314"/>
      <c r="E44" s="314"/>
      <c r="F44" s="319"/>
      <c r="G44" s="320"/>
      <c r="H44" s="321"/>
      <c r="I44" s="314"/>
    </row>
    <row r="45" spans="2:18" x14ac:dyDescent="0.25">
      <c r="B45" s="314"/>
      <c r="C45" s="314"/>
      <c r="D45" s="314"/>
      <c r="E45" s="314"/>
      <c r="F45" s="319"/>
      <c r="G45" s="320"/>
      <c r="H45" s="321"/>
      <c r="I45" s="314"/>
    </row>
    <row r="46" spans="2:18" x14ac:dyDescent="0.25">
      <c r="B46" s="314"/>
      <c r="C46" s="314"/>
      <c r="D46" s="314"/>
      <c r="E46" s="314"/>
      <c r="F46" s="319"/>
      <c r="G46" s="320"/>
      <c r="H46" s="321"/>
      <c r="I46" s="314"/>
    </row>
    <row r="47" spans="2:18" x14ac:dyDescent="0.25">
      <c r="B47" s="314"/>
      <c r="C47" s="314"/>
      <c r="D47" s="314"/>
      <c r="E47" s="314"/>
      <c r="F47" s="319"/>
      <c r="G47" s="320"/>
      <c r="H47" s="321"/>
      <c r="I47" s="314"/>
    </row>
    <row r="48" spans="2:18" x14ac:dyDescent="0.25">
      <c r="B48" s="314"/>
      <c r="C48" s="314"/>
      <c r="D48" s="314"/>
      <c r="E48" s="314"/>
      <c r="F48" s="319"/>
      <c r="G48" s="320"/>
      <c r="H48" s="321"/>
      <c r="I48" s="314"/>
    </row>
    <row r="49" spans="2:9" x14ac:dyDescent="0.25">
      <c r="B49" s="314"/>
      <c r="C49" s="314"/>
      <c r="D49" s="314"/>
      <c r="E49" s="314"/>
      <c r="F49" s="319"/>
      <c r="G49" s="320"/>
      <c r="H49" s="321"/>
      <c r="I49" s="314"/>
    </row>
    <row r="50" spans="2:9" x14ac:dyDescent="0.25">
      <c r="B50" s="314"/>
      <c r="C50" s="314"/>
      <c r="D50" s="314"/>
      <c r="E50" s="314"/>
      <c r="F50" s="319"/>
      <c r="G50" s="320"/>
      <c r="H50" s="321"/>
      <c r="I50" s="314"/>
    </row>
    <row r="51" spans="2:9" ht="18" customHeight="1" x14ac:dyDescent="0.25">
      <c r="B51" s="314"/>
      <c r="C51" s="314"/>
      <c r="D51" s="314"/>
      <c r="E51" s="314"/>
      <c r="F51" s="317"/>
      <c r="G51" s="322"/>
      <c r="H51" s="321"/>
      <c r="I51" s="314"/>
    </row>
    <row r="52" spans="2:9" x14ac:dyDescent="0.25">
      <c r="B52" s="314"/>
      <c r="C52" s="314"/>
      <c r="D52" s="314"/>
      <c r="E52" s="314"/>
      <c r="F52" s="314"/>
      <c r="G52" s="314"/>
      <c r="H52" s="314"/>
      <c r="I52" s="314"/>
    </row>
    <row r="99" spans="1:13" x14ac:dyDescent="0.25">
      <c r="A99" s="577"/>
    </row>
    <row r="100" spans="1:13" x14ac:dyDescent="0.25">
      <c r="A100" s="577"/>
    </row>
    <row r="101" spans="1:13" x14ac:dyDescent="0.25">
      <c r="A101" s="577"/>
      <c r="L101" s="624" t="str">
        <f>List!$B$99</f>
        <v>Zpět</v>
      </c>
      <c r="M101" s="624"/>
    </row>
    <row r="102" spans="1:13" x14ac:dyDescent="0.25">
      <c r="A102" s="577"/>
    </row>
    <row r="103" spans="1:13" x14ac:dyDescent="0.25">
      <c r="A103" s="577"/>
    </row>
    <row r="104" spans="1:13" x14ac:dyDescent="0.25">
      <c r="A104" s="577"/>
    </row>
    <row r="105" spans="1:13" x14ac:dyDescent="0.25">
      <c r="A105" s="577"/>
    </row>
    <row r="106" spans="1:13" x14ac:dyDescent="0.25">
      <c r="A106" s="577"/>
    </row>
    <row r="107" spans="1:13" x14ac:dyDescent="0.25">
      <c r="A107" s="577"/>
    </row>
    <row r="108" spans="1:13" x14ac:dyDescent="0.25">
      <c r="A108" s="577"/>
    </row>
    <row r="109" spans="1:13" x14ac:dyDescent="0.25">
      <c r="A109" s="577"/>
    </row>
    <row r="110" spans="1:13" x14ac:dyDescent="0.25">
      <c r="A110" s="577"/>
    </row>
    <row r="111" spans="1:13" x14ac:dyDescent="0.25">
      <c r="A111" s="577"/>
    </row>
    <row r="112" spans="1:13" x14ac:dyDescent="0.25">
      <c r="A112" s="577"/>
    </row>
    <row r="113" spans="1:1" x14ac:dyDescent="0.25">
      <c r="A113" s="577"/>
    </row>
    <row r="114" spans="1:1" x14ac:dyDescent="0.25">
      <c r="A114" s="577"/>
    </row>
    <row r="115" spans="1:1" x14ac:dyDescent="0.25">
      <c r="A115" s="577"/>
    </row>
    <row r="116" spans="1:1" x14ac:dyDescent="0.25">
      <c r="A116" s="577"/>
    </row>
    <row r="117" spans="1:1" x14ac:dyDescent="0.25">
      <c r="A117" s="577"/>
    </row>
    <row r="118" spans="1:1" x14ac:dyDescent="0.25">
      <c r="A118" s="577"/>
    </row>
    <row r="119" spans="1:1" x14ac:dyDescent="0.25">
      <c r="A119" s="577"/>
    </row>
    <row r="120" spans="1:1" x14ac:dyDescent="0.25">
      <c r="A120" s="577"/>
    </row>
    <row r="121" spans="1:1" x14ac:dyDescent="0.25">
      <c r="A121" s="577"/>
    </row>
    <row r="122" spans="1:1" x14ac:dyDescent="0.25">
      <c r="A122" s="577"/>
    </row>
    <row r="123" spans="1:1" x14ac:dyDescent="0.25">
      <c r="A123" s="577"/>
    </row>
    <row r="124" spans="1:1" x14ac:dyDescent="0.25">
      <c r="A124" s="577"/>
    </row>
    <row r="125" spans="1:1" x14ac:dyDescent="0.25">
      <c r="A125" s="577"/>
    </row>
    <row r="126" spans="1:1" x14ac:dyDescent="0.25">
      <c r="A126" s="577"/>
    </row>
    <row r="127" spans="1:1" x14ac:dyDescent="0.25">
      <c r="A127" s="577"/>
    </row>
    <row r="128" spans="1:1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  <row r="141" spans="1:1" x14ac:dyDescent="0.25">
      <c r="A141" s="577"/>
    </row>
    <row r="142" spans="1:1" x14ac:dyDescent="0.25">
      <c r="A142" s="577"/>
    </row>
    <row r="143" spans="1:1" x14ac:dyDescent="0.25">
      <c r="A143" s="577"/>
    </row>
    <row r="144" spans="1:1" x14ac:dyDescent="0.25">
      <c r="A144" s="577"/>
    </row>
    <row r="145" spans="1:1" x14ac:dyDescent="0.25">
      <c r="A145" s="577"/>
    </row>
    <row r="146" spans="1:1" x14ac:dyDescent="0.25">
      <c r="A146" s="577"/>
    </row>
    <row r="147" spans="1:1" x14ac:dyDescent="0.25">
      <c r="A147" s="577"/>
    </row>
    <row r="148" spans="1:1" x14ac:dyDescent="0.25">
      <c r="A148" s="577"/>
    </row>
    <row r="149" spans="1:1" x14ac:dyDescent="0.25">
      <c r="A149" s="577"/>
    </row>
    <row r="150" spans="1:1" x14ac:dyDescent="0.25">
      <c r="A150" s="577"/>
    </row>
    <row r="151" spans="1:1" x14ac:dyDescent="0.25">
      <c r="A151" s="577"/>
    </row>
    <row r="152" spans="1:1" x14ac:dyDescent="0.25">
      <c r="A152" s="577"/>
    </row>
    <row r="153" spans="1:1" x14ac:dyDescent="0.25">
      <c r="A153" s="577"/>
    </row>
    <row r="154" spans="1:1" x14ac:dyDescent="0.25">
      <c r="A154" s="577"/>
    </row>
    <row r="155" spans="1:1" x14ac:dyDescent="0.25">
      <c r="A155" s="577"/>
    </row>
    <row r="156" spans="1:1" x14ac:dyDescent="0.25">
      <c r="A156" s="577"/>
    </row>
    <row r="157" spans="1:1" x14ac:dyDescent="0.25">
      <c r="A157" s="577"/>
    </row>
    <row r="158" spans="1:1" x14ac:dyDescent="0.25">
      <c r="A158" s="577"/>
    </row>
    <row r="159" spans="1:1" x14ac:dyDescent="0.25">
      <c r="A159" s="577"/>
    </row>
    <row r="160" spans="1:1" x14ac:dyDescent="0.25">
      <c r="A160" s="577"/>
    </row>
    <row r="161" spans="1:1" x14ac:dyDescent="0.25">
      <c r="A161" s="577"/>
    </row>
    <row r="162" spans="1:1" x14ac:dyDescent="0.25">
      <c r="A162" s="577"/>
    </row>
    <row r="163" spans="1:1" x14ac:dyDescent="0.25">
      <c r="A163" s="577"/>
    </row>
    <row r="164" spans="1:1" x14ac:dyDescent="0.25">
      <c r="A164" s="577"/>
    </row>
    <row r="165" spans="1:1" x14ac:dyDescent="0.25">
      <c r="A165" s="577"/>
    </row>
    <row r="166" spans="1:1" x14ac:dyDescent="0.25">
      <c r="A166" s="577"/>
    </row>
    <row r="167" spans="1:1" x14ac:dyDescent="0.25">
      <c r="A167" s="577"/>
    </row>
    <row r="168" spans="1:1" x14ac:dyDescent="0.25">
      <c r="A168" s="577"/>
    </row>
    <row r="169" spans="1:1" x14ac:dyDescent="0.25">
      <c r="A169" s="577"/>
    </row>
    <row r="170" spans="1:1" x14ac:dyDescent="0.25">
      <c r="A170" s="577"/>
    </row>
    <row r="198" spans="8:9" x14ac:dyDescent="0.25">
      <c r="H198" s="624" t="str">
        <f>List!$B$99</f>
        <v>Zpět</v>
      </c>
      <c r="I198" s="624"/>
    </row>
  </sheetData>
  <sheetProtection algorithmName="SHA-512" hashValue="ubUgQHxQvlQ4qkwEfHO2aJqqiWjzTa2zi2SOocRZGN3ZHVnZ5+/TmhM9A0wG8TIIQtv2KAQpBXgUQTXQ3yME3g==" saltValue="ErRS+496z/M8eHl7VazSMw==" spinCount="100000" sheet="1" objects="1" scenarios="1"/>
  <mergeCells count="3">
    <mergeCell ref="A99:A170"/>
    <mergeCell ref="H198:I198"/>
    <mergeCell ref="L101:M101"/>
  </mergeCells>
  <phoneticPr fontId="53" type="noConversion"/>
  <hyperlinks>
    <hyperlink ref="J2" location="Form!A1" tooltip=" " display="Form!A1"/>
    <hyperlink ref="J3" location="Menu!A1" tooltip=" " display="Menu!A1"/>
    <hyperlink ref="J6" location="OL!A1" tooltip=" " display="ORGA-LINE"/>
    <hyperlink ref="J9" location="Sum!A128" tooltip=" " display="Sum!A128"/>
    <hyperlink ref="J4" location="Acs!A1" tooltip=" " display="Acs!A1"/>
    <hyperlink ref="J14" location="OLMi!A100" tooltip=" " display="OLMi!A100"/>
    <hyperlink ref="H198:I198" location="OLMi!A1" tooltip=" " display="OLMi!A1"/>
    <hyperlink ref="J10" location="Ord!A1" tooltip=" " display="Ord!A1"/>
    <hyperlink ref="J5" location="SD!A1" tooltip=" " display="SD!A1"/>
    <hyperlink ref="L101:M101" location="OLMi!A1" tooltip=" " display="OLMi!A1"/>
  </hyperlinks>
  <pageMargins left="0.7" right="0.7" top="0.78740157499999996" bottom="0.78740157499999996" header="0.3" footer="0.3"/>
  <pageSetup paperSize="9" orientation="landscape" horizontalDpi="4294967293" verticalDpi="12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theme="5"/>
  </sheetPr>
  <dimension ref="A1:R200"/>
  <sheetViews>
    <sheetView showGridLines="0" showRowColHeaders="0" workbookViewId="0">
      <selection activeCell="J2" sqref="J2"/>
    </sheetView>
  </sheetViews>
  <sheetFormatPr defaultColWidth="9.1796875" defaultRowHeight="12.5" x14ac:dyDescent="0.25"/>
  <cols>
    <col min="1" max="1" width="3.54296875" style="2" customWidth="1"/>
    <col min="2" max="2" width="35.7265625" style="2" customWidth="1"/>
    <col min="3" max="3" width="17.1796875" style="2" customWidth="1"/>
    <col min="4" max="8" width="9.26953125" style="2" customWidth="1"/>
    <col min="9" max="9" width="5.81640625" style="2" customWidth="1"/>
    <col min="10" max="10" width="25.81640625" style="2" customWidth="1"/>
    <col min="11" max="11" width="9.1796875" style="2"/>
    <col min="12" max="12" width="37.1796875" style="2" hidden="1" customWidth="1"/>
    <col min="13" max="13" width="12.81640625" style="2" hidden="1" customWidth="1"/>
    <col min="14" max="14" width="0" style="2" hidden="1" customWidth="1"/>
    <col min="15" max="15" width="2" style="2" hidden="1" customWidth="1"/>
    <col min="16" max="16" width="6.453125" style="2" hidden="1" customWidth="1"/>
    <col min="17" max="17" width="0" style="2" hidden="1" customWidth="1"/>
    <col min="18" max="18" width="10.1796875" style="2" hidden="1" customWidth="1"/>
    <col min="19" max="16384" width="9.1796875" style="2"/>
  </cols>
  <sheetData>
    <row r="1" spans="5:18" ht="22.5" customHeight="1" x14ac:dyDescent="0.45">
      <c r="H1" s="10" t="str">
        <f>"ORGA-LINE"&amp;" - "&amp;List!$B$107</f>
        <v>ORGA-LINE - Sady rozdělovníků</v>
      </c>
      <c r="J1" s="151" t="str">
        <f>List!$B$11&amp;":"</f>
        <v>Zpět na:</v>
      </c>
    </row>
    <row r="2" spans="5:18" ht="13.5" customHeight="1" thickBot="1" x14ac:dyDescent="0.3">
      <c r="E2" s="194"/>
      <c r="F2" s="194" t="str">
        <f>List!$B$129&amp;":"</f>
        <v>Základní prvek:</v>
      </c>
      <c r="G2" s="195"/>
      <c r="H2" s="194" t="str">
        <f>List!$B$46&amp;" M"</f>
        <v>Zásuvka M</v>
      </c>
      <c r="J2" s="149" t="str">
        <f>" "&amp;List!$B$13</f>
        <v xml:space="preserve"> Úvod</v>
      </c>
      <c r="L2" s="477" t="str">
        <f>Cen!A381</f>
        <v>Sada BI1, 450 mm</v>
      </c>
      <c r="M2" s="477" t="str">
        <f>Cen!B381</f>
        <v>ZSI.450BI1N</v>
      </c>
      <c r="N2" s="477" t="str">
        <f>Cen!C381</f>
        <v>IG/G</v>
      </c>
      <c r="O2" s="477">
        <f>Cen!D381</f>
        <v>0</v>
      </c>
      <c r="P2" s="385">
        <f>$D$20</f>
        <v>0</v>
      </c>
      <c r="Q2" s="386">
        <f>Cen!F381</f>
        <v>27.854489999999995</v>
      </c>
      <c r="R2" s="387">
        <f t="shared" ref="R2:R7" si="0">P2*Q2</f>
        <v>0</v>
      </c>
    </row>
    <row r="3" spans="5:18" ht="13.5" customHeight="1" thickBot="1" x14ac:dyDescent="0.3">
      <c r="H3" s="59" t="str">
        <f>List!$B$47&amp;" M"</f>
        <v>Vnitřní zásuvka M</v>
      </c>
      <c r="J3" s="150" t="str">
        <f>" "&amp;List!$B$4</f>
        <v xml:space="preserve"> Výběr zásuvek a výsuvů</v>
      </c>
      <c r="L3" s="477" t="str">
        <f>Cen!A382</f>
        <v>Sada BI1, 500 mm</v>
      </c>
      <c r="M3" s="477" t="str">
        <f>Cen!B382</f>
        <v>ZSI.500BI1N</v>
      </c>
      <c r="N3" s="477" t="str">
        <f>Cen!C382</f>
        <v>IG/G</v>
      </c>
      <c r="O3" s="477">
        <f>Cen!D382</f>
        <v>0</v>
      </c>
      <c r="P3" s="385">
        <f>$E$20</f>
        <v>0</v>
      </c>
      <c r="Q3" s="386">
        <f>Cen!F382</f>
        <v>33.880009999999999</v>
      </c>
      <c r="R3" s="387">
        <f t="shared" si="0"/>
        <v>0</v>
      </c>
    </row>
    <row r="4" spans="5:18" ht="13.5" customHeight="1" thickBot="1" x14ac:dyDescent="0.3">
      <c r="E4" s="7"/>
      <c r="F4" s="7"/>
      <c r="G4" s="7"/>
      <c r="H4" s="110" t="str">
        <f>List!$B$46&amp;" SPACE-CORNER M"</f>
        <v>Zásuvka SPACE-CORNER M</v>
      </c>
      <c r="J4" s="150" t="str">
        <f>" "&amp;List!$B$5</f>
        <v xml:space="preserve"> Výběr doplňků</v>
      </c>
      <c r="L4" s="477" t="str">
        <f>Cen!A383</f>
        <v>Sada BI1, 550 mm</v>
      </c>
      <c r="M4" s="477" t="str">
        <f>Cen!B383</f>
        <v>ZSI.550BI1N</v>
      </c>
      <c r="N4" s="477" t="str">
        <f>Cen!C383</f>
        <v>IG/G</v>
      </c>
      <c r="O4" s="477">
        <f>Cen!D383</f>
        <v>0</v>
      </c>
      <c r="P4" s="385">
        <f>$F$20</f>
        <v>0</v>
      </c>
      <c r="Q4" s="386">
        <f>Cen!F383</f>
        <v>36.572949999999999</v>
      </c>
      <c r="R4" s="387">
        <f t="shared" si="0"/>
        <v>0</v>
      </c>
    </row>
    <row r="5" spans="5:18" ht="13.5" customHeight="1" thickBot="1" x14ac:dyDescent="0.3">
      <c r="E5" s="181"/>
      <c r="F5" s="108" t="str">
        <f>List!$B$102&amp;" KB:"</f>
        <v>Šířka korpusu KB:</v>
      </c>
      <c r="G5" s="181"/>
      <c r="H5" s="108" t="s">
        <v>92</v>
      </c>
      <c r="J5" s="150" t="str">
        <f>" "&amp;List!$B$6</f>
        <v xml:space="preserve"> Výběr SERVO-DRIVE</v>
      </c>
      <c r="L5" s="477" t="str">
        <f>Cen!A384</f>
        <v>Sada BI1, 600 mm</v>
      </c>
      <c r="M5" s="477" t="str">
        <f>Cen!B384</f>
        <v>ZSI.600BI1N</v>
      </c>
      <c r="N5" s="477" t="str">
        <f>Cen!C384</f>
        <v>IG/G</v>
      </c>
      <c r="O5" s="477">
        <f>Cen!D384</f>
        <v>0</v>
      </c>
      <c r="P5" s="385">
        <f>$G$20</f>
        <v>0</v>
      </c>
      <c r="Q5" s="386">
        <f>Cen!F384</f>
        <v>42.864629999999998</v>
      </c>
      <c r="R5" s="387">
        <f t="shared" si="0"/>
        <v>0</v>
      </c>
    </row>
    <row r="6" spans="5:18" ht="13.5" customHeight="1" x14ac:dyDescent="0.25">
      <c r="E6" s="179"/>
      <c r="F6" s="180"/>
      <c r="G6" s="180"/>
      <c r="H6" s="180"/>
      <c r="J6" s="265" t="str">
        <f>" "&amp;List!$B$7</f>
        <v xml:space="preserve"> Výběr ORGA-LINE</v>
      </c>
      <c r="L6" s="477" t="str">
        <f>Cen!A385</f>
        <v>Sada BI1, 650 mm</v>
      </c>
      <c r="M6" s="477" t="str">
        <f>Cen!B385</f>
        <v>ZSI.650BI1N</v>
      </c>
      <c r="N6" s="477" t="str">
        <f>Cen!C385</f>
        <v>IG/G</v>
      </c>
      <c r="O6" s="477">
        <f>Cen!D385</f>
        <v>0</v>
      </c>
      <c r="P6" s="385">
        <f>$H$20</f>
        <v>0</v>
      </c>
      <c r="Q6" s="386">
        <f>Cen!F385</f>
        <v>49.022210000000001</v>
      </c>
      <c r="R6" s="387">
        <f t="shared" si="0"/>
        <v>0</v>
      </c>
    </row>
    <row r="7" spans="5:18" ht="13.5" customHeight="1" x14ac:dyDescent="0.25">
      <c r="E7" s="179"/>
      <c r="F7" s="180"/>
      <c r="G7" s="180"/>
      <c r="H7" s="180"/>
      <c r="L7" s="477" t="str">
        <f>Cen!A409</f>
        <v>Sada FI1, 450mm</v>
      </c>
      <c r="M7" s="477" t="str">
        <f>Cen!B409</f>
        <v>ZSI.450FI1</v>
      </c>
      <c r="N7" s="477" t="str">
        <f>Cen!C409</f>
        <v>IG/G</v>
      </c>
      <c r="O7" s="477">
        <f>Cen!D386</f>
        <v>0</v>
      </c>
      <c r="P7" s="385">
        <f>$D$21</f>
        <v>0</v>
      </c>
      <c r="Q7" s="386">
        <f>Cen!F409</f>
        <v>24.164940000000001</v>
      </c>
      <c r="R7" s="387">
        <f t="shared" si="0"/>
        <v>0</v>
      </c>
    </row>
    <row r="8" spans="5:18" ht="13.5" customHeight="1" thickBot="1" x14ac:dyDescent="0.3">
      <c r="E8" s="179"/>
      <c r="F8" s="180"/>
      <c r="G8" s="180"/>
      <c r="H8" s="180"/>
      <c r="J8" s="2" t="str">
        <f>List!$B$12&amp;":"</f>
        <v>Pokračovat na:</v>
      </c>
      <c r="L8" s="477" t="str">
        <f>Cen!A410</f>
        <v>Sada FI1, 500mm</v>
      </c>
      <c r="M8" s="477" t="str">
        <f>Cen!B410</f>
        <v>ZSI.500FI1</v>
      </c>
      <c r="N8" s="477" t="str">
        <f>Cen!C410</f>
        <v>IG/G</v>
      </c>
      <c r="O8" s="477">
        <f>Cen!D387</f>
        <v>0</v>
      </c>
      <c r="P8" s="385">
        <f>$E$21</f>
        <v>0</v>
      </c>
      <c r="Q8" s="386">
        <f>Cen!F410</f>
        <v>26.362890000000004</v>
      </c>
      <c r="R8" s="387">
        <f t="shared" ref="R8:R18" si="1">P8*Q8</f>
        <v>0</v>
      </c>
    </row>
    <row r="9" spans="5:18" ht="13.5" customHeight="1" thickBot="1" x14ac:dyDescent="0.3">
      <c r="E9" s="179"/>
      <c r="F9" s="180"/>
      <c r="G9" s="180"/>
      <c r="H9" s="180"/>
      <c r="J9" s="150" t="str">
        <f>" "&amp;List!$B$18</f>
        <v xml:space="preserve"> Souhrn</v>
      </c>
      <c r="L9" s="477" t="str">
        <f>Cen!A411</f>
        <v>Sada FI1, 550mm</v>
      </c>
      <c r="M9" s="477" t="str">
        <f>Cen!B411</f>
        <v>ZSI.550FI1</v>
      </c>
      <c r="N9" s="477" t="str">
        <f>Cen!C411</f>
        <v>IG/G</v>
      </c>
      <c r="O9" s="477">
        <f>Cen!D388</f>
        <v>0</v>
      </c>
      <c r="P9" s="385">
        <f>$F$21</f>
        <v>0</v>
      </c>
      <c r="Q9" s="386">
        <f>Cen!F411</f>
        <v>33.237119999999997</v>
      </c>
      <c r="R9" s="387">
        <f t="shared" si="1"/>
        <v>0</v>
      </c>
    </row>
    <row r="10" spans="5:18" ht="13.5" customHeight="1" x14ac:dyDescent="0.25">
      <c r="E10" s="179"/>
      <c r="F10" s="180"/>
      <c r="G10" s="180"/>
      <c r="H10" s="180"/>
      <c r="J10" s="150" t="str">
        <f>" "&amp;List!$B$20</f>
        <v xml:space="preserve"> Objednávka</v>
      </c>
      <c r="L10" s="477" t="str">
        <f>Cen!A412</f>
        <v>Sada FI1, 600mm</v>
      </c>
      <c r="M10" s="477" t="str">
        <f>Cen!B412</f>
        <v>ZSI.600FI1</v>
      </c>
      <c r="N10" s="477" t="str">
        <f>Cen!C412</f>
        <v>IG/G</v>
      </c>
      <c r="O10" s="477">
        <f>Cen!D389</f>
        <v>0</v>
      </c>
      <c r="P10" s="385">
        <f>$G$21</f>
        <v>0</v>
      </c>
      <c r="Q10" s="386">
        <f>Cen!F412</f>
        <v>0</v>
      </c>
      <c r="R10" s="387">
        <f t="shared" si="1"/>
        <v>0</v>
      </c>
    </row>
    <row r="11" spans="5:18" ht="13.5" customHeight="1" x14ac:dyDescent="0.25">
      <c r="E11" s="180"/>
      <c r="F11" s="180"/>
      <c r="G11" s="180"/>
      <c r="H11" s="180"/>
      <c r="L11" s="477" t="str">
        <f>Cen!A413</f>
        <v>Sada FI1, 650mm</v>
      </c>
      <c r="M11" s="477" t="str">
        <f>Cen!B413</f>
        <v>ZSI.650FI1</v>
      </c>
      <c r="N11" s="477" t="str">
        <f>Cen!C413</f>
        <v>IG/G</v>
      </c>
      <c r="O11" s="477">
        <f>Cen!D390</f>
        <v>0</v>
      </c>
      <c r="P11" s="385">
        <f>$H$21</f>
        <v>0</v>
      </c>
      <c r="Q11" s="386">
        <f>Cen!F413</f>
        <v>48.270380000000003</v>
      </c>
      <c r="R11" s="387">
        <f t="shared" si="1"/>
        <v>0</v>
      </c>
    </row>
    <row r="12" spans="5:18" ht="13.5" customHeight="1" x14ac:dyDescent="0.25">
      <c r="E12" s="180"/>
      <c r="F12" s="180"/>
      <c r="G12" s="180"/>
      <c r="H12" s="180"/>
      <c r="L12" s="477" t="str">
        <f>Cen!A414</f>
        <v>Sada FI2, 450mm</v>
      </c>
      <c r="M12" s="477" t="str">
        <f>Cen!B414</f>
        <v>ZSI.450FI2N</v>
      </c>
      <c r="N12" s="477" t="str">
        <f>Cen!C414</f>
        <v>IG/G</v>
      </c>
      <c r="O12" s="477">
        <f>Cen!D391</f>
        <v>0</v>
      </c>
      <c r="P12" s="385">
        <f>$D$22</f>
        <v>0</v>
      </c>
      <c r="Q12" s="386">
        <f>Cen!F414</f>
        <v>25.19913</v>
      </c>
      <c r="R12" s="387">
        <f t="shared" si="1"/>
        <v>0</v>
      </c>
    </row>
    <row r="13" spans="5:18" ht="13.5" customHeight="1" x14ac:dyDescent="0.25">
      <c r="E13" s="180"/>
      <c r="F13" s="180"/>
      <c r="G13" s="180"/>
      <c r="H13" s="180"/>
      <c r="L13" s="477" t="str">
        <f>Cen!A415</f>
        <v>Sada FI2, 500mm</v>
      </c>
      <c r="M13" s="477" t="str">
        <f>Cen!B415</f>
        <v>ZSI.500FI2N</v>
      </c>
      <c r="N13" s="477" t="str">
        <f>Cen!C415</f>
        <v>IG/G</v>
      </c>
      <c r="O13" s="477">
        <f>Cen!D392</f>
        <v>0</v>
      </c>
      <c r="P13" s="385">
        <f>$E$22</f>
        <v>0</v>
      </c>
      <c r="Q13" s="386">
        <f>Cen!F415</f>
        <v>27.397280000000002</v>
      </c>
      <c r="R13" s="387">
        <f t="shared" si="1"/>
        <v>0</v>
      </c>
    </row>
    <row r="14" spans="5:18" ht="13.5" customHeight="1" x14ac:dyDescent="0.25">
      <c r="E14" s="180"/>
      <c r="F14" s="180"/>
      <c r="G14" s="180"/>
      <c r="H14" s="180"/>
      <c r="J14" s="192" t="str">
        <f>" "&amp;List!$B$25</f>
        <v xml:space="preserve"> Informace k objednávání</v>
      </c>
      <c r="L14" s="477" t="str">
        <f>Cen!A416</f>
        <v>Sada FI2, 550mm</v>
      </c>
      <c r="M14" s="477" t="str">
        <f>Cen!B416</f>
        <v>ZSI.550FI2N</v>
      </c>
      <c r="N14" s="477" t="str">
        <f>Cen!C416</f>
        <v>IG/G</v>
      </c>
      <c r="O14" s="477">
        <f>Cen!D393</f>
        <v>0</v>
      </c>
      <c r="P14" s="385">
        <f>$F$22</f>
        <v>0</v>
      </c>
      <c r="Q14" s="386">
        <f>Cen!F416</f>
        <v>34.27149</v>
      </c>
      <c r="R14" s="387">
        <f t="shared" si="1"/>
        <v>0</v>
      </c>
    </row>
    <row r="15" spans="5:18" ht="13.5" customHeight="1" x14ac:dyDescent="0.25">
      <c r="E15" s="180"/>
      <c r="F15" s="180"/>
      <c r="G15" s="180"/>
      <c r="H15" s="180"/>
      <c r="L15" s="477" t="str">
        <f>Cen!A417</f>
        <v>Sada FI2, 600mm</v>
      </c>
      <c r="M15" s="477" t="str">
        <f>Cen!B417</f>
        <v>ZSI.600FI2N</v>
      </c>
      <c r="N15" s="477" t="str">
        <f>Cen!C417</f>
        <v>IG/G</v>
      </c>
      <c r="O15" s="477">
        <f>Cen!D394</f>
        <v>0</v>
      </c>
      <c r="P15" s="385">
        <f>$G$22</f>
        <v>0</v>
      </c>
      <c r="Q15" s="386">
        <f>Cen!F417</f>
        <v>41.475479999999997</v>
      </c>
      <c r="R15" s="387">
        <f t="shared" si="1"/>
        <v>0</v>
      </c>
    </row>
    <row r="16" spans="5:18" ht="13.5" customHeight="1" x14ac:dyDescent="0.25">
      <c r="E16" s="180"/>
      <c r="F16" s="180"/>
      <c r="G16" s="180"/>
      <c r="H16" s="180"/>
      <c r="L16" s="477" t="str">
        <f>Cen!A418</f>
        <v>Sada FI2, 650mm</v>
      </c>
      <c r="M16" s="477" t="str">
        <f>Cen!B418</f>
        <v>ZSI.650FI2N</v>
      </c>
      <c r="N16" s="477" t="str">
        <f>Cen!C418</f>
        <v>IG/G</v>
      </c>
      <c r="O16" s="477">
        <f>Cen!D395</f>
        <v>0</v>
      </c>
      <c r="P16" s="385">
        <f>$H$22</f>
        <v>0</v>
      </c>
      <c r="Q16" s="386">
        <f>Cen!F418</f>
        <v>43.17924</v>
      </c>
      <c r="R16" s="387">
        <f t="shared" si="1"/>
        <v>0</v>
      </c>
    </row>
    <row r="17" spans="2:18" ht="13.5" customHeight="1" x14ac:dyDescent="0.25">
      <c r="E17" s="180"/>
      <c r="F17" s="180"/>
      <c r="G17" s="180"/>
      <c r="H17" s="180"/>
      <c r="L17" s="477" t="str">
        <f>Cen!A419</f>
        <v>Sada FI3, 450mm</v>
      </c>
      <c r="M17" s="477" t="str">
        <f>Cen!B419</f>
        <v>ZSI.450FI3</v>
      </c>
      <c r="N17" s="477" t="str">
        <f>Cen!C419</f>
        <v>IG/G</v>
      </c>
      <c r="O17" s="477" t="str">
        <f>Cen!D396</f>
        <v>!</v>
      </c>
      <c r="P17" s="385">
        <f>$D$21</f>
        <v>0</v>
      </c>
      <c r="Q17" s="386">
        <f>Cen!F419</f>
        <v>36.719320000000003</v>
      </c>
      <c r="R17" s="387">
        <f t="shared" si="1"/>
        <v>0</v>
      </c>
    </row>
    <row r="18" spans="2:18" ht="13.5" customHeight="1" x14ac:dyDescent="0.25">
      <c r="E18" s="180"/>
      <c r="F18" s="180"/>
      <c r="G18" s="180"/>
      <c r="H18" s="180"/>
      <c r="L18" s="477" t="str">
        <f>Cen!A420</f>
        <v>Sada FI3, 500mm</v>
      </c>
      <c r="M18" s="477" t="str">
        <f>Cen!B420</f>
        <v>ZSI.500FI3</v>
      </c>
      <c r="N18" s="477" t="str">
        <f>Cen!C420</f>
        <v>IG/G</v>
      </c>
      <c r="O18" s="477">
        <f>Cen!D397</f>
        <v>0</v>
      </c>
      <c r="P18" s="385">
        <f>$E$23</f>
        <v>0</v>
      </c>
      <c r="Q18" s="386">
        <f>Cen!F420</f>
        <v>40.01641</v>
      </c>
      <c r="R18" s="387">
        <f t="shared" si="1"/>
        <v>0</v>
      </c>
    </row>
    <row r="19" spans="2:18" ht="13.5" customHeight="1" x14ac:dyDescent="0.3">
      <c r="C19" s="59" t="str">
        <f>List!$B$45&amp;":"</f>
        <v>Jmenovitá délka:</v>
      </c>
      <c r="D19" s="287" t="s">
        <v>246</v>
      </c>
      <c r="E19" s="288" t="s">
        <v>825</v>
      </c>
      <c r="F19" s="287" t="s">
        <v>826</v>
      </c>
      <c r="G19" s="289" t="s">
        <v>247</v>
      </c>
      <c r="H19" s="289" t="s">
        <v>827</v>
      </c>
      <c r="L19" s="477" t="str">
        <f>Cen!A421</f>
        <v>Sada FI3, 550mm</v>
      </c>
      <c r="M19" s="477" t="str">
        <f>Cen!B421</f>
        <v>ZSI.550FI3</v>
      </c>
      <c r="N19" s="477" t="str">
        <f>Cen!C421</f>
        <v>IG/G</v>
      </c>
      <c r="O19" s="477">
        <f>Cen!D398</f>
        <v>0</v>
      </c>
      <c r="P19" s="385">
        <f>$F$23</f>
        <v>0</v>
      </c>
      <c r="Q19" s="386">
        <f>Cen!F421</f>
        <v>50.327669999999998</v>
      </c>
      <c r="R19" s="387">
        <f t="shared" ref="R19:R21" si="2">P19*Q19</f>
        <v>0</v>
      </c>
    </row>
    <row r="20" spans="2:18" ht="15" customHeight="1" x14ac:dyDescent="0.3">
      <c r="B20" s="446" t="str">
        <f>List!$B$186&amp;" BI1"</f>
        <v>Sada BI1</v>
      </c>
      <c r="C20" s="447" t="s">
        <v>1355</v>
      </c>
      <c r="D20" s="448"/>
      <c r="E20" s="449"/>
      <c r="F20" s="449"/>
      <c r="G20" s="450"/>
      <c r="H20" s="450"/>
      <c r="J20" s="2" t="str">
        <f>"         "&amp;List!$B$167</f>
        <v xml:space="preserve">         Drobné předměty</v>
      </c>
      <c r="L20" s="477" t="str">
        <f>Cen!A422</f>
        <v>Sada FI3, 600mm</v>
      </c>
      <c r="M20" s="477" t="str">
        <f>Cen!B422</f>
        <v>ZSI.600FI3</v>
      </c>
      <c r="N20" s="477" t="str">
        <f>Cen!C422</f>
        <v>IG/G</v>
      </c>
      <c r="O20" s="477">
        <f>Cen!D399</f>
        <v>0</v>
      </c>
      <c r="P20" s="385">
        <f>$G$23</f>
        <v>0</v>
      </c>
      <c r="Q20" s="386">
        <f>Cen!F422</f>
        <v>57.414740000000002</v>
      </c>
      <c r="R20" s="387">
        <f t="shared" si="2"/>
        <v>0</v>
      </c>
    </row>
    <row r="21" spans="2:18" ht="15" customHeight="1" x14ac:dyDescent="0.3">
      <c r="B21" s="446" t="str">
        <f>List!$B$186&amp;" FI1"</f>
        <v>Sada FI1</v>
      </c>
      <c r="C21" s="451" t="s">
        <v>1363</v>
      </c>
      <c r="D21" s="452"/>
      <c r="E21" s="453"/>
      <c r="F21" s="453"/>
      <c r="G21" s="454"/>
      <c r="H21" s="454"/>
      <c r="L21" s="477" t="str">
        <f>Cen!A423</f>
        <v>Sada FI3, 650mm</v>
      </c>
      <c r="M21" s="477" t="str">
        <f>Cen!B423</f>
        <v>ZSI.650FI3</v>
      </c>
      <c r="N21" s="477" t="str">
        <f>Cen!C423</f>
        <v>IG/G</v>
      </c>
      <c r="O21" s="477">
        <f>Cen!D400</f>
        <v>0</v>
      </c>
      <c r="P21" s="385">
        <f>$H$23</f>
        <v>0</v>
      </c>
      <c r="Q21" s="386">
        <f>Cen!F423</f>
        <v>74.162480000000002</v>
      </c>
      <c r="R21" s="387">
        <f t="shared" si="2"/>
        <v>0</v>
      </c>
    </row>
    <row r="22" spans="2:18" ht="15" customHeight="1" x14ac:dyDescent="0.3">
      <c r="B22" s="446" t="str">
        <f>List!$B$186&amp;" FI2 *"</f>
        <v>Sada FI2 *</v>
      </c>
      <c r="C22" s="451" t="s">
        <v>1364</v>
      </c>
      <c r="D22" s="452"/>
      <c r="E22" s="453"/>
      <c r="F22" s="453"/>
      <c r="G22" s="454"/>
      <c r="H22" s="454"/>
      <c r="J22" s="2" t="str">
        <f>"         "&amp;List!$B$168</f>
        <v xml:space="preserve">         Pracovní příbory, náčiní, nože</v>
      </c>
      <c r="L22" s="477" t="str">
        <f>Cen!A424</f>
        <v>Sada pro korpus KB 600mm, NL 450mm</v>
      </c>
      <c r="M22" s="477" t="str">
        <f>Cen!B424</f>
        <v>ZSI.60VUI4</v>
      </c>
      <c r="N22" s="477" t="str">
        <f>Cen!C424</f>
        <v>IG/G</v>
      </c>
      <c r="O22" s="477">
        <f>Cen!D401</f>
        <v>0</v>
      </c>
      <c r="P22" s="385">
        <f>$D$24</f>
        <v>0</v>
      </c>
      <c r="Q22" s="386">
        <f>Cen!F424</f>
        <v>71.217339999999993</v>
      </c>
      <c r="R22" s="387">
        <f t="shared" ref="R22" si="3">P22*Q22</f>
        <v>0</v>
      </c>
    </row>
    <row r="23" spans="2:18" ht="15" customHeight="1" x14ac:dyDescent="0.3">
      <c r="B23" s="446" t="str">
        <f>List!$B$186&amp;" FI3 *"</f>
        <v>Sada FI3 *</v>
      </c>
      <c r="C23" s="451" t="s">
        <v>1365</v>
      </c>
      <c r="D23" s="452"/>
      <c r="E23" s="453"/>
      <c r="F23" s="453"/>
      <c r="G23" s="454"/>
      <c r="H23" s="454"/>
      <c r="J23" s="2" t="str">
        <f>"         "&amp;List!$B$169</f>
        <v xml:space="preserve">         Řezáky na fólie</v>
      </c>
      <c r="L23" s="477" t="str">
        <f>Cen!A425</f>
        <v>Sada pro korpus KB 600mm, NL 500mm</v>
      </c>
      <c r="M23" s="477" t="str">
        <f>Cen!B425</f>
        <v>ZSI.60VUI6</v>
      </c>
      <c r="N23" s="477" t="str">
        <f>Cen!C425</f>
        <v>IG/G</v>
      </c>
      <c r="O23" s="477">
        <f>Cen!D402</f>
        <v>0</v>
      </c>
      <c r="P23" s="385">
        <f>$E$24</f>
        <v>0</v>
      </c>
      <c r="Q23" s="386">
        <f>Cen!F425</f>
        <v>84.367519999999999</v>
      </c>
      <c r="R23" s="387">
        <f t="shared" ref="R23:R27" si="4">P23*Q23</f>
        <v>0</v>
      </c>
    </row>
    <row r="24" spans="2:18" ht="15" customHeight="1" x14ac:dyDescent="0.3">
      <c r="B24" s="446" t="s">
        <v>1378</v>
      </c>
      <c r="C24" s="451" t="s">
        <v>1366</v>
      </c>
      <c r="D24" s="452"/>
      <c r="E24" s="453"/>
      <c r="F24" s="453"/>
      <c r="L24" s="477" t="str">
        <f>Cen!A426</f>
        <v>Sada pro korpus KB 600mm, NL 550mm</v>
      </c>
      <c r="M24" s="477" t="str">
        <f>Cen!B426</f>
        <v>ZSI.60VUI7</v>
      </c>
      <c r="N24" s="477" t="str">
        <f>Cen!C426</f>
        <v>IG/G</v>
      </c>
      <c r="O24" s="477">
        <f>Cen!D403</f>
        <v>0</v>
      </c>
      <c r="P24" s="385">
        <f>$F$24</f>
        <v>0</v>
      </c>
      <c r="Q24" s="386">
        <f>Cen!F426</f>
        <v>101.39028</v>
      </c>
      <c r="R24" s="387">
        <f t="shared" si="4"/>
        <v>0</v>
      </c>
    </row>
    <row r="25" spans="2:18" ht="15" customHeight="1" x14ac:dyDescent="0.3">
      <c r="B25" s="446" t="s">
        <v>1379</v>
      </c>
      <c r="C25" s="451" t="s">
        <v>1367</v>
      </c>
      <c r="D25" s="452"/>
      <c r="E25" s="453"/>
      <c r="F25" s="453"/>
      <c r="J25" s="2" t="str">
        <f>"         "&amp;List!$B$170</f>
        <v xml:space="preserve">         Pracovní náčiní</v>
      </c>
      <c r="L25" s="477" t="str">
        <f>Cen!A427</f>
        <v>Sada pro korpus KB 900mm, NL 450 mm</v>
      </c>
      <c r="M25" s="477" t="str">
        <f>Cen!B427</f>
        <v>ZSI.90VUI4</v>
      </c>
      <c r="N25" s="477" t="str">
        <f>Cen!C427</f>
        <v>IG/G</v>
      </c>
      <c r="O25" s="477">
        <f>Cen!D404</f>
        <v>0</v>
      </c>
      <c r="P25" s="385">
        <f>$D$25</f>
        <v>0</v>
      </c>
      <c r="Q25" s="386">
        <f>Cen!F427</f>
        <v>100.48037000000001</v>
      </c>
      <c r="R25" s="387">
        <f t="shared" si="4"/>
        <v>0</v>
      </c>
    </row>
    <row r="26" spans="2:18" ht="15" customHeight="1" x14ac:dyDescent="0.3">
      <c r="B26" s="446" t="s">
        <v>1380</v>
      </c>
      <c r="C26" s="451" t="s">
        <v>1368</v>
      </c>
      <c r="D26" s="452"/>
      <c r="E26" s="453"/>
      <c r="F26" s="453"/>
      <c r="L26" s="477" t="str">
        <f>Cen!A428</f>
        <v>Sada pro korpus KB 900mm, NL 500 mm</v>
      </c>
      <c r="M26" s="477" t="str">
        <f>Cen!B428</f>
        <v>ZSI.90VUI6</v>
      </c>
      <c r="N26" s="477" t="str">
        <f>Cen!C428</f>
        <v>IG/G</v>
      </c>
      <c r="O26" s="477">
        <f>Cen!D405</f>
        <v>0</v>
      </c>
      <c r="P26" s="385">
        <f>$E$25</f>
        <v>0</v>
      </c>
      <c r="Q26" s="386">
        <f>Cen!F428</f>
        <v>98.289760000000001</v>
      </c>
      <c r="R26" s="387">
        <f t="shared" si="4"/>
        <v>0</v>
      </c>
    </row>
    <row r="27" spans="2:18" ht="15" customHeight="1" x14ac:dyDescent="0.3">
      <c r="B27" s="446" t="str">
        <f>List!$B$186&amp;" KI2"</f>
        <v>Sada KI2</v>
      </c>
      <c r="C27" s="455" t="s">
        <v>1369</v>
      </c>
      <c r="D27" s="456"/>
      <c r="E27" s="457"/>
      <c r="F27" s="457"/>
      <c r="G27" s="458"/>
      <c r="H27" s="458"/>
      <c r="L27" s="477" t="str">
        <f>Cen!A429</f>
        <v>Sada pro korpus KB 900mm, NL 550 mm</v>
      </c>
      <c r="M27" s="477" t="str">
        <f>Cen!B429</f>
        <v>ZSI.90VUI7</v>
      </c>
      <c r="N27" s="477" t="str">
        <f>Cen!C429</f>
        <v>IG/G</v>
      </c>
      <c r="O27" s="477">
        <f>Cen!D406</f>
        <v>0</v>
      </c>
      <c r="P27" s="385">
        <f>$F$25</f>
        <v>0</v>
      </c>
      <c r="Q27" s="386">
        <f>Cen!F429</f>
        <v>113.6379</v>
      </c>
      <c r="R27" s="387">
        <f t="shared" si="4"/>
        <v>0</v>
      </c>
    </row>
    <row r="28" spans="2:18" ht="15" customHeight="1" x14ac:dyDescent="0.3">
      <c r="B28" s="446" t="str">
        <f>List!$B$186&amp;" KI3"</f>
        <v>Sada KI3</v>
      </c>
      <c r="C28" s="455" t="s">
        <v>1370</v>
      </c>
      <c r="D28" s="456"/>
      <c r="E28" s="457"/>
      <c r="F28" s="457"/>
      <c r="G28" s="458"/>
      <c r="H28" s="458"/>
      <c r="L28" s="477" t="str">
        <f>Cen!A430</f>
        <v>Sada pro korpus KB 1200mm, NL 450mm</v>
      </c>
      <c r="M28" s="477" t="str">
        <f>Cen!B430</f>
        <v>ZSI.12VUI4</v>
      </c>
      <c r="N28" s="477" t="str">
        <f>Cen!C430</f>
        <v>IG/G</v>
      </c>
      <c r="O28" s="477">
        <f>Cen!D407</f>
        <v>0</v>
      </c>
      <c r="P28" s="385">
        <f>$D$26</f>
        <v>0</v>
      </c>
      <c r="Q28" s="386">
        <f>Cen!F430</f>
        <v>137.53487000000001</v>
      </c>
      <c r="R28" s="387">
        <f t="shared" ref="R28:R31" si="5">P28*Q28</f>
        <v>0</v>
      </c>
    </row>
    <row r="29" spans="2:18" ht="15" customHeight="1" x14ac:dyDescent="0.3">
      <c r="B29" s="446" t="str">
        <f>List!$B$186&amp;" MI3"</f>
        <v>Sada MI3</v>
      </c>
      <c r="C29" s="451" t="s">
        <v>1371</v>
      </c>
      <c r="D29" s="452"/>
      <c r="E29" s="453"/>
      <c r="F29" s="453"/>
      <c r="G29" s="454"/>
      <c r="H29" s="454"/>
      <c r="L29" s="477" t="str">
        <f>Cen!A431</f>
        <v>Sada pro korpus KB 1200mm, NL 500mm</v>
      </c>
      <c r="M29" s="477" t="str">
        <f>Cen!B431</f>
        <v>ZSI.12VUI6</v>
      </c>
      <c r="N29" s="477" t="str">
        <f>Cen!C431</f>
        <v>IG/G</v>
      </c>
      <c r="O29" s="477">
        <f>Cen!D408</f>
        <v>0</v>
      </c>
      <c r="P29" s="385">
        <f>$E$26</f>
        <v>0</v>
      </c>
      <c r="Q29" s="386">
        <f>Cen!F431</f>
        <v>139.91039000000001</v>
      </c>
      <c r="R29" s="387">
        <f t="shared" si="5"/>
        <v>0</v>
      </c>
    </row>
    <row r="30" spans="2:18" ht="15" customHeight="1" x14ac:dyDescent="0.3">
      <c r="B30" s="193" t="str">
        <f>List!$B$21&amp;":"</f>
        <v>Doplňky:</v>
      </c>
      <c r="D30" s="196" t="str">
        <f>List!$B$90&amp;":"</f>
        <v>Počet:</v>
      </c>
      <c r="E30" s="180"/>
      <c r="F30" s="180"/>
      <c r="G30" s="180"/>
      <c r="H30" s="180"/>
      <c r="L30" s="477" t="str">
        <f>Cen!A432</f>
        <v>Sada pro korpus KB 1200mm, NL 550mm</v>
      </c>
      <c r="M30" s="477" t="str">
        <f>Cen!B432</f>
        <v>ZSI.12VUI7</v>
      </c>
      <c r="N30" s="477" t="str">
        <f>Cen!C432</f>
        <v>IG/G</v>
      </c>
      <c r="O30" s="477">
        <f>Cen!D409</f>
        <v>0</v>
      </c>
      <c r="P30" s="385">
        <f>$F$26</f>
        <v>0</v>
      </c>
      <c r="Q30" s="386">
        <f>Cen!F432</f>
        <v>170.68159</v>
      </c>
      <c r="R30" s="387">
        <f t="shared" si="5"/>
        <v>0</v>
      </c>
    </row>
    <row r="31" spans="2:18" ht="15" customHeight="1" x14ac:dyDescent="0.3">
      <c r="B31" s="446" t="str">
        <f>Cen!A545</f>
        <v>Držák nožů</v>
      </c>
      <c r="C31" s="455" t="str">
        <f>Cen!B545</f>
        <v>ZSZ.02M0</v>
      </c>
      <c r="D31" s="456"/>
      <c r="E31" s="180"/>
      <c r="F31" s="180"/>
      <c r="G31" s="180"/>
      <c r="H31" s="180"/>
      <c r="L31" s="477" t="str">
        <f>Cen!A435</f>
        <v>Sada KI2, 450mm</v>
      </c>
      <c r="M31" s="477" t="str">
        <f>Cen!B435</f>
        <v>ZSI.450KI2N</v>
      </c>
      <c r="N31" s="477" t="str">
        <f>Cen!C435</f>
        <v>IG/G</v>
      </c>
      <c r="O31" s="477">
        <f>Cen!D410</f>
        <v>0</v>
      </c>
      <c r="P31" s="385">
        <f>$D$27</f>
        <v>0</v>
      </c>
      <c r="Q31" s="386">
        <f>Cen!F435</f>
        <v>40.821069999999999</v>
      </c>
      <c r="R31" s="387">
        <f t="shared" si="5"/>
        <v>0</v>
      </c>
    </row>
    <row r="32" spans="2:18" ht="15" customHeight="1" x14ac:dyDescent="0.3">
      <c r="B32" s="446" t="str">
        <f>Cen!A549</f>
        <v>Držák s řezákem na potravinové folie</v>
      </c>
      <c r="C32" s="455" t="str">
        <f>Cen!B549</f>
        <v>ZSZ.01F0</v>
      </c>
      <c r="D32" s="456"/>
      <c r="E32" s="180"/>
      <c r="F32" s="180"/>
      <c r="G32" s="180"/>
      <c r="H32" s="180"/>
      <c r="L32" s="477" t="str">
        <f>Cen!A436</f>
        <v>Sada KI2, 500mm</v>
      </c>
      <c r="M32" s="477" t="str">
        <f>Cen!B436</f>
        <v>ZSI.500KI2N</v>
      </c>
      <c r="N32" s="477" t="str">
        <f>Cen!C436</f>
        <v>IG/G</v>
      </c>
      <c r="O32" s="477">
        <f>Cen!D411</f>
        <v>0</v>
      </c>
      <c r="P32" s="385">
        <f>$E$27</f>
        <v>0</v>
      </c>
      <c r="Q32" s="386">
        <f>Cen!F436</f>
        <v>47.945549999999997</v>
      </c>
      <c r="R32" s="387">
        <f t="shared" ref="R32:R44" si="6">P32*Q32</f>
        <v>0</v>
      </c>
    </row>
    <row r="33" spans="2:18" ht="15" customHeight="1" x14ac:dyDescent="0.3">
      <c r="B33" s="446" t="str">
        <f>Cen!A550</f>
        <v>Držák s řezákem na alufolie</v>
      </c>
      <c r="C33" s="451" t="str">
        <f>Cen!B550</f>
        <v>ZSZ.02F0</v>
      </c>
      <c r="D33" s="452"/>
      <c r="E33" s="180"/>
      <c r="F33" s="180"/>
      <c r="G33" s="180"/>
      <c r="H33" s="180"/>
      <c r="L33" s="477" t="str">
        <f>Cen!A437</f>
        <v>Sada KI2, 550mm</v>
      </c>
      <c r="M33" s="477" t="str">
        <f>Cen!B437</f>
        <v>ZSI.550KI2N</v>
      </c>
      <c r="N33" s="477" t="str">
        <f>Cen!C437</f>
        <v>IG/G</v>
      </c>
      <c r="O33" s="477">
        <f>Cen!D412</f>
        <v>0</v>
      </c>
      <c r="P33" s="385">
        <f>$F$27</f>
        <v>0</v>
      </c>
      <c r="Q33" s="386">
        <f>Cen!F437</f>
        <v>58.175440000000002</v>
      </c>
      <c r="R33" s="387">
        <f t="shared" si="6"/>
        <v>0</v>
      </c>
    </row>
    <row r="34" spans="2:18" ht="13.5" customHeight="1" x14ac:dyDescent="0.25">
      <c r="L34" s="477" t="str">
        <f>Cen!A438</f>
        <v>Sada KI2, 600mm</v>
      </c>
      <c r="M34" s="477" t="str">
        <f>Cen!B438</f>
        <v>ZSI.600KI2N</v>
      </c>
      <c r="N34" s="477" t="str">
        <f>Cen!C438</f>
        <v>IG/G</v>
      </c>
      <c r="O34" s="477">
        <f>Cen!D413</f>
        <v>0</v>
      </c>
      <c r="P34" s="385">
        <f>$G$27</f>
        <v>0</v>
      </c>
      <c r="Q34" s="386">
        <f>Cen!F438</f>
        <v>62.848950000000002</v>
      </c>
      <c r="R34" s="387">
        <f t="shared" si="6"/>
        <v>0</v>
      </c>
    </row>
    <row r="35" spans="2:18" x14ac:dyDescent="0.25">
      <c r="L35" s="477" t="str">
        <f>Cen!A439</f>
        <v>Sada KI2, 650mm</v>
      </c>
      <c r="M35" s="477" t="str">
        <f>Cen!B439</f>
        <v>ZSI.650KI2N</v>
      </c>
      <c r="N35" s="477" t="str">
        <f>Cen!C439</f>
        <v>IG/G</v>
      </c>
      <c r="O35" s="477">
        <f>Cen!D414</f>
        <v>0</v>
      </c>
      <c r="P35" s="385">
        <f>$H$27</f>
        <v>0</v>
      </c>
      <c r="Q35" s="386">
        <f>Cen!F439</f>
        <v>72.097089999999994</v>
      </c>
      <c r="R35" s="387">
        <f t="shared" si="6"/>
        <v>0</v>
      </c>
    </row>
    <row r="36" spans="2:18" x14ac:dyDescent="0.25">
      <c r="B36" s="2" t="str">
        <f>"     * "&amp;List!$B$74&amp;" "&amp;"SPACE-CORNER"</f>
        <v xml:space="preserve">     * Vhodné pro SPACE-CORNER</v>
      </c>
      <c r="L36" s="477" t="str">
        <f>Cen!A440</f>
        <v>Sada KI3, 450mm</v>
      </c>
      <c r="M36" s="477" t="str">
        <f>Cen!B440</f>
        <v>ZSI.450KI3N</v>
      </c>
      <c r="N36" s="477" t="str">
        <f>Cen!C440</f>
        <v>IG/G</v>
      </c>
      <c r="O36" s="477">
        <f>Cen!D415</f>
        <v>0</v>
      </c>
      <c r="P36" s="385">
        <f>$D$28</f>
        <v>0</v>
      </c>
      <c r="Q36" s="386">
        <f>Cen!F440</f>
        <v>37.636150000000001</v>
      </c>
      <c r="R36" s="387">
        <f t="shared" si="6"/>
        <v>0</v>
      </c>
    </row>
    <row r="37" spans="2:18" x14ac:dyDescent="0.25">
      <c r="L37" s="477" t="str">
        <f>Cen!A441</f>
        <v>Sada KI3, 500mm</v>
      </c>
      <c r="M37" s="477" t="str">
        <f>Cen!B441</f>
        <v>ZSI.500KI3N</v>
      </c>
      <c r="N37" s="477" t="str">
        <f>Cen!C441</f>
        <v>IG/G</v>
      </c>
      <c r="O37" s="477">
        <f>Cen!D416</f>
        <v>0</v>
      </c>
      <c r="P37" s="385">
        <f>$E$28</f>
        <v>0</v>
      </c>
      <c r="Q37" s="386">
        <f>Cen!F441</f>
        <v>44.042470000000002</v>
      </c>
      <c r="R37" s="387">
        <f t="shared" si="6"/>
        <v>0</v>
      </c>
    </row>
    <row r="38" spans="2:18" x14ac:dyDescent="0.25">
      <c r="L38" s="477" t="str">
        <f>Cen!A442</f>
        <v>Sada KI3, 550mm</v>
      </c>
      <c r="M38" s="477" t="str">
        <f>Cen!B442</f>
        <v>ZSI.550KI3N</v>
      </c>
      <c r="N38" s="477" t="str">
        <f>Cen!C442</f>
        <v>IG/G</v>
      </c>
      <c r="O38" s="477">
        <f>Cen!D417</f>
        <v>0</v>
      </c>
      <c r="P38" s="385">
        <f>$F$28</f>
        <v>0</v>
      </c>
      <c r="Q38" s="386">
        <f>Cen!F442</f>
        <v>53.241340000000001</v>
      </c>
      <c r="R38" s="387">
        <f t="shared" si="6"/>
        <v>0</v>
      </c>
    </row>
    <row r="39" spans="2:18" x14ac:dyDescent="0.25">
      <c r="L39" s="477" t="str">
        <f>Cen!A443</f>
        <v>Sada KI3, 600mm</v>
      </c>
      <c r="M39" s="477" t="str">
        <f>Cen!B443</f>
        <v>ZSI.600KI3N</v>
      </c>
      <c r="N39" s="477" t="str">
        <f>Cen!C443</f>
        <v>IG/G</v>
      </c>
      <c r="O39" s="477">
        <f>Cen!D418</f>
        <v>0</v>
      </c>
      <c r="P39" s="385">
        <f>$G$28</f>
        <v>0</v>
      </c>
      <c r="Q39" s="386">
        <f>Cen!F443</f>
        <v>62.62357999999999</v>
      </c>
      <c r="R39" s="387">
        <f t="shared" si="6"/>
        <v>0</v>
      </c>
    </row>
    <row r="40" spans="2:18" x14ac:dyDescent="0.25">
      <c r="L40" s="477" t="str">
        <f>Cen!A444</f>
        <v>Sada KI3, 650mm</v>
      </c>
      <c r="M40" s="477" t="str">
        <f>Cen!B444</f>
        <v>ZSI.650KI3N</v>
      </c>
      <c r="N40" s="477" t="str">
        <f>Cen!C444</f>
        <v>IG/G</v>
      </c>
      <c r="O40" s="477">
        <f>Cen!D419</f>
        <v>0</v>
      </c>
      <c r="P40" s="385">
        <f>$H$28</f>
        <v>0</v>
      </c>
      <c r="Q40" s="386">
        <f>Cen!F444</f>
        <v>71.871709999999993</v>
      </c>
      <c r="R40" s="387">
        <f t="shared" si="6"/>
        <v>0</v>
      </c>
    </row>
    <row r="41" spans="2:18" x14ac:dyDescent="0.25">
      <c r="L41" s="477" t="str">
        <f>Cen!A450</f>
        <v>Sada MI3, 450mm</v>
      </c>
      <c r="M41" s="477" t="str">
        <f>Cen!B450</f>
        <v>ZSI.450MI2</v>
      </c>
      <c r="N41" s="477" t="str">
        <f>Cen!C450</f>
        <v>IG/G</v>
      </c>
      <c r="O41" s="477">
        <f>Cen!D425</f>
        <v>0</v>
      </c>
      <c r="P41" s="385">
        <f>$D$29</f>
        <v>0</v>
      </c>
      <c r="Q41" s="386">
        <f>Cen!F450</f>
        <v>65.108220000000003</v>
      </c>
      <c r="R41" s="387">
        <f t="shared" si="6"/>
        <v>0</v>
      </c>
    </row>
    <row r="42" spans="2:18" x14ac:dyDescent="0.25">
      <c r="L42" s="477" t="str">
        <f>Cen!A451</f>
        <v>Sada MI3, 500mm</v>
      </c>
      <c r="M42" s="477" t="str">
        <f>Cen!B451</f>
        <v>ZSI.500MI3</v>
      </c>
      <c r="N42" s="477" t="str">
        <f>Cen!C451</f>
        <v>IG/G</v>
      </c>
      <c r="O42" s="477">
        <f>Cen!D426</f>
        <v>0</v>
      </c>
      <c r="P42" s="385">
        <f>$E$29</f>
        <v>0</v>
      </c>
      <c r="Q42" s="386">
        <f>Cen!F451</f>
        <v>73.331860000000006</v>
      </c>
      <c r="R42" s="387">
        <f t="shared" si="6"/>
        <v>0</v>
      </c>
    </row>
    <row r="43" spans="2:18" x14ac:dyDescent="0.25">
      <c r="L43" s="477" t="str">
        <f>Cen!A452</f>
        <v>Sada MI3, 550mm</v>
      </c>
      <c r="M43" s="477" t="str">
        <f>Cen!B452</f>
        <v>ZSI.550MI3</v>
      </c>
      <c r="N43" s="477" t="str">
        <f>Cen!C452</f>
        <v>IG/G</v>
      </c>
      <c r="O43" s="477">
        <f>Cen!D427</f>
        <v>0</v>
      </c>
      <c r="P43" s="385">
        <f>$F$29</f>
        <v>0</v>
      </c>
      <c r="Q43" s="386">
        <f>Cen!F452</f>
        <v>78.229100000000003</v>
      </c>
      <c r="R43" s="387">
        <f t="shared" si="6"/>
        <v>0</v>
      </c>
    </row>
    <row r="44" spans="2:18" x14ac:dyDescent="0.25">
      <c r="L44" s="477" t="str">
        <f>Cen!A453</f>
        <v>Sada MI3, 600mm</v>
      </c>
      <c r="M44" s="477" t="str">
        <f>Cen!B453</f>
        <v>ZSI.600MI3</v>
      </c>
      <c r="N44" s="477" t="str">
        <f>Cen!C453</f>
        <v>IG/G</v>
      </c>
      <c r="O44" s="477">
        <f>Cen!D428</f>
        <v>0</v>
      </c>
      <c r="P44" s="385">
        <f>$G$29</f>
        <v>0</v>
      </c>
      <c r="Q44" s="386">
        <f>Cen!F453</f>
        <v>90.702070000000006</v>
      </c>
      <c r="R44" s="387">
        <f t="shared" si="6"/>
        <v>0</v>
      </c>
    </row>
    <row r="45" spans="2:18" x14ac:dyDescent="0.25">
      <c r="L45" s="477" t="str">
        <f>Cen!A454</f>
        <v>Sada MI3, 650mm</v>
      </c>
      <c r="M45" s="477" t="str">
        <f>Cen!B454</f>
        <v>ZSI.650MI3</v>
      </c>
      <c r="N45" s="477" t="str">
        <f>Cen!C454</f>
        <v>IG/G</v>
      </c>
      <c r="O45" s="477">
        <f>Cen!D429</f>
        <v>0</v>
      </c>
      <c r="P45" s="385">
        <f>$H$29</f>
        <v>0</v>
      </c>
      <c r="Q45" s="386">
        <f>Cen!F454</f>
        <v>103.04093</v>
      </c>
      <c r="R45" s="387">
        <f t="shared" ref="R45" si="7">P45*Q45</f>
        <v>0</v>
      </c>
    </row>
    <row r="46" spans="2:18" x14ac:dyDescent="0.25">
      <c r="L46" s="477"/>
      <c r="M46" s="477"/>
      <c r="N46" s="477"/>
      <c r="O46" s="477"/>
      <c r="P46" s="385"/>
      <c r="Q46" s="386"/>
      <c r="R46" s="387"/>
    </row>
    <row r="47" spans="2:18" x14ac:dyDescent="0.25">
      <c r="L47" s="477" t="str">
        <f>Cen!A545</f>
        <v>Držák nožů</v>
      </c>
      <c r="M47" s="477" t="str">
        <f>Cen!B545</f>
        <v>ZSZ.02M0</v>
      </c>
      <c r="N47" s="477" t="str">
        <f>Cen!C545</f>
        <v>IG/G</v>
      </c>
      <c r="O47" s="477">
        <f>Cen!D545</f>
        <v>0</v>
      </c>
      <c r="P47" s="385">
        <f>$D$31</f>
        <v>0</v>
      </c>
      <c r="Q47" s="386">
        <f>Cen!F545</f>
        <v>23.186489999999999</v>
      </c>
      <c r="R47" s="387">
        <f t="shared" ref="R47" si="8">P47*Q47</f>
        <v>0</v>
      </c>
    </row>
    <row r="48" spans="2:18" x14ac:dyDescent="0.25">
      <c r="L48" s="477" t="str">
        <f>Cen!A549</f>
        <v>Držák s řezákem na potravinové folie</v>
      </c>
      <c r="M48" s="477" t="str">
        <f>Cen!B549</f>
        <v>ZSZ.01F0</v>
      </c>
      <c r="N48" s="477" t="str">
        <f>Cen!C549</f>
        <v>STW/G</v>
      </c>
      <c r="O48" s="477">
        <f>Cen!D549</f>
        <v>0</v>
      </c>
      <c r="P48" s="385">
        <f>$D$32</f>
        <v>0</v>
      </c>
      <c r="Q48" s="386">
        <f>Cen!F549</f>
        <v>37.472929999999998</v>
      </c>
      <c r="R48" s="387">
        <f t="shared" ref="R48" si="9">P48*Q48</f>
        <v>0</v>
      </c>
    </row>
    <row r="49" spans="12:18" x14ac:dyDescent="0.25">
      <c r="L49" s="477" t="str">
        <f>Cen!A550</f>
        <v>Držák s řezákem na alufolie</v>
      </c>
      <c r="M49" s="477" t="str">
        <f>Cen!B550</f>
        <v>ZSZ.02F0</v>
      </c>
      <c r="N49" s="477" t="str">
        <f>Cen!C550</f>
        <v>ST/O</v>
      </c>
      <c r="O49" s="477">
        <f>Cen!D550</f>
        <v>0</v>
      </c>
      <c r="P49" s="385">
        <f>$D$33</f>
        <v>0</v>
      </c>
      <c r="Q49" s="386">
        <f>Cen!F550</f>
        <v>35.130920000000003</v>
      </c>
      <c r="R49" s="387">
        <f t="shared" ref="R49" si="10">P49*Q49</f>
        <v>0</v>
      </c>
    </row>
    <row r="51" spans="12:18" x14ac:dyDescent="0.25">
      <c r="R51" s="436">
        <f>SUM(R2:R50)</f>
        <v>0</v>
      </c>
    </row>
    <row r="97" spans="1:12" x14ac:dyDescent="0.25">
      <c r="A97" s="577"/>
    </row>
    <row r="98" spans="1:12" x14ac:dyDescent="0.25">
      <c r="A98" s="577"/>
      <c r="K98" s="624" t="str">
        <f>List!$B$99</f>
        <v>Zpět</v>
      </c>
      <c r="L98" s="624"/>
    </row>
    <row r="99" spans="1:12" x14ac:dyDescent="0.25">
      <c r="A99" s="577"/>
    </row>
    <row r="100" spans="1:12" x14ac:dyDescent="0.25">
      <c r="A100" s="577"/>
    </row>
    <row r="101" spans="1:12" x14ac:dyDescent="0.25">
      <c r="A101" s="577"/>
    </row>
    <row r="102" spans="1:12" x14ac:dyDescent="0.25">
      <c r="A102" s="577"/>
    </row>
    <row r="103" spans="1:12" x14ac:dyDescent="0.25">
      <c r="A103" s="577"/>
    </row>
    <row r="104" spans="1:12" x14ac:dyDescent="0.25">
      <c r="A104" s="577"/>
    </row>
    <row r="105" spans="1:12" x14ac:dyDescent="0.25">
      <c r="A105" s="577"/>
    </row>
    <row r="106" spans="1:12" x14ac:dyDescent="0.25">
      <c r="A106" s="577"/>
    </row>
    <row r="107" spans="1:12" x14ac:dyDescent="0.25">
      <c r="A107" s="577"/>
    </row>
    <row r="108" spans="1:12" x14ac:dyDescent="0.25">
      <c r="A108" s="577"/>
    </row>
    <row r="109" spans="1:12" x14ac:dyDescent="0.25">
      <c r="A109" s="577"/>
    </row>
    <row r="110" spans="1:12" x14ac:dyDescent="0.25">
      <c r="A110" s="577"/>
    </row>
    <row r="111" spans="1:12" x14ac:dyDescent="0.25">
      <c r="A111" s="577"/>
    </row>
    <row r="112" spans="1:12" x14ac:dyDescent="0.25">
      <c r="A112" s="577"/>
    </row>
    <row r="113" spans="1:1" x14ac:dyDescent="0.25">
      <c r="A113" s="577"/>
    </row>
    <row r="114" spans="1:1" x14ac:dyDescent="0.25">
      <c r="A114" s="577"/>
    </row>
    <row r="115" spans="1:1" x14ac:dyDescent="0.25">
      <c r="A115" s="577"/>
    </row>
    <row r="116" spans="1:1" x14ac:dyDescent="0.25">
      <c r="A116" s="577"/>
    </row>
    <row r="117" spans="1:1" x14ac:dyDescent="0.25">
      <c r="A117" s="577"/>
    </row>
    <row r="118" spans="1:1" x14ac:dyDescent="0.25">
      <c r="A118" s="577"/>
    </row>
    <row r="119" spans="1:1" x14ac:dyDescent="0.25">
      <c r="A119" s="577"/>
    </row>
    <row r="120" spans="1:1" x14ac:dyDescent="0.25">
      <c r="A120" s="577"/>
    </row>
    <row r="121" spans="1:1" x14ac:dyDescent="0.25">
      <c r="A121" s="577"/>
    </row>
    <row r="122" spans="1:1" x14ac:dyDescent="0.25">
      <c r="A122" s="577"/>
    </row>
    <row r="123" spans="1:1" x14ac:dyDescent="0.25">
      <c r="A123" s="577"/>
    </row>
    <row r="124" spans="1:1" x14ac:dyDescent="0.25">
      <c r="A124" s="577"/>
    </row>
    <row r="125" spans="1:1" x14ac:dyDescent="0.25">
      <c r="A125" s="577"/>
    </row>
    <row r="126" spans="1:1" x14ac:dyDescent="0.25">
      <c r="A126" s="577"/>
    </row>
    <row r="127" spans="1:1" x14ac:dyDescent="0.25">
      <c r="A127" s="577"/>
    </row>
    <row r="128" spans="1:1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  <row r="141" spans="1:1" x14ac:dyDescent="0.25">
      <c r="A141" s="577"/>
    </row>
    <row r="142" spans="1:1" x14ac:dyDescent="0.25">
      <c r="A142" s="577"/>
    </row>
    <row r="143" spans="1:1" x14ac:dyDescent="0.25">
      <c r="A143" s="577"/>
    </row>
    <row r="144" spans="1:1" x14ac:dyDescent="0.25">
      <c r="A144" s="577"/>
    </row>
    <row r="145" spans="1:1" x14ac:dyDescent="0.25">
      <c r="A145" s="577"/>
    </row>
    <row r="146" spans="1:1" x14ac:dyDescent="0.25">
      <c r="A146" s="577"/>
    </row>
    <row r="147" spans="1:1" x14ac:dyDescent="0.25">
      <c r="A147" s="577"/>
    </row>
    <row r="148" spans="1:1" x14ac:dyDescent="0.25">
      <c r="A148" s="577"/>
    </row>
    <row r="149" spans="1:1" x14ac:dyDescent="0.25">
      <c r="A149" s="577"/>
    </row>
    <row r="150" spans="1:1" x14ac:dyDescent="0.25">
      <c r="A150" s="577"/>
    </row>
    <row r="151" spans="1:1" x14ac:dyDescent="0.25">
      <c r="A151" s="577"/>
    </row>
    <row r="152" spans="1:1" x14ac:dyDescent="0.25">
      <c r="A152" s="577"/>
    </row>
    <row r="153" spans="1:1" x14ac:dyDescent="0.25">
      <c r="A153" s="577"/>
    </row>
    <row r="154" spans="1:1" x14ac:dyDescent="0.25">
      <c r="A154" s="577"/>
    </row>
    <row r="155" spans="1:1" x14ac:dyDescent="0.25">
      <c r="A155" s="577"/>
    </row>
    <row r="156" spans="1:1" x14ac:dyDescent="0.25">
      <c r="A156" s="577"/>
    </row>
    <row r="157" spans="1:1" x14ac:dyDescent="0.25">
      <c r="A157" s="577"/>
    </row>
    <row r="158" spans="1:1" x14ac:dyDescent="0.25">
      <c r="A158" s="577"/>
    </row>
    <row r="159" spans="1:1" x14ac:dyDescent="0.25">
      <c r="A159" s="577"/>
    </row>
    <row r="160" spans="1:1" x14ac:dyDescent="0.25">
      <c r="A160" s="577"/>
    </row>
    <row r="161" spans="1:1" x14ac:dyDescent="0.25">
      <c r="A161" s="577"/>
    </row>
    <row r="162" spans="1:1" x14ac:dyDescent="0.25">
      <c r="A162" s="577"/>
    </row>
    <row r="163" spans="1:1" x14ac:dyDescent="0.25">
      <c r="A163" s="577"/>
    </row>
    <row r="164" spans="1:1" x14ac:dyDescent="0.25">
      <c r="A164" s="577"/>
    </row>
    <row r="165" spans="1:1" x14ac:dyDescent="0.25">
      <c r="A165" s="577"/>
    </row>
    <row r="166" spans="1:1" x14ac:dyDescent="0.25">
      <c r="A166" s="577"/>
    </row>
    <row r="167" spans="1:1" x14ac:dyDescent="0.25">
      <c r="A167" s="577"/>
    </row>
    <row r="168" spans="1:1" x14ac:dyDescent="0.25">
      <c r="A168" s="577"/>
    </row>
    <row r="200" spans="8:9" x14ac:dyDescent="0.25">
      <c r="H200" s="624" t="str">
        <f>List!$B$99</f>
        <v>Zpět</v>
      </c>
      <c r="I200" s="624"/>
    </row>
  </sheetData>
  <sheetProtection algorithmName="SHA-512" hashValue="eumbt49VO2Z7XkZKno1tqh/moJCeUMbW4wsuBpTUZ5s6dNokPWW3uwSiYWAeOKFiqOVTsql2aF4/BVQ/yUpP+w==" saltValue="yXMIKU0frvS+mlOCnr7Gvw==" spinCount="100000" sheet="1" objects="1" scenarios="1"/>
  <mergeCells count="3">
    <mergeCell ref="A97:A168"/>
    <mergeCell ref="H200:I200"/>
    <mergeCell ref="K98:L98"/>
  </mergeCells>
  <phoneticPr fontId="53" type="noConversion"/>
  <hyperlinks>
    <hyperlink ref="J14" location="OLRo!A100" tooltip=" " display="OLRo!A100"/>
    <hyperlink ref="H200:I200" location="OLRo!A1" tooltip=" " display="OLRo!A1"/>
    <hyperlink ref="J2" location="Form!A1" tooltip=" " display="Form!A1"/>
    <hyperlink ref="J3" location="Menu!A1" tooltip=" " display="Menu!A1"/>
    <hyperlink ref="J6" location="OL!A1" tooltip=" " display="ORGA-LINE"/>
    <hyperlink ref="J9" location="Sum!A128" tooltip=" " display="Sum!A128"/>
    <hyperlink ref="J4" location="Acs!A1" tooltip=" " display="Acs!A1"/>
    <hyperlink ref="J10" location="Ord!A1" tooltip=" " display="Ord!A1"/>
    <hyperlink ref="J5" location="SD!A1" tooltip=" " display="SD!A1"/>
    <hyperlink ref="K98:L98" location="OLRo!A1" tooltip=" " display="OLRo!A1"/>
  </hyperlinks>
  <pageMargins left="0.7" right="0.7" top="0.78740157499999996" bottom="0.78740157499999996" header="0.3" footer="0.3"/>
  <pageSetup paperSize="9" orientation="landscape" horizontalDpi="4294967293" verticalDpi="12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theme="5"/>
  </sheetPr>
  <dimension ref="A1:R31"/>
  <sheetViews>
    <sheetView showGridLines="0" showRowColHeaders="0" workbookViewId="0">
      <selection activeCell="G26" sqref="G26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List!$B$117&amp;", "&amp;List!$B$118</f>
        <v>Příčné dělení, Podélné dělení</v>
      </c>
      <c r="I1" s="151" t="str">
        <f>List!$B$11&amp;":"</f>
        <v>Zpět na:</v>
      </c>
    </row>
    <row r="2" spans="4:18" ht="13.5" customHeight="1" thickBot="1" x14ac:dyDescent="0.3">
      <c r="D2" s="194"/>
      <c r="E2" s="194" t="str">
        <f>List!$B$129&amp;":"</f>
        <v>Základní prvek:</v>
      </c>
      <c r="F2" s="195"/>
      <c r="G2" s="194" t="str">
        <f>List!$B$48&amp;" D"</f>
        <v>Čelní výsuv D</v>
      </c>
      <c r="I2" s="149" t="str">
        <f>" "&amp;List!$B$13</f>
        <v xml:space="preserve"> Úvod</v>
      </c>
      <c r="L2" s="477" t="str">
        <f>Cen!A466</f>
        <v>Příčka ke zkrácení, KB 300mm, šedá</v>
      </c>
      <c r="M2" s="477" t="str">
        <f>Cen!B466</f>
        <v>Z40L177A</v>
      </c>
      <c r="N2" s="477" t="str">
        <f>Cen!C466</f>
        <v>R906</v>
      </c>
      <c r="O2" s="477">
        <f>Cen!D466</f>
        <v>0</v>
      </c>
      <c r="P2" s="385">
        <f>E25</f>
        <v>0</v>
      </c>
      <c r="Q2" s="386">
        <f>Cen!F466</f>
        <v>5.7865700000000002</v>
      </c>
      <c r="R2" s="387">
        <f t="shared" ref="R2:R8" si="0">P2*Q2</f>
        <v>0</v>
      </c>
    </row>
    <row r="3" spans="4:18" ht="13.5" customHeight="1" thickBot="1" x14ac:dyDescent="0.3">
      <c r="G3" s="59" t="str">
        <f>List!$B$49&amp;" D"</f>
        <v>Vnitřní výsuv D</v>
      </c>
      <c r="I3" s="150" t="str">
        <f>" "&amp;List!$B$4</f>
        <v xml:space="preserve"> Výběr zásuvek a výsuvů</v>
      </c>
      <c r="L3" s="477" t="str">
        <f>Cen!A470</f>
        <v>Příčka ke zkrácení, KB 600mm, šedá</v>
      </c>
      <c r="M3" s="477" t="str">
        <f>Cen!B470</f>
        <v>Z40L477A</v>
      </c>
      <c r="N3" s="477" t="str">
        <f>Cen!C470</f>
        <v>R906</v>
      </c>
      <c r="O3" s="477">
        <f>Cen!D470</f>
        <v>0</v>
      </c>
      <c r="P3" s="385">
        <f t="shared" ref="P3:P7" si="1">E26</f>
        <v>0</v>
      </c>
      <c r="Q3" s="386">
        <f>Cen!F470</f>
        <v>7.2901999999999996</v>
      </c>
      <c r="R3" s="387">
        <f t="shared" si="0"/>
        <v>0</v>
      </c>
    </row>
    <row r="4" spans="4:18" ht="13.5" customHeight="1" thickBot="1" x14ac:dyDescent="0.3">
      <c r="D4" s="7"/>
      <c r="E4" s="7"/>
      <c r="F4" s="7"/>
      <c r="G4" s="110" t="str">
        <f>List!$B$48&amp;" SPACE-CORNER D"</f>
        <v>Čelní výsuv SPACE-CORNER D</v>
      </c>
      <c r="I4" s="150" t="str">
        <f>" "&amp;List!$B$5</f>
        <v xml:space="preserve"> Výběr doplňků</v>
      </c>
      <c r="L4" s="477" t="str">
        <f>Cen!A474</f>
        <v>Příčka ke zkrácení, KB 900mm, šedá</v>
      </c>
      <c r="M4" s="477" t="str">
        <f>Cen!B474</f>
        <v>Z40L777A</v>
      </c>
      <c r="N4" s="477" t="str">
        <f>Cen!C474</f>
        <v>R906</v>
      </c>
      <c r="O4" s="477">
        <f>Cen!D474</f>
        <v>0</v>
      </c>
      <c r="P4" s="385">
        <f t="shared" si="1"/>
        <v>0</v>
      </c>
      <c r="Q4" s="386">
        <f>Cen!F474</f>
        <v>10.70745</v>
      </c>
      <c r="R4" s="387">
        <f t="shared" si="0"/>
        <v>0</v>
      </c>
    </row>
    <row r="5" spans="4:18" ht="13.5" customHeight="1" thickBot="1" x14ac:dyDescent="0.3">
      <c r="D5" s="181"/>
      <c r="E5" s="108" t="str">
        <f>List!$B$102&amp;" KB:"</f>
        <v>Šířka korpusu KB:</v>
      </c>
      <c r="F5" s="181"/>
      <c r="G5" s="108" t="s">
        <v>413</v>
      </c>
      <c r="I5" s="150" t="str">
        <f>" "&amp;List!$B$6</f>
        <v xml:space="preserve"> Výběr SERVO-DRIVE</v>
      </c>
      <c r="L5" s="477" t="str">
        <f>Cen!A478</f>
        <v>Příčka ke zkrácení, KB 1200mm, šedá</v>
      </c>
      <c r="M5" s="477" t="str">
        <f>Cen!B478</f>
        <v>Z40L1077A</v>
      </c>
      <c r="N5" s="477" t="str">
        <f>Cen!C478</f>
        <v>R906</v>
      </c>
      <c r="O5" s="477">
        <f>Cen!D478</f>
        <v>0</v>
      </c>
      <c r="P5" s="385">
        <f t="shared" si="1"/>
        <v>0</v>
      </c>
      <c r="Q5" s="386">
        <f>Cen!F478</f>
        <v>16.745570000000001</v>
      </c>
      <c r="R5" s="387">
        <f t="shared" si="0"/>
        <v>0</v>
      </c>
    </row>
    <row r="6" spans="4:18" ht="13.5" customHeight="1" x14ac:dyDescent="0.25">
      <c r="I6" s="265" t="str">
        <f>" "&amp;List!$B$7</f>
        <v xml:space="preserve"> Výběr ORGA-LINE</v>
      </c>
      <c r="L6" s="477" t="str">
        <f>Cen!A483</f>
        <v>Koncovka pro příčku, pro reling, D, bílošedá</v>
      </c>
      <c r="M6" s="477" t="str">
        <f>Cen!B483</f>
        <v>Z40D0002Z</v>
      </c>
      <c r="N6" s="477" t="str">
        <f>Cen!C483</f>
        <v>WGR</v>
      </c>
      <c r="O6" s="477">
        <f>Cen!D483</f>
        <v>0</v>
      </c>
      <c r="P6" s="385">
        <f t="shared" si="1"/>
        <v>0</v>
      </c>
      <c r="Q6" s="386">
        <f>Cen!F483</f>
        <v>1.8503300000000003</v>
      </c>
      <c r="R6" s="387">
        <f t="shared" si="0"/>
        <v>0</v>
      </c>
    </row>
    <row r="7" spans="4:18" ht="13.5" customHeight="1" x14ac:dyDescent="0.25">
      <c r="D7" s="58" t="s">
        <v>462</v>
      </c>
      <c r="E7" s="2" t="str">
        <f>List!B113</f>
        <v>Příčka ke zkrácení</v>
      </c>
      <c r="L7" s="477" t="str">
        <f>Cen!A487</f>
        <v>Koncovka pro příčku, pro reling, C, bílošedá</v>
      </c>
      <c r="M7" s="477" t="str">
        <f>Cen!B487</f>
        <v>Z40C0002Z</v>
      </c>
      <c r="N7" s="477" t="str">
        <f>Cen!C487</f>
        <v>WGR</v>
      </c>
      <c r="O7" s="477">
        <f>Cen!D487</f>
        <v>0</v>
      </c>
      <c r="P7" s="385">
        <f t="shared" si="1"/>
        <v>0</v>
      </c>
      <c r="Q7" s="386">
        <f>Cen!F487</f>
        <v>1.7087099999999997</v>
      </c>
      <c r="R7" s="387">
        <f t="shared" si="0"/>
        <v>0</v>
      </c>
    </row>
    <row r="8" spans="4:18" ht="13.5" customHeight="1" thickBot="1" x14ac:dyDescent="0.3">
      <c r="D8" s="58" t="s">
        <v>460</v>
      </c>
      <c r="E8" s="2" t="str">
        <f>List!$B$114&amp;" ("&amp;List!B115&amp;")"</f>
        <v>Koncovka pro příčku (pro reling)</v>
      </c>
      <c r="I8" s="2" t="str">
        <f>List!$B$12&amp;":"</f>
        <v>Pokračovat na:</v>
      </c>
      <c r="L8" s="477" t="str">
        <f>Cen!A496</f>
        <v>Podélné dělení, šedé</v>
      </c>
      <c r="M8" s="477" t="str">
        <f>Cen!B496</f>
        <v>Z43L100S</v>
      </c>
      <c r="N8" s="477" t="str">
        <f>Cen!C496</f>
        <v>R906</v>
      </c>
      <c r="O8" s="477">
        <f>Cen!D496</f>
        <v>0</v>
      </c>
      <c r="P8" s="385">
        <f>E31</f>
        <v>0</v>
      </c>
      <c r="Q8" s="386">
        <f>Cen!F496</f>
        <v>3.4353400000000001</v>
      </c>
      <c r="R8" s="387">
        <f t="shared" si="0"/>
        <v>0</v>
      </c>
    </row>
    <row r="9" spans="4:18" ht="13.5" customHeight="1" thickBot="1" x14ac:dyDescent="0.3">
      <c r="D9" s="58" t="s">
        <v>458</v>
      </c>
      <c r="E9" s="2" t="str">
        <f>List!B118</f>
        <v>Podélné dělení</v>
      </c>
      <c r="I9" s="150" t="str">
        <f>" "&amp;List!$B$18</f>
        <v xml:space="preserve"> Souhrn</v>
      </c>
    </row>
    <row r="10" spans="4:18" ht="13.5" customHeight="1" x14ac:dyDescent="0.25">
      <c r="D10" s="58"/>
      <c r="I10" s="150" t="str">
        <f>" "&amp;List!$B$20</f>
        <v xml:space="preserve"> Objednávka</v>
      </c>
      <c r="R10" s="436">
        <f>SUM(R2:R9)</f>
        <v>0</v>
      </c>
    </row>
    <row r="11" spans="4:18" ht="7.5" customHeight="1" x14ac:dyDescent="0.25"/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</row>
    <row r="14" spans="4:18" ht="13.5" customHeight="1" x14ac:dyDescent="0.25"/>
    <row r="15" spans="4:18" ht="13.5" customHeight="1" x14ac:dyDescent="0.25"/>
    <row r="16" spans="4:18" ht="7.5" customHeight="1" x14ac:dyDescent="0.25"/>
    <row r="17" spans="1:9" ht="13.5" customHeight="1" x14ac:dyDescent="0.25">
      <c r="D17" s="59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  <c r="I18" s="2" t="str">
        <f>"         "&amp;List!$B$171</f>
        <v xml:space="preserve">         Plastové dózy</v>
      </c>
    </row>
    <row r="19" spans="1:9" ht="13.5" customHeight="1" x14ac:dyDescent="0.25">
      <c r="E19" s="2" t="s">
        <v>409</v>
      </c>
    </row>
    <row r="20" spans="1:9" ht="13.5" customHeight="1" x14ac:dyDescent="0.25">
      <c r="E20" s="2" t="s">
        <v>411</v>
      </c>
      <c r="I20" s="2" t="str">
        <f>"         "&amp;List!$B$172</f>
        <v xml:space="preserve">         Misky a mísy, elektrospotřebiče</v>
      </c>
    </row>
    <row r="21" spans="1:9" ht="13.5" customHeight="1" x14ac:dyDescent="0.25">
      <c r="E21" s="2" t="s">
        <v>410</v>
      </c>
    </row>
    <row r="22" spans="1:9" ht="13.5" customHeight="1" x14ac:dyDescent="0.25">
      <c r="I22" s="2" t="str">
        <f>"         "&amp;List!$B$173</f>
        <v xml:space="preserve">         Hrnce, poklice</v>
      </c>
    </row>
    <row r="23" spans="1:9" ht="13.5" customHeight="1" x14ac:dyDescent="0.25"/>
    <row r="24" spans="1:9" ht="15" customHeight="1" x14ac:dyDescent="0.3">
      <c r="B24" s="193" t="str">
        <f>List!$B$22&amp;":"</f>
        <v>Soupis kování:</v>
      </c>
      <c r="C24" s="7"/>
      <c r="D24" s="7"/>
      <c r="E24" s="196" t="str">
        <f>List!$B$90&amp;":"</f>
        <v>Počet:</v>
      </c>
      <c r="F24" s="459"/>
      <c r="G24" s="460"/>
    </row>
    <row r="25" spans="1:9" ht="15" customHeight="1" x14ac:dyDescent="0.25">
      <c r="A25" s="5" t="s">
        <v>462</v>
      </c>
      <c r="B25" s="6" t="str">
        <f>Cen!A466&amp;" *"</f>
        <v>Příčka ke zkrácení, KB 300mm, šedá *</v>
      </c>
      <c r="C25" s="6" t="str">
        <f>Cen!B466</f>
        <v>Z40L177A</v>
      </c>
      <c r="D25" s="6" t="str">
        <f>Cen!C466</f>
        <v>R906</v>
      </c>
      <c r="E25" s="9"/>
      <c r="F25" s="461"/>
      <c r="G25" s="462"/>
    </row>
    <row r="26" spans="1:9" ht="15" customHeight="1" x14ac:dyDescent="0.25">
      <c r="A26" s="5" t="s">
        <v>462</v>
      </c>
      <c r="B26" s="6" t="str">
        <f>Cen!A470&amp;" *"</f>
        <v>Příčka ke zkrácení, KB 600mm, šedá *</v>
      </c>
      <c r="C26" s="6" t="str">
        <f>Cen!B470</f>
        <v>Z40L477A</v>
      </c>
      <c r="D26" s="6" t="str">
        <f>Cen!C470</f>
        <v>R906</v>
      </c>
      <c r="E26" s="9"/>
      <c r="F26" s="461"/>
      <c r="G26" s="462"/>
    </row>
    <row r="27" spans="1:9" ht="15" customHeight="1" x14ac:dyDescent="0.25">
      <c r="A27" s="5" t="s">
        <v>462</v>
      </c>
      <c r="B27" s="6" t="str">
        <f>Cen!A474&amp;" *"</f>
        <v>Příčka ke zkrácení, KB 900mm, šedá *</v>
      </c>
      <c r="C27" s="6" t="str">
        <f>Cen!B474</f>
        <v>Z40L777A</v>
      </c>
      <c r="D27" s="6" t="str">
        <f>Cen!C474</f>
        <v>R906</v>
      </c>
      <c r="E27" s="9"/>
      <c r="F27" s="461"/>
      <c r="G27" s="462"/>
    </row>
    <row r="28" spans="1:9" ht="15" customHeight="1" x14ac:dyDescent="0.25">
      <c r="A28" s="5" t="s">
        <v>462</v>
      </c>
      <c r="B28" s="6" t="str">
        <f>Cen!A478&amp;" *"</f>
        <v>Příčka ke zkrácení, KB 1200mm, šedá *</v>
      </c>
      <c r="C28" s="6" t="str">
        <f>Cen!B478</f>
        <v>Z40L1077A</v>
      </c>
      <c r="D28" s="6" t="str">
        <f>Cen!C478</f>
        <v>R906</v>
      </c>
      <c r="E28" s="9"/>
      <c r="F28" s="461"/>
      <c r="G28" s="462"/>
    </row>
    <row r="29" spans="1:9" ht="15" customHeight="1" x14ac:dyDescent="0.25">
      <c r="A29" s="5" t="s">
        <v>460</v>
      </c>
      <c r="B29" s="6" t="str">
        <f>Cen!A483</f>
        <v>Koncovka pro příčku, pro reling, D, bílošedá</v>
      </c>
      <c r="C29" s="6" t="str">
        <f>Cen!B483</f>
        <v>Z40D0002Z</v>
      </c>
      <c r="D29" s="6" t="str">
        <f>Cen!C483</f>
        <v>WGR</v>
      </c>
      <c r="E29" s="9"/>
      <c r="F29" s="461"/>
      <c r="G29" s="462"/>
    </row>
    <row r="30" spans="1:9" ht="15" customHeight="1" x14ac:dyDescent="0.25">
      <c r="A30" s="5" t="s">
        <v>460</v>
      </c>
      <c r="B30" s="6" t="str">
        <f>Cen!A487</f>
        <v>Koncovka pro příčku, pro reling, C, bílošedá</v>
      </c>
      <c r="C30" s="6" t="str">
        <f>Cen!B487</f>
        <v>Z40C0002Z</v>
      </c>
      <c r="D30" s="6" t="str">
        <f>Cen!C487</f>
        <v>WGR</v>
      </c>
      <c r="E30" s="9"/>
      <c r="F30" s="461"/>
      <c r="G30" s="462"/>
    </row>
    <row r="31" spans="1:9" ht="15" customHeight="1" x14ac:dyDescent="0.25">
      <c r="A31" s="5" t="s">
        <v>458</v>
      </c>
      <c r="B31" s="6" t="str">
        <f>Cen!A496</f>
        <v>Podélné dělení, šedé</v>
      </c>
      <c r="C31" s="6" t="str">
        <f>Cen!B496</f>
        <v>Z43L100S</v>
      </c>
      <c r="D31" s="6" t="str">
        <f>Cen!C496</f>
        <v>R906</v>
      </c>
      <c r="E31" s="9"/>
      <c r="F31" s="461"/>
      <c r="G31" s="462"/>
    </row>
  </sheetData>
  <sheetProtection algorithmName="SHA-512" hashValue="Xigk8YSLUzPXfNkXVt4AS0xf/kGuMJ60M03JqdVIWAPhDaLXllObMg5P0vneVKa2AiS3OPVRefo0ac5yXkwIdg==" saltValue="wmrl4SwY13SbDScjTUcqyw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V141"/>
  <sheetViews>
    <sheetView showGridLines="0" showRowColHeaders="0" workbookViewId="0"/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List!$B$46&amp;" K"</f>
        <v>Zásuvka K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Cen!A65</f>
        <v>Bočnice K 270mm, šedé</v>
      </c>
      <c r="Q3" s="123" t="str">
        <f>Cen!B65</f>
        <v>378K2702SA</v>
      </c>
      <c r="R3" s="123" t="str">
        <f>Cen!C65</f>
        <v>R906</v>
      </c>
      <c r="S3" s="385">
        <f>IF($U$2=4, 0, SUM($D$19, $D$25))</f>
        <v>0</v>
      </c>
      <c r="T3" s="402">
        <f>Cen!F65</f>
        <v>23.526759999999999</v>
      </c>
      <c r="U3" s="387">
        <f t="shared" ref="U3:U38" si="0">S3*T3</f>
        <v>0</v>
      </c>
    </row>
    <row r="4" spans="1:22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351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Cen!A68</f>
        <v>Bočnice K 300mm, šedé</v>
      </c>
      <c r="Q4" s="123" t="str">
        <f>Cen!B68</f>
        <v>378K3002SA</v>
      </c>
      <c r="R4" s="123" t="str">
        <f>Cen!C68</f>
        <v>R906</v>
      </c>
      <c r="S4" s="385">
        <f>IF($U$2=4, 0, SUM($E$19, $E$25))</f>
        <v>0</v>
      </c>
      <c r="T4" s="402">
        <f>Cen!F68</f>
        <v>23.526759999999999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Cen!A71</f>
        <v>Bočnice K 350mm, šedé</v>
      </c>
      <c r="Q5" s="123" t="str">
        <f>Cen!B71</f>
        <v>378K3502SA</v>
      </c>
      <c r="R5" s="123" t="str">
        <f>Cen!C71</f>
        <v>R906</v>
      </c>
      <c r="S5" s="385">
        <f>IF($U$2=4, 0, SUM($F$19, $F$25))</f>
        <v>0</v>
      </c>
      <c r="T5" s="402">
        <f>Cen!F71</f>
        <v>23.526759999999999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Cen!A74</f>
        <v>Bočnice K 400mm, šedé</v>
      </c>
      <c r="Q6" s="123" t="str">
        <f>Cen!B74</f>
        <v>378K4002SA</v>
      </c>
      <c r="R6" s="123" t="str">
        <f>Cen!C74</f>
        <v>R906</v>
      </c>
      <c r="S6" s="385">
        <f>IF($U$2=4, 0, SUM($G$19, $G$25))</f>
        <v>0</v>
      </c>
      <c r="T6" s="402">
        <f>Cen!F74</f>
        <v>23.673449999999999</v>
      </c>
      <c r="U6" s="387">
        <f t="shared" si="0"/>
        <v>0</v>
      </c>
    </row>
    <row r="7" spans="1:22" ht="13" thickBot="1" x14ac:dyDescent="0.3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149" t="str">
        <f>" "&amp;List!$B$5</f>
        <v xml:space="preserve"> Výběr doplňků</v>
      </c>
      <c r="O7" s="114"/>
      <c r="P7" s="123" t="str">
        <f>Cen!A77</f>
        <v>Bočnice K 450mm, šedé</v>
      </c>
      <c r="Q7" s="123" t="str">
        <f>Cen!B77</f>
        <v>378K4502SA</v>
      </c>
      <c r="R7" s="123" t="str">
        <f>Cen!C77</f>
        <v>R906</v>
      </c>
      <c r="S7" s="385">
        <f>IF($U$2=4, 0, SUM($H$19:$H$20, $H$25:$H$26))</f>
        <v>0</v>
      </c>
      <c r="T7" s="402">
        <f>Cen!F77</f>
        <v>23.820340000000002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Cen!A80</f>
        <v>Bočnice K 500mm, šedé</v>
      </c>
      <c r="Q8" s="388" t="str">
        <f>Cen!B80</f>
        <v>378K5002SA</v>
      </c>
      <c r="R8" s="388" t="str">
        <f>Cen!C80</f>
        <v>R906</v>
      </c>
      <c r="S8" s="397">
        <f>IF($U$2=4, 0, SUM($I$19:$I$20, $I$25:$I$26))</f>
        <v>0</v>
      </c>
      <c r="T8" s="403">
        <f>Cen!F80</f>
        <v>23.967030000000001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Cen!A83</f>
        <v>Bočnice K 550mm, šedé</v>
      </c>
      <c r="Q9" s="123" t="str">
        <f>Cen!B83</f>
        <v>378K5502SA</v>
      </c>
      <c r="R9" s="123" t="str">
        <f>Cen!C83</f>
        <v>R906</v>
      </c>
      <c r="S9" s="385">
        <f>IF($U$2=4, 0, SUM($J$19:$J$20, $J$25:$J$26))</f>
        <v>0</v>
      </c>
      <c r="T9" s="402">
        <f>Cen!F83</f>
        <v>25.435459999999999</v>
      </c>
      <c r="U9" s="387">
        <f t="shared" si="0"/>
        <v>0</v>
      </c>
    </row>
    <row r="10" spans="1:22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Cen!A86</f>
        <v>Bočnice K 600mm, šedé</v>
      </c>
      <c r="Q10" s="123" t="str">
        <f>Cen!B86</f>
        <v>378K6002SA</v>
      </c>
      <c r="R10" s="123" t="str">
        <f>Cen!C86</f>
        <v>R906</v>
      </c>
      <c r="S10" s="385">
        <f>IF($U$2=4, 0, SUM($K$19:$K$20, $K$25:$K$26))</f>
        <v>0</v>
      </c>
      <c r="T10" s="402">
        <f>Cen!F86</f>
        <v>29.71855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14"/>
      <c r="O11" s="114"/>
      <c r="P11" s="123" t="str">
        <f>Cen!A89</f>
        <v>Bočnice K 650mm, šedé</v>
      </c>
      <c r="Q11" s="123" t="str">
        <f>Cen!B89</f>
        <v>378K6502SA</v>
      </c>
      <c r="R11" s="123" t="str">
        <f>Cen!C89</f>
        <v>R906</v>
      </c>
      <c r="S11" s="385">
        <f>IF($U$2=4, 0, SUM($L$20, $L$26))</f>
        <v>0</v>
      </c>
      <c r="T11" s="402">
        <f>Cen!F89</f>
        <v>30.819780000000002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IF($U$2=4, 0, $D$19)</f>
        <v>0</v>
      </c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542" t="str">
        <f>IF($U$2=4, P85, " ")</f>
        <v xml:space="preserve"> </v>
      </c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IF($U$2=4, 0, $E$19)</f>
        <v>0</v>
      </c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542" t="str">
        <f>IF($U$2=4, P86, " ")</f>
        <v xml:space="preserve"> </v>
      </c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IF($U$2=4, 0, $F$19)</f>
        <v>0</v>
      </c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IF($U$2=4, 0, $G$19)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$H$19)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IF($U$2=4, 0, $H$20)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834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$I$19)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835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IF($U$2=4, 0, $I$20)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$J$19)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IF($U$2=4, 0, $J$20)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IF($U$2=4, 0, $K$19)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IF($U$2=4, 0, $K$20)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812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836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IF($U$2=4, 0, $D$25)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IF($U$2=4, 0, $E$25)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IF($U$2=4, 0, $F$25)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IF($U$2=4, 0, $G$25)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",$P$82)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IF($U$2=4, 0, $H$25)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IF(AND(SUM($D$25,$E$25)&gt;0,SUM($D$30,$E$30)=0),$P$81, IF(AND(SUM($D$25,$E$25)=0,SUM($D$30,$E$30)&gt;0),$P$80, " "))&amp;IF(SUM($D$25,$E$25)&lt;&gt;SUM($D$30,$E$30)," "&amp;$P$83,"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IF($U$2=4, 0, $H$26)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IF($U$2=4, 0, $I$25)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IF($U$2=4, 0, $I$26)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IF($U$2=4, 0, $J$25)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IF($U$2=4, 0, $J$26)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IF($U$2=4, 0, $K$25)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IF($U$2=4, 0, $K$26)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IF($U$2=4, 0, $L$26)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315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83"/>
      <c r="C40" s="183"/>
      <c r="D40" s="183"/>
      <c r="E40" s="183"/>
      <c r="F40" s="183"/>
      <c r="G40" s="183"/>
      <c r="H40" s="183"/>
      <c r="I40" s="183"/>
      <c r="J40" s="246"/>
      <c r="K40" s="399"/>
      <c r="L40" s="400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91">
        <f>IF($U$2=4, 0, $D$30)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83"/>
      <c r="C41" s="183"/>
      <c r="D41" s="183"/>
      <c r="E41" s="183"/>
      <c r="F41" s="183"/>
      <c r="G41" s="183"/>
      <c r="H41" s="183"/>
      <c r="I41" s="183"/>
      <c r="J41" s="246"/>
      <c r="K41" s="400"/>
      <c r="L41" s="400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91">
        <f>IF($U$2=4, 0, $E$30)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83"/>
      <c r="C42" s="183"/>
      <c r="D42" s="183"/>
      <c r="E42" s="183"/>
      <c r="F42" s="183"/>
      <c r="G42" s="183"/>
      <c r="H42" s="183"/>
      <c r="I42" s="183"/>
      <c r="J42" s="246"/>
      <c r="K42" s="400"/>
      <c r="L42" s="400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91">
        <f>IF($U$2=4, 0, $F$30)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83"/>
      <c r="C43" s="183"/>
      <c r="D43" s="183"/>
      <c r="E43" s="183"/>
      <c r="F43" s="183"/>
      <c r="G43" s="183"/>
      <c r="H43" s="183"/>
      <c r="I43" s="183"/>
      <c r="J43" s="246"/>
      <c r="K43" s="400"/>
      <c r="L43" s="400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91">
        <f>IF($U$2=4, 0, $G$30)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83"/>
      <c r="C44" s="183"/>
      <c r="D44" s="183"/>
      <c r="E44" s="183"/>
      <c r="F44" s="183"/>
      <c r="G44" s="183"/>
      <c r="H44" s="183"/>
      <c r="I44" s="183"/>
      <c r="J44" s="246"/>
      <c r="K44" s="400"/>
      <c r="L44" s="400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91">
        <f>IF($U$2=4, 0, $H$30)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83"/>
      <c r="C45" s="183"/>
      <c r="D45" s="183"/>
      <c r="E45" s="183"/>
      <c r="F45" s="183"/>
      <c r="G45" s="183"/>
      <c r="H45" s="183"/>
      <c r="I45" s="183"/>
      <c r="J45" s="246"/>
      <c r="K45" s="400"/>
      <c r="L45" s="400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B46" s="183"/>
      <c r="C46" s="183"/>
      <c r="D46" s="183"/>
      <c r="E46" s="183"/>
      <c r="F46" s="183"/>
      <c r="G46" s="183"/>
      <c r="H46" s="183"/>
      <c r="I46" s="183"/>
      <c r="J46" s="246"/>
      <c r="K46" s="400"/>
      <c r="L46" s="400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B47" s="183"/>
      <c r="C47" s="183"/>
      <c r="D47" s="183"/>
      <c r="E47" s="183"/>
      <c r="F47" s="183"/>
      <c r="G47" s="183"/>
      <c r="H47" s="183"/>
      <c r="I47" s="183"/>
      <c r="J47" s="246"/>
      <c r="K47" s="400"/>
      <c r="L47" s="400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B48" s="183"/>
      <c r="C48" s="183"/>
      <c r="D48" s="183"/>
      <c r="E48" s="183"/>
      <c r="F48" s="183"/>
      <c r="G48" s="183"/>
      <c r="H48" s="183"/>
      <c r="I48" s="183"/>
      <c r="J48" s="246"/>
      <c r="K48" s="400"/>
      <c r="L48" s="400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2:21" x14ac:dyDescent="0.25">
      <c r="B49" s="314"/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2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2:21" ht="13" x14ac:dyDescent="0.3">
      <c r="B51" s="277" t="str">
        <f>IF(OR($K$14&gt;0, $L$14&gt;0), List!$B$196, " ")</f>
        <v xml:space="preserve"> </v>
      </c>
      <c r="P51" s="123"/>
      <c r="Q51" s="123"/>
      <c r="R51" s="123"/>
      <c r="S51" s="385"/>
      <c r="T51" s="386"/>
      <c r="U51" s="387"/>
    </row>
    <row r="52" spans="2:21" ht="13" x14ac:dyDescent="0.3">
      <c r="B52" s="277" t="str">
        <f>IF(OR($K$14&gt;0, $L$14&gt;0), List!$B$200, " ")</f>
        <v xml:space="preserve"> </v>
      </c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1" si="2">S52*T52</f>
        <v>0</v>
      </c>
    </row>
    <row r="53" spans="2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 t="shared" si="2"/>
        <v>0</v>
      </c>
    </row>
    <row r="54" spans="2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>
        <f>SUM($S$3:$S$11)</f>
        <v>0</v>
      </c>
      <c r="T54" s="386">
        <f>Cen!F151</f>
        <v>2.4067799999999999</v>
      </c>
      <c r="U54" s="387">
        <f t="shared" si="2"/>
        <v>0</v>
      </c>
    </row>
    <row r="55" spans="2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2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2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 t="shared" si="2"/>
        <v>0</v>
      </c>
    </row>
    <row r="58" spans="2:21" x14ac:dyDescent="0.25">
      <c r="P58" s="123"/>
      <c r="Q58" s="123"/>
      <c r="R58" s="123"/>
      <c r="S58" s="385"/>
      <c r="T58" s="386"/>
      <c r="U58" s="387">
        <f t="shared" si="2"/>
        <v>0</v>
      </c>
    </row>
    <row r="59" spans="2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2:21" x14ac:dyDescent="0.25">
      <c r="P60" s="123"/>
      <c r="Q60" s="123"/>
      <c r="R60" s="123"/>
      <c r="S60" s="385"/>
      <c r="T60" s="386"/>
      <c r="U60" s="387">
        <f t="shared" si="2"/>
        <v>0</v>
      </c>
    </row>
    <row r="61" spans="2:21" x14ac:dyDescent="0.25">
      <c r="P61" s="123"/>
      <c r="Q61" s="123"/>
      <c r="R61" s="123"/>
      <c r="S61" s="385"/>
      <c r="T61" s="386"/>
      <c r="U61" s="387">
        <f t="shared" si="2"/>
        <v>0</v>
      </c>
    </row>
    <row r="70" spans="16:21" x14ac:dyDescent="0.25">
      <c r="U70" s="436">
        <f>SUM(U3:U69)</f>
        <v>0</v>
      </c>
    </row>
    <row r="80" spans="16:21" x14ac:dyDescent="0.25">
      <c r="P80" s="114" t="str">
        <f>List!$B$276&amp;"!"</f>
        <v>S0 a S1 pouze pro jmenovitou délku 270 a 300 mm!</v>
      </c>
    </row>
    <row r="81" spans="16:16" x14ac:dyDescent="0.25">
      <c r="P81" s="114" t="str">
        <f>List!$B$277&amp;"!"</f>
        <v>Pro výsuvy délky 270 a 300 mm vyberte jednotky S0 nebo S1!</v>
      </c>
    </row>
    <row r="82" spans="16:16" x14ac:dyDescent="0.25">
      <c r="P82" s="114" t="str">
        <f>List!$B$278&amp;"!"</f>
        <v>Počet jednotek L neodpovídá počtu korpusových lišt!</v>
      </c>
    </row>
    <row r="83" spans="16:16" x14ac:dyDescent="0.25">
      <c r="P83" s="114" t="str">
        <f>List!$B$279&amp;"!"</f>
        <v>Počet jednotek S neodpovídá počtu korpusových lišt!</v>
      </c>
    </row>
    <row r="84" spans="16:16" x14ac:dyDescent="0.25">
      <c r="P84" s="114"/>
    </row>
    <row r="85" spans="16:16" x14ac:dyDescent="0.25">
      <c r="P85" s="114" t="str">
        <f>List!$B$288&amp;"!"</f>
        <v>Zásuvky K se v provedení nerez (Inox) nevyrábí!</v>
      </c>
    </row>
    <row r="86" spans="16:16" x14ac:dyDescent="0.25">
      <c r="P86" s="114" t="str">
        <f>List!$B$290&amp;"!"</f>
        <v>Kování naplánované na tomto listu se neprojeví v objednávce!</v>
      </c>
    </row>
    <row r="100" spans="1:12" x14ac:dyDescent="0.25">
      <c r="A100" s="577"/>
    </row>
    <row r="101" spans="1:12" x14ac:dyDescent="0.25">
      <c r="A101" s="577"/>
      <c r="B101" s="586" t="str">
        <f>List!B25</f>
        <v>Informace k objednávání</v>
      </c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</row>
    <row r="102" spans="1:12" x14ac:dyDescent="0.25">
      <c r="A102" s="577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</row>
    <row r="103" spans="1:12" ht="7.5" customHeight="1" x14ac:dyDescent="0.25">
      <c r="A103" s="577"/>
    </row>
    <row r="104" spans="1:12" ht="18.75" customHeight="1" thickBot="1" x14ac:dyDescent="0.3">
      <c r="A104" s="577"/>
      <c r="B104" s="587"/>
      <c r="C104" s="587"/>
      <c r="D104" s="588" t="str">
        <f>List!B268&amp;" "&amp;List!B283</f>
        <v>Sada jednotek TIP-ON BLUMOTION a sada unašečů TIP-ON BLUMOTION</v>
      </c>
      <c r="E104" s="588"/>
      <c r="F104" s="588"/>
      <c r="G104" s="588"/>
      <c r="H104" s="588"/>
      <c r="I104" s="588"/>
      <c r="J104" s="588"/>
      <c r="K104" s="588"/>
      <c r="L104" s="588"/>
    </row>
    <row r="105" spans="1:12" ht="18.75" customHeight="1" thickBot="1" x14ac:dyDescent="0.3">
      <c r="A105" s="577"/>
      <c r="B105" s="589"/>
      <c r="C105" s="590"/>
      <c r="D105" s="593" t="str">
        <f>List!$B$280&amp;":"</f>
        <v>Využití pro:</v>
      </c>
      <c r="E105" s="594"/>
      <c r="F105" s="594"/>
      <c r="G105" s="594"/>
      <c r="H105" s="594"/>
      <c r="I105" s="595"/>
      <c r="J105" s="596" t="str">
        <f>List!B281&amp;"*"</f>
        <v>Doporučené hodnoty hmotnosti*</v>
      </c>
      <c r="K105" s="597"/>
      <c r="L105" s="597"/>
    </row>
    <row r="106" spans="1:12" ht="18.75" customHeight="1" thickBot="1" x14ac:dyDescent="0.3">
      <c r="A106" s="577"/>
      <c r="B106" s="591"/>
      <c r="C106" s="592"/>
      <c r="D106" s="600" t="str">
        <f>List!B45&amp;" (NL)"</f>
        <v>Jmenovitá délka (NL)</v>
      </c>
      <c r="E106" s="600"/>
      <c r="F106" s="600"/>
      <c r="G106" s="362" t="str">
        <f>List!B275</f>
        <v>Jednotka</v>
      </c>
      <c r="H106" s="601" t="str">
        <f>List!B88</f>
        <v>Číslo artiklu</v>
      </c>
      <c r="I106" s="602"/>
      <c r="J106" s="598"/>
      <c r="K106" s="599"/>
      <c r="L106" s="599"/>
    </row>
    <row r="107" spans="1:12" ht="18.75" customHeight="1" thickBot="1" x14ac:dyDescent="0.3">
      <c r="A107" s="577"/>
      <c r="B107" s="591"/>
      <c r="C107" s="592"/>
      <c r="D107" s="603" t="s">
        <v>988</v>
      </c>
      <c r="E107" s="604"/>
      <c r="F107" s="605"/>
      <c r="G107" s="363" t="s">
        <v>932</v>
      </c>
      <c r="H107" s="610" t="s">
        <v>997</v>
      </c>
      <c r="I107" s="611"/>
      <c r="J107" s="371" t="s">
        <v>999</v>
      </c>
      <c r="K107" s="369"/>
      <c r="L107" s="369"/>
    </row>
    <row r="108" spans="1:12" ht="18.75" customHeight="1" thickBot="1" x14ac:dyDescent="0.3">
      <c r="A108" s="577"/>
      <c r="B108" s="591"/>
      <c r="C108" s="592"/>
      <c r="D108" s="606"/>
      <c r="E108" s="607"/>
      <c r="F108" s="608"/>
      <c r="G108" s="363" t="s">
        <v>933</v>
      </c>
      <c r="H108" s="610" t="s">
        <v>989</v>
      </c>
      <c r="I108" s="611"/>
      <c r="J108" s="371" t="s">
        <v>998</v>
      </c>
      <c r="K108" s="364"/>
      <c r="L108" s="364"/>
    </row>
    <row r="109" spans="1:12" ht="18.75" customHeight="1" thickBot="1" x14ac:dyDescent="0.3">
      <c r="A109" s="577"/>
      <c r="B109" s="591"/>
      <c r="C109" s="592"/>
      <c r="D109" s="603" t="s">
        <v>991</v>
      </c>
      <c r="E109" s="604"/>
      <c r="F109" s="605"/>
      <c r="G109" s="363" t="s">
        <v>934</v>
      </c>
      <c r="H109" s="610" t="s">
        <v>992</v>
      </c>
      <c r="I109" s="611"/>
      <c r="J109" s="371" t="s">
        <v>990</v>
      </c>
      <c r="K109" s="364"/>
      <c r="L109" s="364"/>
    </row>
    <row r="110" spans="1:12" ht="18.75" customHeight="1" thickBot="1" x14ac:dyDescent="0.3">
      <c r="A110" s="577"/>
      <c r="B110" s="591"/>
      <c r="C110" s="592"/>
      <c r="D110" s="612"/>
      <c r="E110" s="613"/>
      <c r="F110" s="614"/>
      <c r="G110" s="363" t="s">
        <v>935</v>
      </c>
      <c r="H110" s="610" t="s">
        <v>993</v>
      </c>
      <c r="I110" s="611"/>
      <c r="J110" s="615" t="s">
        <v>1483</v>
      </c>
      <c r="K110" s="616"/>
      <c r="L110" s="364"/>
    </row>
    <row r="111" spans="1:12" ht="18.75" customHeight="1" thickBot="1" x14ac:dyDescent="0.3">
      <c r="A111" s="577"/>
      <c r="B111" s="591"/>
      <c r="C111" s="592"/>
      <c r="D111" s="606"/>
      <c r="E111" s="607"/>
      <c r="F111" s="608"/>
      <c r="G111" s="363" t="s">
        <v>936</v>
      </c>
      <c r="H111" s="610" t="s">
        <v>995</v>
      </c>
      <c r="I111" s="611"/>
      <c r="J111" s="365"/>
      <c r="K111" s="616" t="s">
        <v>996</v>
      </c>
      <c r="L111" s="616"/>
    </row>
    <row r="112" spans="1:12" ht="18.75" customHeight="1" x14ac:dyDescent="0.25">
      <c r="A112" s="577"/>
      <c r="B112" s="591"/>
      <c r="C112" s="592"/>
      <c r="D112" s="366"/>
      <c r="E112" s="366"/>
      <c r="F112" s="366"/>
      <c r="G112" s="367"/>
      <c r="H112" s="609" t="str">
        <f>"* "&amp;List!B282</f>
        <v>* Celková hmotnost výsuvu (hmotnost výsuvu včetně náplně)</v>
      </c>
      <c r="I112" s="609"/>
      <c r="J112" s="609"/>
      <c r="K112" s="609"/>
      <c r="L112" s="609"/>
    </row>
    <row r="113" spans="1:14" ht="18.75" customHeight="1" x14ac:dyDescent="0.25">
      <c r="A113" s="577"/>
      <c r="B113" s="591"/>
      <c r="C113" s="592"/>
      <c r="D113" s="366"/>
      <c r="E113" s="366"/>
      <c r="F113" s="366"/>
      <c r="G113" s="368"/>
      <c r="H113" s="609"/>
      <c r="I113" s="609"/>
      <c r="J113" s="609"/>
      <c r="K113" s="609"/>
      <c r="L113" s="609"/>
    </row>
    <row r="114" spans="1:14" ht="18.75" customHeight="1" x14ac:dyDescent="0.25">
      <c r="A114" s="577"/>
      <c r="N114" s="370" t="str">
        <f>List!$B$99</f>
        <v>Zpět</v>
      </c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  <row r="141" spans="1:1" x14ac:dyDescent="0.25">
      <c r="A141" s="577"/>
    </row>
  </sheetData>
  <sheetProtection algorithmName="SHA-512" hashValue="uNd7EWzJ6hNtHkwHkKDpbQY/ACi/dVKpGMzWo9d43BwVRsn5sJ9C3J4SHij78DQcWKHytKKzlrlAUNadnN/YPQ==" saltValue="AGV0Hu4Us1/x45TgbpcSuA==" spinCount="100000" sheet="1" objects="1" scenarios="1"/>
  <mergeCells count="19">
    <mergeCell ref="J110:K110"/>
    <mergeCell ref="H111:I111"/>
    <mergeCell ref="K111:L111"/>
    <mergeCell ref="A100:A141"/>
    <mergeCell ref="B101:L102"/>
    <mergeCell ref="B104:C104"/>
    <mergeCell ref="D104:L104"/>
    <mergeCell ref="B105:C113"/>
    <mergeCell ref="D105:I105"/>
    <mergeCell ref="J105:L106"/>
    <mergeCell ref="D106:F106"/>
    <mergeCell ref="H106:I106"/>
    <mergeCell ref="D107:F108"/>
    <mergeCell ref="H112:L113"/>
    <mergeCell ref="H107:I107"/>
    <mergeCell ref="H108:I108"/>
    <mergeCell ref="D109:F111"/>
    <mergeCell ref="H109:I109"/>
    <mergeCell ref="H110:I110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'AK300'!A100" tooltip=" " display="'AK300'!A100"/>
    <hyperlink ref="N114" location="'AK300'!A1" tooltip=" " display="'AK300'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theme="5"/>
  </sheetPr>
  <dimension ref="A1:R31"/>
  <sheetViews>
    <sheetView showGridLines="0" showRowColHeaders="0" workbookViewId="0">
      <selection activeCell="G26" sqref="G26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List!$B$117&amp;", "&amp;List!$B$118</f>
        <v>Příčné dělení, Podélné dělení</v>
      </c>
      <c r="I1" s="151" t="str">
        <f>List!$B$11&amp;":"</f>
        <v>Zpět na:</v>
      </c>
    </row>
    <row r="2" spans="4:18" ht="13.5" customHeight="1" thickBot="1" x14ac:dyDescent="0.3">
      <c r="D2" s="194"/>
      <c r="E2" s="194" t="str">
        <f>List!$B$129&amp;":"</f>
        <v>Základní prvek:</v>
      </c>
      <c r="F2" s="195"/>
      <c r="G2" s="194" t="str">
        <f>List!$B$48&amp;" D"</f>
        <v>Čelní výsuv D</v>
      </c>
      <c r="I2" s="149" t="str">
        <f>" "&amp;List!$B$13</f>
        <v xml:space="preserve"> Úvod</v>
      </c>
      <c r="L2" s="477" t="str">
        <f>Cen!A466</f>
        <v>Příčka ke zkrácení, KB 300mm, šedá</v>
      </c>
      <c r="M2" s="477" t="str">
        <f>Cen!B466</f>
        <v>Z40L177A</v>
      </c>
      <c r="N2" s="477" t="str">
        <f>Cen!C466</f>
        <v>R906</v>
      </c>
      <c r="O2" s="477">
        <f>Cen!D466</f>
        <v>0</v>
      </c>
      <c r="P2" s="385">
        <f>E25</f>
        <v>0</v>
      </c>
      <c r="Q2" s="386">
        <f>Cen!F466</f>
        <v>5.7865700000000002</v>
      </c>
      <c r="R2" s="387">
        <f t="shared" ref="R2:R8" si="0">P2*Q2</f>
        <v>0</v>
      </c>
    </row>
    <row r="3" spans="4:18" ht="13.5" customHeight="1" thickBot="1" x14ac:dyDescent="0.3">
      <c r="G3" s="59" t="str">
        <f>List!$B$49&amp;" D"</f>
        <v>Vnitřní výsuv D</v>
      </c>
      <c r="I3" s="150" t="str">
        <f>" "&amp;List!$B$4</f>
        <v xml:space="preserve"> Výběr zásuvek a výsuvů</v>
      </c>
      <c r="L3" s="477" t="str">
        <f>Cen!A470</f>
        <v>Příčka ke zkrácení, KB 600mm, šedá</v>
      </c>
      <c r="M3" s="477" t="str">
        <f>Cen!B470</f>
        <v>Z40L477A</v>
      </c>
      <c r="N3" s="477" t="str">
        <f>Cen!C470</f>
        <v>R906</v>
      </c>
      <c r="O3" s="477">
        <f>Cen!D470</f>
        <v>0</v>
      </c>
      <c r="P3" s="385">
        <f t="shared" ref="P3:P7" si="1">E26</f>
        <v>0</v>
      </c>
      <c r="Q3" s="386">
        <f>Cen!F470</f>
        <v>7.2901999999999996</v>
      </c>
      <c r="R3" s="387">
        <f t="shared" si="0"/>
        <v>0</v>
      </c>
    </row>
    <row r="4" spans="4:18" ht="13.5" customHeight="1" thickBot="1" x14ac:dyDescent="0.3">
      <c r="D4" s="7"/>
      <c r="E4" s="7"/>
      <c r="F4" s="7"/>
      <c r="G4" s="110" t="str">
        <f>List!$B$48&amp;" SPACE-CORNER D"</f>
        <v>Čelní výsuv SPACE-CORNER D</v>
      </c>
      <c r="I4" s="150" t="str">
        <f>" "&amp;List!$B$5</f>
        <v xml:space="preserve"> Výběr doplňků</v>
      </c>
      <c r="L4" s="477" t="str">
        <f>Cen!A474</f>
        <v>Příčka ke zkrácení, KB 900mm, šedá</v>
      </c>
      <c r="M4" s="477" t="str">
        <f>Cen!B474</f>
        <v>Z40L777A</v>
      </c>
      <c r="N4" s="477" t="str">
        <f>Cen!C474</f>
        <v>R906</v>
      </c>
      <c r="O4" s="477">
        <f>Cen!D474</f>
        <v>0</v>
      </c>
      <c r="P4" s="385">
        <f t="shared" si="1"/>
        <v>0</v>
      </c>
      <c r="Q4" s="386">
        <f>Cen!F474</f>
        <v>10.70745</v>
      </c>
      <c r="R4" s="387">
        <f t="shared" si="0"/>
        <v>0</v>
      </c>
    </row>
    <row r="5" spans="4:18" ht="13.5" customHeight="1" thickBot="1" x14ac:dyDescent="0.3">
      <c r="D5" s="181"/>
      <c r="E5" s="108" t="str">
        <f>List!$B$102&amp;" KB:"</f>
        <v>Šířka korpusu KB:</v>
      </c>
      <c r="F5" s="181"/>
      <c r="G5" s="108" t="s">
        <v>413</v>
      </c>
      <c r="I5" s="150" t="str">
        <f>" "&amp;List!$B$6</f>
        <v xml:space="preserve"> Výběr SERVO-DRIVE</v>
      </c>
      <c r="L5" s="477" t="str">
        <f>Cen!A478</f>
        <v>Příčka ke zkrácení, KB 1200mm, šedá</v>
      </c>
      <c r="M5" s="477" t="str">
        <f>Cen!B478</f>
        <v>Z40L1077A</v>
      </c>
      <c r="N5" s="477" t="str">
        <f>Cen!C478</f>
        <v>R906</v>
      </c>
      <c r="O5" s="477">
        <f>Cen!D478</f>
        <v>0</v>
      </c>
      <c r="P5" s="385">
        <f t="shared" si="1"/>
        <v>0</v>
      </c>
      <c r="Q5" s="386">
        <f>Cen!F478</f>
        <v>16.745570000000001</v>
      </c>
      <c r="R5" s="387">
        <f t="shared" si="0"/>
        <v>0</v>
      </c>
    </row>
    <row r="6" spans="4:18" ht="13.5" customHeight="1" x14ac:dyDescent="0.25">
      <c r="I6" s="265" t="str">
        <f>" "&amp;List!$B$7</f>
        <v xml:space="preserve"> Výběr ORGA-LINE</v>
      </c>
      <c r="L6" s="477" t="str">
        <f>Cen!A483</f>
        <v>Koncovka pro příčku, pro reling, D, bílošedá</v>
      </c>
      <c r="M6" s="477" t="str">
        <f>Cen!B483</f>
        <v>Z40D0002Z</v>
      </c>
      <c r="N6" s="477" t="str">
        <f>Cen!C483</f>
        <v>WGR</v>
      </c>
      <c r="O6" s="477">
        <f>Cen!D483</f>
        <v>0</v>
      </c>
      <c r="P6" s="385">
        <f t="shared" si="1"/>
        <v>0</v>
      </c>
      <c r="Q6" s="386">
        <f>Cen!F483</f>
        <v>1.8503300000000003</v>
      </c>
      <c r="R6" s="387">
        <f t="shared" si="0"/>
        <v>0</v>
      </c>
    </row>
    <row r="7" spans="4:18" ht="13.5" customHeight="1" x14ac:dyDescent="0.25">
      <c r="D7" s="58" t="s">
        <v>462</v>
      </c>
      <c r="E7" s="2" t="str">
        <f>List!B113</f>
        <v>Příčka ke zkrácení</v>
      </c>
      <c r="L7" s="477" t="str">
        <f>Cen!A487</f>
        <v>Koncovka pro příčku, pro reling, C, bílošedá</v>
      </c>
      <c r="M7" s="477" t="str">
        <f>Cen!B487</f>
        <v>Z40C0002Z</v>
      </c>
      <c r="N7" s="477" t="str">
        <f>Cen!C487</f>
        <v>WGR</v>
      </c>
      <c r="O7" s="477">
        <f>Cen!D487</f>
        <v>0</v>
      </c>
      <c r="P7" s="385">
        <f t="shared" si="1"/>
        <v>0</v>
      </c>
      <c r="Q7" s="386">
        <f>Cen!F487</f>
        <v>1.7087099999999997</v>
      </c>
      <c r="R7" s="387">
        <f t="shared" si="0"/>
        <v>0</v>
      </c>
    </row>
    <row r="8" spans="4:18" ht="13.5" customHeight="1" thickBot="1" x14ac:dyDescent="0.3">
      <c r="D8" s="58" t="s">
        <v>460</v>
      </c>
      <c r="E8" s="2" t="str">
        <f>List!$B$114&amp;" ("&amp;List!B115&amp;")"</f>
        <v>Koncovka pro příčku (pro reling)</v>
      </c>
      <c r="I8" s="2" t="str">
        <f>List!$B$12&amp;":"</f>
        <v>Pokračovat na:</v>
      </c>
      <c r="L8" s="477" t="str">
        <f>Cen!A496</f>
        <v>Podélné dělení, šedé</v>
      </c>
      <c r="M8" s="477" t="str">
        <f>Cen!B496</f>
        <v>Z43L100S</v>
      </c>
      <c r="N8" s="477" t="str">
        <f>Cen!C496</f>
        <v>R906</v>
      </c>
      <c r="O8" s="477">
        <f>Cen!D496</f>
        <v>0</v>
      </c>
      <c r="P8" s="385">
        <f>E31</f>
        <v>0</v>
      </c>
      <c r="Q8" s="386">
        <f>Cen!F496</f>
        <v>3.4353400000000001</v>
      </c>
      <c r="R8" s="387">
        <f t="shared" si="0"/>
        <v>0</v>
      </c>
    </row>
    <row r="9" spans="4:18" ht="13.5" customHeight="1" thickBot="1" x14ac:dyDescent="0.3">
      <c r="D9" s="58" t="s">
        <v>458</v>
      </c>
      <c r="E9" s="2" t="str">
        <f>List!B118</f>
        <v>Podélné dělení</v>
      </c>
      <c r="I9" s="150" t="str">
        <f>" "&amp;List!$B$18</f>
        <v xml:space="preserve"> Souhrn</v>
      </c>
    </row>
    <row r="10" spans="4:18" ht="13.5" customHeight="1" x14ac:dyDescent="0.25">
      <c r="D10" s="58"/>
      <c r="I10" s="150" t="str">
        <f>" "&amp;List!$B$20</f>
        <v xml:space="preserve"> Objednávka</v>
      </c>
      <c r="R10" s="436">
        <f>SUM(R2:R9)</f>
        <v>0</v>
      </c>
    </row>
    <row r="11" spans="4:18" ht="7.5" customHeight="1" x14ac:dyDescent="0.25"/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</row>
    <row r="14" spans="4:18" ht="13.5" customHeight="1" x14ac:dyDescent="0.25"/>
    <row r="15" spans="4:18" ht="13.5" customHeight="1" x14ac:dyDescent="0.25"/>
    <row r="16" spans="4:18" ht="7.5" customHeight="1" x14ac:dyDescent="0.25"/>
    <row r="17" spans="1:9" ht="13.5" customHeight="1" x14ac:dyDescent="0.25">
      <c r="D17" s="59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  <c r="I18" s="2" t="str">
        <f>"         "&amp;List!$B$174</f>
        <v xml:space="preserve">         Ukládání potravin </v>
      </c>
    </row>
    <row r="19" spans="1:9" ht="13.5" customHeight="1" x14ac:dyDescent="0.25">
      <c r="E19" s="2" t="s">
        <v>409</v>
      </c>
      <c r="I19" s="2" t="s">
        <v>663</v>
      </c>
    </row>
    <row r="20" spans="1:9" ht="13.5" customHeight="1" x14ac:dyDescent="0.25">
      <c r="E20" s="2" t="s">
        <v>411</v>
      </c>
    </row>
    <row r="21" spans="1:9" ht="13.5" customHeight="1" x14ac:dyDescent="0.25">
      <c r="E21" s="2" t="s">
        <v>410</v>
      </c>
      <c r="I21" s="2" t="str">
        <f>"         "&amp;List!$B$175</f>
        <v xml:space="preserve">         Načatá balení potravin</v>
      </c>
    </row>
    <row r="22" spans="1:9" ht="13.5" customHeight="1" x14ac:dyDescent="0.25">
      <c r="I22" s="2" t="str">
        <f>"         "&amp;List!$B$176</f>
        <v xml:space="preserve">         Misky a mísy</v>
      </c>
    </row>
    <row r="23" spans="1:9" ht="13.5" customHeight="1" x14ac:dyDescent="0.25"/>
    <row r="24" spans="1:9" ht="15" customHeight="1" x14ac:dyDescent="0.3">
      <c r="B24" s="193" t="str">
        <f>List!$B$22&amp;":"</f>
        <v>Soupis kování:</v>
      </c>
      <c r="C24" s="7"/>
      <c r="D24" s="7"/>
      <c r="E24" s="196" t="str">
        <f>List!$B$90&amp;":"</f>
        <v>Počet:</v>
      </c>
      <c r="F24" s="459"/>
      <c r="G24" s="460"/>
      <c r="I24" s="2" t="str">
        <f>"         "&amp;List!$B$177</f>
        <v xml:space="preserve">         Hrnce, poklice, náčiní</v>
      </c>
    </row>
    <row r="25" spans="1:9" ht="15" customHeight="1" x14ac:dyDescent="0.25">
      <c r="A25" s="5" t="s">
        <v>462</v>
      </c>
      <c r="B25" s="6" t="str">
        <f>Cen!A466&amp;" *"</f>
        <v>Příčka ke zkrácení, KB 300mm, šedá *</v>
      </c>
      <c r="C25" s="6" t="str">
        <f>Cen!B466</f>
        <v>Z40L177A</v>
      </c>
      <c r="D25" s="6" t="str">
        <f>Cen!C466</f>
        <v>R906</v>
      </c>
      <c r="E25" s="9"/>
      <c r="F25" s="461"/>
      <c r="G25" s="462"/>
    </row>
    <row r="26" spans="1:9" ht="15" customHeight="1" x14ac:dyDescent="0.25">
      <c r="A26" s="5" t="s">
        <v>462</v>
      </c>
      <c r="B26" s="6" t="str">
        <f>Cen!A470&amp;" *"</f>
        <v>Příčka ke zkrácení, KB 600mm, šedá *</v>
      </c>
      <c r="C26" s="6" t="str">
        <f>Cen!B470</f>
        <v>Z40L477A</v>
      </c>
      <c r="D26" s="6" t="str">
        <f>Cen!C470</f>
        <v>R906</v>
      </c>
      <c r="E26" s="9"/>
      <c r="F26" s="461"/>
      <c r="G26" s="462"/>
    </row>
    <row r="27" spans="1:9" ht="15" customHeight="1" x14ac:dyDescent="0.25">
      <c r="A27" s="5" t="s">
        <v>462</v>
      </c>
      <c r="B27" s="6" t="str">
        <f>Cen!A474&amp;" *"</f>
        <v>Příčka ke zkrácení, KB 900mm, šedá *</v>
      </c>
      <c r="C27" s="6" t="str">
        <f>Cen!B474</f>
        <v>Z40L777A</v>
      </c>
      <c r="D27" s="6" t="str">
        <f>Cen!C474</f>
        <v>R906</v>
      </c>
      <c r="E27" s="9"/>
      <c r="F27" s="461"/>
      <c r="G27" s="462"/>
    </row>
    <row r="28" spans="1:9" ht="15" customHeight="1" x14ac:dyDescent="0.25">
      <c r="A28" s="5" t="s">
        <v>462</v>
      </c>
      <c r="B28" s="6" t="str">
        <f>Cen!A478&amp;" *"</f>
        <v>Příčka ke zkrácení, KB 1200mm, šedá *</v>
      </c>
      <c r="C28" s="6" t="str">
        <f>Cen!B478</f>
        <v>Z40L1077A</v>
      </c>
      <c r="D28" s="6" t="str">
        <f>Cen!C478</f>
        <v>R906</v>
      </c>
      <c r="E28" s="9"/>
      <c r="F28" s="461"/>
      <c r="G28" s="462"/>
    </row>
    <row r="29" spans="1:9" ht="15" customHeight="1" x14ac:dyDescent="0.25">
      <c r="A29" s="5" t="s">
        <v>460</v>
      </c>
      <c r="B29" s="6" t="str">
        <f>Cen!A483</f>
        <v>Koncovka pro příčku, pro reling, D, bílošedá</v>
      </c>
      <c r="C29" s="6" t="str">
        <f>Cen!B483</f>
        <v>Z40D0002Z</v>
      </c>
      <c r="D29" s="6" t="str">
        <f>Cen!C483</f>
        <v>WGR</v>
      </c>
      <c r="E29" s="9"/>
      <c r="F29" s="461"/>
      <c r="G29" s="462"/>
    </row>
    <row r="30" spans="1:9" ht="15" customHeight="1" x14ac:dyDescent="0.25">
      <c r="A30" s="5" t="s">
        <v>460</v>
      </c>
      <c r="B30" s="6" t="str">
        <f>Cen!A487</f>
        <v>Koncovka pro příčku, pro reling, C, bílošedá</v>
      </c>
      <c r="C30" s="6" t="str">
        <f>Cen!B487</f>
        <v>Z40C0002Z</v>
      </c>
      <c r="D30" s="6" t="str">
        <f>Cen!C487</f>
        <v>WGR</v>
      </c>
      <c r="E30" s="9"/>
      <c r="F30" s="461"/>
      <c r="G30" s="462"/>
    </row>
    <row r="31" spans="1:9" ht="15" customHeight="1" x14ac:dyDescent="0.25">
      <c r="A31" s="5" t="s">
        <v>458</v>
      </c>
      <c r="B31" s="6" t="str">
        <f>Cen!A496</f>
        <v>Podélné dělení, šedé</v>
      </c>
      <c r="C31" s="6" t="str">
        <f>Cen!B496</f>
        <v>Z43L100S</v>
      </c>
      <c r="D31" s="6" t="str">
        <f>Cen!C496</f>
        <v>R906</v>
      </c>
      <c r="E31" s="9"/>
      <c r="F31" s="461"/>
      <c r="G31" s="462"/>
    </row>
  </sheetData>
  <sheetProtection algorithmName="SHA-512" hashValue="RRsnkK64TqVoNlmsjcvNW2NaTtcmLZEM8iIEyseDFcoo+wHtCR6h6pZlZf9vPZZw1Q8ibwrcOzBZhHKlbQab8w==" saltValue="dtrUc9Jvsuwoa3/BtZGqx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5"/>
  </sheetPr>
  <dimension ref="A1:R24"/>
  <sheetViews>
    <sheetView showGridLines="0" showRowColHeaders="0" workbookViewId="0">
      <selection activeCell="G23" sqref="G23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List!$B$120</f>
        <v>Držáky talířů</v>
      </c>
      <c r="I1" s="151" t="str">
        <f>List!$B$11&amp;":"</f>
        <v>Zpět na:</v>
      </c>
    </row>
    <row r="2" spans="4:18" ht="13.5" customHeight="1" thickBot="1" x14ac:dyDescent="0.3">
      <c r="D2" s="194"/>
      <c r="E2" s="194" t="str">
        <f>List!$B$129&amp;":"</f>
        <v>Základní prvek:</v>
      </c>
      <c r="F2" s="195"/>
      <c r="G2" s="194" t="str">
        <f>List!$B$48&amp;" D"</f>
        <v>Čelní výsuv D</v>
      </c>
      <c r="I2" s="149" t="str">
        <f>" "&amp;List!$B$13</f>
        <v xml:space="preserve"> Úvod</v>
      </c>
      <c r="L2" s="477" t="str">
        <f>Cen!A544</f>
        <v>Držák talířů</v>
      </c>
      <c r="M2" s="477" t="str">
        <f>Cen!B544</f>
        <v>ZC7T0350</v>
      </c>
      <c r="N2" s="477" t="str">
        <f>Cen!C544</f>
        <v>OG-M</v>
      </c>
      <c r="O2" s="477">
        <f>Cen!D544</f>
        <v>0</v>
      </c>
      <c r="P2" s="385">
        <f>E24</f>
        <v>0</v>
      </c>
      <c r="Q2" s="386">
        <f>Cen!F544</f>
        <v>38.501280000000001</v>
      </c>
      <c r="R2" s="387">
        <f t="shared" ref="R2" si="0">P2*Q2</f>
        <v>0</v>
      </c>
    </row>
    <row r="3" spans="4:18" ht="13.5" customHeight="1" thickBot="1" x14ac:dyDescent="0.3">
      <c r="G3" s="59" t="str">
        <f>List!$B$49&amp;" D"</f>
        <v>Vnitřní výsuv D</v>
      </c>
      <c r="I3" s="150" t="str">
        <f>" "&amp;List!$B$4</f>
        <v xml:space="preserve"> Výběr zásuvek a výsuvů</v>
      </c>
    </row>
    <row r="4" spans="4:18" ht="13.5" customHeight="1" thickBot="1" x14ac:dyDescent="0.3">
      <c r="D4" s="7"/>
      <c r="E4" s="7"/>
      <c r="F4" s="7"/>
      <c r="G4" s="110" t="str">
        <f>List!$B$48&amp;" SPACE-CORNER D"</f>
        <v>Čelní výsuv SPACE-CORNER D</v>
      </c>
      <c r="I4" s="150" t="str">
        <f>" "&amp;List!$B$5</f>
        <v xml:space="preserve"> Výběr doplňků</v>
      </c>
    </row>
    <row r="5" spans="4:18" ht="13.5" customHeight="1" thickBot="1" x14ac:dyDescent="0.3">
      <c r="D5" s="181"/>
      <c r="E5" s="108" t="str">
        <f>List!$B$102&amp;" KB:"</f>
        <v>Šířka korpusu KB:</v>
      </c>
      <c r="F5" s="181"/>
      <c r="G5" s="108" t="s">
        <v>115</v>
      </c>
      <c r="I5" s="150" t="str">
        <f>" "&amp;List!$B$6</f>
        <v xml:space="preserve"> Výběr SERVO-DRIVE</v>
      </c>
    </row>
    <row r="6" spans="4:18" ht="13.5" customHeight="1" x14ac:dyDescent="0.25">
      <c r="I6" s="265" t="str">
        <f>" "&amp;List!$B$7</f>
        <v xml:space="preserve"> Výběr ORGA-LINE</v>
      </c>
    </row>
    <row r="7" spans="4:18" ht="13.5" customHeight="1" x14ac:dyDescent="0.25">
      <c r="D7" s="58"/>
      <c r="E7" s="58" t="s">
        <v>116</v>
      </c>
      <c r="F7" s="2" t="str">
        <f>List!B119</f>
        <v>Držák talířů</v>
      </c>
    </row>
    <row r="8" spans="4:18" ht="13.5" customHeight="1" thickBot="1" x14ac:dyDescent="0.3">
      <c r="D8" s="58"/>
      <c r="I8" s="2" t="str">
        <f>List!$B$12&amp;":"</f>
        <v>Pokračovat na:</v>
      </c>
    </row>
    <row r="9" spans="4:18" ht="13.5" customHeight="1" thickBot="1" x14ac:dyDescent="0.3">
      <c r="D9" s="58"/>
      <c r="I9" s="150" t="str">
        <f>" "&amp;List!$B$18</f>
        <v xml:space="preserve"> Souhrn</v>
      </c>
    </row>
    <row r="10" spans="4:18" ht="13.5" customHeight="1" x14ac:dyDescent="0.25">
      <c r="D10" s="58"/>
      <c r="I10" s="150" t="str">
        <f>" "&amp;List!$B$20</f>
        <v xml:space="preserve"> Objednávka</v>
      </c>
    </row>
    <row r="11" spans="4:18" ht="7.5" customHeight="1" x14ac:dyDescent="0.25"/>
    <row r="12" spans="4:18" ht="13.5" customHeight="1" x14ac:dyDescent="0.25">
      <c r="F12" s="59" t="s">
        <v>117</v>
      </c>
    </row>
    <row r="13" spans="4:18" ht="13.5" customHeight="1" x14ac:dyDescent="0.25">
      <c r="E13" s="59" t="s">
        <v>119</v>
      </c>
      <c r="F13" s="58">
        <v>2</v>
      </c>
    </row>
    <row r="14" spans="4:18" ht="13.5" customHeight="1" x14ac:dyDescent="0.25">
      <c r="E14" s="59" t="s">
        <v>118</v>
      </c>
      <c r="F14" s="58">
        <v>3</v>
      </c>
    </row>
    <row r="15" spans="4:18" ht="13.5" customHeight="1" x14ac:dyDescent="0.25">
      <c r="E15" s="59" t="s">
        <v>120</v>
      </c>
      <c r="F15" s="58">
        <v>4</v>
      </c>
    </row>
    <row r="16" spans="4:18" ht="13.5" customHeight="1" x14ac:dyDescent="0.25">
      <c r="D16" s="59"/>
      <c r="E16" s="59" t="s">
        <v>121</v>
      </c>
      <c r="F16" s="58">
        <v>6</v>
      </c>
    </row>
    <row r="17" spans="1:9" ht="13.5" customHeight="1" x14ac:dyDescent="0.25">
      <c r="E17" s="2" t="s">
        <v>127</v>
      </c>
      <c r="I17" s="2" t="str">
        <f>"         "&amp;List!$B$178</f>
        <v xml:space="preserve">         Ukládání talířů</v>
      </c>
    </row>
    <row r="18" spans="1:9" ht="13.5" customHeight="1" x14ac:dyDescent="0.25">
      <c r="E18" s="59" t="str">
        <f>List!$B$192&amp;" 1000x1000"</f>
        <v>do 1000x1000</v>
      </c>
      <c r="F18" s="58">
        <v>2</v>
      </c>
    </row>
    <row r="19" spans="1:9" ht="13.5" customHeight="1" x14ac:dyDescent="0.25">
      <c r="E19" s="59" t="str">
        <f>List!$B$191&amp;" 1050x1050"</f>
        <v>od 1050x1050</v>
      </c>
      <c r="F19" s="58">
        <v>3</v>
      </c>
    </row>
    <row r="20" spans="1:9" ht="13.5" customHeight="1" x14ac:dyDescent="0.25"/>
    <row r="21" spans="1:9" ht="13.5" customHeight="1" x14ac:dyDescent="0.25"/>
    <row r="22" spans="1:9" ht="13.5" customHeight="1" x14ac:dyDescent="0.25"/>
    <row r="23" spans="1:9" ht="15" customHeight="1" x14ac:dyDescent="0.3">
      <c r="B23" s="193" t="str">
        <f>List!$B$22&amp;":"</f>
        <v>Soupis kování:</v>
      </c>
      <c r="C23" s="7"/>
      <c r="D23" s="7"/>
      <c r="E23" s="196" t="str">
        <f>List!$B$90&amp;":"</f>
        <v>Počet:</v>
      </c>
      <c r="F23" s="459"/>
      <c r="G23" s="460"/>
    </row>
    <row r="24" spans="1:9" ht="15" customHeight="1" x14ac:dyDescent="0.25">
      <c r="A24" s="5" t="s">
        <v>116</v>
      </c>
      <c r="B24" s="6" t="str">
        <f>Cen!A544</f>
        <v>Držák talířů</v>
      </c>
      <c r="C24" s="6" t="str">
        <f>Cen!B544</f>
        <v>ZC7T0350</v>
      </c>
      <c r="D24" s="6" t="str">
        <f>Cen!C544</f>
        <v>OG-M</v>
      </c>
      <c r="E24" s="9"/>
      <c r="F24" s="461"/>
      <c r="G24" s="462"/>
    </row>
  </sheetData>
  <sheetProtection algorithmName="SHA-512" hashValue="VuiJlnUw0AyoxPdyfxN3JsMg0oF9A/IeWfcG72XUvp5HOiSU9Xs1/NjFfVa90LDC8sTVottZrwVEqtfzvrsVbA==" saltValue="kLXjIhosYET6E1FK7mWBhA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theme="5"/>
  </sheetPr>
  <dimension ref="A1:R36"/>
  <sheetViews>
    <sheetView showGridLines="0" showRowColHeaders="0" workbookViewId="0">
      <selection activeCell="H25" sqref="H25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List!$B$121&amp;", "&amp;List!$B$122&amp;", "&amp;List!$B$135</f>
        <v>Vana na láhve, Mezistěna, Příčky</v>
      </c>
      <c r="I1" s="151" t="str">
        <f>List!$B$11&amp;":"</f>
        <v>Zpět na:</v>
      </c>
    </row>
    <row r="2" spans="4:18" ht="13.5" customHeight="1" thickBot="1" x14ac:dyDescent="0.3">
      <c r="D2" s="6"/>
      <c r="E2" s="108" t="str">
        <f>List!$B$129&amp;":"</f>
        <v>Základní prvek:</v>
      </c>
      <c r="F2" s="109"/>
      <c r="G2" s="108" t="str">
        <f>List!$B$48&amp;" D"</f>
        <v>Čelní výsuv D</v>
      </c>
      <c r="I2" s="149" t="str">
        <f>" "&amp;List!$B$13</f>
        <v xml:space="preserve"> Úvod</v>
      </c>
      <c r="L2" s="477" t="str">
        <f>Cen!A466</f>
        <v>Příčka ke zkrácení, KB 300mm, šedá</v>
      </c>
      <c r="M2" s="477" t="str">
        <f>Cen!B466</f>
        <v>Z40L177A</v>
      </c>
      <c r="N2" s="477" t="str">
        <f>Cen!C466</f>
        <v>R906</v>
      </c>
      <c r="O2" s="477">
        <f>Cen!D466</f>
        <v>0</v>
      </c>
      <c r="P2" s="385">
        <f>E25</f>
        <v>0</v>
      </c>
      <c r="Q2" s="386">
        <f>Cen!F466</f>
        <v>5.7865700000000002</v>
      </c>
      <c r="R2" s="387">
        <f t="shared" ref="R2:R9" si="0">P2*Q2</f>
        <v>0</v>
      </c>
    </row>
    <row r="3" spans="4:18" ht="13.5" customHeight="1" thickBot="1" x14ac:dyDescent="0.3">
      <c r="D3" s="6"/>
      <c r="E3" s="108" t="str">
        <f>List!$B$102&amp;" KB:"</f>
        <v>Šířka korpusu KB:</v>
      </c>
      <c r="F3" s="6"/>
      <c r="G3" s="108" t="s">
        <v>413</v>
      </c>
      <c r="I3" s="150" t="str">
        <f>" "&amp;List!$B$4</f>
        <v xml:space="preserve"> Výběr zásuvek a výsuvů</v>
      </c>
      <c r="L3" s="477" t="str">
        <f>Cen!A470</f>
        <v>Příčka ke zkrácení, KB 600mm, šedá</v>
      </c>
      <c r="M3" s="477" t="str">
        <f>Cen!B470</f>
        <v>Z40L477A</v>
      </c>
      <c r="N3" s="477" t="str">
        <f>Cen!C470</f>
        <v>R906</v>
      </c>
      <c r="O3" s="477">
        <f>Cen!D470</f>
        <v>0</v>
      </c>
      <c r="P3" s="385">
        <f t="shared" ref="P3:P11" si="1">E26</f>
        <v>0</v>
      </c>
      <c r="Q3" s="386">
        <f>Cen!F470</f>
        <v>7.2901999999999996</v>
      </c>
      <c r="R3" s="387">
        <f t="shared" si="0"/>
        <v>0</v>
      </c>
    </row>
    <row r="4" spans="4:18" ht="13.5" customHeight="1" thickBot="1" x14ac:dyDescent="0.3">
      <c r="I4" s="150" t="str">
        <f>" "&amp;List!$B$5</f>
        <v xml:space="preserve"> Výběr doplňků</v>
      </c>
      <c r="L4" s="477" t="str">
        <f>Cen!A474</f>
        <v>Příčka ke zkrácení, KB 900mm, šedá</v>
      </c>
      <c r="M4" s="477" t="str">
        <f>Cen!B474</f>
        <v>Z40L777A</v>
      </c>
      <c r="N4" s="477" t="str">
        <f>Cen!C474</f>
        <v>R906</v>
      </c>
      <c r="O4" s="477">
        <f>Cen!D474</f>
        <v>0</v>
      </c>
      <c r="P4" s="385">
        <f t="shared" si="1"/>
        <v>0</v>
      </c>
      <c r="Q4" s="386">
        <f>Cen!F474</f>
        <v>10.70745</v>
      </c>
      <c r="R4" s="387">
        <f t="shared" si="0"/>
        <v>0</v>
      </c>
    </row>
    <row r="5" spans="4:18" ht="13.5" customHeight="1" thickBot="1" x14ac:dyDescent="0.3">
      <c r="D5" s="58" t="s">
        <v>462</v>
      </c>
      <c r="E5" s="2" t="str">
        <f>List!B113</f>
        <v>Příčka ke zkrácení</v>
      </c>
      <c r="I5" s="150" t="str">
        <f>" "&amp;List!$B$6</f>
        <v xml:space="preserve"> Výběr SERVO-DRIVE</v>
      </c>
      <c r="L5" s="477" t="str">
        <f>Cen!A478</f>
        <v>Příčka ke zkrácení, KB 1200mm, šedá</v>
      </c>
      <c r="M5" s="477" t="str">
        <f>Cen!B478</f>
        <v>Z40L1077A</v>
      </c>
      <c r="N5" s="477" t="str">
        <f>Cen!C478</f>
        <v>R906</v>
      </c>
      <c r="O5" s="477">
        <f>Cen!D478</f>
        <v>0</v>
      </c>
      <c r="P5" s="385">
        <f t="shared" si="1"/>
        <v>0</v>
      </c>
      <c r="Q5" s="386">
        <f>Cen!F478</f>
        <v>16.745570000000001</v>
      </c>
      <c r="R5" s="387">
        <f t="shared" si="0"/>
        <v>0</v>
      </c>
    </row>
    <row r="6" spans="4:18" ht="13.5" customHeight="1" x14ac:dyDescent="0.25">
      <c r="D6" s="58" t="s">
        <v>460</v>
      </c>
      <c r="E6" s="2" t="str">
        <f>List!$B$114&amp;" ("&amp;List!B115&amp;")"</f>
        <v>Koncovka pro příčku (pro reling)</v>
      </c>
      <c r="I6" s="265" t="str">
        <f>" "&amp;List!$B$7</f>
        <v xml:space="preserve"> Výběr ORGA-LINE</v>
      </c>
      <c r="L6" s="477" t="str">
        <f>Cen!A483</f>
        <v>Koncovka pro příčku, pro reling, D, bílošedá</v>
      </c>
      <c r="M6" s="477" t="str">
        <f>Cen!B483</f>
        <v>Z40D0002Z</v>
      </c>
      <c r="N6" s="477" t="str">
        <f>Cen!C483</f>
        <v>WGR</v>
      </c>
      <c r="O6" s="477">
        <f>Cen!D483</f>
        <v>0</v>
      </c>
      <c r="P6" s="385">
        <f t="shared" si="1"/>
        <v>0</v>
      </c>
      <c r="Q6" s="386">
        <f>Cen!F483</f>
        <v>1.8503300000000003</v>
      </c>
      <c r="R6" s="387">
        <f t="shared" si="0"/>
        <v>0</v>
      </c>
    </row>
    <row r="7" spans="4:18" ht="13.5" customHeight="1" x14ac:dyDescent="0.25">
      <c r="D7" s="58" t="s">
        <v>459</v>
      </c>
      <c r="E7" s="2" t="str">
        <f>List!$B$114&amp;" ("&amp;List!B116&amp;")"</f>
        <v>Koncovka pro příčku (pro mezistěnu)</v>
      </c>
      <c r="L7" s="477" t="str">
        <f>Cen!A487</f>
        <v>Koncovka pro příčku, pro reling, C, bílošedá</v>
      </c>
      <c r="M7" s="477" t="str">
        <f>Cen!B487</f>
        <v>Z40C0002Z</v>
      </c>
      <c r="N7" s="477" t="str">
        <f>Cen!C487</f>
        <v>WGR</v>
      </c>
      <c r="O7" s="477">
        <f>Cen!D487</f>
        <v>0</v>
      </c>
      <c r="P7" s="385">
        <f t="shared" si="1"/>
        <v>0</v>
      </c>
      <c r="Q7" s="386">
        <f>Cen!F487</f>
        <v>1.7087099999999997</v>
      </c>
      <c r="R7" s="387">
        <f t="shared" si="0"/>
        <v>0</v>
      </c>
    </row>
    <row r="8" spans="4:18" ht="13.5" customHeight="1" thickBot="1" x14ac:dyDescent="0.3">
      <c r="D8" s="58" t="s">
        <v>458</v>
      </c>
      <c r="E8" s="2" t="str">
        <f>List!B118</f>
        <v>Podélné dělení</v>
      </c>
      <c r="I8" s="2" t="str">
        <f>List!$B$12&amp;":"</f>
        <v>Pokračovat na:</v>
      </c>
      <c r="L8" s="477" t="str">
        <f>Cen!A491</f>
        <v>Koncovka pro příčku, pro mezistěnu, bílošedá</v>
      </c>
      <c r="M8" s="477" t="str">
        <f>Cen!B491</f>
        <v>Z40L0002</v>
      </c>
      <c r="N8" s="477" t="str">
        <f>Cen!C491</f>
        <v>WGR</v>
      </c>
      <c r="O8" s="477">
        <f>Cen!D491</f>
        <v>0</v>
      </c>
      <c r="P8" s="385">
        <f t="shared" si="1"/>
        <v>0</v>
      </c>
      <c r="Q8" s="386">
        <f>Cen!F491</f>
        <v>1.8503300000000003</v>
      </c>
      <c r="R8" s="387">
        <f t="shared" ref="R8" si="2">P8*Q8</f>
        <v>0</v>
      </c>
    </row>
    <row r="9" spans="4:18" ht="13.5" customHeight="1" thickBot="1" x14ac:dyDescent="0.3">
      <c r="D9" s="58" t="s">
        <v>457</v>
      </c>
      <c r="E9" s="2" t="str">
        <f>List!B121</f>
        <v>Vana na láhve</v>
      </c>
      <c r="I9" s="150" t="str">
        <f>" "&amp;List!$B$18</f>
        <v xml:space="preserve"> Souhrn</v>
      </c>
      <c r="L9" s="477" t="str">
        <f>Cen!A496</f>
        <v>Podélné dělení, šedé</v>
      </c>
      <c r="M9" s="477" t="str">
        <f>Cen!B496</f>
        <v>Z43L100S</v>
      </c>
      <c r="N9" s="477" t="str">
        <f>Cen!C496</f>
        <v>R906</v>
      </c>
      <c r="O9" s="477">
        <f>Cen!D496</f>
        <v>0</v>
      </c>
      <c r="P9" s="385">
        <f t="shared" si="1"/>
        <v>0</v>
      </c>
      <c r="Q9" s="386">
        <f>Cen!F496</f>
        <v>3.4353400000000001</v>
      </c>
      <c r="R9" s="387">
        <f t="shared" si="0"/>
        <v>0</v>
      </c>
    </row>
    <row r="10" spans="4:18" ht="13.5" customHeight="1" x14ac:dyDescent="0.25">
      <c r="D10" s="58" t="s">
        <v>456</v>
      </c>
      <c r="E10" s="2" t="str">
        <f>List!B122</f>
        <v>Mezistěna</v>
      </c>
      <c r="I10" s="150" t="str">
        <f>" "&amp;List!$B$20</f>
        <v xml:space="preserve"> Objednávka</v>
      </c>
      <c r="L10" s="477" t="str">
        <f>Cen!A522</f>
        <v>Mezistěna, 500mm, šedá</v>
      </c>
      <c r="M10" s="477" t="str">
        <f>Cen!B522</f>
        <v xml:space="preserve">Z46L470S   </v>
      </c>
      <c r="N10" s="477" t="str">
        <f>Cen!C522</f>
        <v>R906</v>
      </c>
      <c r="O10" s="477">
        <f>Cen!D522</f>
        <v>0</v>
      </c>
      <c r="P10" s="385">
        <f t="shared" si="1"/>
        <v>0</v>
      </c>
      <c r="Q10" s="386">
        <f>Cen!F522</f>
        <v>28.674389999999999</v>
      </c>
      <c r="R10" s="387">
        <f t="shared" ref="R10:R11" si="3">P10*Q10</f>
        <v>0</v>
      </c>
    </row>
    <row r="11" spans="4:18" ht="13.5" customHeight="1" x14ac:dyDescent="0.25">
      <c r="L11" s="477" t="str">
        <f>Cen!A540</f>
        <v>Vana na láhve, 500mm</v>
      </c>
      <c r="M11" s="477" t="str">
        <f>Cen!B540</f>
        <v>Z48.30B0I6</v>
      </c>
      <c r="N11" s="477" t="str">
        <f>Cen!C540</f>
        <v>IG/G</v>
      </c>
      <c r="O11" s="477">
        <f>Cen!D540</f>
        <v>0</v>
      </c>
      <c r="P11" s="385">
        <f t="shared" si="1"/>
        <v>0</v>
      </c>
      <c r="Q11" s="386">
        <f>Cen!F540</f>
        <v>42.601520000000001</v>
      </c>
      <c r="R11" s="387">
        <f t="shared" si="3"/>
        <v>0</v>
      </c>
    </row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  <c r="R13" s="436">
        <f>SUM(R2:R12)</f>
        <v>0</v>
      </c>
    </row>
    <row r="14" spans="4:18" ht="13.5" customHeight="1" x14ac:dyDescent="0.25">
      <c r="E14" s="2" t="s">
        <v>453</v>
      </c>
    </row>
    <row r="15" spans="4:18" ht="13.5" customHeight="1" x14ac:dyDescent="0.25">
      <c r="E15" s="2" t="s">
        <v>452</v>
      </c>
    </row>
    <row r="16" spans="4:18" ht="7.5" customHeight="1" x14ac:dyDescent="0.25"/>
    <row r="17" spans="1:9" ht="13.5" customHeight="1" x14ac:dyDescent="0.25">
      <c r="D17" s="59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  <c r="I18" s="2" t="str">
        <f>"         "&amp;List!$B$179</f>
        <v xml:space="preserve">         Odpadkové koše, mycí prostředky</v>
      </c>
    </row>
    <row r="19" spans="1:9" ht="13.5" customHeight="1" x14ac:dyDescent="0.25">
      <c r="E19" s="2" t="s">
        <v>409</v>
      </c>
    </row>
    <row r="20" spans="1:9" ht="13.5" customHeight="1" x14ac:dyDescent="0.25">
      <c r="E20" s="2" t="s">
        <v>411</v>
      </c>
      <c r="I20" s="2" t="str">
        <f>"         "&amp;List!$B$180</f>
        <v xml:space="preserve">         Láhve, načatá balení potravin</v>
      </c>
    </row>
    <row r="21" spans="1:9" ht="13.5" customHeight="1" x14ac:dyDescent="0.25">
      <c r="E21" s="2" t="s">
        <v>410</v>
      </c>
    </row>
    <row r="22" spans="1:9" ht="13.5" customHeight="1" x14ac:dyDescent="0.25"/>
    <row r="23" spans="1:9" ht="13.5" customHeight="1" x14ac:dyDescent="0.25"/>
    <row r="24" spans="1:9" ht="15" customHeight="1" x14ac:dyDescent="0.3">
      <c r="B24" s="193" t="str">
        <f>List!$B$22&amp;":"</f>
        <v>Soupis kování:</v>
      </c>
      <c r="C24" s="7"/>
      <c r="D24" s="7"/>
      <c r="E24" s="196" t="str">
        <f>List!$B$90&amp;":"</f>
        <v>Počet:</v>
      </c>
      <c r="F24" s="459"/>
      <c r="G24" s="460"/>
    </row>
    <row r="25" spans="1:9" ht="15" customHeight="1" x14ac:dyDescent="0.25">
      <c r="A25" s="5" t="s">
        <v>462</v>
      </c>
      <c r="B25" s="6" t="str">
        <f>Cen!A466&amp;" *"</f>
        <v>Příčka ke zkrácení, KB 300mm, šedá *</v>
      </c>
      <c r="C25" s="6" t="str">
        <f>Cen!B466</f>
        <v>Z40L177A</v>
      </c>
      <c r="D25" s="6" t="str">
        <f>Cen!C466</f>
        <v>R906</v>
      </c>
      <c r="E25" s="9"/>
      <c r="F25" s="461"/>
      <c r="G25" s="462"/>
    </row>
    <row r="26" spans="1:9" ht="15" customHeight="1" x14ac:dyDescent="0.25">
      <c r="A26" s="5" t="s">
        <v>462</v>
      </c>
      <c r="B26" s="6" t="str">
        <f>Cen!A470&amp;" *"</f>
        <v>Příčka ke zkrácení, KB 600mm, šedá *</v>
      </c>
      <c r="C26" s="6" t="str">
        <f>Cen!B470</f>
        <v>Z40L477A</v>
      </c>
      <c r="D26" s="6" t="str">
        <f>Cen!C470</f>
        <v>R906</v>
      </c>
      <c r="E26" s="9"/>
      <c r="F26" s="461"/>
      <c r="G26" s="462"/>
    </row>
    <row r="27" spans="1:9" ht="15" customHeight="1" x14ac:dyDescent="0.25">
      <c r="A27" s="5" t="s">
        <v>462</v>
      </c>
      <c r="B27" s="6" t="str">
        <f>Cen!A474&amp;" *"</f>
        <v>Příčka ke zkrácení, KB 900mm, šedá *</v>
      </c>
      <c r="C27" s="6" t="str">
        <f>Cen!B474</f>
        <v>Z40L777A</v>
      </c>
      <c r="D27" s="6" t="str">
        <f>Cen!C474</f>
        <v>R906</v>
      </c>
      <c r="E27" s="9"/>
      <c r="F27" s="461"/>
      <c r="G27" s="462"/>
    </row>
    <row r="28" spans="1:9" ht="15" customHeight="1" x14ac:dyDescent="0.25">
      <c r="A28" s="5" t="s">
        <v>462</v>
      </c>
      <c r="B28" s="6" t="str">
        <f>Cen!A478&amp;" *"</f>
        <v>Příčka ke zkrácení, KB 1200mm, šedá *</v>
      </c>
      <c r="C28" s="6" t="str">
        <f>Cen!B478</f>
        <v>Z40L1077A</v>
      </c>
      <c r="D28" s="6" t="str">
        <f>Cen!C478</f>
        <v>R906</v>
      </c>
      <c r="E28" s="9"/>
      <c r="F28" s="461"/>
      <c r="G28" s="462"/>
    </row>
    <row r="29" spans="1:9" ht="15" customHeight="1" x14ac:dyDescent="0.25">
      <c r="A29" s="5" t="s">
        <v>460</v>
      </c>
      <c r="B29" s="6" t="str">
        <f>Cen!A483</f>
        <v>Koncovka pro příčku, pro reling, D, bílošedá</v>
      </c>
      <c r="C29" s="6" t="str">
        <f>Cen!B483</f>
        <v>Z40D0002Z</v>
      </c>
      <c r="D29" s="6" t="str">
        <f>Cen!C483</f>
        <v>WGR</v>
      </c>
      <c r="E29" s="9"/>
      <c r="F29" s="461"/>
      <c r="G29" s="462"/>
    </row>
    <row r="30" spans="1:9" ht="15" customHeight="1" x14ac:dyDescent="0.25">
      <c r="A30" s="5" t="s">
        <v>460</v>
      </c>
      <c r="B30" s="6" t="str">
        <f>Cen!A487</f>
        <v>Koncovka pro příčku, pro reling, C, bílošedá</v>
      </c>
      <c r="C30" s="6" t="str">
        <f>Cen!B487</f>
        <v>Z40C0002Z</v>
      </c>
      <c r="D30" s="6" t="str">
        <f>Cen!C487</f>
        <v>WGR</v>
      </c>
      <c r="E30" s="9"/>
      <c r="F30" s="461"/>
      <c r="G30" s="462"/>
    </row>
    <row r="31" spans="1:9" ht="15" customHeight="1" x14ac:dyDescent="0.25">
      <c r="A31" s="5" t="s">
        <v>459</v>
      </c>
      <c r="B31" s="6" t="str">
        <f>Cen!A491</f>
        <v>Koncovka pro příčku, pro mezistěnu, bílošedá</v>
      </c>
      <c r="C31" s="6" t="str">
        <f>Cen!B491</f>
        <v>Z40L0002</v>
      </c>
      <c r="D31" s="6" t="str">
        <f>Cen!C491</f>
        <v>WGR</v>
      </c>
      <c r="E31" s="9"/>
      <c r="F31" s="461"/>
      <c r="G31" s="462"/>
    </row>
    <row r="32" spans="1:9" ht="15" customHeight="1" x14ac:dyDescent="0.25">
      <c r="A32" s="5" t="s">
        <v>458</v>
      </c>
      <c r="B32" s="6" t="str">
        <f>Cen!A496</f>
        <v>Podélné dělení, šedé</v>
      </c>
      <c r="C32" s="6" t="str">
        <f>Cen!B496</f>
        <v>Z43L100S</v>
      </c>
      <c r="D32" s="6" t="str">
        <f>Cen!C496</f>
        <v>R906</v>
      </c>
      <c r="E32" s="9"/>
      <c r="F32" s="461"/>
      <c r="G32" s="462"/>
    </row>
    <row r="33" spans="1:7" ht="15" customHeight="1" x14ac:dyDescent="0.25">
      <c r="A33" s="5" t="s">
        <v>456</v>
      </c>
      <c r="B33" s="6" t="str">
        <f>Cen!A522</f>
        <v>Mezistěna, 500mm, šedá</v>
      </c>
      <c r="C33" s="6" t="str">
        <f>Cen!B522</f>
        <v xml:space="preserve">Z46L470S   </v>
      </c>
      <c r="D33" s="6" t="str">
        <f>Cen!C522</f>
        <v>R906</v>
      </c>
      <c r="E33" s="9"/>
      <c r="F33" s="461"/>
      <c r="G33" s="462"/>
    </row>
    <row r="34" spans="1:7" ht="15" customHeight="1" x14ac:dyDescent="0.25">
      <c r="A34" s="5" t="s">
        <v>457</v>
      </c>
      <c r="B34" s="6" t="str">
        <f>Cen!A540</f>
        <v>Vana na láhve, 500mm</v>
      </c>
      <c r="C34" s="6" t="str">
        <f>Cen!B540</f>
        <v>Z48.30B0I6</v>
      </c>
      <c r="D34" s="6" t="str">
        <f>Cen!C540</f>
        <v>IG/G</v>
      </c>
      <c r="E34" s="9"/>
      <c r="F34" s="461"/>
      <c r="G34" s="462"/>
    </row>
    <row r="36" spans="1:7" x14ac:dyDescent="0.25">
      <c r="B36" s="2" t="str">
        <f>"     "&amp;List!$B$154&amp;"!"</f>
        <v xml:space="preserve">     Mezistěnu nelze použít pro vnitřní výsuv!</v>
      </c>
    </row>
  </sheetData>
  <sheetProtection algorithmName="SHA-512" hashValue="nwJ/OYHSonta1VR0gy3QYdzidqcOW8yq6tqzMnBsNQgubRxnxHsu5WOABLBoeyJWnTNpJDx6F0tQRKu8EBZVVg==" saltValue="g5jiHzI6LjMiBKV4nNRyG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theme="5"/>
  </sheetPr>
  <dimension ref="A1:R38"/>
  <sheetViews>
    <sheetView showGridLines="0" showRowColHeaders="0" workbookViewId="0">
      <selection activeCell="G25" sqref="G25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List!$B$125&amp;", "&amp;List!$B$122&amp;", "&amp;List!$B$135</f>
        <v>Držáky na kořenky, Mezistěna, Příčky</v>
      </c>
      <c r="I1" s="151" t="str">
        <f>List!$B$11&amp;":"</f>
        <v>Zpět na:</v>
      </c>
    </row>
    <row r="2" spans="4:18" ht="13.5" customHeight="1" thickBot="1" x14ac:dyDescent="0.3">
      <c r="D2" s="6"/>
      <c r="E2" s="108" t="str">
        <f>List!$B$129&amp;":"</f>
        <v>Základní prvek:</v>
      </c>
      <c r="F2" s="109"/>
      <c r="G2" s="108" t="str">
        <f>List!$B$48&amp;" D"</f>
        <v>Čelní výsuv D</v>
      </c>
      <c r="I2" s="149" t="str">
        <f>" "&amp;List!$B$13</f>
        <v xml:space="preserve"> Úvod</v>
      </c>
      <c r="L2" s="477" t="str">
        <f>Cen!A466</f>
        <v>Příčka ke zkrácení, KB 300mm, šedá</v>
      </c>
      <c r="M2" s="477" t="str">
        <f>Cen!B466</f>
        <v>Z40L177A</v>
      </c>
      <c r="N2" s="477" t="str">
        <f>Cen!C466</f>
        <v>R906</v>
      </c>
      <c r="O2" s="477">
        <f>Cen!D466</f>
        <v>0</v>
      </c>
      <c r="P2" s="385">
        <f>E25</f>
        <v>0</v>
      </c>
      <c r="Q2" s="386">
        <f>Cen!F466</f>
        <v>5.7865700000000002</v>
      </c>
      <c r="R2" s="387">
        <f t="shared" ref="R2:R11" si="0">P2*Q2</f>
        <v>0</v>
      </c>
    </row>
    <row r="3" spans="4:18" ht="13.5" customHeight="1" thickBot="1" x14ac:dyDescent="0.3">
      <c r="D3" s="6"/>
      <c r="E3" s="108" t="str">
        <f>List!$B$102&amp;" KB:"</f>
        <v>Šířka korpusu KB:</v>
      </c>
      <c r="F3" s="6"/>
      <c r="G3" s="108" t="s">
        <v>413</v>
      </c>
      <c r="I3" s="150" t="str">
        <f>" "&amp;List!$B$4</f>
        <v xml:space="preserve"> Výběr zásuvek a výsuvů</v>
      </c>
      <c r="L3" s="477" t="str">
        <f>Cen!A470</f>
        <v>Příčka ke zkrácení, KB 600mm, šedá</v>
      </c>
      <c r="M3" s="477" t="str">
        <f>Cen!B470</f>
        <v>Z40L477A</v>
      </c>
      <c r="N3" s="477" t="str">
        <f>Cen!C470</f>
        <v>R906</v>
      </c>
      <c r="O3" s="477">
        <f>Cen!D470</f>
        <v>0</v>
      </c>
      <c r="P3" s="385">
        <f t="shared" ref="P3:P13" si="1">E26</f>
        <v>0</v>
      </c>
      <c r="Q3" s="386">
        <f>Cen!F470</f>
        <v>7.2901999999999996</v>
      </c>
      <c r="R3" s="387">
        <f t="shared" si="0"/>
        <v>0</v>
      </c>
    </row>
    <row r="4" spans="4:18" ht="13.5" customHeight="1" thickBot="1" x14ac:dyDescent="0.3">
      <c r="I4" s="150" t="str">
        <f>" "&amp;List!$B$5</f>
        <v xml:space="preserve"> Výběr doplňků</v>
      </c>
      <c r="L4" s="477" t="str">
        <f>Cen!A474</f>
        <v>Příčka ke zkrácení, KB 900mm, šedá</v>
      </c>
      <c r="M4" s="477" t="str">
        <f>Cen!B474</f>
        <v>Z40L777A</v>
      </c>
      <c r="N4" s="477" t="str">
        <f>Cen!C474</f>
        <v>R906</v>
      </c>
      <c r="O4" s="477">
        <f>Cen!D474</f>
        <v>0</v>
      </c>
      <c r="P4" s="385">
        <f t="shared" si="1"/>
        <v>0</v>
      </c>
      <c r="Q4" s="386">
        <f>Cen!F474</f>
        <v>10.70745</v>
      </c>
      <c r="R4" s="387">
        <f t="shared" si="0"/>
        <v>0</v>
      </c>
    </row>
    <row r="5" spans="4:18" ht="13.5" customHeight="1" thickBot="1" x14ac:dyDescent="0.3">
      <c r="D5" s="58" t="s">
        <v>462</v>
      </c>
      <c r="E5" s="2" t="str">
        <f>List!$B$113</f>
        <v>Příčka ke zkrácení</v>
      </c>
      <c r="I5" s="150" t="str">
        <f>" "&amp;List!$B$6</f>
        <v xml:space="preserve"> Výběr SERVO-DRIVE</v>
      </c>
      <c r="L5" s="477" t="str">
        <f>Cen!A478</f>
        <v>Příčka ke zkrácení, KB 1200mm, šedá</v>
      </c>
      <c r="M5" s="477" t="str">
        <f>Cen!B478</f>
        <v>Z40L1077A</v>
      </c>
      <c r="N5" s="477" t="str">
        <f>Cen!C478</f>
        <v>R906</v>
      </c>
      <c r="O5" s="477">
        <f>Cen!D478</f>
        <v>0</v>
      </c>
      <c r="P5" s="385">
        <f t="shared" si="1"/>
        <v>0</v>
      </c>
      <c r="Q5" s="386">
        <f>Cen!F478</f>
        <v>16.745570000000001</v>
      </c>
      <c r="R5" s="387">
        <f t="shared" si="0"/>
        <v>0</v>
      </c>
    </row>
    <row r="6" spans="4:18" ht="13.5" customHeight="1" x14ac:dyDescent="0.25">
      <c r="D6" s="58" t="s">
        <v>460</v>
      </c>
      <c r="E6" s="2" t="str">
        <f>List!$B$114&amp;" ("&amp;List!B115&amp;")"</f>
        <v>Koncovka pro příčku (pro reling)</v>
      </c>
      <c r="I6" s="265" t="str">
        <f>" "&amp;List!$B$7</f>
        <v xml:space="preserve"> Výběr ORGA-LINE</v>
      </c>
      <c r="L6" s="477" t="str">
        <f>Cen!A483</f>
        <v>Koncovka pro příčku, pro reling, D, bílošedá</v>
      </c>
      <c r="M6" s="477" t="str">
        <f>Cen!B483</f>
        <v>Z40D0002Z</v>
      </c>
      <c r="N6" s="477" t="str">
        <f>Cen!C483</f>
        <v>WGR</v>
      </c>
      <c r="O6" s="477">
        <f>Cen!D483</f>
        <v>0</v>
      </c>
      <c r="P6" s="385">
        <f t="shared" si="1"/>
        <v>0</v>
      </c>
      <c r="Q6" s="386">
        <f>Cen!F483</f>
        <v>1.8503300000000003</v>
      </c>
      <c r="R6" s="387">
        <f t="shared" si="0"/>
        <v>0</v>
      </c>
    </row>
    <row r="7" spans="4:18" ht="13.5" customHeight="1" x14ac:dyDescent="0.25">
      <c r="D7" s="58" t="s">
        <v>459</v>
      </c>
      <c r="E7" s="2" t="str">
        <f>List!$B$114&amp;" ("&amp;List!B116&amp;")"</f>
        <v>Koncovka pro příčku (pro mezistěnu)</v>
      </c>
      <c r="L7" s="477" t="str">
        <f>Cen!A487</f>
        <v>Koncovka pro příčku, pro reling, C, bílošedá</v>
      </c>
      <c r="M7" s="477" t="str">
        <f>Cen!B487</f>
        <v>Z40C0002Z</v>
      </c>
      <c r="N7" s="477" t="str">
        <f>Cen!C487</f>
        <v>WGR</v>
      </c>
      <c r="O7" s="477">
        <f>Cen!D487</f>
        <v>0</v>
      </c>
      <c r="P7" s="385">
        <f t="shared" si="1"/>
        <v>0</v>
      </c>
      <c r="Q7" s="386">
        <f>Cen!F487</f>
        <v>1.7087099999999997</v>
      </c>
      <c r="R7" s="387">
        <f t="shared" si="0"/>
        <v>0</v>
      </c>
    </row>
    <row r="8" spans="4:18" ht="13.5" customHeight="1" thickBot="1" x14ac:dyDescent="0.3">
      <c r="D8" s="58" t="s">
        <v>458</v>
      </c>
      <c r="E8" s="2" t="str">
        <f>List!$B$118</f>
        <v>Podélné dělení</v>
      </c>
      <c r="I8" s="2" t="str">
        <f>List!$B$12&amp;":"</f>
        <v>Pokračovat na:</v>
      </c>
      <c r="L8" s="477" t="str">
        <f>Cen!A491</f>
        <v>Koncovka pro příčku, pro mezistěnu, bílošedá</v>
      </c>
      <c r="M8" s="477" t="str">
        <f>Cen!B491</f>
        <v>Z40L0002</v>
      </c>
      <c r="N8" s="477" t="str">
        <f>Cen!C491</f>
        <v>WGR</v>
      </c>
      <c r="O8" s="477">
        <f>Cen!D491</f>
        <v>0</v>
      </c>
      <c r="P8" s="385">
        <f t="shared" si="1"/>
        <v>0</v>
      </c>
      <c r="Q8" s="386">
        <f>Cen!F491</f>
        <v>1.8503300000000003</v>
      </c>
      <c r="R8" s="387">
        <f t="shared" si="0"/>
        <v>0</v>
      </c>
    </row>
    <row r="9" spans="4:18" ht="13.5" customHeight="1" thickBot="1" x14ac:dyDescent="0.3">
      <c r="D9" s="58" t="s">
        <v>456</v>
      </c>
      <c r="E9" s="2" t="str">
        <f>List!$B$122</f>
        <v>Mezistěna</v>
      </c>
      <c r="I9" s="150" t="str">
        <f>" "&amp;List!$B$18</f>
        <v xml:space="preserve"> Souhrn</v>
      </c>
      <c r="L9" s="477" t="str">
        <f>Cen!A496</f>
        <v>Podélné dělení, šedé</v>
      </c>
      <c r="M9" s="477" t="str">
        <f>Cen!B496</f>
        <v>Z43L100S</v>
      </c>
      <c r="N9" s="477" t="str">
        <f>Cen!C496</f>
        <v>R906</v>
      </c>
      <c r="O9" s="477">
        <f>Cen!D496</f>
        <v>0</v>
      </c>
      <c r="P9" s="385">
        <f t="shared" si="1"/>
        <v>0</v>
      </c>
      <c r="Q9" s="386">
        <f>Cen!F496</f>
        <v>3.4353400000000001</v>
      </c>
      <c r="R9" s="387">
        <f t="shared" si="0"/>
        <v>0</v>
      </c>
    </row>
    <row r="10" spans="4:18" ht="13.5" customHeight="1" x14ac:dyDescent="0.25">
      <c r="D10" s="58" t="s">
        <v>113</v>
      </c>
      <c r="E10" s="2" t="str">
        <f>List!$B$124</f>
        <v>Držák na kořenky</v>
      </c>
      <c r="I10" s="150" t="str">
        <f>" "&amp;List!$B$20</f>
        <v xml:space="preserve"> Objednávka</v>
      </c>
      <c r="L10" s="477" t="str">
        <f>Cen!A522</f>
        <v>Mezistěna, 500mm, šedá</v>
      </c>
      <c r="M10" s="477" t="str">
        <f>Cen!B522</f>
        <v xml:space="preserve">Z46L470S   </v>
      </c>
      <c r="N10" s="477" t="str">
        <f>Cen!C522</f>
        <v>R906</v>
      </c>
      <c r="O10" s="477">
        <f>Cen!D522</f>
        <v>0</v>
      </c>
      <c r="P10" s="385">
        <f t="shared" si="1"/>
        <v>0</v>
      </c>
      <c r="Q10" s="386">
        <f>Cen!F522</f>
        <v>28.674389999999999</v>
      </c>
      <c r="R10" s="387">
        <f t="shared" si="0"/>
        <v>0</v>
      </c>
    </row>
    <row r="11" spans="4:18" ht="13.5" customHeight="1" x14ac:dyDescent="0.25">
      <c r="L11" s="477" t="str">
        <f>Cen!A546</f>
        <v>Stojánek na kořenky, KB 300mm</v>
      </c>
      <c r="M11" s="477" t="str">
        <f>Cen!B546</f>
        <v>ZFZ.30G0I</v>
      </c>
      <c r="N11" s="477" t="str">
        <f>Cen!C546</f>
        <v>INGL</v>
      </c>
      <c r="O11" s="477">
        <f>Cen!D546</f>
        <v>0</v>
      </c>
      <c r="P11" s="385">
        <f t="shared" si="1"/>
        <v>0</v>
      </c>
      <c r="Q11" s="386">
        <f>Cen!F546</f>
        <v>19.99335</v>
      </c>
      <c r="R11" s="387">
        <f t="shared" si="0"/>
        <v>0</v>
      </c>
    </row>
    <row r="12" spans="4:18" ht="13.5" customHeight="1" x14ac:dyDescent="0.25">
      <c r="E12" s="2" t="str">
        <f>List!$C$130&amp;":"</f>
        <v>Přířezy příčky:</v>
      </c>
      <c r="L12" s="477" t="str">
        <f>Cen!A547</f>
        <v>Stojánek na kořenky, KB 400mm</v>
      </c>
      <c r="M12" s="477" t="str">
        <f>Cen!B547</f>
        <v>ZFZ.40G0I</v>
      </c>
      <c r="N12" s="477" t="str">
        <f>Cen!C547</f>
        <v>INGL</v>
      </c>
      <c r="O12" s="477">
        <f>Cen!D547</f>
        <v>0</v>
      </c>
      <c r="P12" s="385">
        <f t="shared" si="1"/>
        <v>0</v>
      </c>
      <c r="Q12" s="386">
        <f>Cen!F547</f>
        <v>25.70551</v>
      </c>
      <c r="R12" s="387">
        <f t="shared" ref="R12:R13" si="2">P12*Q12</f>
        <v>0</v>
      </c>
    </row>
    <row r="13" spans="4:18" ht="13.5" customHeight="1" x14ac:dyDescent="0.25">
      <c r="E13" s="2" t="s">
        <v>454</v>
      </c>
      <c r="L13" s="477" t="str">
        <f>Cen!A548</f>
        <v>Stojánek na kořenky, KB 450mm</v>
      </c>
      <c r="M13" s="477" t="str">
        <f>Cen!B548</f>
        <v>ZFZ.45G0I</v>
      </c>
      <c r="N13" s="477" t="str">
        <f>Cen!C548</f>
        <v>INGL</v>
      </c>
      <c r="O13" s="477">
        <f>Cen!D548</f>
        <v>0</v>
      </c>
      <c r="P13" s="385">
        <f t="shared" si="1"/>
        <v>0</v>
      </c>
      <c r="Q13" s="386">
        <f>Cen!F548</f>
        <v>29.23723</v>
      </c>
      <c r="R13" s="387">
        <f t="shared" si="2"/>
        <v>0</v>
      </c>
    </row>
    <row r="14" spans="4:18" ht="13.5" customHeight="1" x14ac:dyDescent="0.25">
      <c r="E14" s="2" t="s">
        <v>453</v>
      </c>
    </row>
    <row r="15" spans="4:18" ht="13.5" customHeight="1" x14ac:dyDescent="0.25">
      <c r="E15" s="2" t="s">
        <v>452</v>
      </c>
      <c r="R15" s="436">
        <f>SUM(R2:R14)</f>
        <v>0</v>
      </c>
    </row>
    <row r="16" spans="4:18" ht="7.5" customHeight="1" x14ac:dyDescent="0.25"/>
    <row r="17" spans="1:9" ht="13.5" customHeight="1" x14ac:dyDescent="0.25">
      <c r="D17" s="59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</row>
    <row r="19" spans="1:9" ht="13.5" customHeight="1" x14ac:dyDescent="0.25">
      <c r="E19" s="2" t="s">
        <v>409</v>
      </c>
    </row>
    <row r="20" spans="1:9" ht="13.5" customHeight="1" x14ac:dyDescent="0.25">
      <c r="E20" s="2" t="s">
        <v>411</v>
      </c>
      <c r="I20" s="2" t="str">
        <f>"         "&amp;List!$B$181</f>
        <v xml:space="preserve">         Koření, načatá balení potravin</v>
      </c>
    </row>
    <row r="21" spans="1:9" ht="13.5" customHeight="1" x14ac:dyDescent="0.25">
      <c r="E21" s="2" t="s">
        <v>410</v>
      </c>
    </row>
    <row r="22" spans="1:9" ht="13.5" customHeight="1" x14ac:dyDescent="0.25"/>
    <row r="23" spans="1:9" ht="13.5" customHeight="1" x14ac:dyDescent="0.25"/>
    <row r="24" spans="1:9" ht="15" customHeight="1" x14ac:dyDescent="0.3">
      <c r="B24" s="193" t="str">
        <f>List!$B$22&amp;":"</f>
        <v>Soupis kování:</v>
      </c>
      <c r="C24" s="7"/>
      <c r="D24" s="7"/>
      <c r="E24" s="196" t="str">
        <f>List!$B$90&amp;":"</f>
        <v>Počet:</v>
      </c>
      <c r="F24" s="459"/>
      <c r="G24" s="460"/>
    </row>
    <row r="25" spans="1:9" ht="15" customHeight="1" x14ac:dyDescent="0.25">
      <c r="A25" s="5" t="s">
        <v>462</v>
      </c>
      <c r="B25" s="6" t="str">
        <f>Cen!A466&amp;" *"</f>
        <v>Příčka ke zkrácení, KB 300mm, šedá *</v>
      </c>
      <c r="C25" s="6" t="str">
        <f>Cen!B466</f>
        <v>Z40L177A</v>
      </c>
      <c r="D25" s="6" t="str">
        <f>Cen!C466</f>
        <v>R906</v>
      </c>
      <c r="E25" s="9"/>
      <c r="F25" s="461"/>
      <c r="G25" s="462"/>
    </row>
    <row r="26" spans="1:9" ht="15" customHeight="1" x14ac:dyDescent="0.25">
      <c r="A26" s="5" t="s">
        <v>462</v>
      </c>
      <c r="B26" s="6" t="str">
        <f>Cen!A470&amp;" *"</f>
        <v>Příčka ke zkrácení, KB 600mm, šedá *</v>
      </c>
      <c r="C26" s="6" t="str">
        <f>Cen!B470</f>
        <v>Z40L477A</v>
      </c>
      <c r="D26" s="6" t="str">
        <f>Cen!C470</f>
        <v>R906</v>
      </c>
      <c r="E26" s="9"/>
      <c r="F26" s="461"/>
      <c r="G26" s="462"/>
    </row>
    <row r="27" spans="1:9" ht="15" customHeight="1" x14ac:dyDescent="0.25">
      <c r="A27" s="5" t="s">
        <v>462</v>
      </c>
      <c r="B27" s="6" t="str">
        <f>Cen!A474&amp;" *"</f>
        <v>Příčka ke zkrácení, KB 900mm, šedá *</v>
      </c>
      <c r="C27" s="6" t="str">
        <f>Cen!B474</f>
        <v>Z40L777A</v>
      </c>
      <c r="D27" s="6" t="str">
        <f>Cen!C474</f>
        <v>R906</v>
      </c>
      <c r="E27" s="9"/>
      <c r="F27" s="461"/>
      <c r="G27" s="462"/>
    </row>
    <row r="28" spans="1:9" ht="15" customHeight="1" x14ac:dyDescent="0.25">
      <c r="A28" s="5" t="s">
        <v>462</v>
      </c>
      <c r="B28" s="6" t="str">
        <f>Cen!A478&amp;" *"</f>
        <v>Příčka ke zkrácení, KB 1200mm, šedá *</v>
      </c>
      <c r="C28" s="6" t="str">
        <f>Cen!B478</f>
        <v>Z40L1077A</v>
      </c>
      <c r="D28" s="6" t="str">
        <f>Cen!C478</f>
        <v>R906</v>
      </c>
      <c r="E28" s="9"/>
      <c r="F28" s="461"/>
      <c r="G28" s="462"/>
    </row>
    <row r="29" spans="1:9" ht="15" customHeight="1" x14ac:dyDescent="0.25">
      <c r="A29" s="5" t="s">
        <v>460</v>
      </c>
      <c r="B29" s="6" t="str">
        <f>Cen!A483</f>
        <v>Koncovka pro příčku, pro reling, D, bílošedá</v>
      </c>
      <c r="C29" s="6" t="str">
        <f>Cen!B483</f>
        <v>Z40D0002Z</v>
      </c>
      <c r="D29" s="6" t="str">
        <f>Cen!C483</f>
        <v>WGR</v>
      </c>
      <c r="E29" s="9"/>
      <c r="F29" s="461"/>
      <c r="G29" s="462"/>
    </row>
    <row r="30" spans="1:9" ht="15" customHeight="1" x14ac:dyDescent="0.25">
      <c r="A30" s="5" t="s">
        <v>460</v>
      </c>
      <c r="B30" s="6" t="str">
        <f>Cen!A487</f>
        <v>Koncovka pro příčku, pro reling, C, bílošedá</v>
      </c>
      <c r="C30" s="6" t="str">
        <f>Cen!B487</f>
        <v>Z40C0002Z</v>
      </c>
      <c r="D30" s="6" t="str">
        <f>Cen!C487</f>
        <v>WGR</v>
      </c>
      <c r="E30" s="9"/>
      <c r="F30" s="461"/>
      <c r="G30" s="462"/>
    </row>
    <row r="31" spans="1:9" ht="15" customHeight="1" x14ac:dyDescent="0.25">
      <c r="A31" s="5" t="s">
        <v>459</v>
      </c>
      <c r="B31" s="6" t="str">
        <f>Cen!A491</f>
        <v>Koncovka pro příčku, pro mezistěnu, bílošedá</v>
      </c>
      <c r="C31" s="6" t="str">
        <f>Cen!B491</f>
        <v>Z40L0002</v>
      </c>
      <c r="D31" s="6" t="str">
        <f>Cen!C491</f>
        <v>WGR</v>
      </c>
      <c r="E31" s="9"/>
      <c r="F31" s="461"/>
      <c r="G31" s="462"/>
    </row>
    <row r="32" spans="1:9" ht="15" customHeight="1" x14ac:dyDescent="0.25">
      <c r="A32" s="5" t="s">
        <v>458</v>
      </c>
      <c r="B32" s="6" t="str">
        <f>Cen!A496</f>
        <v>Podélné dělení, šedé</v>
      </c>
      <c r="C32" s="6" t="str">
        <f>Cen!B496</f>
        <v>Z43L100S</v>
      </c>
      <c r="D32" s="6" t="str">
        <f>Cen!C496</f>
        <v>R906</v>
      </c>
      <c r="E32" s="9"/>
      <c r="F32" s="461"/>
      <c r="G32" s="462"/>
    </row>
    <row r="33" spans="1:7" ht="15" customHeight="1" x14ac:dyDescent="0.25">
      <c r="A33" s="5" t="s">
        <v>456</v>
      </c>
      <c r="B33" s="6" t="str">
        <f>Cen!A522</f>
        <v>Mezistěna, 500mm, šedá</v>
      </c>
      <c r="C33" s="6" t="str">
        <f>Cen!B522</f>
        <v xml:space="preserve">Z46L470S   </v>
      </c>
      <c r="D33" s="6" t="str">
        <f>Cen!C522</f>
        <v>R906</v>
      </c>
      <c r="E33" s="9"/>
      <c r="F33" s="461"/>
      <c r="G33" s="462"/>
    </row>
    <row r="34" spans="1:7" ht="15" customHeight="1" x14ac:dyDescent="0.25">
      <c r="A34" s="5" t="s">
        <v>113</v>
      </c>
      <c r="B34" s="6" t="str">
        <f>Cen!A546</f>
        <v>Stojánek na kořenky, KB 300mm</v>
      </c>
      <c r="C34" s="6" t="str">
        <f>Cen!B546</f>
        <v>ZFZ.30G0I</v>
      </c>
      <c r="D34" s="6" t="str">
        <f>Cen!C546</f>
        <v>INGL</v>
      </c>
      <c r="E34" s="9"/>
      <c r="F34" s="461"/>
      <c r="G34" s="462"/>
    </row>
    <row r="35" spans="1:7" ht="15" customHeight="1" x14ac:dyDescent="0.25">
      <c r="A35" s="5" t="s">
        <v>113</v>
      </c>
      <c r="B35" s="6" t="str">
        <f>Cen!A547</f>
        <v>Stojánek na kořenky, KB 400mm</v>
      </c>
      <c r="C35" s="6" t="str">
        <f>Cen!B547</f>
        <v>ZFZ.40G0I</v>
      </c>
      <c r="D35" s="6" t="str">
        <f>Cen!C547</f>
        <v>INGL</v>
      </c>
      <c r="E35" s="9"/>
      <c r="F35" s="461"/>
      <c r="G35" s="462"/>
    </row>
    <row r="36" spans="1:7" ht="15" customHeight="1" x14ac:dyDescent="0.25">
      <c r="A36" s="5" t="s">
        <v>113</v>
      </c>
      <c r="B36" s="6" t="str">
        <f>Cen!A548</f>
        <v>Stojánek na kořenky, KB 450mm</v>
      </c>
      <c r="C36" s="6" t="str">
        <f>Cen!B548</f>
        <v>ZFZ.45G0I</v>
      </c>
      <c r="D36" s="6" t="str">
        <f>Cen!C548</f>
        <v>INGL</v>
      </c>
      <c r="E36" s="9"/>
      <c r="F36" s="461"/>
      <c r="G36" s="462"/>
    </row>
    <row r="38" spans="1:7" x14ac:dyDescent="0.25">
      <c r="B38" s="2" t="str">
        <f>"     "&amp;List!$B$154&amp;"!"</f>
        <v xml:space="preserve">     Mezistěnu nelze použít pro vnitřní výsuv!</v>
      </c>
    </row>
  </sheetData>
  <sheetProtection algorithmName="SHA-512" hashValue="F2+M87y/8rjO3F2tO0BvUXNY5VT2+TdnKCb9jTbZOlmxKXC7+ezybdy7fLN4wN94zmVHZ5Ag9BbaimzrVdydkA==" saltValue="kgyc+MIsR7MIVZ2Fzkdqk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0866141732283472" right="0.70866141732283472" top="0.59055118110236227" bottom="0.59055118110236227" header="0.31496062992125984" footer="0.31496062992125984"/>
  <pageSetup paperSize="9" orientation="landscape" horizontalDpi="1200" verticalDpi="12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5"/>
  </sheetPr>
  <dimension ref="A1:R30"/>
  <sheetViews>
    <sheetView showGridLines="0" showRowColHeaders="0" workbookViewId="0">
      <selection activeCell="G21" sqref="G21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List!$B$125</f>
        <v>Držáky na kořenky</v>
      </c>
      <c r="I1" s="151" t="str">
        <f>List!$B$11&amp;":"</f>
        <v>Zpět na:</v>
      </c>
    </row>
    <row r="2" spans="4:18" ht="13.5" customHeight="1" thickBot="1" x14ac:dyDescent="0.3">
      <c r="D2" s="194"/>
      <c r="E2" s="194" t="str">
        <f>List!$B$129&amp;":"</f>
        <v>Základní prvek:</v>
      </c>
      <c r="F2" s="195"/>
      <c r="G2" s="194" t="str">
        <f>List!$B$48&amp;" D"</f>
        <v>Čelní výsuv D</v>
      </c>
      <c r="I2" s="149" t="str">
        <f>" "&amp;List!$B$13</f>
        <v xml:space="preserve"> Úvod</v>
      </c>
      <c r="L2" s="477" t="str">
        <f>Cen!A466</f>
        <v>Příčka ke zkrácení, KB 300mm, šedá</v>
      </c>
      <c r="M2" s="477" t="str">
        <f>Cen!B466</f>
        <v>Z40L177A</v>
      </c>
      <c r="N2" s="477" t="str">
        <f>Cen!C466</f>
        <v>R906</v>
      </c>
      <c r="O2" s="477">
        <f>Cen!D466</f>
        <v>0</v>
      </c>
      <c r="P2" s="385">
        <f>E21</f>
        <v>0</v>
      </c>
      <c r="Q2" s="386">
        <f>Cen!F466</f>
        <v>5.7865700000000002</v>
      </c>
      <c r="R2" s="387">
        <f t="shared" ref="R2:R11" si="0">P2*Q2</f>
        <v>0</v>
      </c>
    </row>
    <row r="3" spans="4:18" ht="13.5" customHeight="1" thickBot="1" x14ac:dyDescent="0.3">
      <c r="D3" s="7"/>
      <c r="E3" s="7"/>
      <c r="F3" s="7"/>
      <c r="G3" s="110" t="str">
        <f>List!$B$49&amp;" D"</f>
        <v>Vnitřní výsuv D</v>
      </c>
      <c r="I3" s="150" t="str">
        <f>" "&amp;List!$B$4</f>
        <v xml:space="preserve"> Výběr zásuvek a výsuvů</v>
      </c>
      <c r="L3" s="477" t="str">
        <f>Cen!A470</f>
        <v>Příčka ke zkrácení, KB 600mm, šedá</v>
      </c>
      <c r="M3" s="477" t="str">
        <f>Cen!B470</f>
        <v>Z40L477A</v>
      </c>
      <c r="N3" s="477" t="str">
        <f>Cen!C470</f>
        <v>R906</v>
      </c>
      <c r="O3" s="477">
        <f>Cen!D470</f>
        <v>0</v>
      </c>
      <c r="P3" s="385">
        <f t="shared" ref="P3:P11" si="1">E22</f>
        <v>0</v>
      </c>
      <c r="Q3" s="386">
        <f>Cen!F470</f>
        <v>7.2901999999999996</v>
      </c>
      <c r="R3" s="387">
        <f t="shared" si="0"/>
        <v>0</v>
      </c>
    </row>
    <row r="4" spans="4:18" ht="13.5" customHeight="1" thickBot="1" x14ac:dyDescent="0.3">
      <c r="D4" s="6"/>
      <c r="E4" s="108" t="str">
        <f>List!$B$102&amp;" KB:"</f>
        <v>Šířka korpusu KB:</v>
      </c>
      <c r="F4" s="6"/>
      <c r="G4" s="108" t="s">
        <v>124</v>
      </c>
      <c r="I4" s="150" t="str">
        <f>" "&amp;List!$B$5</f>
        <v xml:space="preserve"> Výběr doplňků</v>
      </c>
      <c r="L4" s="477" t="str">
        <f>Cen!A474</f>
        <v>Příčka ke zkrácení, KB 900mm, šedá</v>
      </c>
      <c r="M4" s="477" t="str">
        <f>Cen!B474</f>
        <v>Z40L777A</v>
      </c>
      <c r="N4" s="477" t="str">
        <f>Cen!C474</f>
        <v>R906</v>
      </c>
      <c r="O4" s="477">
        <f>Cen!D474</f>
        <v>0</v>
      </c>
      <c r="P4" s="385">
        <f t="shared" si="1"/>
        <v>0</v>
      </c>
      <c r="Q4" s="386">
        <f>Cen!F474</f>
        <v>10.70745</v>
      </c>
      <c r="R4" s="387">
        <f t="shared" si="0"/>
        <v>0</v>
      </c>
    </row>
    <row r="5" spans="4:18" ht="13.5" customHeight="1" thickBot="1" x14ac:dyDescent="0.3">
      <c r="I5" s="150" t="str">
        <f>" "&amp;List!$B$6</f>
        <v xml:space="preserve"> Výběr SERVO-DRIVE</v>
      </c>
      <c r="L5" s="477" t="str">
        <f>Cen!A478</f>
        <v>Příčka ke zkrácení, KB 1200mm, šedá</v>
      </c>
      <c r="M5" s="477" t="str">
        <f>Cen!B478</f>
        <v>Z40L1077A</v>
      </c>
      <c r="N5" s="477" t="str">
        <f>Cen!C478</f>
        <v>R906</v>
      </c>
      <c r="O5" s="477">
        <f>Cen!D478</f>
        <v>0</v>
      </c>
      <c r="P5" s="385">
        <f t="shared" si="1"/>
        <v>0</v>
      </c>
      <c r="Q5" s="386">
        <f>Cen!F478</f>
        <v>16.745570000000001</v>
      </c>
      <c r="R5" s="387">
        <f t="shared" si="0"/>
        <v>0</v>
      </c>
    </row>
    <row r="6" spans="4:18" ht="13.5" customHeight="1" x14ac:dyDescent="0.25">
      <c r="D6" s="58" t="s">
        <v>462</v>
      </c>
      <c r="E6" s="2" t="str">
        <f>List!$B$113</f>
        <v>Příčka ke zkrácení</v>
      </c>
      <c r="I6" s="265" t="str">
        <f>" "&amp;List!$B$7</f>
        <v xml:space="preserve"> Výběr ORGA-LINE</v>
      </c>
      <c r="L6" s="477" t="str">
        <f>Cen!A483</f>
        <v>Koncovka pro příčku, pro reling, D, bílošedá</v>
      </c>
      <c r="M6" s="477" t="str">
        <f>Cen!B483</f>
        <v>Z40D0002Z</v>
      </c>
      <c r="N6" s="477" t="str">
        <f>Cen!C483</f>
        <v>WGR</v>
      </c>
      <c r="O6" s="477">
        <f>Cen!D483</f>
        <v>0</v>
      </c>
      <c r="P6" s="385">
        <f t="shared" si="1"/>
        <v>0</v>
      </c>
      <c r="Q6" s="386">
        <f>Cen!F483</f>
        <v>1.8503300000000003</v>
      </c>
      <c r="R6" s="387">
        <f t="shared" si="0"/>
        <v>0</v>
      </c>
    </row>
    <row r="7" spans="4:18" ht="13.5" customHeight="1" x14ac:dyDescent="0.25">
      <c r="D7" s="58" t="s">
        <v>460</v>
      </c>
      <c r="E7" s="2" t="str">
        <f>List!$B$114&amp;" ("&amp;List!B115&amp;")"</f>
        <v>Koncovka pro příčku (pro reling)</v>
      </c>
      <c r="L7" s="477" t="str">
        <f>Cen!A487</f>
        <v>Koncovka pro příčku, pro reling, C, bílošedá</v>
      </c>
      <c r="M7" s="477" t="str">
        <f>Cen!B487</f>
        <v>Z40C0002Z</v>
      </c>
      <c r="N7" s="477" t="str">
        <f>Cen!C487</f>
        <v>WGR</v>
      </c>
      <c r="O7" s="477">
        <f>Cen!D487</f>
        <v>0</v>
      </c>
      <c r="P7" s="385">
        <f t="shared" si="1"/>
        <v>0</v>
      </c>
      <c r="Q7" s="386">
        <f>Cen!F487</f>
        <v>1.7087099999999997</v>
      </c>
      <c r="R7" s="387">
        <f t="shared" si="0"/>
        <v>0</v>
      </c>
    </row>
    <row r="8" spans="4:18" ht="13.5" customHeight="1" thickBot="1" x14ac:dyDescent="0.3">
      <c r="D8" s="58" t="s">
        <v>458</v>
      </c>
      <c r="E8" s="2" t="str">
        <f>List!$B$118</f>
        <v>Podélné dělení</v>
      </c>
      <c r="I8" s="2" t="str">
        <f>List!$B$12&amp;":"</f>
        <v>Pokračovat na:</v>
      </c>
      <c r="L8" s="477" t="str">
        <f>Cen!A496</f>
        <v>Podélné dělení, šedé</v>
      </c>
      <c r="M8" s="477" t="str">
        <f>Cen!B496</f>
        <v>Z43L100S</v>
      </c>
      <c r="N8" s="477" t="str">
        <f>Cen!C496</f>
        <v>R906</v>
      </c>
      <c r="O8" s="477">
        <f>Cen!D496</f>
        <v>0</v>
      </c>
      <c r="P8" s="385">
        <f t="shared" si="1"/>
        <v>0</v>
      </c>
      <c r="Q8" s="386">
        <f>Cen!F496</f>
        <v>3.4353400000000001</v>
      </c>
      <c r="R8" s="387">
        <f t="shared" si="0"/>
        <v>0</v>
      </c>
    </row>
    <row r="9" spans="4:18" ht="13.5" customHeight="1" thickBot="1" x14ac:dyDescent="0.3">
      <c r="D9" s="58" t="s">
        <v>113</v>
      </c>
      <c r="E9" s="2" t="str">
        <f>List!$B$124</f>
        <v>Držák na kořenky</v>
      </c>
      <c r="I9" s="150" t="str">
        <f>" "&amp;List!$B$18</f>
        <v xml:space="preserve"> Souhrn</v>
      </c>
      <c r="L9" s="477" t="str">
        <f>Cen!A546</f>
        <v>Stojánek na kořenky, KB 300mm</v>
      </c>
      <c r="M9" s="477" t="str">
        <f>Cen!B546</f>
        <v>ZFZ.30G0I</v>
      </c>
      <c r="N9" s="477" t="str">
        <f>Cen!C546</f>
        <v>INGL</v>
      </c>
      <c r="O9" s="477">
        <f>Cen!D546</f>
        <v>0</v>
      </c>
      <c r="P9" s="385">
        <f t="shared" si="1"/>
        <v>0</v>
      </c>
      <c r="Q9" s="386">
        <f>Cen!F546</f>
        <v>19.99335</v>
      </c>
      <c r="R9" s="387">
        <f t="shared" si="0"/>
        <v>0</v>
      </c>
    </row>
    <row r="10" spans="4:18" ht="13.5" customHeight="1" x14ac:dyDescent="0.25">
      <c r="D10" s="58"/>
      <c r="I10" s="150" t="str">
        <f>" "&amp;List!$B$20</f>
        <v xml:space="preserve"> Objednávka</v>
      </c>
      <c r="L10" s="477" t="str">
        <f>Cen!A547</f>
        <v>Stojánek na kořenky, KB 400mm</v>
      </c>
      <c r="M10" s="477" t="str">
        <f>Cen!B547</f>
        <v>ZFZ.40G0I</v>
      </c>
      <c r="N10" s="477" t="str">
        <f>Cen!C547</f>
        <v>INGL</v>
      </c>
      <c r="O10" s="477">
        <f>Cen!D547</f>
        <v>0</v>
      </c>
      <c r="P10" s="385">
        <f t="shared" si="1"/>
        <v>0</v>
      </c>
      <c r="Q10" s="386">
        <f>Cen!F547</f>
        <v>25.70551</v>
      </c>
      <c r="R10" s="387">
        <f t="shared" si="0"/>
        <v>0</v>
      </c>
    </row>
    <row r="11" spans="4:18" ht="13.5" customHeight="1" x14ac:dyDescent="0.25">
      <c r="E11" s="2" t="str">
        <f>List!$C$130&amp;":"</f>
        <v>Přířezy příčky:</v>
      </c>
      <c r="L11" s="477" t="str">
        <f>Cen!A548</f>
        <v>Stojánek na kořenky, KB 450mm</v>
      </c>
      <c r="M11" s="477" t="str">
        <f>Cen!B548</f>
        <v>ZFZ.45G0I</v>
      </c>
      <c r="N11" s="477" t="str">
        <f>Cen!C548</f>
        <v>INGL</v>
      </c>
      <c r="O11" s="477">
        <f>Cen!D548</f>
        <v>0</v>
      </c>
      <c r="P11" s="385">
        <f t="shared" si="1"/>
        <v>0</v>
      </c>
      <c r="Q11" s="386">
        <f>Cen!F548</f>
        <v>29.23723</v>
      </c>
      <c r="R11" s="387">
        <f t="shared" si="0"/>
        <v>0</v>
      </c>
    </row>
    <row r="12" spans="4:18" ht="13.5" customHeight="1" x14ac:dyDescent="0.25">
      <c r="E12" s="2" t="s">
        <v>454</v>
      </c>
    </row>
    <row r="13" spans="4:18" ht="13.5" customHeight="1" x14ac:dyDescent="0.25">
      <c r="R13" s="436">
        <f>SUM(R2:R12)</f>
        <v>0</v>
      </c>
    </row>
    <row r="14" spans="4:18" ht="13.5" customHeight="1" x14ac:dyDescent="0.25">
      <c r="D14" s="59" t="s">
        <v>407</v>
      </c>
      <c r="E14" s="2" t="str">
        <f>List!$C$133&amp;":"</f>
        <v>Délky příček:</v>
      </c>
    </row>
    <row r="15" spans="4:18" ht="13.5" customHeight="1" x14ac:dyDescent="0.25">
      <c r="E15" s="2" t="s">
        <v>408</v>
      </c>
    </row>
    <row r="16" spans="4:18" ht="13.5" customHeight="1" x14ac:dyDescent="0.25">
      <c r="E16" s="2" t="s">
        <v>409</v>
      </c>
      <c r="I16" s="2" t="str">
        <f>"         "&amp;List!$B$182</f>
        <v xml:space="preserve">         Koření</v>
      </c>
    </row>
    <row r="17" spans="1:7" ht="13.5" customHeight="1" x14ac:dyDescent="0.25">
      <c r="E17" s="2" t="s">
        <v>411</v>
      </c>
    </row>
    <row r="18" spans="1:7" ht="13.5" customHeight="1" x14ac:dyDescent="0.25">
      <c r="E18" s="2" t="s">
        <v>410</v>
      </c>
    </row>
    <row r="19" spans="1:7" ht="13.5" customHeight="1" x14ac:dyDescent="0.25"/>
    <row r="20" spans="1:7" ht="15" customHeight="1" x14ac:dyDescent="0.3">
      <c r="B20" s="193" t="str">
        <f>List!$B$22&amp;":"</f>
        <v>Soupis kování:</v>
      </c>
      <c r="C20" s="7"/>
      <c r="D20" s="7"/>
      <c r="E20" s="196" t="str">
        <f>List!$B$90&amp;":"</f>
        <v>Počet:</v>
      </c>
      <c r="F20" s="459"/>
      <c r="G20" s="460"/>
    </row>
    <row r="21" spans="1:7" ht="15" customHeight="1" x14ac:dyDescent="0.25">
      <c r="A21" s="5" t="s">
        <v>462</v>
      </c>
      <c r="B21" s="6" t="str">
        <f>Cen!A466&amp;" *"</f>
        <v>Příčka ke zkrácení, KB 300mm, šedá *</v>
      </c>
      <c r="C21" s="6" t="str">
        <f>Cen!B466</f>
        <v>Z40L177A</v>
      </c>
      <c r="D21" s="6" t="str">
        <f>Cen!C466</f>
        <v>R906</v>
      </c>
      <c r="E21" s="9"/>
      <c r="F21" s="461"/>
      <c r="G21" s="462"/>
    </row>
    <row r="22" spans="1:7" ht="15" customHeight="1" x14ac:dyDescent="0.25">
      <c r="A22" s="5" t="s">
        <v>462</v>
      </c>
      <c r="B22" s="6" t="str">
        <f>Cen!A470&amp;" *"</f>
        <v>Příčka ke zkrácení, KB 600mm, šedá *</v>
      </c>
      <c r="C22" s="6" t="str">
        <f>Cen!B470</f>
        <v>Z40L477A</v>
      </c>
      <c r="D22" s="6" t="str">
        <f>Cen!C470</f>
        <v>R906</v>
      </c>
      <c r="E22" s="9"/>
      <c r="F22" s="461"/>
      <c r="G22" s="462"/>
    </row>
    <row r="23" spans="1:7" ht="15" customHeight="1" x14ac:dyDescent="0.25">
      <c r="A23" s="5" t="s">
        <v>462</v>
      </c>
      <c r="B23" s="6" t="str">
        <f>Cen!A474&amp;" *"</f>
        <v>Příčka ke zkrácení, KB 900mm, šedá *</v>
      </c>
      <c r="C23" s="6" t="str">
        <f>Cen!B474</f>
        <v>Z40L777A</v>
      </c>
      <c r="D23" s="6" t="str">
        <f>Cen!C474</f>
        <v>R906</v>
      </c>
      <c r="E23" s="9"/>
      <c r="F23" s="461"/>
      <c r="G23" s="462"/>
    </row>
    <row r="24" spans="1:7" ht="15" customHeight="1" x14ac:dyDescent="0.25">
      <c r="A24" s="5" t="s">
        <v>462</v>
      </c>
      <c r="B24" s="6" t="str">
        <f>Cen!A478&amp;" *"</f>
        <v>Příčka ke zkrácení, KB 1200mm, šedá *</v>
      </c>
      <c r="C24" s="6" t="str">
        <f>Cen!B478</f>
        <v>Z40L1077A</v>
      </c>
      <c r="D24" s="6" t="str">
        <f>Cen!C478</f>
        <v>R906</v>
      </c>
      <c r="E24" s="9"/>
      <c r="F24" s="461"/>
      <c r="G24" s="462"/>
    </row>
    <row r="25" spans="1:7" ht="15" customHeight="1" x14ac:dyDescent="0.25">
      <c r="A25" s="5" t="s">
        <v>460</v>
      </c>
      <c r="B25" s="6" t="str">
        <f>Cen!A483</f>
        <v>Koncovka pro příčku, pro reling, D, bílošedá</v>
      </c>
      <c r="C25" s="6" t="str">
        <f>Cen!B483</f>
        <v>Z40D0002Z</v>
      </c>
      <c r="D25" s="6" t="str">
        <f>Cen!C483</f>
        <v>WGR</v>
      </c>
      <c r="E25" s="9"/>
      <c r="F25" s="461"/>
      <c r="G25" s="462"/>
    </row>
    <row r="26" spans="1:7" ht="15" customHeight="1" x14ac:dyDescent="0.25">
      <c r="A26" s="5" t="s">
        <v>460</v>
      </c>
      <c r="B26" s="6" t="str">
        <f>Cen!A487</f>
        <v>Koncovka pro příčku, pro reling, C, bílošedá</v>
      </c>
      <c r="C26" s="6" t="str">
        <f>Cen!B487</f>
        <v>Z40C0002Z</v>
      </c>
      <c r="D26" s="6" t="str">
        <f>Cen!C487</f>
        <v>WGR</v>
      </c>
      <c r="E26" s="9"/>
      <c r="F26" s="461"/>
      <c r="G26" s="462"/>
    </row>
    <row r="27" spans="1:7" ht="15" customHeight="1" x14ac:dyDescent="0.25">
      <c r="A27" s="5" t="s">
        <v>458</v>
      </c>
      <c r="B27" s="6" t="str">
        <f>Cen!A496</f>
        <v>Podélné dělení, šedé</v>
      </c>
      <c r="C27" s="6" t="str">
        <f>Cen!B496</f>
        <v>Z43L100S</v>
      </c>
      <c r="D27" s="6" t="str">
        <f>Cen!C496</f>
        <v>R906</v>
      </c>
      <c r="E27" s="9"/>
      <c r="F27" s="461"/>
      <c r="G27" s="462"/>
    </row>
    <row r="28" spans="1:7" ht="15" customHeight="1" x14ac:dyDescent="0.25">
      <c r="A28" s="5" t="s">
        <v>113</v>
      </c>
      <c r="B28" s="6" t="str">
        <f>Cen!A546</f>
        <v>Stojánek na kořenky, KB 300mm</v>
      </c>
      <c r="C28" s="6" t="str">
        <f>Cen!B546</f>
        <v>ZFZ.30G0I</v>
      </c>
      <c r="D28" s="6" t="str">
        <f>Cen!C546</f>
        <v>INGL</v>
      </c>
      <c r="E28" s="9"/>
      <c r="F28" s="461"/>
      <c r="G28" s="462"/>
    </row>
    <row r="29" spans="1:7" ht="15" customHeight="1" x14ac:dyDescent="0.25">
      <c r="A29" s="5" t="s">
        <v>113</v>
      </c>
      <c r="B29" s="6" t="str">
        <f>Cen!A547</f>
        <v>Stojánek na kořenky, KB 400mm</v>
      </c>
      <c r="C29" s="6" t="str">
        <f>Cen!B547</f>
        <v>ZFZ.40G0I</v>
      </c>
      <c r="D29" s="6" t="str">
        <f>Cen!C547</f>
        <v>INGL</v>
      </c>
      <c r="E29" s="9"/>
      <c r="F29" s="461"/>
      <c r="G29" s="462"/>
    </row>
    <row r="30" spans="1:7" ht="15" customHeight="1" x14ac:dyDescent="0.25">
      <c r="A30" s="5" t="s">
        <v>113</v>
      </c>
      <c r="B30" s="6" t="str">
        <f>Cen!A548</f>
        <v>Stojánek na kořenky, KB 450mm</v>
      </c>
      <c r="C30" s="6" t="str">
        <f>Cen!B548</f>
        <v>ZFZ.45G0I</v>
      </c>
      <c r="D30" s="6" t="str">
        <f>Cen!C548</f>
        <v>INGL</v>
      </c>
      <c r="E30" s="9"/>
      <c r="F30" s="461"/>
      <c r="G30" s="462"/>
    </row>
  </sheetData>
  <sheetProtection algorithmName="SHA-512" hashValue="UGlyrv7T1rK31yR+YWmvOSuBeZjPwlkun4v8pFzpGRYhPtfaQSgqBln3ZpS31VRCGBtOZGZ1B45+liR03z1NFQ==" saltValue="1/gsm2vk7QWdkXtopq9sEQ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0866141732283472" right="0.70866141732283472" top="0.78740157480314965" bottom="0.78740157480314965" header="0.31496062992125984" footer="0.31496062992125984"/>
  <pageSetup paperSize="9" orientation="landscape" horizontalDpi="1200" verticalDpi="12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5"/>
  </sheetPr>
  <dimension ref="A1:R29"/>
  <sheetViews>
    <sheetView showGridLines="0" showRowColHeaders="0" zoomScaleNormal="100" workbookViewId="0">
      <selection activeCell="G22" sqref="G22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11.453125" style="2" hidden="1" customWidth="1"/>
    <col min="19" max="16384" width="9.1796875" style="2"/>
  </cols>
  <sheetData>
    <row r="1" spans="4:18" ht="22.5" customHeight="1" x14ac:dyDescent="0.45">
      <c r="G1" s="10" t="str">
        <f>List!$B$121&amp;", "&amp;List!$B$122</f>
        <v>Vana na láhve, Mezistěna</v>
      </c>
      <c r="I1" s="151" t="str">
        <f>List!$B$11&amp;":"</f>
        <v>Zpět na:</v>
      </c>
    </row>
    <row r="2" spans="4:18" ht="13.5" customHeight="1" thickBot="1" x14ac:dyDescent="0.3">
      <c r="D2" s="6"/>
      <c r="E2" s="108" t="str">
        <f>List!$B$129&amp;":"</f>
        <v>Základní prvek:</v>
      </c>
      <c r="F2" s="109"/>
      <c r="G2" s="108" t="str">
        <f>List!$B$48&amp;" D"</f>
        <v>Čelní výsuv D</v>
      </c>
      <c r="I2" s="149" t="str">
        <f>" "&amp;List!$B$13</f>
        <v xml:space="preserve"> Úvod</v>
      </c>
      <c r="L2" s="477" t="str">
        <f>Cen!A466</f>
        <v>Příčka ke zkrácení, KB 300mm, šedá</v>
      </c>
      <c r="M2" s="477" t="str">
        <f>Cen!B466</f>
        <v>Z40L177A</v>
      </c>
      <c r="N2" s="477" t="str">
        <f>Cen!C466</f>
        <v>R906</v>
      </c>
      <c r="O2" s="477">
        <f>Cen!D466</f>
        <v>0</v>
      </c>
      <c r="P2" s="385">
        <f>E22</f>
        <v>0</v>
      </c>
      <c r="Q2" s="386">
        <f>Cen!F466</f>
        <v>5.7865700000000002</v>
      </c>
      <c r="R2" s="387">
        <f t="shared" ref="R2:R7" si="0">P2*Q2</f>
        <v>0</v>
      </c>
    </row>
    <row r="3" spans="4:18" ht="13.5" customHeight="1" thickBot="1" x14ac:dyDescent="0.3">
      <c r="D3" s="6"/>
      <c r="E3" s="108" t="str">
        <f>List!$B$102&amp;" KB:"</f>
        <v>Šířka korpusu KB:</v>
      </c>
      <c r="F3" s="6"/>
      <c r="G3" s="108" t="s">
        <v>122</v>
      </c>
      <c r="I3" s="150" t="str">
        <f>" "&amp;List!$B$4</f>
        <v xml:space="preserve"> Výběr zásuvek a výsuvů</v>
      </c>
      <c r="L3" s="477" t="str">
        <f>Cen!A483</f>
        <v>Koncovka pro příčku, pro reling, D, bílošedá</v>
      </c>
      <c r="M3" s="477" t="str">
        <f>Cen!B483</f>
        <v>Z40D0002Z</v>
      </c>
      <c r="N3" s="477" t="str">
        <f>Cen!C483</f>
        <v>WGR</v>
      </c>
      <c r="O3" s="477">
        <f>Cen!D483</f>
        <v>0</v>
      </c>
      <c r="P3" s="385">
        <f t="shared" ref="P3:P7" si="1">E23</f>
        <v>0</v>
      </c>
      <c r="Q3" s="386">
        <f>Cen!F483</f>
        <v>1.8503300000000003</v>
      </c>
      <c r="R3" s="387">
        <f t="shared" si="0"/>
        <v>0</v>
      </c>
    </row>
    <row r="4" spans="4:18" ht="13.5" customHeight="1" thickBot="1" x14ac:dyDescent="0.3">
      <c r="I4" s="150" t="str">
        <f>" "&amp;List!$B$5</f>
        <v xml:space="preserve"> Výběr doplňků</v>
      </c>
      <c r="L4" s="477" t="str">
        <f>Cen!A487</f>
        <v>Koncovka pro příčku, pro reling, C, bílošedá</v>
      </c>
      <c r="M4" s="477" t="str">
        <f>Cen!B487</f>
        <v>Z40C0002Z</v>
      </c>
      <c r="N4" s="477" t="str">
        <f>Cen!C487</f>
        <v>WGR</v>
      </c>
      <c r="O4" s="477">
        <f>Cen!D487</f>
        <v>0</v>
      </c>
      <c r="P4" s="385">
        <f t="shared" si="1"/>
        <v>0</v>
      </c>
      <c r="Q4" s="386">
        <f>Cen!F487</f>
        <v>1.7087099999999997</v>
      </c>
      <c r="R4" s="387">
        <f t="shared" si="0"/>
        <v>0</v>
      </c>
    </row>
    <row r="5" spans="4:18" ht="13.5" customHeight="1" thickBot="1" x14ac:dyDescent="0.3">
      <c r="D5" s="58" t="s">
        <v>462</v>
      </c>
      <c r="E5" s="2" t="str">
        <f>List!B113</f>
        <v>Příčka ke zkrácení</v>
      </c>
      <c r="I5" s="150" t="str">
        <f>" "&amp;List!$B$6</f>
        <v xml:space="preserve"> Výběr SERVO-DRIVE</v>
      </c>
      <c r="L5" s="477" t="str">
        <f>Cen!A491</f>
        <v>Koncovka pro příčku, pro mezistěnu, bílošedá</v>
      </c>
      <c r="M5" s="477" t="str">
        <f>Cen!B491</f>
        <v>Z40L0002</v>
      </c>
      <c r="N5" s="477" t="str">
        <f>Cen!C491</f>
        <v>WGR</v>
      </c>
      <c r="O5" s="477">
        <f>Cen!D491</f>
        <v>0</v>
      </c>
      <c r="P5" s="385">
        <f t="shared" si="1"/>
        <v>0</v>
      </c>
      <c r="Q5" s="386">
        <f>Cen!F491</f>
        <v>1.8503300000000003</v>
      </c>
      <c r="R5" s="387">
        <f t="shared" si="0"/>
        <v>0</v>
      </c>
    </row>
    <row r="6" spans="4:18" ht="13.5" customHeight="1" x14ac:dyDescent="0.25">
      <c r="D6" s="58" t="s">
        <v>460</v>
      </c>
      <c r="E6" s="2" t="str">
        <f>List!$B$114&amp;" ("&amp;List!B115&amp;")"</f>
        <v>Koncovka pro příčku (pro reling)</v>
      </c>
      <c r="I6" s="265" t="str">
        <f>" "&amp;List!$B$7</f>
        <v xml:space="preserve"> Výběr ORGA-LINE</v>
      </c>
      <c r="L6" s="477" t="str">
        <f>Cen!A522</f>
        <v>Mezistěna, 500mm, šedá</v>
      </c>
      <c r="M6" s="477" t="str">
        <f>Cen!B522</f>
        <v xml:space="preserve">Z46L470S   </v>
      </c>
      <c r="N6" s="477" t="str">
        <f>Cen!C522</f>
        <v>R906</v>
      </c>
      <c r="O6" s="477">
        <f>Cen!D522</f>
        <v>0</v>
      </c>
      <c r="P6" s="385">
        <f t="shared" si="1"/>
        <v>0</v>
      </c>
      <c r="Q6" s="386">
        <f>Cen!F522</f>
        <v>28.674389999999999</v>
      </c>
      <c r="R6" s="387">
        <f t="shared" si="0"/>
        <v>0</v>
      </c>
    </row>
    <row r="7" spans="4:18" ht="13.5" customHeight="1" x14ac:dyDescent="0.25">
      <c r="D7" s="58" t="s">
        <v>459</v>
      </c>
      <c r="E7" s="2" t="str">
        <f>List!$B$114&amp;" ("&amp;List!B116&amp;")"</f>
        <v>Koncovka pro příčku (pro mezistěnu)</v>
      </c>
      <c r="L7" s="477" t="str">
        <f>Cen!A540</f>
        <v>Vana na láhve, 500mm</v>
      </c>
      <c r="M7" s="477" t="str">
        <f>Cen!B540</f>
        <v>Z48.30B0I6</v>
      </c>
      <c r="N7" s="477" t="str">
        <f>Cen!C540</f>
        <v>IG/G</v>
      </c>
      <c r="O7" s="477">
        <f>Cen!D540</f>
        <v>0</v>
      </c>
      <c r="P7" s="385">
        <f t="shared" si="1"/>
        <v>0</v>
      </c>
      <c r="Q7" s="386">
        <f>Cen!F540</f>
        <v>42.601520000000001</v>
      </c>
      <c r="R7" s="387">
        <f t="shared" si="0"/>
        <v>0</v>
      </c>
    </row>
    <row r="8" spans="4:18" ht="13.5" customHeight="1" thickBot="1" x14ac:dyDescent="0.3">
      <c r="D8" s="58"/>
      <c r="I8" s="2" t="str">
        <f>List!$B$12&amp;":"</f>
        <v>Pokračovat na:</v>
      </c>
    </row>
    <row r="9" spans="4:18" ht="13.5" customHeight="1" thickBot="1" x14ac:dyDescent="0.3">
      <c r="D9" s="58" t="s">
        <v>457</v>
      </c>
      <c r="E9" s="2" t="str">
        <f>List!B121</f>
        <v>Vana na láhve</v>
      </c>
      <c r="I9" s="150" t="str">
        <f>" "&amp;List!$B$18</f>
        <v xml:space="preserve"> Souhrn</v>
      </c>
      <c r="R9" s="436">
        <f>SUM(R2:R8)</f>
        <v>0</v>
      </c>
    </row>
    <row r="10" spans="4:18" ht="13.5" customHeight="1" x14ac:dyDescent="0.25">
      <c r="D10" s="58" t="s">
        <v>456</v>
      </c>
      <c r="E10" s="2" t="str">
        <f>List!B122</f>
        <v>Mezistěna</v>
      </c>
      <c r="I10" s="150" t="str">
        <f>" "&amp;List!$B$20</f>
        <v xml:space="preserve"> Objednávka</v>
      </c>
    </row>
    <row r="11" spans="4:18" ht="7.5" customHeight="1" x14ac:dyDescent="0.25"/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</row>
    <row r="14" spans="4:18" ht="13.5" customHeight="1" x14ac:dyDescent="0.25"/>
    <row r="15" spans="4:18" ht="13.5" customHeight="1" x14ac:dyDescent="0.25"/>
    <row r="16" spans="4:18" ht="7.5" customHeight="1" x14ac:dyDescent="0.25"/>
    <row r="17" spans="1:9" ht="13.5" customHeight="1" x14ac:dyDescent="0.25">
      <c r="D17" s="59" t="s">
        <v>407</v>
      </c>
      <c r="E17" s="2" t="str">
        <f>List!$C$133&amp;":"</f>
        <v>Délky příček:</v>
      </c>
    </row>
    <row r="18" spans="1:9" ht="13.5" customHeight="1" x14ac:dyDescent="0.25">
      <c r="E18" s="2" t="s">
        <v>408</v>
      </c>
      <c r="I18" s="2" t="str">
        <f>"         "&amp;List!$B$183</f>
        <v xml:space="preserve">         Láhve, prkýnka na krájení</v>
      </c>
    </row>
    <row r="19" spans="1:9" ht="13.5" customHeight="1" x14ac:dyDescent="0.25"/>
    <row r="20" spans="1:9" ht="13.5" customHeight="1" x14ac:dyDescent="0.25"/>
    <row r="21" spans="1:9" ht="15" customHeight="1" x14ac:dyDescent="0.3">
      <c r="B21" s="193" t="str">
        <f>List!$B$22&amp;":"</f>
        <v>Soupis kování:</v>
      </c>
      <c r="C21" s="7"/>
      <c r="D21" s="7"/>
      <c r="E21" s="196" t="str">
        <f>List!$B$90&amp;":"</f>
        <v>Počet:</v>
      </c>
      <c r="F21" s="459"/>
      <c r="G21" s="460"/>
    </row>
    <row r="22" spans="1:9" ht="15" customHeight="1" x14ac:dyDescent="0.25">
      <c r="A22" s="5" t="s">
        <v>462</v>
      </c>
      <c r="B22" s="6" t="str">
        <f>Cen!A466&amp;" *"</f>
        <v>Příčka ke zkrácení, KB 300mm, šedá *</v>
      </c>
      <c r="C22" s="6" t="str">
        <f>Cen!B466</f>
        <v>Z40L177A</v>
      </c>
      <c r="D22" s="6" t="str">
        <f>Cen!C466</f>
        <v>R906</v>
      </c>
      <c r="E22" s="9"/>
      <c r="F22" s="461"/>
      <c r="G22" s="462"/>
    </row>
    <row r="23" spans="1:9" ht="15" customHeight="1" x14ac:dyDescent="0.25">
      <c r="A23" s="5" t="s">
        <v>460</v>
      </c>
      <c r="B23" s="6" t="str">
        <f>Cen!A483</f>
        <v>Koncovka pro příčku, pro reling, D, bílošedá</v>
      </c>
      <c r="C23" s="6" t="str">
        <f>Cen!B483</f>
        <v>Z40D0002Z</v>
      </c>
      <c r="D23" s="6" t="str">
        <f>Cen!C483</f>
        <v>WGR</v>
      </c>
      <c r="E23" s="9"/>
      <c r="F23" s="461"/>
      <c r="G23" s="462"/>
    </row>
    <row r="24" spans="1:9" ht="15" customHeight="1" x14ac:dyDescent="0.25">
      <c r="A24" s="5" t="s">
        <v>460</v>
      </c>
      <c r="B24" s="6" t="str">
        <f>Cen!A487</f>
        <v>Koncovka pro příčku, pro reling, C, bílošedá</v>
      </c>
      <c r="C24" s="6" t="str">
        <f>Cen!B487</f>
        <v>Z40C0002Z</v>
      </c>
      <c r="D24" s="6" t="str">
        <f>Cen!C487</f>
        <v>WGR</v>
      </c>
      <c r="E24" s="9"/>
      <c r="F24" s="461"/>
      <c r="G24" s="462"/>
    </row>
    <row r="25" spans="1:9" ht="15" customHeight="1" x14ac:dyDescent="0.25">
      <c r="A25" s="5" t="s">
        <v>459</v>
      </c>
      <c r="B25" s="6" t="str">
        <f>Cen!A491</f>
        <v>Koncovka pro příčku, pro mezistěnu, bílošedá</v>
      </c>
      <c r="C25" s="6" t="str">
        <f>Cen!B491</f>
        <v>Z40L0002</v>
      </c>
      <c r="D25" s="6" t="str">
        <f>Cen!C491</f>
        <v>WGR</v>
      </c>
      <c r="E25" s="9"/>
      <c r="F25" s="461"/>
      <c r="G25" s="462"/>
    </row>
    <row r="26" spans="1:9" ht="15" customHeight="1" x14ac:dyDescent="0.25">
      <c r="A26" s="5" t="s">
        <v>456</v>
      </c>
      <c r="B26" s="6" t="str">
        <f>Cen!A522</f>
        <v>Mezistěna, 500mm, šedá</v>
      </c>
      <c r="C26" s="6" t="str">
        <f>Cen!B522</f>
        <v xml:space="preserve">Z46L470S   </v>
      </c>
      <c r="D26" s="6" t="str">
        <f>Cen!C522</f>
        <v>R906</v>
      </c>
      <c r="E26" s="9"/>
      <c r="F26" s="461"/>
      <c r="G26" s="462"/>
    </row>
    <row r="27" spans="1:9" ht="15" customHeight="1" x14ac:dyDescent="0.25">
      <c r="A27" s="5" t="s">
        <v>457</v>
      </c>
      <c r="B27" s="6" t="str">
        <f>Cen!A540</f>
        <v>Vana na láhve, 500mm</v>
      </c>
      <c r="C27" s="6" t="str">
        <f>Cen!B540</f>
        <v>Z48.30B0I6</v>
      </c>
      <c r="D27" s="6" t="str">
        <f>Cen!C540</f>
        <v>IG/G</v>
      </c>
      <c r="E27" s="9"/>
      <c r="F27" s="461"/>
      <c r="G27" s="462"/>
    </row>
    <row r="28" spans="1:9" x14ac:dyDescent="0.25">
      <c r="F28" s="39"/>
      <c r="G28" s="39"/>
    </row>
    <row r="29" spans="1:9" x14ac:dyDescent="0.25">
      <c r="B29" s="2" t="str">
        <f>"     "&amp;List!$B$154&amp;"!"</f>
        <v xml:space="preserve">     Mezistěnu nelze použít pro vnitřní výsuv!</v>
      </c>
    </row>
  </sheetData>
  <sheetProtection algorithmName="SHA-512" hashValue="QIbKdsu0afr0UFxfpfleSeiCDg9ou0Ur8EFnUhkn8cFKfPywkl++g/ZGc8uzUl25GmEHWN+ba3dhY2jANaIR0w==" saltValue="oCf6OCx/lRH6fvTaYiDNE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theme="5"/>
  </sheetPr>
  <dimension ref="A1:R23"/>
  <sheetViews>
    <sheetView showGridLines="0" showRowColHeaders="0" workbookViewId="0">
      <selection activeCell="I20" sqref="I20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List!$B$121</f>
        <v>Vana na láhve</v>
      </c>
      <c r="I1" s="151" t="str">
        <f>List!$B$11&amp;":"</f>
        <v>Zpět na:</v>
      </c>
    </row>
    <row r="2" spans="4:18" ht="13.5" customHeight="1" thickBot="1" x14ac:dyDescent="0.3">
      <c r="D2" s="6"/>
      <c r="E2" s="108" t="str">
        <f>List!$B$129&amp;":"</f>
        <v>Základní prvek:</v>
      </c>
      <c r="F2" s="109"/>
      <c r="G2" s="108" t="str">
        <f>List!$B$48&amp;" D"</f>
        <v>Čelní výsuv D</v>
      </c>
      <c r="I2" s="149" t="str">
        <f>" "&amp;List!$B$13</f>
        <v xml:space="preserve"> Úvod</v>
      </c>
      <c r="L2" s="477" t="str">
        <f>Cen!A466</f>
        <v>Příčka ke zkrácení, KB 300mm, šedá</v>
      </c>
      <c r="M2" s="477" t="str">
        <f>Cen!B466</f>
        <v>Z40L177A</v>
      </c>
      <c r="N2" s="477" t="str">
        <f>Cen!C466</f>
        <v>R906</v>
      </c>
      <c r="O2" s="477">
        <f>Cen!D466</f>
        <v>0</v>
      </c>
      <c r="P2" s="385">
        <f>E20</f>
        <v>0</v>
      </c>
      <c r="Q2" s="386">
        <f>Cen!F466</f>
        <v>5.7865700000000002</v>
      </c>
      <c r="R2" s="387">
        <f t="shared" ref="R2:R5" si="0">P2*Q2</f>
        <v>0</v>
      </c>
    </row>
    <row r="3" spans="4:18" ht="13.5" customHeight="1" thickBot="1" x14ac:dyDescent="0.3">
      <c r="D3" s="6"/>
      <c r="E3" s="108" t="str">
        <f>List!$B$102&amp;" KB:"</f>
        <v>Šířka korpusu KB:</v>
      </c>
      <c r="F3" s="6"/>
      <c r="G3" s="108" t="s">
        <v>123</v>
      </c>
      <c r="I3" s="150" t="str">
        <f>" "&amp;List!$B$4</f>
        <v xml:space="preserve"> Výběr zásuvek a výsuvů</v>
      </c>
      <c r="L3" s="477" t="str">
        <f>Cen!A483</f>
        <v>Koncovka pro příčku, pro reling, D, bílošedá</v>
      </c>
      <c r="M3" s="477" t="str">
        <f>Cen!B483</f>
        <v>Z40D0002Z</v>
      </c>
      <c r="N3" s="477" t="str">
        <f>Cen!C483</f>
        <v>WGR</v>
      </c>
      <c r="O3" s="477">
        <f>Cen!D483</f>
        <v>0</v>
      </c>
      <c r="P3" s="385">
        <f t="shared" ref="P3:P5" si="1">E21</f>
        <v>0</v>
      </c>
      <c r="Q3" s="386">
        <f>Cen!F483</f>
        <v>1.8503300000000003</v>
      </c>
      <c r="R3" s="387">
        <f t="shared" si="0"/>
        <v>0</v>
      </c>
    </row>
    <row r="4" spans="4:18" ht="13.5" customHeight="1" thickBot="1" x14ac:dyDescent="0.3">
      <c r="I4" s="150" t="str">
        <f>" "&amp;List!$B$5</f>
        <v xml:space="preserve"> Výběr doplňků</v>
      </c>
      <c r="L4" s="477" t="str">
        <f>Cen!A487</f>
        <v>Koncovka pro příčku, pro reling, C, bílošedá</v>
      </c>
      <c r="M4" s="477" t="str">
        <f>Cen!B487</f>
        <v>Z40C0002Z</v>
      </c>
      <c r="N4" s="477" t="str">
        <f>Cen!C487</f>
        <v>WGR</v>
      </c>
      <c r="O4" s="477">
        <f>Cen!D487</f>
        <v>0</v>
      </c>
      <c r="P4" s="385">
        <f t="shared" si="1"/>
        <v>0</v>
      </c>
      <c r="Q4" s="386">
        <f>Cen!F487</f>
        <v>1.7087099999999997</v>
      </c>
      <c r="R4" s="387">
        <f t="shared" si="0"/>
        <v>0</v>
      </c>
    </row>
    <row r="5" spans="4:18" ht="13.5" customHeight="1" thickBot="1" x14ac:dyDescent="0.3">
      <c r="D5" s="58" t="s">
        <v>462</v>
      </c>
      <c r="E5" s="2" t="str">
        <f>List!B113</f>
        <v>Příčka ke zkrácení</v>
      </c>
      <c r="I5" s="150" t="str">
        <f>" "&amp;List!$B$6</f>
        <v xml:space="preserve"> Výběr SERVO-DRIVE</v>
      </c>
      <c r="L5" s="477" t="str">
        <f>Cen!A540</f>
        <v>Vana na láhve, 500mm</v>
      </c>
      <c r="M5" s="477" t="str">
        <f>Cen!B540</f>
        <v>Z48.30B0I6</v>
      </c>
      <c r="N5" s="477" t="str">
        <f>Cen!C540</f>
        <v>IG/G</v>
      </c>
      <c r="O5" s="477">
        <f>Cen!D540</f>
        <v>0</v>
      </c>
      <c r="P5" s="385">
        <f t="shared" si="1"/>
        <v>0</v>
      </c>
      <c r="Q5" s="386">
        <f>Cen!F540</f>
        <v>42.601520000000001</v>
      </c>
      <c r="R5" s="387">
        <f t="shared" si="0"/>
        <v>0</v>
      </c>
    </row>
    <row r="6" spans="4:18" ht="13.5" customHeight="1" x14ac:dyDescent="0.25">
      <c r="D6" s="58" t="s">
        <v>459</v>
      </c>
      <c r="E6" s="2" t="str">
        <f>List!$B$114&amp;" ("&amp;List!B116&amp;")"</f>
        <v>Koncovka pro příčku (pro mezistěnu)</v>
      </c>
      <c r="I6" s="265" t="str">
        <f>" "&amp;List!$B$7</f>
        <v xml:space="preserve"> Výběr ORGA-LINE</v>
      </c>
    </row>
    <row r="7" spans="4:18" ht="13.5" customHeight="1" x14ac:dyDescent="0.25">
      <c r="D7" s="58" t="s">
        <v>457</v>
      </c>
      <c r="E7" s="2" t="str">
        <f>List!B121</f>
        <v>Vana na láhve</v>
      </c>
      <c r="R7" s="436">
        <f>SUM(R2:R6)</f>
        <v>0</v>
      </c>
    </row>
    <row r="8" spans="4:18" ht="13.5" customHeight="1" thickBot="1" x14ac:dyDescent="0.3">
      <c r="D8" s="58"/>
      <c r="I8" s="2" t="str">
        <f>List!$B$12&amp;":"</f>
        <v>Pokračovat na:</v>
      </c>
    </row>
    <row r="9" spans="4:18" ht="13.5" customHeight="1" thickBot="1" x14ac:dyDescent="0.3">
      <c r="I9" s="150" t="str">
        <f>" "&amp;List!$B$18</f>
        <v xml:space="preserve"> Souhrn</v>
      </c>
    </row>
    <row r="10" spans="4:18" ht="13.5" customHeight="1" x14ac:dyDescent="0.25">
      <c r="D10" s="58"/>
      <c r="I10" s="150" t="str">
        <f>" "&amp;List!$B$20</f>
        <v xml:space="preserve"> Objednávka</v>
      </c>
    </row>
    <row r="11" spans="4:18" ht="7.5" customHeight="1" x14ac:dyDescent="0.25"/>
    <row r="12" spans="4:18" ht="13.5" customHeight="1" x14ac:dyDescent="0.25">
      <c r="E12" s="2" t="str">
        <f>List!$C$130&amp;":"</f>
        <v>Přířezy příčky:</v>
      </c>
    </row>
    <row r="13" spans="4:18" ht="13.5" customHeight="1" x14ac:dyDescent="0.25">
      <c r="E13" s="2" t="s">
        <v>454</v>
      </c>
    </row>
    <row r="14" spans="4:18" ht="13.5" customHeight="1" x14ac:dyDescent="0.25"/>
    <row r="15" spans="4:18" ht="13.5" customHeight="1" x14ac:dyDescent="0.25">
      <c r="D15" s="59" t="s">
        <v>407</v>
      </c>
      <c r="E15" s="2" t="str">
        <f>List!$C$133&amp;":"</f>
        <v>Délky příček:</v>
      </c>
    </row>
    <row r="16" spans="4:18" ht="13.5" customHeight="1" x14ac:dyDescent="0.25">
      <c r="E16" s="2" t="s">
        <v>408</v>
      </c>
      <c r="I16" s="2" t="str">
        <f>"         "&amp;List!$B$184</f>
        <v xml:space="preserve">         Láhve (oleje, octy)</v>
      </c>
    </row>
    <row r="17" spans="1:7" ht="13.5" customHeight="1" x14ac:dyDescent="0.25"/>
    <row r="18" spans="1:7" ht="13.5" customHeight="1" x14ac:dyDescent="0.25"/>
    <row r="19" spans="1:7" ht="15" customHeight="1" x14ac:dyDescent="0.3">
      <c r="B19" s="193" t="str">
        <f>List!$B$22&amp;":"</f>
        <v>Soupis kování:</v>
      </c>
      <c r="C19" s="7"/>
      <c r="D19" s="7"/>
      <c r="E19" s="196" t="str">
        <f>List!$B$90&amp;":"</f>
        <v>Počet:</v>
      </c>
      <c r="F19" s="459"/>
      <c r="G19" s="460"/>
    </row>
    <row r="20" spans="1:7" ht="15" customHeight="1" x14ac:dyDescent="0.25">
      <c r="A20" s="5" t="s">
        <v>462</v>
      </c>
      <c r="B20" s="6" t="str">
        <f>Cen!A466&amp;" *"</f>
        <v>Příčka ke zkrácení, KB 300mm, šedá *</v>
      </c>
      <c r="C20" s="6" t="str">
        <f>Cen!B466</f>
        <v>Z40L177A</v>
      </c>
      <c r="D20" s="6" t="str">
        <f>Cen!C466</f>
        <v>R906</v>
      </c>
      <c r="E20" s="9"/>
      <c r="F20" s="461"/>
      <c r="G20" s="462"/>
    </row>
    <row r="21" spans="1:7" ht="15" customHeight="1" x14ac:dyDescent="0.25">
      <c r="A21" s="5" t="s">
        <v>460</v>
      </c>
      <c r="B21" s="6" t="str">
        <f>Cen!A483</f>
        <v>Koncovka pro příčku, pro reling, D, bílošedá</v>
      </c>
      <c r="C21" s="6" t="str">
        <f>Cen!B483</f>
        <v>Z40D0002Z</v>
      </c>
      <c r="D21" s="6" t="str">
        <f>Cen!C483</f>
        <v>WGR</v>
      </c>
      <c r="E21" s="9"/>
      <c r="F21" s="461"/>
      <c r="G21" s="462"/>
    </row>
    <row r="22" spans="1:7" ht="15" customHeight="1" x14ac:dyDescent="0.25">
      <c r="A22" s="5" t="s">
        <v>460</v>
      </c>
      <c r="B22" s="6" t="str">
        <f>Cen!A487</f>
        <v>Koncovka pro příčku, pro reling, C, bílošedá</v>
      </c>
      <c r="C22" s="6" t="str">
        <f>Cen!B487</f>
        <v>Z40C0002Z</v>
      </c>
      <c r="D22" s="6" t="str">
        <f>Cen!C487</f>
        <v>WGR</v>
      </c>
      <c r="E22" s="9"/>
      <c r="F22" s="461"/>
      <c r="G22" s="462"/>
    </row>
    <row r="23" spans="1:7" ht="15" customHeight="1" x14ac:dyDescent="0.25">
      <c r="A23" s="5" t="s">
        <v>457</v>
      </c>
      <c r="B23" s="6" t="str">
        <f>Cen!A540</f>
        <v>Vana na láhve, 500mm</v>
      </c>
      <c r="C23" s="6" t="str">
        <f>Cen!B540</f>
        <v>Z48.30B0I6</v>
      </c>
      <c r="D23" s="6" t="str">
        <f>Cen!C540</f>
        <v>IG/G</v>
      </c>
      <c r="E23" s="9"/>
      <c r="F23" s="461"/>
      <c r="G23" s="462"/>
    </row>
  </sheetData>
  <sheetProtection algorithmName="SHA-512" hashValue="qk6Cl6tqzdU9DfUKMpuYcDk50tBn4gEo8RDAfgM4/R9QWwhMK7NNSGyq/Mx3OQuoCi/TbpOcTaezSXOSVSRt4w==" saltValue="S1rkTFRPhkNoMnsqVhzi/g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/>
  </sheetPr>
  <dimension ref="A1:R26"/>
  <sheetViews>
    <sheetView showGridLines="0" showRowColHeaders="0" workbookViewId="0">
      <selection activeCell="T14" sqref="T14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475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List!$B$123</f>
        <v>Mezistěny</v>
      </c>
      <c r="I1" s="151" t="str">
        <f>List!$B$11&amp;":"</f>
        <v>Zpět na:</v>
      </c>
    </row>
    <row r="2" spans="4:18" ht="13.5" customHeight="1" thickBot="1" x14ac:dyDescent="0.3">
      <c r="D2" s="6"/>
      <c r="E2" s="108" t="str">
        <f>List!$B$129&amp;":"</f>
        <v>Základní prvek:</v>
      </c>
      <c r="F2" s="109"/>
      <c r="G2" s="108" t="str">
        <f>List!$B$48&amp;" D"</f>
        <v>Čelní výsuv D</v>
      </c>
      <c r="I2" s="149" t="str">
        <f>" "&amp;List!$B$13</f>
        <v xml:space="preserve"> Úvod</v>
      </c>
      <c r="L2" s="477" t="str">
        <f>Cen!A518</f>
        <v>Mezistěna, 450mm, šedá</v>
      </c>
      <c r="M2" s="477" t="str">
        <f>Cen!B518</f>
        <v xml:space="preserve">Z46L420S   </v>
      </c>
      <c r="N2" s="477" t="str">
        <f>Cen!C518</f>
        <v>R906</v>
      </c>
      <c r="O2" s="385" t="str">
        <f>Cen!D518</f>
        <v>!</v>
      </c>
      <c r="P2" s="385">
        <f>E20</f>
        <v>0</v>
      </c>
      <c r="Q2" s="386">
        <f>Cen!F518</f>
        <v>27.800640000000001</v>
      </c>
      <c r="R2" s="387">
        <f t="shared" ref="R2:R4" si="0">P2*Q2</f>
        <v>0</v>
      </c>
    </row>
    <row r="3" spans="4:18" ht="13.5" customHeight="1" thickBot="1" x14ac:dyDescent="0.3">
      <c r="D3" s="6"/>
      <c r="E3" s="108" t="str">
        <f>List!$B$102&amp;" KB:"</f>
        <v>Šířka korpusu KB:</v>
      </c>
      <c r="F3" s="6"/>
      <c r="G3" s="108" t="s">
        <v>125</v>
      </c>
      <c r="I3" s="150" t="str">
        <f>" "&amp;List!$B$4</f>
        <v xml:space="preserve"> Výběr zásuvek a výsuvů</v>
      </c>
      <c r="L3" s="477" t="str">
        <f>Cen!A522</f>
        <v>Mezistěna, 500mm, šedá</v>
      </c>
      <c r="M3" s="477" t="str">
        <f>Cen!B522</f>
        <v xml:space="preserve">Z46L470S   </v>
      </c>
      <c r="N3" s="477" t="str">
        <f>Cen!C522</f>
        <v>R906</v>
      </c>
      <c r="O3" s="385">
        <f>Cen!D522</f>
        <v>0</v>
      </c>
      <c r="P3" s="385">
        <f t="shared" ref="P3:P6" si="1">E21</f>
        <v>0</v>
      </c>
      <c r="Q3" s="386">
        <f>Cen!F522</f>
        <v>28.674389999999999</v>
      </c>
      <c r="R3" s="387">
        <f t="shared" si="0"/>
        <v>0</v>
      </c>
    </row>
    <row r="4" spans="4:18" ht="13.5" customHeight="1" thickBot="1" x14ac:dyDescent="0.3">
      <c r="I4" s="150" t="str">
        <f>" "&amp;List!$B$5</f>
        <v xml:space="preserve"> Výběr doplňků</v>
      </c>
      <c r="L4" s="477" t="str">
        <f>Cen!A526</f>
        <v>Mezistěna, 550mm, šedá</v>
      </c>
      <c r="M4" s="477" t="str">
        <f>Cen!B526</f>
        <v xml:space="preserve">Z46L520S   </v>
      </c>
      <c r="N4" s="477" t="str">
        <f>Cen!C526</f>
        <v>R906</v>
      </c>
      <c r="O4" s="385" t="str">
        <f>Cen!D526</f>
        <v>!</v>
      </c>
      <c r="P4" s="385">
        <f t="shared" si="1"/>
        <v>0</v>
      </c>
      <c r="Q4" s="386">
        <f>Cen!F526</f>
        <v>30.234719999999996</v>
      </c>
      <c r="R4" s="387">
        <f t="shared" si="0"/>
        <v>0</v>
      </c>
    </row>
    <row r="5" spans="4:18" ht="13.5" customHeight="1" thickBot="1" x14ac:dyDescent="0.3">
      <c r="D5" s="58" t="s">
        <v>456</v>
      </c>
      <c r="E5" s="2" t="str">
        <f>List!B122</f>
        <v>Mezistěna</v>
      </c>
      <c r="I5" s="150" t="str">
        <f>" "&amp;List!$B$6</f>
        <v xml:space="preserve"> Výběr SERVO-DRIVE</v>
      </c>
      <c r="L5" s="477" t="str">
        <f>Cen!A530</f>
        <v>Mezistěna, 600mm, šedá</v>
      </c>
      <c r="M5" s="477" t="str">
        <f>Cen!B530</f>
        <v xml:space="preserve">Z46L570S   </v>
      </c>
      <c r="N5" s="477" t="str">
        <f>Cen!C530</f>
        <v>R906</v>
      </c>
      <c r="O5" s="385" t="str">
        <f>Cen!D530</f>
        <v>!</v>
      </c>
      <c r="P5" s="385">
        <f t="shared" si="1"/>
        <v>0</v>
      </c>
      <c r="Q5" s="386">
        <f>Cen!F530</f>
        <v>28.590029999999999</v>
      </c>
      <c r="R5" s="387">
        <f t="shared" ref="R5:R6" si="2">P5*Q5</f>
        <v>0</v>
      </c>
    </row>
    <row r="6" spans="4:18" ht="13.5" customHeight="1" x14ac:dyDescent="0.25">
      <c r="D6" s="58"/>
      <c r="I6" s="265" t="str">
        <f>" "&amp;List!$B$7</f>
        <v xml:space="preserve"> Výběr ORGA-LINE</v>
      </c>
      <c r="L6" s="477" t="str">
        <f>Cen!A534</f>
        <v>Mezistěna, 650mm, šedá</v>
      </c>
      <c r="M6" s="477" t="str">
        <f>Cen!B534</f>
        <v xml:space="preserve">Z46L620S   </v>
      </c>
      <c r="N6" s="477" t="str">
        <f>Cen!C534</f>
        <v>R906</v>
      </c>
      <c r="O6" s="385" t="str">
        <f>Cen!D534</f>
        <v>!</v>
      </c>
      <c r="P6" s="385">
        <f t="shared" si="1"/>
        <v>0</v>
      </c>
      <c r="Q6" s="386">
        <f>Cen!F534</f>
        <v>33.355379999999997</v>
      </c>
      <c r="R6" s="387">
        <f t="shared" si="2"/>
        <v>0</v>
      </c>
    </row>
    <row r="7" spans="4:18" ht="13.5" customHeight="1" x14ac:dyDescent="0.25">
      <c r="D7" s="58"/>
    </row>
    <row r="8" spans="4:18" ht="13.5" customHeight="1" thickBot="1" x14ac:dyDescent="0.3">
      <c r="D8" s="58"/>
      <c r="I8" s="2" t="str">
        <f>List!$B$12&amp;":"</f>
        <v>Pokračovat na:</v>
      </c>
      <c r="R8" s="436">
        <f>SUM(R2:R7)</f>
        <v>0</v>
      </c>
    </row>
    <row r="9" spans="4:18" ht="13.5" customHeight="1" thickBot="1" x14ac:dyDescent="0.3">
      <c r="I9" s="150" t="str">
        <f>" "&amp;List!$B$18</f>
        <v xml:space="preserve"> Souhrn</v>
      </c>
    </row>
    <row r="10" spans="4:18" ht="13.5" customHeight="1" x14ac:dyDescent="0.25">
      <c r="D10" s="58"/>
      <c r="I10" s="150" t="str">
        <f>" "&amp;List!$B$20</f>
        <v xml:space="preserve"> Objednávka</v>
      </c>
    </row>
    <row r="11" spans="4:18" ht="7.5" customHeight="1" x14ac:dyDescent="0.25"/>
    <row r="12" spans="4:18" ht="13.5" customHeight="1" x14ac:dyDescent="0.25"/>
    <row r="13" spans="4:18" ht="13.5" customHeight="1" x14ac:dyDescent="0.25"/>
    <row r="14" spans="4:18" ht="13.5" customHeight="1" x14ac:dyDescent="0.25"/>
    <row r="15" spans="4:18" ht="13.5" customHeight="1" x14ac:dyDescent="0.25">
      <c r="D15" s="59"/>
    </row>
    <row r="16" spans="4:18" ht="13.5" customHeight="1" x14ac:dyDescent="0.25">
      <c r="I16" s="2" t="str">
        <f>"         "&amp;List!$B$185</f>
        <v xml:space="preserve">         Formy, plechy na pečení</v>
      </c>
    </row>
    <row r="17" spans="1:7" ht="13.5" customHeight="1" x14ac:dyDescent="0.25"/>
    <row r="18" spans="1:7" ht="13.5" customHeight="1" x14ac:dyDescent="0.25"/>
    <row r="19" spans="1:7" ht="15" customHeight="1" x14ac:dyDescent="0.3">
      <c r="B19" s="193" t="str">
        <f>List!$B$22&amp;":"</f>
        <v>Soupis kování:</v>
      </c>
      <c r="C19" s="7"/>
      <c r="D19" s="7"/>
      <c r="E19" s="196" t="str">
        <f>List!$B$90&amp;":"</f>
        <v>Počet:</v>
      </c>
      <c r="F19" s="459"/>
      <c r="G19" s="460"/>
    </row>
    <row r="20" spans="1:7" ht="15" customHeight="1" x14ac:dyDescent="0.25">
      <c r="A20" s="543" t="s">
        <v>456</v>
      </c>
      <c r="B20" s="544" t="str">
        <f>Cen!A518</f>
        <v>Mezistěna, 450mm, šedá</v>
      </c>
      <c r="C20" s="544" t="str">
        <f>Cen!B518</f>
        <v xml:space="preserve">Z46L420S   </v>
      </c>
      <c r="D20" s="544" t="str">
        <f>Cen!C518</f>
        <v>R906</v>
      </c>
      <c r="E20" s="544"/>
      <c r="F20" s="459"/>
      <c r="G20" s="460"/>
    </row>
    <row r="21" spans="1:7" ht="15" customHeight="1" x14ac:dyDescent="0.25">
      <c r="A21" s="5" t="s">
        <v>456</v>
      </c>
      <c r="B21" s="6" t="str">
        <f>Cen!A522</f>
        <v>Mezistěna, 500mm, šedá</v>
      </c>
      <c r="C21" s="6" t="str">
        <f>Cen!B522</f>
        <v xml:space="preserve">Z46L470S   </v>
      </c>
      <c r="D21" s="6" t="str">
        <f>Cen!C522</f>
        <v>R906</v>
      </c>
      <c r="E21" s="9"/>
      <c r="F21" s="461"/>
      <c r="G21" s="462"/>
    </row>
    <row r="22" spans="1:7" ht="15" customHeight="1" x14ac:dyDescent="0.25">
      <c r="A22" s="543" t="s">
        <v>456</v>
      </c>
      <c r="B22" s="544" t="str">
        <f>Cen!A526</f>
        <v>Mezistěna, 550mm, šedá</v>
      </c>
      <c r="C22" s="544" t="str">
        <f>Cen!B526</f>
        <v xml:space="preserve">Z46L520S   </v>
      </c>
      <c r="D22" s="544" t="str">
        <f>Cen!C526</f>
        <v>R906</v>
      </c>
      <c r="E22" s="544"/>
      <c r="F22" s="461"/>
      <c r="G22" s="462"/>
    </row>
    <row r="23" spans="1:7" ht="15" customHeight="1" x14ac:dyDescent="0.25">
      <c r="A23" s="543" t="s">
        <v>456</v>
      </c>
      <c r="B23" s="544" t="str">
        <f>Cen!A530</f>
        <v>Mezistěna, 600mm, šedá</v>
      </c>
      <c r="C23" s="544" t="str">
        <f>Cen!B530</f>
        <v xml:space="preserve">Z46L570S   </v>
      </c>
      <c r="D23" s="544" t="str">
        <f>Cen!C530</f>
        <v>R906</v>
      </c>
      <c r="E23" s="544"/>
      <c r="F23" s="461"/>
      <c r="G23" s="462"/>
    </row>
    <row r="24" spans="1:7" ht="15" customHeight="1" x14ac:dyDescent="0.25">
      <c r="A24" s="5" t="s">
        <v>456</v>
      </c>
      <c r="B24" s="6" t="str">
        <f>Cen!A534</f>
        <v>Mezistěna, 650mm, šedá</v>
      </c>
      <c r="C24" s="6" t="str">
        <f>Cen!B534</f>
        <v xml:space="preserve">Z46L620S   </v>
      </c>
      <c r="D24" s="6" t="str">
        <f>Cen!C534</f>
        <v>R906</v>
      </c>
      <c r="E24" s="9"/>
      <c r="F24" s="461"/>
      <c r="G24" s="462"/>
    </row>
    <row r="26" spans="1:7" x14ac:dyDescent="0.25">
      <c r="B26" s="2" t="str">
        <f>"     "&amp;List!$B$154&amp;"!"</f>
        <v xml:space="preserve">     Mezistěnu nelze použít pro vnitřní výsuv!</v>
      </c>
    </row>
  </sheetData>
  <sheetProtection algorithmName="SHA-512" hashValue="yyKf6O2T5hS647Fx1FDOUSXpLvcXc6Kfmb40iH/uV4x6q+WvYXKri3p7ukZrr+HIlT9QujaBwAPKeQ0WDuI0Bw==" saltValue="YCIZuZrYbrsQeaP1UCuzWw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5"/>
  </sheetPr>
  <dimension ref="A1:R25"/>
  <sheetViews>
    <sheetView showGridLines="0" showRowColHeaders="0" workbookViewId="0">
      <selection activeCell="I14" sqref="I14"/>
    </sheetView>
  </sheetViews>
  <sheetFormatPr defaultColWidth="9.1796875" defaultRowHeight="12.5" x14ac:dyDescent="0.25"/>
  <cols>
    <col min="1" max="1" width="3.54296875" style="2" customWidth="1"/>
    <col min="2" max="2" width="44.26953125" style="2" customWidth="1"/>
    <col min="3" max="3" width="17.1796875" style="2" customWidth="1"/>
    <col min="4" max="7" width="10" style="2" customWidth="1"/>
    <col min="8" max="8" width="5.81640625" style="2" customWidth="1"/>
    <col min="9" max="9" width="25.81640625" style="2" customWidth="1"/>
    <col min="10" max="10" width="9.1796875" style="2"/>
    <col min="11" max="11" width="3.453125" style="2" customWidth="1"/>
    <col min="12" max="12" width="37.1796875" style="2" hidden="1" customWidth="1"/>
    <col min="13" max="13" width="12.81640625" style="2" hidden="1" customWidth="1"/>
    <col min="14" max="14" width="6.453125" style="2" hidden="1" customWidth="1"/>
    <col min="15" max="15" width="2.1796875" style="2" hidden="1" customWidth="1"/>
    <col min="16" max="16" width="6.453125" style="2" hidden="1" customWidth="1"/>
    <col min="17" max="17" width="9.453125" style="2" hidden="1" customWidth="1"/>
    <col min="18" max="18" width="0" style="2" hidden="1" customWidth="1"/>
    <col min="19" max="16384" width="9.1796875" style="2"/>
  </cols>
  <sheetData>
    <row r="1" spans="4:18" ht="22.5" customHeight="1" x14ac:dyDescent="0.45">
      <c r="G1" s="10" t="str">
        <f>List!$B$137</f>
        <v>Příčný reling</v>
      </c>
      <c r="I1" s="151" t="str">
        <f>List!$B$11&amp;":"</f>
        <v>Zpět na:</v>
      </c>
    </row>
    <row r="2" spans="4:18" ht="13.5" customHeight="1" thickBot="1" x14ac:dyDescent="0.3">
      <c r="D2" s="6"/>
      <c r="E2" s="108" t="str">
        <f>List!$B$129&amp;":"</f>
        <v>Základní prvek:</v>
      </c>
      <c r="F2" s="109"/>
      <c r="G2" s="108" t="str">
        <f>List!$B$48&amp;" D"</f>
        <v>Čelní výsuv D</v>
      </c>
      <c r="I2" s="149" t="str">
        <f>" "&amp;List!$B$13</f>
        <v xml:space="preserve"> Úvod</v>
      </c>
      <c r="L2" s="477" t="str">
        <f>Cen!A501</f>
        <v>Příčný reling ke zkrácení, šedý</v>
      </c>
      <c r="M2" s="477" t="str">
        <f>Cen!B501</f>
        <v>ZRG.1104Q</v>
      </c>
      <c r="N2" s="477" t="str">
        <f>Cen!C501</f>
        <v>R906</v>
      </c>
      <c r="O2" s="477">
        <f>Cen!D501</f>
        <v>0</v>
      </c>
      <c r="P2" s="385">
        <f>E20</f>
        <v>0</v>
      </c>
      <c r="Q2" s="386">
        <f>Cen!F501</f>
        <v>4.6832500000000001</v>
      </c>
      <c r="R2" s="387">
        <f t="shared" ref="R2:R4" si="0">P2*Q2</f>
        <v>0</v>
      </c>
    </row>
    <row r="3" spans="4:18" ht="13.5" customHeight="1" thickBot="1" x14ac:dyDescent="0.3">
      <c r="I3" s="150" t="str">
        <f>" "&amp;List!$B$4</f>
        <v xml:space="preserve"> Výběr zásuvek a výsuvů</v>
      </c>
      <c r="L3" s="477" t="str">
        <f>Cen!A506</f>
        <v>Koncovka pro příčný reling, bílošedá</v>
      </c>
      <c r="M3" s="477" t="str">
        <f>Cen!B506</f>
        <v>ZRU.01E0</v>
      </c>
      <c r="N3" s="477" t="str">
        <f>Cen!C506</f>
        <v>WGR</v>
      </c>
      <c r="O3" s="477">
        <f>Cen!D506</f>
        <v>0</v>
      </c>
      <c r="P3" s="385">
        <f t="shared" ref="P3:P4" si="1">E21</f>
        <v>0</v>
      </c>
      <c r="Q3" s="386">
        <f>Cen!F506</f>
        <v>1.4808699999999999</v>
      </c>
      <c r="R3" s="387">
        <f t="shared" si="0"/>
        <v>0</v>
      </c>
    </row>
    <row r="4" spans="4:18" ht="13.5" customHeight="1" thickBot="1" x14ac:dyDescent="0.3">
      <c r="D4" s="6"/>
      <c r="E4" s="108" t="str">
        <f>List!$B$102&amp;" KB:"</f>
        <v>Šířka korpusu KB:</v>
      </c>
      <c r="F4" s="6"/>
      <c r="G4" s="108" t="s">
        <v>123</v>
      </c>
      <c r="I4" s="150" t="str">
        <f>" "&amp;List!$B$5</f>
        <v xml:space="preserve"> Výběr doplňků</v>
      </c>
      <c r="L4" s="477" t="str">
        <f>Cen!A511</f>
        <v>Podélné dělení pro reling, bílošedé</v>
      </c>
      <c r="M4" s="477" t="str">
        <f>Cen!B511</f>
        <v>ZRU.11F0</v>
      </c>
      <c r="N4" s="477" t="str">
        <f>Cen!C511</f>
        <v>WGR</v>
      </c>
      <c r="O4" s="477">
        <f>Cen!D511</f>
        <v>0</v>
      </c>
      <c r="P4" s="385">
        <f t="shared" si="1"/>
        <v>0</v>
      </c>
      <c r="Q4" s="386">
        <f>Cen!F511</f>
        <v>0.84326000000000012</v>
      </c>
      <c r="R4" s="387">
        <f t="shared" si="0"/>
        <v>0</v>
      </c>
    </row>
    <row r="5" spans="4:18" ht="13.5" customHeight="1" thickBot="1" x14ac:dyDescent="0.3">
      <c r="I5" s="150" t="str">
        <f>" "&amp;List!$B$6</f>
        <v xml:space="preserve"> Výběr SERVO-DRIVE</v>
      </c>
    </row>
    <row r="6" spans="4:18" ht="13.5" customHeight="1" x14ac:dyDescent="0.25">
      <c r="I6" s="265" t="str">
        <f>" "&amp;List!$B$7</f>
        <v xml:space="preserve"> Výběr ORGA-LINE</v>
      </c>
      <c r="R6" s="436">
        <f>SUM(R2:R5)</f>
        <v>0</v>
      </c>
    </row>
    <row r="7" spans="4:18" ht="13.5" customHeight="1" x14ac:dyDescent="0.25">
      <c r="D7" s="58" t="s">
        <v>128</v>
      </c>
      <c r="E7" s="2" t="str">
        <f>List!B138</f>
        <v>Příčný reling ke zkrácení</v>
      </c>
    </row>
    <row r="8" spans="4:18" ht="13.5" customHeight="1" thickBot="1" x14ac:dyDescent="0.3">
      <c r="D8" s="58" t="s">
        <v>129</v>
      </c>
      <c r="E8" s="2" t="str">
        <f>List!B139</f>
        <v>Koncovka pro reling</v>
      </c>
      <c r="I8" s="2" t="str">
        <f>List!$B$12&amp;":"</f>
        <v>Pokračovat na:</v>
      </c>
    </row>
    <row r="9" spans="4:18" ht="13.5" customHeight="1" thickBot="1" x14ac:dyDescent="0.3">
      <c r="D9" s="58" t="s">
        <v>130</v>
      </c>
      <c r="E9" s="2" t="str">
        <f>List!B140</f>
        <v>Podélné dělení pro reling</v>
      </c>
      <c r="I9" s="150" t="str">
        <f>" "&amp;List!$B$18</f>
        <v xml:space="preserve"> Souhrn</v>
      </c>
    </row>
    <row r="10" spans="4:18" ht="13.5" customHeight="1" x14ac:dyDescent="0.25">
      <c r="D10" s="58"/>
      <c r="I10" s="150" t="str">
        <f>" "&amp;List!$B$20</f>
        <v xml:space="preserve"> Objednávka</v>
      </c>
    </row>
    <row r="11" spans="4:18" ht="7.5" customHeight="1" x14ac:dyDescent="0.25"/>
    <row r="12" spans="4:18" ht="13.5" customHeight="1" x14ac:dyDescent="0.25">
      <c r="E12" s="2" t="str">
        <f>List!$C$131&amp;":"</f>
        <v>Přířezy relingu:</v>
      </c>
    </row>
    <row r="13" spans="4:18" ht="13.5" customHeight="1" x14ac:dyDescent="0.25">
      <c r="E13" s="2" t="s">
        <v>134</v>
      </c>
    </row>
    <row r="14" spans="4:18" ht="13.5" customHeight="1" x14ac:dyDescent="0.25"/>
    <row r="15" spans="4:18" ht="13.5" customHeight="1" x14ac:dyDescent="0.25">
      <c r="D15" s="59" t="s">
        <v>407</v>
      </c>
      <c r="E15" s="2" t="str">
        <f>List!$C$134&amp;":"</f>
        <v>Délka relingu:</v>
      </c>
    </row>
    <row r="16" spans="4:18" ht="13.5" customHeight="1" x14ac:dyDescent="0.25">
      <c r="E16" s="2" t="s">
        <v>135</v>
      </c>
    </row>
    <row r="17" spans="1:7" ht="13.5" customHeight="1" x14ac:dyDescent="0.25"/>
    <row r="18" spans="1:7" ht="13.5" customHeight="1" x14ac:dyDescent="0.25"/>
    <row r="19" spans="1:7" ht="15" customHeight="1" x14ac:dyDescent="0.3">
      <c r="B19" s="193" t="str">
        <f>List!$B$22&amp;":"</f>
        <v>Soupis kování:</v>
      </c>
      <c r="C19" s="7"/>
      <c r="D19" s="7"/>
      <c r="E19" s="196" t="str">
        <f>List!$B$90&amp;":"</f>
        <v>Počet:</v>
      </c>
      <c r="F19" s="459"/>
      <c r="G19" s="460"/>
    </row>
    <row r="20" spans="1:7" ht="15" customHeight="1" x14ac:dyDescent="0.25">
      <c r="A20" s="5" t="s">
        <v>128</v>
      </c>
      <c r="B20" s="6" t="str">
        <f>Cen!A501&amp;" *"</f>
        <v>Příčný reling ke zkrácení, šedý *</v>
      </c>
      <c r="C20" s="6" t="str">
        <f>Cen!B501</f>
        <v>ZRG.1104Q</v>
      </c>
      <c r="D20" s="6" t="str">
        <f>Cen!C501</f>
        <v>R906</v>
      </c>
      <c r="E20" s="9"/>
      <c r="F20" s="461"/>
      <c r="G20" s="462"/>
    </row>
    <row r="21" spans="1:7" ht="15" customHeight="1" x14ac:dyDescent="0.25">
      <c r="A21" s="5" t="s">
        <v>129</v>
      </c>
      <c r="B21" s="6" t="str">
        <f>Cen!A506</f>
        <v>Koncovka pro příčný reling, bílošedá</v>
      </c>
      <c r="C21" s="6" t="str">
        <f>Cen!B506</f>
        <v>ZRU.01E0</v>
      </c>
      <c r="D21" s="6" t="str">
        <f>Cen!C506</f>
        <v>WGR</v>
      </c>
      <c r="E21" s="9"/>
      <c r="F21" s="461"/>
      <c r="G21" s="462"/>
    </row>
    <row r="22" spans="1:7" ht="15" customHeight="1" x14ac:dyDescent="0.25">
      <c r="A22" s="5" t="s">
        <v>130</v>
      </c>
      <c r="B22" s="6" t="str">
        <f>Cen!A511</f>
        <v>Podélné dělení pro reling, bílošedé</v>
      </c>
      <c r="C22" s="6" t="str">
        <f>Cen!B511</f>
        <v>ZRU.11F0</v>
      </c>
      <c r="D22" s="6" t="str">
        <f>Cen!C511</f>
        <v>WGR</v>
      </c>
      <c r="E22" s="9"/>
      <c r="F22" s="461"/>
      <c r="G22" s="462"/>
    </row>
    <row r="23" spans="1:7" x14ac:dyDescent="0.25">
      <c r="F23" s="39"/>
      <c r="G23" s="39"/>
    </row>
    <row r="25" spans="1:7" x14ac:dyDescent="0.25">
      <c r="B25" s="2" t="str">
        <f>"     "&amp;List!$B$153&amp;"!"</f>
        <v xml:space="preserve">     Příčný reling nelze kombinovat s mezistěnou!</v>
      </c>
    </row>
  </sheetData>
  <sheetProtection algorithmName="SHA-512" hashValue="t3aVSiFaqwbab/wtZTdRUBo17Fw/rFr2jjJ8289u/7Vqabwxhr09wfkwrlWu0IAYZE1MoI7PUazLof1dl2WXew==" saltValue="ARe0zan4/hnZ40TwKVuimA==" spinCount="100000" sheet="1" objects="1" scenarios="1"/>
  <phoneticPr fontId="53" type="noConversion"/>
  <hyperlinks>
    <hyperlink ref="I2" location="Form!A1" tooltip=" " display="Form!A1"/>
    <hyperlink ref="I3" location="Menu!A1" tooltip=" " display="Menu!A1"/>
    <hyperlink ref="I6" location="OL!A1" tooltip=" " display="ORGA-LINE"/>
    <hyperlink ref="I9" location="Sum!A128" tooltip=" " display="Sum!A128"/>
    <hyperlink ref="I4" location="Acs!A1" tooltip=" " display="Acs!A1"/>
    <hyperlink ref="I10" location="Ord!A1" tooltip=" " display="Ord!A1"/>
    <hyperlink ref="I5" location="SD!A1" tooltip=" " display="SD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theme="5"/>
  </sheetPr>
  <dimension ref="A1:R251"/>
  <sheetViews>
    <sheetView showGridLines="0" showRowColHeaders="0" workbookViewId="0">
      <selection activeCell="G28" sqref="G28"/>
    </sheetView>
  </sheetViews>
  <sheetFormatPr defaultColWidth="9.1796875" defaultRowHeight="12.5" x14ac:dyDescent="0.25"/>
  <cols>
    <col min="1" max="1" width="3.54296875" style="2" customWidth="1"/>
    <col min="2" max="2" width="35.7265625" style="2" customWidth="1"/>
    <col min="3" max="3" width="17.1796875" style="2" customWidth="1"/>
    <col min="4" max="8" width="9.26953125" style="2" customWidth="1"/>
    <col min="9" max="9" width="5.81640625" style="2" customWidth="1"/>
    <col min="10" max="10" width="25.81640625" style="2" customWidth="1"/>
    <col min="11" max="11" width="9.1796875" style="2"/>
    <col min="12" max="12" width="37.1796875" style="2" hidden="1" customWidth="1"/>
    <col min="13" max="13" width="12.81640625" style="2" hidden="1" customWidth="1"/>
    <col min="14" max="14" width="0" style="2" hidden="1" customWidth="1"/>
    <col min="15" max="15" width="2.54296875" style="2" hidden="1" customWidth="1"/>
    <col min="16" max="16" width="6.7265625" style="2" hidden="1" customWidth="1"/>
    <col min="17" max="17" width="0" style="2" hidden="1" customWidth="1"/>
    <col min="18" max="18" width="10.1796875" style="2" hidden="1" customWidth="1"/>
    <col min="19" max="16384" width="9.1796875" style="2"/>
  </cols>
  <sheetData>
    <row r="1" spans="2:18" ht="22.5" customHeight="1" x14ac:dyDescent="0.45">
      <c r="H1" s="10" t="str">
        <f>List!B$141&amp;" ORGA-LINE"</f>
        <v>Ostatní ORGA-LINE</v>
      </c>
      <c r="J1" s="151" t="str">
        <f>List!$B$11&amp;":"</f>
        <v>Zpět na:</v>
      </c>
    </row>
    <row r="2" spans="2:18" ht="15" customHeight="1" thickBot="1" x14ac:dyDescent="0.3">
      <c r="B2" s="626" t="str">
        <f>List!$B$108</f>
        <v>Samostatné sady</v>
      </c>
      <c r="E2" s="6"/>
      <c r="F2" s="108"/>
      <c r="G2" s="109"/>
      <c r="H2" s="108"/>
      <c r="J2" s="149" t="str">
        <f>" "&amp;List!$B$13</f>
        <v xml:space="preserve"> Úvod</v>
      </c>
      <c r="L2" s="477" t="str">
        <f>Cen!A381</f>
        <v>Sada BI1, 450 mm</v>
      </c>
      <c r="M2" s="477" t="str">
        <f>Cen!B381</f>
        <v>ZSI.450BI1N</v>
      </c>
      <c r="N2" s="477" t="str">
        <f>Cen!C381</f>
        <v>IG/G</v>
      </c>
      <c r="O2" s="477">
        <f>Cen!D381</f>
        <v>0</v>
      </c>
      <c r="P2" s="385">
        <f>$D$5</f>
        <v>0</v>
      </c>
      <c r="Q2" s="386">
        <f>Cen!F381</f>
        <v>27.854489999999995</v>
      </c>
      <c r="R2" s="387">
        <f t="shared" ref="R2:R16" si="0">P2*Q2</f>
        <v>0</v>
      </c>
    </row>
    <row r="3" spans="2:18" ht="15" customHeight="1" thickBot="1" x14ac:dyDescent="0.3">
      <c r="B3" s="626"/>
      <c r="E3" s="58"/>
      <c r="J3" s="150" t="str">
        <f>" "&amp;List!$B$4</f>
        <v xml:space="preserve"> Výběr zásuvek a výsuvů</v>
      </c>
      <c r="L3" s="477" t="str">
        <f>Cen!A382</f>
        <v>Sada BI1, 500 mm</v>
      </c>
      <c r="M3" s="477" t="str">
        <f>Cen!B382</f>
        <v>ZSI.500BI1N</v>
      </c>
      <c r="N3" s="477" t="str">
        <f>Cen!C382</f>
        <v>IG/G</v>
      </c>
      <c r="O3" s="477">
        <f>Cen!D382</f>
        <v>0</v>
      </c>
      <c r="P3" s="385">
        <f>$E$5</f>
        <v>0</v>
      </c>
      <c r="Q3" s="386">
        <f>Cen!F382</f>
        <v>33.880009999999999</v>
      </c>
      <c r="R3" s="387">
        <f t="shared" si="0"/>
        <v>0</v>
      </c>
    </row>
    <row r="4" spans="2:18" ht="15" customHeight="1" thickBot="1" x14ac:dyDescent="0.35">
      <c r="B4" s="193" t="str">
        <f>List!$B$22&amp;":"</f>
        <v>Soupis kování:</v>
      </c>
      <c r="C4" s="59" t="str">
        <f>List!$B$45&amp;":"</f>
        <v>Jmenovitá délka:</v>
      </c>
      <c r="D4" s="287" t="s">
        <v>246</v>
      </c>
      <c r="E4" s="288" t="s">
        <v>825</v>
      </c>
      <c r="F4" s="287" t="s">
        <v>826</v>
      </c>
      <c r="G4" s="289" t="s">
        <v>247</v>
      </c>
      <c r="H4" s="289" t="s">
        <v>827</v>
      </c>
      <c r="J4" s="150" t="str">
        <f>" "&amp;List!$B$5</f>
        <v xml:space="preserve"> Výběr doplňků</v>
      </c>
      <c r="L4" s="477" t="str">
        <f>Cen!A383</f>
        <v>Sada BI1, 550 mm</v>
      </c>
      <c r="M4" s="477" t="str">
        <f>Cen!B383</f>
        <v>ZSI.550BI1N</v>
      </c>
      <c r="N4" s="477" t="str">
        <f>Cen!C383</f>
        <v>IG/G</v>
      </c>
      <c r="O4" s="477">
        <f>Cen!D383</f>
        <v>0</v>
      </c>
      <c r="P4" s="385">
        <f>$F$5</f>
        <v>0</v>
      </c>
      <c r="Q4" s="386">
        <f>Cen!F383</f>
        <v>36.572949999999999</v>
      </c>
      <c r="R4" s="387">
        <f t="shared" si="0"/>
        <v>0</v>
      </c>
    </row>
    <row r="5" spans="2:18" ht="15" customHeight="1" thickBot="1" x14ac:dyDescent="0.35">
      <c r="B5" s="446" t="str">
        <f>List!$B$186&amp;" BI1"</f>
        <v>Sada BI1</v>
      </c>
      <c r="C5" s="447" t="s">
        <v>1355</v>
      </c>
      <c r="D5" s="448"/>
      <c r="E5" s="449"/>
      <c r="F5" s="449"/>
      <c r="G5" s="450"/>
      <c r="H5" s="450"/>
      <c r="J5" s="150" t="str">
        <f>" "&amp;List!$B$6</f>
        <v xml:space="preserve"> Výběr SERVO-DRIVE</v>
      </c>
      <c r="L5" s="477" t="str">
        <f>Cen!A384</f>
        <v>Sada BI1, 600 mm</v>
      </c>
      <c r="M5" s="477" t="str">
        <f>Cen!B384</f>
        <v>ZSI.600BI1N</v>
      </c>
      <c r="N5" s="477" t="str">
        <f>Cen!C384</f>
        <v>IG/G</v>
      </c>
      <c r="O5" s="477">
        <f>Cen!D384</f>
        <v>0</v>
      </c>
      <c r="P5" s="385">
        <f>$G$5</f>
        <v>0</v>
      </c>
      <c r="Q5" s="386">
        <f>Cen!F384</f>
        <v>42.864629999999998</v>
      </c>
      <c r="R5" s="387">
        <f t="shared" si="0"/>
        <v>0</v>
      </c>
    </row>
    <row r="6" spans="2:18" ht="15" customHeight="1" x14ac:dyDescent="0.3">
      <c r="B6" s="446" t="str">
        <f>List!$B$186&amp;" BI2"</f>
        <v>Sada BI2</v>
      </c>
      <c r="C6" s="447" t="s">
        <v>1356</v>
      </c>
      <c r="D6" s="452"/>
      <c r="E6" s="453"/>
      <c r="F6" s="453"/>
      <c r="G6" s="454"/>
      <c r="H6" s="454"/>
      <c r="J6" s="265" t="str">
        <f>" "&amp;List!$B$7</f>
        <v xml:space="preserve"> Výběr ORGA-LINE</v>
      </c>
      <c r="L6" s="477" t="str">
        <f>Cen!A385</f>
        <v>Sada BI1, 650 mm</v>
      </c>
      <c r="M6" s="477" t="str">
        <f>Cen!B385</f>
        <v>ZSI.650BI1N</v>
      </c>
      <c r="N6" s="477" t="str">
        <f>Cen!C385</f>
        <v>IG/G</v>
      </c>
      <c r="O6" s="477">
        <f>Cen!D385</f>
        <v>0</v>
      </c>
      <c r="P6" s="385">
        <f>$H$5</f>
        <v>0</v>
      </c>
      <c r="Q6" s="386">
        <f>Cen!F385</f>
        <v>49.022210000000001</v>
      </c>
      <c r="R6" s="387">
        <f t="shared" si="0"/>
        <v>0</v>
      </c>
    </row>
    <row r="7" spans="2:18" ht="15" customHeight="1" x14ac:dyDescent="0.3">
      <c r="B7" s="446" t="str">
        <f>List!$B$186&amp;" BI3"</f>
        <v>Sada BI3</v>
      </c>
      <c r="C7" s="447" t="s">
        <v>1357</v>
      </c>
      <c r="D7" s="452"/>
      <c r="E7" s="453"/>
      <c r="F7" s="453"/>
      <c r="G7" s="454"/>
      <c r="H7" s="454"/>
      <c r="L7" s="477" t="str">
        <f>Cen!A386</f>
        <v>Sada BI2, 450 mm</v>
      </c>
      <c r="M7" s="477" t="str">
        <f>Cen!B386</f>
        <v>ZSI.450BI2N</v>
      </c>
      <c r="N7" s="477" t="str">
        <f>Cen!C386</f>
        <v>IG/G</v>
      </c>
      <c r="O7" s="477">
        <f>Cen!D386</f>
        <v>0</v>
      </c>
      <c r="P7" s="385">
        <f>$D$6</f>
        <v>0</v>
      </c>
      <c r="Q7" s="386">
        <f>Cen!F386</f>
        <v>32.756999999999998</v>
      </c>
      <c r="R7" s="387">
        <f t="shared" si="0"/>
        <v>0</v>
      </c>
    </row>
    <row r="8" spans="2:18" ht="15" customHeight="1" thickBot="1" x14ac:dyDescent="0.35">
      <c r="B8" s="446" t="str">
        <f>List!$B$186&amp;" FI1"</f>
        <v>Sada FI1</v>
      </c>
      <c r="C8" s="451" t="s">
        <v>1363</v>
      </c>
      <c r="D8" s="452"/>
      <c r="E8" s="453"/>
      <c r="F8" s="453"/>
      <c r="G8" s="454"/>
      <c r="H8" s="454"/>
      <c r="J8" s="2" t="str">
        <f>List!$B$12&amp;":"</f>
        <v>Pokračovat na:</v>
      </c>
      <c r="L8" s="477" t="str">
        <f>Cen!A387</f>
        <v>Sada BI2, 500 mm</v>
      </c>
      <c r="M8" s="477" t="str">
        <f>Cen!B387</f>
        <v>ZSI.500BI2N</v>
      </c>
      <c r="N8" s="477" t="str">
        <f>Cen!C387</f>
        <v>IG/G</v>
      </c>
      <c r="O8" s="477">
        <f>Cen!D387</f>
        <v>0</v>
      </c>
      <c r="P8" s="385">
        <f>$E$6</f>
        <v>0</v>
      </c>
      <c r="Q8" s="386">
        <f>Cen!F387</f>
        <v>38.677849999999999</v>
      </c>
      <c r="R8" s="387">
        <f t="shared" si="0"/>
        <v>0</v>
      </c>
    </row>
    <row r="9" spans="2:18" ht="15" customHeight="1" thickBot="1" x14ac:dyDescent="0.35">
      <c r="B9" s="446" t="str">
        <f>List!$B$186&amp;" FI2 *"</f>
        <v>Sada FI2 *</v>
      </c>
      <c r="C9" s="451" t="s">
        <v>1364</v>
      </c>
      <c r="D9" s="452"/>
      <c r="E9" s="453"/>
      <c r="F9" s="453"/>
      <c r="G9" s="454"/>
      <c r="H9" s="454"/>
      <c r="J9" s="150" t="str">
        <f>" "&amp;List!$B$18</f>
        <v xml:space="preserve"> Souhrn</v>
      </c>
      <c r="L9" s="477" t="str">
        <f>Cen!A388</f>
        <v>Sada BI2, 550 mm</v>
      </c>
      <c r="M9" s="477" t="str">
        <f>Cen!B388</f>
        <v>ZSI.550BI2N</v>
      </c>
      <c r="N9" s="477" t="str">
        <f>Cen!C388</f>
        <v>IG/G</v>
      </c>
      <c r="O9" s="477">
        <f>Cen!D388</f>
        <v>0</v>
      </c>
      <c r="P9" s="385">
        <f>$F$6</f>
        <v>0</v>
      </c>
      <c r="Q9" s="386">
        <f>Cen!F388</f>
        <v>45.077739999999991</v>
      </c>
      <c r="R9" s="387">
        <f t="shared" si="0"/>
        <v>0</v>
      </c>
    </row>
    <row r="10" spans="2:18" ht="15" customHeight="1" x14ac:dyDescent="0.3">
      <c r="B10" s="446" t="str">
        <f>List!$B$186&amp;" FI2 *"</f>
        <v>Sada FI2 *</v>
      </c>
      <c r="C10" s="451" t="s">
        <v>1365</v>
      </c>
      <c r="D10" s="452"/>
      <c r="E10" s="453"/>
      <c r="F10" s="453"/>
      <c r="G10" s="454"/>
      <c r="H10" s="454"/>
      <c r="J10" s="150" t="str">
        <f>" "&amp;List!$B$20</f>
        <v xml:space="preserve"> Objednávka</v>
      </c>
      <c r="L10" s="477" t="str">
        <f>Cen!A389</f>
        <v>Sada BI2, 600 mm</v>
      </c>
      <c r="M10" s="477" t="str">
        <f>Cen!B389</f>
        <v>ZSI.600BI2N</v>
      </c>
      <c r="N10" s="477" t="str">
        <f>Cen!C389</f>
        <v>IG/G</v>
      </c>
      <c r="O10" s="477">
        <f>Cen!D389</f>
        <v>0</v>
      </c>
      <c r="P10" s="385">
        <f>$G$6</f>
        <v>0</v>
      </c>
      <c r="Q10" s="386">
        <f>Cen!F389</f>
        <v>51.383819999999993</v>
      </c>
      <c r="R10" s="387">
        <f t="shared" si="0"/>
        <v>0</v>
      </c>
    </row>
    <row r="11" spans="2:18" ht="15" customHeight="1" x14ac:dyDescent="0.3">
      <c r="B11" s="446" t="str">
        <f>List!$B$186&amp;" KI2"</f>
        <v>Sada KI2</v>
      </c>
      <c r="C11" s="451" t="s">
        <v>1369</v>
      </c>
      <c r="D11" s="452"/>
      <c r="E11" s="453"/>
      <c r="F11" s="453"/>
      <c r="G11" s="454"/>
      <c r="H11" s="454"/>
      <c r="L11" s="477" t="str">
        <f>Cen!A390</f>
        <v>Sada BI2, 650 mm</v>
      </c>
      <c r="M11" s="477" t="str">
        <f>Cen!B390</f>
        <v>ZSI.650BI2N</v>
      </c>
      <c r="N11" s="477" t="str">
        <f>Cen!C390</f>
        <v>IG/G</v>
      </c>
      <c r="O11" s="477">
        <f>Cen!D390</f>
        <v>0</v>
      </c>
      <c r="P11" s="385">
        <f>$H$6</f>
        <v>0</v>
      </c>
      <c r="Q11" s="386">
        <f>Cen!F390</f>
        <v>58.345699999999994</v>
      </c>
      <c r="R11" s="387">
        <f t="shared" si="0"/>
        <v>0</v>
      </c>
    </row>
    <row r="12" spans="2:18" ht="15" customHeight="1" x14ac:dyDescent="0.3">
      <c r="B12" s="446" t="str">
        <f>List!$B$186&amp;" KI3"</f>
        <v>Sada KI3</v>
      </c>
      <c r="C12" s="451" t="s">
        <v>1370</v>
      </c>
      <c r="D12" s="452"/>
      <c r="E12" s="453"/>
      <c r="F12" s="453"/>
      <c r="G12" s="454"/>
      <c r="H12" s="454"/>
      <c r="L12" s="477" t="str">
        <f>Cen!A391</f>
        <v>Sada BI3, 450 mm</v>
      </c>
      <c r="M12" s="477" t="str">
        <f>Cen!B391</f>
        <v>ZSI.450BI3N</v>
      </c>
      <c r="N12" s="477" t="str">
        <f>Cen!C391</f>
        <v>IG/G</v>
      </c>
      <c r="O12" s="477">
        <f>Cen!D391</f>
        <v>0</v>
      </c>
      <c r="P12" s="385">
        <f>$D$7</f>
        <v>0</v>
      </c>
      <c r="Q12" s="386">
        <f>Cen!F391</f>
        <v>43.159669999999998</v>
      </c>
      <c r="R12" s="387">
        <f t="shared" si="0"/>
        <v>0</v>
      </c>
    </row>
    <row r="13" spans="2:18" ht="15" customHeight="1" x14ac:dyDescent="0.3">
      <c r="B13" s="446" t="str">
        <f>List!$B$186&amp;" KI4"</f>
        <v>Sada KI4</v>
      </c>
      <c r="C13" s="451" t="s">
        <v>1362</v>
      </c>
      <c r="D13" s="452"/>
      <c r="E13" s="453"/>
      <c r="F13" s="453"/>
      <c r="G13" s="454"/>
      <c r="H13" s="454"/>
      <c r="L13" s="477" t="str">
        <f>Cen!A392</f>
        <v>Sada BI3, 500 mm</v>
      </c>
      <c r="M13" s="477" t="str">
        <f>Cen!B392</f>
        <v>ZSI.500BI3</v>
      </c>
      <c r="N13" s="477" t="str">
        <f>Cen!C392</f>
        <v>IG/G</v>
      </c>
      <c r="O13" s="477">
        <f>Cen!D392</f>
        <v>0</v>
      </c>
      <c r="P13" s="385">
        <f>$E$7</f>
        <v>0</v>
      </c>
      <c r="Q13" s="386">
        <f>Cen!F392</f>
        <v>53.315179999999998</v>
      </c>
      <c r="R13" s="387">
        <f t="shared" si="0"/>
        <v>0</v>
      </c>
    </row>
    <row r="14" spans="2:18" ht="15" customHeight="1" x14ac:dyDescent="0.3">
      <c r="B14" s="446" t="str">
        <f>List!$B$186&amp;" MI3"</f>
        <v>Sada MI3</v>
      </c>
      <c r="C14" s="451" t="s">
        <v>1371</v>
      </c>
      <c r="D14" s="514"/>
      <c r="E14" s="515"/>
      <c r="F14" s="515"/>
      <c r="G14" s="454"/>
      <c r="H14" s="454"/>
      <c r="L14" s="477" t="str">
        <f>Cen!A393</f>
        <v>Sada BI3, 550 mm</v>
      </c>
      <c r="M14" s="477" t="str">
        <f>Cen!B393</f>
        <v>ZSI.550BI3</v>
      </c>
      <c r="N14" s="477" t="str">
        <f>Cen!C393</f>
        <v>IG/G</v>
      </c>
      <c r="O14" s="477">
        <f>Cen!D393</f>
        <v>0</v>
      </c>
      <c r="P14" s="385">
        <f>$F$7</f>
        <v>0</v>
      </c>
      <c r="Q14" s="386">
        <f>Cen!F393</f>
        <v>60.554529999999993</v>
      </c>
      <c r="R14" s="387">
        <f t="shared" si="0"/>
        <v>0</v>
      </c>
    </row>
    <row r="15" spans="2:18" ht="15" customHeight="1" x14ac:dyDescent="0.3">
      <c r="B15" s="446" t="str">
        <f>List!$B$188</f>
        <v>Sada pro SPACE CORNER</v>
      </c>
      <c r="C15" s="516" t="s">
        <v>1361</v>
      </c>
      <c r="D15" s="513"/>
      <c r="E15" s="513"/>
      <c r="F15" s="513"/>
      <c r="G15" s="517"/>
      <c r="H15" s="454"/>
      <c r="L15" s="477" t="str">
        <f>Cen!A394</f>
        <v>Sada BI3, 600 mm</v>
      </c>
      <c r="M15" s="477" t="str">
        <f>Cen!B394</f>
        <v>ZSI.600BI3</v>
      </c>
      <c r="N15" s="477" t="str">
        <f>Cen!C394</f>
        <v>IG/G</v>
      </c>
      <c r="O15" s="477">
        <f>Cen!D394</f>
        <v>0</v>
      </c>
      <c r="P15" s="385">
        <f>$G$7</f>
        <v>0</v>
      </c>
      <c r="Q15" s="386">
        <f>Cen!F394</f>
        <v>64.283320000000003</v>
      </c>
      <c r="R15" s="387">
        <f t="shared" si="0"/>
        <v>0</v>
      </c>
    </row>
    <row r="16" spans="2:18" ht="15" customHeight="1" x14ac:dyDescent="0.35">
      <c r="B16" s="443"/>
      <c r="E16" s="442"/>
      <c r="J16" s="192" t="str">
        <f>"     "&amp;List!$B$25</f>
        <v xml:space="preserve">     Informace k objednávání</v>
      </c>
      <c r="L16" s="477" t="str">
        <f>Cen!A395</f>
        <v>Sada BI3, 650 mm</v>
      </c>
      <c r="M16" s="477" t="str">
        <f>Cen!B395</f>
        <v>ZSI.650BI3</v>
      </c>
      <c r="N16" s="477" t="str">
        <f>Cen!C395</f>
        <v>IG/G</v>
      </c>
      <c r="O16" s="477">
        <f>Cen!D395</f>
        <v>0</v>
      </c>
      <c r="P16" s="385">
        <f>$H$7</f>
        <v>0</v>
      </c>
      <c r="Q16" s="386">
        <f>Cen!F395</f>
        <v>78.98603</v>
      </c>
      <c r="R16" s="387">
        <f t="shared" si="0"/>
        <v>0</v>
      </c>
    </row>
    <row r="17" spans="2:18" ht="17.5" x14ac:dyDescent="0.35">
      <c r="B17" s="248" t="str">
        <f>List!$B$109&amp;", "&amp;List!$B$110</f>
        <v>Misky, Příčné dělící prvky</v>
      </c>
      <c r="L17" s="477" t="str">
        <f>Cen!A396</f>
        <v>Sada pro SPACE CORNER, NL 600mm</v>
      </c>
      <c r="M17" s="477" t="str">
        <f>Cen!B396</f>
        <v>ZSI.450BI3E</v>
      </c>
      <c r="N17" s="477" t="str">
        <f>Cen!C396</f>
        <v>IG/G</v>
      </c>
      <c r="O17" s="477" t="str">
        <f>Cen!D396</f>
        <v>!</v>
      </c>
      <c r="P17" s="385">
        <f>$G$15</f>
        <v>0</v>
      </c>
      <c r="Q17" s="386">
        <f>Cen!F396</f>
        <v>47.621290000000002</v>
      </c>
      <c r="R17" s="387">
        <f t="shared" ref="R17:R18" si="1">P17*Q17</f>
        <v>0</v>
      </c>
    </row>
    <row r="18" spans="2:18" ht="15" customHeight="1" x14ac:dyDescent="0.3">
      <c r="B18" s="193" t="str">
        <f>List!$B$22&amp;":"</f>
        <v>Soupis kování:</v>
      </c>
      <c r="C18" s="7"/>
      <c r="D18" s="196" t="str">
        <f>List!$B$90&amp;":"</f>
        <v>Počet:</v>
      </c>
      <c r="E18" s="39"/>
      <c r="F18" s="39"/>
      <c r="G18" s="459"/>
      <c r="H18" s="460"/>
      <c r="I18" s="39"/>
      <c r="L18" s="477" t="str">
        <f>Cen!A397</f>
        <v>Sada pro SPACE CORNER, NL 650mm</v>
      </c>
      <c r="M18" s="477" t="str">
        <f>Cen!B397</f>
        <v>ZSI.500BI3E</v>
      </c>
      <c r="N18" s="477" t="str">
        <f>Cen!C397</f>
        <v>IG/G</v>
      </c>
      <c r="O18" s="477">
        <f>Cen!D397</f>
        <v>0</v>
      </c>
      <c r="P18" s="385">
        <f>$H$15</f>
        <v>0</v>
      </c>
      <c r="Q18" s="386">
        <f>Cen!F397</f>
        <v>57.387929999999997</v>
      </c>
      <c r="R18" s="387">
        <f t="shared" si="1"/>
        <v>0</v>
      </c>
    </row>
    <row r="19" spans="2:18" ht="15" customHeight="1" x14ac:dyDescent="0.25">
      <c r="B19" s="6" t="str">
        <f>Cen!A457</f>
        <v>Miska 88x88mm</v>
      </c>
      <c r="C19" s="6" t="str">
        <f>Cen!B457</f>
        <v>ZSI.010SI</v>
      </c>
      <c r="D19" s="9"/>
      <c r="E19" s="39"/>
      <c r="F19" s="39"/>
      <c r="G19" s="461"/>
      <c r="H19" s="462"/>
      <c r="I19" s="39"/>
      <c r="L19" s="477" t="str">
        <f>Cen!A409</f>
        <v>Sada FI1, 450mm</v>
      </c>
      <c r="M19" s="477" t="str">
        <f>Cen!B409</f>
        <v>ZSI.450FI1</v>
      </c>
      <c r="N19" s="477" t="str">
        <f>Cen!C409</f>
        <v>IG/G</v>
      </c>
      <c r="O19" s="477">
        <f>Cen!D409</f>
        <v>0</v>
      </c>
      <c r="P19" s="385">
        <f>$D$8</f>
        <v>0</v>
      </c>
      <c r="Q19" s="386">
        <f>Cen!F409</f>
        <v>24.164940000000001</v>
      </c>
      <c r="R19" s="387">
        <f t="shared" ref="R19" si="2">P19*Q19</f>
        <v>0</v>
      </c>
    </row>
    <row r="20" spans="2:18" ht="15" customHeight="1" x14ac:dyDescent="0.25">
      <c r="B20" s="6" t="str">
        <f>Cen!A458</f>
        <v>Miska 88x176mm</v>
      </c>
      <c r="C20" s="6" t="str">
        <f>Cen!B458</f>
        <v>ZSI.020SI</v>
      </c>
      <c r="D20" s="9"/>
      <c r="E20" s="39"/>
      <c r="F20" s="39"/>
      <c r="G20" s="461"/>
      <c r="H20" s="462"/>
      <c r="I20" s="39"/>
      <c r="L20" s="477" t="str">
        <f>Cen!A410</f>
        <v>Sada FI1, 500mm</v>
      </c>
      <c r="M20" s="477" t="str">
        <f>Cen!B410</f>
        <v>ZSI.500FI1</v>
      </c>
      <c r="N20" s="477" t="str">
        <f>Cen!C410</f>
        <v>IG/G</v>
      </c>
      <c r="O20" s="477">
        <f>Cen!D410</f>
        <v>0</v>
      </c>
      <c r="P20" s="385">
        <f>$E$8</f>
        <v>0</v>
      </c>
      <c r="Q20" s="386">
        <f>Cen!F410</f>
        <v>26.362890000000004</v>
      </c>
      <c r="R20" s="387">
        <f t="shared" ref="R20:R54" si="3">P20*Q20</f>
        <v>0</v>
      </c>
    </row>
    <row r="21" spans="2:18" ht="15" customHeight="1" x14ac:dyDescent="0.25">
      <c r="B21" s="6" t="str">
        <f>Cen!A459</f>
        <v>Miska 88x264mm</v>
      </c>
      <c r="C21" s="6" t="str">
        <f>Cen!B459</f>
        <v>ZSI.030SI</v>
      </c>
      <c r="D21" s="9"/>
      <c r="E21" s="39"/>
      <c r="F21" s="39"/>
      <c r="G21" s="461"/>
      <c r="H21" s="462"/>
      <c r="I21" s="39"/>
      <c r="L21" s="477" t="str">
        <f>Cen!A411</f>
        <v>Sada FI1, 550mm</v>
      </c>
      <c r="M21" s="477" t="str">
        <f>Cen!B411</f>
        <v>ZSI.550FI1</v>
      </c>
      <c r="N21" s="477" t="str">
        <f>Cen!C411</f>
        <v>IG/G</v>
      </c>
      <c r="O21" s="477">
        <f>Cen!D411</f>
        <v>0</v>
      </c>
      <c r="P21" s="385">
        <f>$F$8</f>
        <v>0</v>
      </c>
      <c r="Q21" s="386">
        <f>Cen!F411</f>
        <v>33.237119999999997</v>
      </c>
      <c r="R21" s="387">
        <f t="shared" si="3"/>
        <v>0</v>
      </c>
    </row>
    <row r="22" spans="2:18" ht="15" customHeight="1" x14ac:dyDescent="0.25">
      <c r="B22" s="6" t="str">
        <f>Cen!A460</f>
        <v>Miska 88x352mm</v>
      </c>
      <c r="C22" s="6" t="str">
        <f>Cen!B460</f>
        <v>ZSI.040SI</v>
      </c>
      <c r="D22" s="9"/>
      <c r="E22" s="39"/>
      <c r="F22" s="39"/>
      <c r="G22" s="461"/>
      <c r="H22" s="462"/>
      <c r="I22" s="39"/>
      <c r="L22" s="477" t="str">
        <f>Cen!A412</f>
        <v>Sada FI1, 600mm</v>
      </c>
      <c r="M22" s="477" t="str">
        <f>Cen!B412</f>
        <v>ZSI.600FI1</v>
      </c>
      <c r="N22" s="477" t="str">
        <f>Cen!C412</f>
        <v>IG/G</v>
      </c>
      <c r="O22" s="477">
        <f>Cen!D412</f>
        <v>0</v>
      </c>
      <c r="P22" s="385">
        <f>$G$8</f>
        <v>0</v>
      </c>
      <c r="Q22" s="386">
        <f>Cen!F412</f>
        <v>0</v>
      </c>
      <c r="R22" s="387">
        <f t="shared" si="3"/>
        <v>0</v>
      </c>
    </row>
    <row r="23" spans="2:18" ht="15" customHeight="1" x14ac:dyDescent="0.25">
      <c r="B23" s="6" t="str">
        <f>Cen!A461</f>
        <v>Příčný dělící prvek 88mm</v>
      </c>
      <c r="C23" s="6" t="str">
        <f>Cen!B461</f>
        <v>ZSI.010Q</v>
      </c>
      <c r="D23" s="9"/>
      <c r="E23" s="39"/>
      <c r="F23" s="39"/>
      <c r="G23" s="461"/>
      <c r="H23" s="462"/>
      <c r="I23" s="39"/>
      <c r="L23" s="477" t="str">
        <f>Cen!A413</f>
        <v>Sada FI1, 650mm</v>
      </c>
      <c r="M23" s="477" t="str">
        <f>Cen!B413</f>
        <v>ZSI.650FI1</v>
      </c>
      <c r="N23" s="477" t="str">
        <f>Cen!C413</f>
        <v>IG/G</v>
      </c>
      <c r="O23" s="477">
        <f>Cen!D413</f>
        <v>0</v>
      </c>
      <c r="P23" s="385">
        <f>$H$8</f>
        <v>0</v>
      </c>
      <c r="Q23" s="386">
        <f>Cen!F413</f>
        <v>48.270380000000003</v>
      </c>
      <c r="R23" s="387">
        <f t="shared" si="3"/>
        <v>0</v>
      </c>
    </row>
    <row r="24" spans="2:18" ht="15" customHeight="1" x14ac:dyDescent="0.25">
      <c r="B24" s="6" t="str">
        <f>Cen!A462</f>
        <v>Příčný dělící prvek 176mm</v>
      </c>
      <c r="C24" s="6" t="str">
        <f>Cen!B462</f>
        <v>ZSI.020Q</v>
      </c>
      <c r="D24" s="9"/>
      <c r="E24" s="39"/>
      <c r="F24" s="39"/>
      <c r="G24" s="461"/>
      <c r="H24" s="462"/>
      <c r="I24" s="39"/>
      <c r="L24" s="477" t="str">
        <f>Cen!A414</f>
        <v>Sada FI2, 450mm</v>
      </c>
      <c r="M24" s="477" t="str">
        <f>Cen!B414</f>
        <v>ZSI.450FI2N</v>
      </c>
      <c r="N24" s="477" t="str">
        <f>Cen!C414</f>
        <v>IG/G</v>
      </c>
      <c r="O24" s="477">
        <f>Cen!D414</f>
        <v>0</v>
      </c>
      <c r="P24" s="385">
        <f>$D$9</f>
        <v>0</v>
      </c>
      <c r="Q24" s="386">
        <f>Cen!F414</f>
        <v>25.19913</v>
      </c>
      <c r="R24" s="387">
        <f t="shared" si="3"/>
        <v>0</v>
      </c>
    </row>
    <row r="25" spans="2:18" x14ac:dyDescent="0.25">
      <c r="E25" s="39"/>
      <c r="F25" s="39"/>
      <c r="G25" s="39"/>
      <c r="H25" s="39"/>
      <c r="I25" s="39"/>
      <c r="L25" s="477" t="str">
        <f>Cen!A415</f>
        <v>Sada FI2, 500mm</v>
      </c>
      <c r="M25" s="477" t="str">
        <f>Cen!B415</f>
        <v>ZSI.500FI2N</v>
      </c>
      <c r="N25" s="477" t="str">
        <f>Cen!C415</f>
        <v>IG/G</v>
      </c>
      <c r="O25" s="477">
        <f>Cen!D415</f>
        <v>0</v>
      </c>
      <c r="P25" s="385">
        <f>$E$9</f>
        <v>0</v>
      </c>
      <c r="Q25" s="386">
        <f>Cen!F415</f>
        <v>27.397280000000002</v>
      </c>
      <c r="R25" s="387">
        <f t="shared" si="3"/>
        <v>0</v>
      </c>
    </row>
    <row r="26" spans="2:18" ht="17.5" x14ac:dyDescent="0.35">
      <c r="B26" s="248" t="str">
        <f>List!$B$111</f>
        <v>Pomůcky do kuchyně</v>
      </c>
      <c r="E26" s="39"/>
      <c r="F26" s="39"/>
      <c r="G26" s="39"/>
      <c r="H26" s="39"/>
      <c r="I26" s="39"/>
      <c r="L26" s="477" t="str">
        <f>Cen!A416</f>
        <v>Sada FI2, 550mm</v>
      </c>
      <c r="M26" s="477" t="str">
        <f>Cen!B416</f>
        <v>ZSI.550FI2N</v>
      </c>
      <c r="N26" s="477" t="str">
        <f>Cen!C416</f>
        <v>IG/G</v>
      </c>
      <c r="O26" s="477">
        <f>Cen!D416</f>
        <v>0</v>
      </c>
      <c r="P26" s="385">
        <f>$F$9</f>
        <v>0</v>
      </c>
      <c r="Q26" s="386">
        <f>Cen!F416</f>
        <v>34.27149</v>
      </c>
      <c r="R26" s="387">
        <f t="shared" si="3"/>
        <v>0</v>
      </c>
    </row>
    <row r="27" spans="2:18" ht="15" customHeight="1" x14ac:dyDescent="0.3">
      <c r="B27" s="193" t="str">
        <f>List!$B$22&amp;":"</f>
        <v>Soupis kování:</v>
      </c>
      <c r="C27" s="7"/>
      <c r="D27" s="196" t="str">
        <f>List!$B$90&amp;":"</f>
        <v>Počet:</v>
      </c>
      <c r="E27" s="39"/>
      <c r="F27" s="39"/>
      <c r="G27" s="459"/>
      <c r="H27" s="460"/>
      <c r="I27" s="39"/>
      <c r="L27" s="477" t="str">
        <f>Cen!A417</f>
        <v>Sada FI2, 600mm</v>
      </c>
      <c r="M27" s="477" t="str">
        <f>Cen!B417</f>
        <v>ZSI.600FI2N</v>
      </c>
      <c r="N27" s="477" t="str">
        <f>Cen!C417</f>
        <v>IG/G</v>
      </c>
      <c r="O27" s="477">
        <f>Cen!D417</f>
        <v>0</v>
      </c>
      <c r="P27" s="385">
        <f>$G$9</f>
        <v>0</v>
      </c>
      <c r="Q27" s="386">
        <f>Cen!F417</f>
        <v>41.475479999999997</v>
      </c>
      <c r="R27" s="387">
        <f t="shared" si="3"/>
        <v>0</v>
      </c>
    </row>
    <row r="28" spans="2:18" ht="15" customHeight="1" x14ac:dyDescent="0.25">
      <c r="B28" s="6" t="str">
        <f>Cen!A545</f>
        <v>Držák nožů</v>
      </c>
      <c r="C28" s="6" t="str">
        <f>Cen!B545</f>
        <v>ZSZ.02M0</v>
      </c>
      <c r="D28" s="9"/>
      <c r="E28" s="39"/>
      <c r="F28" s="39"/>
      <c r="G28" s="461"/>
      <c r="H28" s="462"/>
      <c r="I28" s="39"/>
      <c r="L28" s="477" t="str">
        <f>Cen!A418</f>
        <v>Sada FI2, 650mm</v>
      </c>
      <c r="M28" s="477" t="str">
        <f>Cen!B418</f>
        <v>ZSI.650FI2N</v>
      </c>
      <c r="N28" s="477" t="str">
        <f>Cen!C418</f>
        <v>IG/G</v>
      </c>
      <c r="O28" s="477">
        <f>Cen!D418</f>
        <v>0</v>
      </c>
      <c r="P28" s="385">
        <f>$H$9</f>
        <v>0</v>
      </c>
      <c r="Q28" s="386">
        <f>Cen!F418</f>
        <v>43.17924</v>
      </c>
      <c r="R28" s="387">
        <f t="shared" si="3"/>
        <v>0</v>
      </c>
    </row>
    <row r="29" spans="2:18" ht="15" customHeight="1" x14ac:dyDescent="0.25">
      <c r="B29" s="6" t="str">
        <f>Cen!A549</f>
        <v>Držák s řezákem na potravinové folie</v>
      </c>
      <c r="C29" s="6" t="str">
        <f>Cen!B549</f>
        <v>ZSZ.01F0</v>
      </c>
      <c r="D29" s="9"/>
      <c r="E29" s="39"/>
      <c r="F29" s="39"/>
      <c r="G29" s="461"/>
      <c r="H29" s="462"/>
      <c r="I29" s="39"/>
      <c r="L29" s="477" t="str">
        <f>Cen!A419</f>
        <v>Sada FI3, 450mm</v>
      </c>
      <c r="M29" s="477" t="str">
        <f>Cen!B419</f>
        <v>ZSI.450FI3</v>
      </c>
      <c r="N29" s="477" t="str">
        <f>Cen!C419</f>
        <v>IG/G</v>
      </c>
      <c r="O29" s="477">
        <f>Cen!D419</f>
        <v>0</v>
      </c>
      <c r="P29" s="385">
        <f>$D$10</f>
        <v>0</v>
      </c>
      <c r="Q29" s="386">
        <f>Cen!F419</f>
        <v>36.719320000000003</v>
      </c>
      <c r="R29" s="387">
        <f t="shared" si="3"/>
        <v>0</v>
      </c>
    </row>
    <row r="30" spans="2:18" ht="15" customHeight="1" x14ac:dyDescent="0.25">
      <c r="B30" s="6" t="str">
        <f>Cen!A550</f>
        <v>Držák s řezákem na alufolie</v>
      </c>
      <c r="C30" s="6" t="str">
        <f>Cen!B550</f>
        <v>ZSZ.02F0</v>
      </c>
      <c r="D30" s="9"/>
      <c r="E30" s="39"/>
      <c r="F30" s="39"/>
      <c r="G30" s="461"/>
      <c r="H30" s="462"/>
      <c r="I30" s="39"/>
      <c r="L30" s="477" t="str">
        <f>Cen!A420</f>
        <v>Sada FI3, 500mm</v>
      </c>
      <c r="M30" s="477" t="str">
        <f>Cen!B420</f>
        <v>ZSI.500FI3</v>
      </c>
      <c r="N30" s="477" t="str">
        <f>Cen!C420</f>
        <v>IG/G</v>
      </c>
      <c r="O30" s="477">
        <f>Cen!D420</f>
        <v>0</v>
      </c>
      <c r="P30" s="385">
        <f>$E$10</f>
        <v>0</v>
      </c>
      <c r="Q30" s="386">
        <f>Cen!F420</f>
        <v>40.01641</v>
      </c>
      <c r="R30" s="387">
        <f t="shared" si="3"/>
        <v>0</v>
      </c>
    </row>
    <row r="31" spans="2:18" ht="15" customHeight="1" x14ac:dyDescent="0.25">
      <c r="B31" s="6" t="str">
        <f>Cen!A546</f>
        <v>Stojánek na kořenky, KB 300mm</v>
      </c>
      <c r="C31" s="6" t="str">
        <f>Cen!B546</f>
        <v>ZFZ.30G0I</v>
      </c>
      <c r="D31" s="9"/>
      <c r="E31" s="39"/>
      <c r="F31" s="39"/>
      <c r="G31" s="461"/>
      <c r="H31" s="462"/>
      <c r="I31" s="39"/>
      <c r="L31" s="477" t="str">
        <f>Cen!A421</f>
        <v>Sada FI3, 550mm</v>
      </c>
      <c r="M31" s="477" t="str">
        <f>Cen!B421</f>
        <v>ZSI.550FI3</v>
      </c>
      <c r="N31" s="477" t="str">
        <f>Cen!C421</f>
        <v>IG/G</v>
      </c>
      <c r="O31" s="477">
        <f>Cen!D421</f>
        <v>0</v>
      </c>
      <c r="P31" s="385">
        <f>$F$10</f>
        <v>0</v>
      </c>
      <c r="Q31" s="386">
        <f>Cen!F421</f>
        <v>50.327669999999998</v>
      </c>
      <c r="R31" s="387">
        <f t="shared" si="3"/>
        <v>0</v>
      </c>
    </row>
    <row r="32" spans="2:18" ht="15" customHeight="1" x14ac:dyDescent="0.25">
      <c r="B32" s="6" t="str">
        <f>Cen!A547</f>
        <v>Stojánek na kořenky, KB 400mm</v>
      </c>
      <c r="C32" s="6" t="str">
        <f>Cen!B547</f>
        <v>ZFZ.40G0I</v>
      </c>
      <c r="D32" s="9"/>
      <c r="E32" s="39"/>
      <c r="F32" s="39"/>
      <c r="G32" s="461"/>
      <c r="H32" s="462"/>
      <c r="I32" s="39"/>
      <c r="L32" s="477" t="str">
        <f>Cen!A422</f>
        <v>Sada FI3, 600mm</v>
      </c>
      <c r="M32" s="477" t="str">
        <f>Cen!B422</f>
        <v>ZSI.600FI3</v>
      </c>
      <c r="N32" s="477" t="str">
        <f>Cen!C422</f>
        <v>IG/G</v>
      </c>
      <c r="O32" s="477">
        <f>Cen!D422</f>
        <v>0</v>
      </c>
      <c r="P32" s="385">
        <f>$G$10</f>
        <v>0</v>
      </c>
      <c r="Q32" s="386">
        <f>Cen!F422</f>
        <v>57.414740000000002</v>
      </c>
      <c r="R32" s="387">
        <f t="shared" si="3"/>
        <v>0</v>
      </c>
    </row>
    <row r="33" spans="2:18" ht="15" customHeight="1" x14ac:dyDescent="0.25">
      <c r="B33" s="6" t="str">
        <f>Cen!A548</f>
        <v>Stojánek na kořenky, KB 450mm</v>
      </c>
      <c r="C33" s="6" t="str">
        <f>Cen!B548</f>
        <v>ZFZ.45G0I</v>
      </c>
      <c r="D33" s="9"/>
      <c r="E33" s="39"/>
      <c r="F33" s="39"/>
      <c r="G33" s="461"/>
      <c r="H33" s="462"/>
      <c r="I33" s="39"/>
      <c r="L33" s="477" t="str">
        <f>Cen!A423</f>
        <v>Sada FI3, 650mm</v>
      </c>
      <c r="M33" s="477" t="str">
        <f>Cen!B423</f>
        <v>ZSI.650FI3</v>
      </c>
      <c r="N33" s="477" t="str">
        <f>Cen!C423</f>
        <v>IG/G</v>
      </c>
      <c r="O33" s="477">
        <f>Cen!D423</f>
        <v>0</v>
      </c>
      <c r="P33" s="385">
        <f>$H$10</f>
        <v>0</v>
      </c>
      <c r="Q33" s="386">
        <f>Cen!F423</f>
        <v>74.162480000000002</v>
      </c>
      <c r="R33" s="387">
        <f t="shared" si="3"/>
        <v>0</v>
      </c>
    </row>
    <row r="34" spans="2:18" ht="15" customHeight="1" x14ac:dyDescent="0.25">
      <c r="B34" s="6" t="str">
        <f>Cen!A544</f>
        <v>Držák talířů</v>
      </c>
      <c r="C34" s="6" t="str">
        <f>Cen!B544</f>
        <v>ZC7T0350</v>
      </c>
      <c r="D34" s="9"/>
      <c r="E34" s="39"/>
      <c r="F34" s="39"/>
      <c r="G34" s="461"/>
      <c r="H34" s="462"/>
      <c r="I34" s="39"/>
      <c r="L34" s="477" t="str">
        <f>Cen!A435</f>
        <v>Sada KI2, 450mm</v>
      </c>
      <c r="M34" s="477" t="str">
        <f>Cen!B435</f>
        <v>ZSI.450KI2N</v>
      </c>
      <c r="N34" s="477" t="str">
        <f>Cen!C435</f>
        <v>IG/G</v>
      </c>
      <c r="O34" s="477">
        <f>Cen!D435</f>
        <v>0</v>
      </c>
      <c r="P34" s="385">
        <f>$D$11</f>
        <v>0</v>
      </c>
      <c r="Q34" s="386">
        <f>Cen!F435</f>
        <v>40.821069999999999</v>
      </c>
      <c r="R34" s="387">
        <f t="shared" si="3"/>
        <v>0</v>
      </c>
    </row>
    <row r="35" spans="2:18" ht="15" customHeight="1" x14ac:dyDescent="0.25">
      <c r="B35" s="6" t="str">
        <f>Cen!A551</f>
        <v>Sada pomůcek do kuchyně</v>
      </c>
      <c r="C35" s="6" t="str">
        <f>Cen!B551</f>
        <v>ZOU.30U1I</v>
      </c>
      <c r="D35" s="9"/>
      <c r="E35" s="39"/>
      <c r="F35" s="39"/>
      <c r="G35" s="461"/>
      <c r="H35" s="462"/>
      <c r="I35" s="39"/>
      <c r="L35" s="477" t="str">
        <f>Cen!A436</f>
        <v>Sada KI2, 500mm</v>
      </c>
      <c r="M35" s="477" t="str">
        <f>Cen!B436</f>
        <v>ZSI.500KI2N</v>
      </c>
      <c r="N35" s="477" t="str">
        <f>Cen!C436</f>
        <v>IG/G</v>
      </c>
      <c r="O35" s="477">
        <f>Cen!D436</f>
        <v>0</v>
      </c>
      <c r="P35" s="385">
        <f>$E$11</f>
        <v>0</v>
      </c>
      <c r="Q35" s="386">
        <f>Cen!F436</f>
        <v>47.945549999999997</v>
      </c>
      <c r="R35" s="387">
        <f t="shared" si="3"/>
        <v>0</v>
      </c>
    </row>
    <row r="36" spans="2:18" x14ac:dyDescent="0.25">
      <c r="E36" s="39"/>
      <c r="F36" s="39"/>
      <c r="G36" s="39"/>
      <c r="H36" s="39"/>
      <c r="I36" s="39"/>
      <c r="L36" s="477" t="str">
        <f>Cen!A437</f>
        <v>Sada KI2, 550mm</v>
      </c>
      <c r="M36" s="477" t="str">
        <f>Cen!B437</f>
        <v>ZSI.550KI2N</v>
      </c>
      <c r="N36" s="477" t="str">
        <f>Cen!C437</f>
        <v>IG/G</v>
      </c>
      <c r="O36" s="477">
        <f>Cen!D437</f>
        <v>0</v>
      </c>
      <c r="P36" s="385">
        <f>$F$11</f>
        <v>0</v>
      </c>
      <c r="Q36" s="386">
        <f>Cen!F437</f>
        <v>58.175440000000002</v>
      </c>
      <c r="R36" s="387">
        <f t="shared" si="3"/>
        <v>0</v>
      </c>
    </row>
    <row r="37" spans="2:18" x14ac:dyDescent="0.25">
      <c r="L37" s="477" t="str">
        <f>Cen!A438</f>
        <v>Sada KI2, 600mm</v>
      </c>
      <c r="M37" s="477" t="str">
        <f>Cen!B438</f>
        <v>ZSI.600KI2N</v>
      </c>
      <c r="N37" s="477" t="str">
        <f>Cen!C438</f>
        <v>IG/G</v>
      </c>
      <c r="O37" s="477">
        <f>Cen!D438</f>
        <v>0</v>
      </c>
      <c r="P37" s="385">
        <f>$G$11</f>
        <v>0</v>
      </c>
      <c r="Q37" s="386">
        <f>Cen!F438</f>
        <v>62.848950000000002</v>
      </c>
      <c r="R37" s="387">
        <f t="shared" si="3"/>
        <v>0</v>
      </c>
    </row>
    <row r="38" spans="2:18" x14ac:dyDescent="0.25">
      <c r="L38" s="477" t="str">
        <f>Cen!A439</f>
        <v>Sada KI2, 650mm</v>
      </c>
      <c r="M38" s="477" t="str">
        <f>Cen!B439</f>
        <v>ZSI.650KI2N</v>
      </c>
      <c r="N38" s="477" t="str">
        <f>Cen!C439</f>
        <v>IG/G</v>
      </c>
      <c r="O38" s="477">
        <f>Cen!D439</f>
        <v>0</v>
      </c>
      <c r="P38" s="385">
        <f>$H$11</f>
        <v>0</v>
      </c>
      <c r="Q38" s="386">
        <f>Cen!F439</f>
        <v>72.097089999999994</v>
      </c>
      <c r="R38" s="387">
        <f t="shared" si="3"/>
        <v>0</v>
      </c>
    </row>
    <row r="39" spans="2:18" x14ac:dyDescent="0.25">
      <c r="L39" s="477" t="str">
        <f>Cen!A440</f>
        <v>Sada KI3, 450mm</v>
      </c>
      <c r="M39" s="477" t="str">
        <f>Cen!B440</f>
        <v>ZSI.450KI3N</v>
      </c>
      <c r="N39" s="477" t="str">
        <f>Cen!C440</f>
        <v>IG/G</v>
      </c>
      <c r="O39" s="477">
        <f>Cen!D440</f>
        <v>0</v>
      </c>
      <c r="P39" s="385">
        <f>$D$12</f>
        <v>0</v>
      </c>
      <c r="Q39" s="386">
        <f>Cen!F440</f>
        <v>37.636150000000001</v>
      </c>
      <c r="R39" s="387">
        <f t="shared" si="3"/>
        <v>0</v>
      </c>
    </row>
    <row r="40" spans="2:18" x14ac:dyDescent="0.25">
      <c r="L40" s="477" t="str">
        <f>Cen!A441</f>
        <v>Sada KI3, 500mm</v>
      </c>
      <c r="M40" s="477" t="str">
        <f>Cen!B441</f>
        <v>ZSI.500KI3N</v>
      </c>
      <c r="N40" s="477" t="str">
        <f>Cen!C441</f>
        <v>IG/G</v>
      </c>
      <c r="O40" s="477">
        <f>Cen!D441</f>
        <v>0</v>
      </c>
      <c r="P40" s="385">
        <f>$E$12</f>
        <v>0</v>
      </c>
      <c r="Q40" s="386">
        <f>Cen!F441</f>
        <v>44.042470000000002</v>
      </c>
      <c r="R40" s="387">
        <f t="shared" si="3"/>
        <v>0</v>
      </c>
    </row>
    <row r="41" spans="2:18" x14ac:dyDescent="0.25">
      <c r="L41" s="477" t="str">
        <f>Cen!A442</f>
        <v>Sada KI3, 550mm</v>
      </c>
      <c r="M41" s="477" t="str">
        <f>Cen!B442</f>
        <v>ZSI.550KI3N</v>
      </c>
      <c r="N41" s="477" t="str">
        <f>Cen!C442</f>
        <v>IG/G</v>
      </c>
      <c r="O41" s="477">
        <f>Cen!D442</f>
        <v>0</v>
      </c>
      <c r="P41" s="385">
        <f>$F$12</f>
        <v>0</v>
      </c>
      <c r="Q41" s="386">
        <f>Cen!F442</f>
        <v>53.241340000000001</v>
      </c>
      <c r="R41" s="387">
        <f t="shared" si="3"/>
        <v>0</v>
      </c>
    </row>
    <row r="42" spans="2:18" x14ac:dyDescent="0.25">
      <c r="L42" s="477" t="str">
        <f>Cen!A443</f>
        <v>Sada KI3, 600mm</v>
      </c>
      <c r="M42" s="477" t="str">
        <f>Cen!B443</f>
        <v>ZSI.600KI3N</v>
      </c>
      <c r="N42" s="477" t="str">
        <f>Cen!C443</f>
        <v>IG/G</v>
      </c>
      <c r="O42" s="477">
        <f>Cen!D443</f>
        <v>0</v>
      </c>
      <c r="P42" s="385">
        <f>$G$12</f>
        <v>0</v>
      </c>
      <c r="Q42" s="386">
        <f>Cen!F443</f>
        <v>62.62357999999999</v>
      </c>
      <c r="R42" s="387">
        <f t="shared" si="3"/>
        <v>0</v>
      </c>
    </row>
    <row r="43" spans="2:18" x14ac:dyDescent="0.25">
      <c r="L43" s="477" t="str">
        <f>Cen!A444</f>
        <v>Sada KI3, 650mm</v>
      </c>
      <c r="M43" s="477" t="str">
        <f>Cen!B444</f>
        <v>ZSI.650KI3N</v>
      </c>
      <c r="N43" s="477" t="str">
        <f>Cen!C444</f>
        <v>IG/G</v>
      </c>
      <c r="O43" s="477">
        <f>Cen!D444</f>
        <v>0</v>
      </c>
      <c r="P43" s="385">
        <f>$H$12</f>
        <v>0</v>
      </c>
      <c r="Q43" s="386">
        <f>Cen!F444</f>
        <v>71.871709999999993</v>
      </c>
      <c r="R43" s="387">
        <f t="shared" si="3"/>
        <v>0</v>
      </c>
    </row>
    <row r="44" spans="2:18" x14ac:dyDescent="0.25">
      <c r="L44" s="477" t="str">
        <f>Cen!A445</f>
        <v>Sada KI4, 450mm</v>
      </c>
      <c r="M44" s="477" t="str">
        <f>Cen!B445</f>
        <v>ZSI.450KI4N</v>
      </c>
      <c r="N44" s="477" t="str">
        <f>Cen!C445</f>
        <v>IG/G</v>
      </c>
      <c r="O44" s="477">
        <f>Cen!D445</f>
        <v>0</v>
      </c>
      <c r="P44" s="385">
        <f>$D$13</f>
        <v>0</v>
      </c>
      <c r="Q44" s="386">
        <f>Cen!F445</f>
        <v>51.256480000000003</v>
      </c>
      <c r="R44" s="387">
        <f t="shared" si="3"/>
        <v>0</v>
      </c>
    </row>
    <row r="45" spans="2:18" x14ac:dyDescent="0.25">
      <c r="L45" s="477" t="str">
        <f>Cen!A446</f>
        <v>Sada KI4, 500mm</v>
      </c>
      <c r="M45" s="477" t="str">
        <f>Cen!B446</f>
        <v>ZSI.500KI4</v>
      </c>
      <c r="N45" s="477" t="str">
        <f>Cen!C446</f>
        <v>IG/G</v>
      </c>
      <c r="O45" s="477">
        <f>Cen!D446</f>
        <v>0</v>
      </c>
      <c r="P45" s="385">
        <f>$E$13</f>
        <v>0</v>
      </c>
      <c r="Q45" s="386">
        <f>Cen!F446</f>
        <v>68.25694</v>
      </c>
      <c r="R45" s="387">
        <f t="shared" si="3"/>
        <v>0</v>
      </c>
    </row>
    <row r="46" spans="2:18" x14ac:dyDescent="0.25">
      <c r="L46" s="477" t="str">
        <f>Cen!A447</f>
        <v>Sada KI4, 550mm</v>
      </c>
      <c r="M46" s="477" t="str">
        <f>Cen!B447</f>
        <v>ZSI.550KI4</v>
      </c>
      <c r="N46" s="477" t="str">
        <f>Cen!C447</f>
        <v>IG/G</v>
      </c>
      <c r="O46" s="477">
        <f>Cen!D447</f>
        <v>0</v>
      </c>
      <c r="P46" s="385">
        <f>$F$13</f>
        <v>0</v>
      </c>
      <c r="Q46" s="386">
        <f>Cen!F447</f>
        <v>70.976650000000006</v>
      </c>
      <c r="R46" s="387">
        <f t="shared" si="3"/>
        <v>0</v>
      </c>
    </row>
    <row r="47" spans="2:18" x14ac:dyDescent="0.25">
      <c r="L47" s="477" t="str">
        <f>Cen!A448</f>
        <v>Sada KI4, 600mm</v>
      </c>
      <c r="M47" s="477" t="str">
        <f>Cen!B448</f>
        <v>ZSI.600KI4</v>
      </c>
      <c r="N47" s="477" t="str">
        <f>Cen!C448</f>
        <v>IG/G</v>
      </c>
      <c r="O47" s="477">
        <f>Cen!D448</f>
        <v>0</v>
      </c>
      <c r="P47" s="385">
        <f>$G$13</f>
        <v>0</v>
      </c>
      <c r="Q47" s="386">
        <f>Cen!F448</f>
        <v>85.055520000000001</v>
      </c>
      <c r="R47" s="387">
        <f t="shared" si="3"/>
        <v>0</v>
      </c>
    </row>
    <row r="48" spans="2:18" x14ac:dyDescent="0.25">
      <c r="L48" s="477" t="str">
        <f>Cen!A449</f>
        <v>Sada KI4, 650mm</v>
      </c>
      <c r="M48" s="477" t="str">
        <f>Cen!B449</f>
        <v>ZSI.650KI4</v>
      </c>
      <c r="N48" s="477" t="str">
        <f>Cen!C449</f>
        <v>IG/G</v>
      </c>
      <c r="O48" s="477">
        <f>Cen!D449</f>
        <v>0</v>
      </c>
      <c r="P48" s="385">
        <f>$H$13</f>
        <v>0</v>
      </c>
      <c r="Q48" s="386">
        <f>Cen!F449</f>
        <v>94.886810000000011</v>
      </c>
      <c r="R48" s="387">
        <f t="shared" si="3"/>
        <v>0</v>
      </c>
    </row>
    <row r="49" spans="12:18" x14ac:dyDescent="0.25">
      <c r="L49" s="477" t="str">
        <f>Cen!A450</f>
        <v>Sada MI3, 450mm</v>
      </c>
      <c r="M49" s="477" t="str">
        <f>Cen!B450</f>
        <v>ZSI.450MI2</v>
      </c>
      <c r="N49" s="477" t="str">
        <f>Cen!C450</f>
        <v>IG/G</v>
      </c>
      <c r="O49" s="477">
        <f>Cen!D450</f>
        <v>0</v>
      </c>
      <c r="P49" s="385">
        <f>$D$14</f>
        <v>0</v>
      </c>
      <c r="Q49" s="386">
        <f>Cen!F450</f>
        <v>65.108220000000003</v>
      </c>
      <c r="R49" s="387">
        <f t="shared" si="3"/>
        <v>0</v>
      </c>
    </row>
    <row r="50" spans="12:18" x14ac:dyDescent="0.25">
      <c r="L50" s="477" t="str">
        <f>Cen!A451</f>
        <v>Sada MI3, 500mm</v>
      </c>
      <c r="M50" s="477" t="str">
        <f>Cen!B451</f>
        <v>ZSI.500MI3</v>
      </c>
      <c r="N50" s="477" t="str">
        <f>Cen!C451</f>
        <v>IG/G</v>
      </c>
      <c r="O50" s="477">
        <f>Cen!D451</f>
        <v>0</v>
      </c>
      <c r="P50" s="385">
        <f>$E$14</f>
        <v>0</v>
      </c>
      <c r="Q50" s="386">
        <f>Cen!F451</f>
        <v>73.331860000000006</v>
      </c>
      <c r="R50" s="387">
        <f t="shared" si="3"/>
        <v>0</v>
      </c>
    </row>
    <row r="51" spans="12:18" x14ac:dyDescent="0.25">
      <c r="L51" s="477" t="str">
        <f>Cen!A452</f>
        <v>Sada MI3, 550mm</v>
      </c>
      <c r="M51" s="477" t="str">
        <f>Cen!B452</f>
        <v>ZSI.550MI3</v>
      </c>
      <c r="N51" s="477" t="str">
        <f>Cen!C452</f>
        <v>IG/G</v>
      </c>
      <c r="O51" s="477">
        <f>Cen!D452</f>
        <v>0</v>
      </c>
      <c r="P51" s="385">
        <f>$F$14</f>
        <v>0</v>
      </c>
      <c r="Q51" s="386">
        <f>Cen!F452</f>
        <v>78.229100000000003</v>
      </c>
      <c r="R51" s="387">
        <f t="shared" si="3"/>
        <v>0</v>
      </c>
    </row>
    <row r="52" spans="12:18" x14ac:dyDescent="0.25">
      <c r="L52" s="477" t="str">
        <f>Cen!A453</f>
        <v>Sada MI3, 600mm</v>
      </c>
      <c r="M52" s="477" t="str">
        <f>Cen!B453</f>
        <v>ZSI.600MI3</v>
      </c>
      <c r="N52" s="477" t="str">
        <f>Cen!C453</f>
        <v>IG/G</v>
      </c>
      <c r="O52" s="477">
        <f>Cen!D453</f>
        <v>0</v>
      </c>
      <c r="P52" s="385">
        <f>$G$14</f>
        <v>0</v>
      </c>
      <c r="Q52" s="386">
        <f>Cen!F453</f>
        <v>90.702070000000006</v>
      </c>
      <c r="R52" s="387">
        <f t="shared" si="3"/>
        <v>0</v>
      </c>
    </row>
    <row r="53" spans="12:18" x14ac:dyDescent="0.25">
      <c r="L53" s="477" t="str">
        <f>Cen!A454</f>
        <v>Sada MI3, 650mm</v>
      </c>
      <c r="M53" s="477" t="str">
        <f>Cen!B454</f>
        <v>ZSI.650MI3</v>
      </c>
      <c r="N53" s="477" t="str">
        <f>Cen!C454</f>
        <v>IG/G</v>
      </c>
      <c r="O53" s="477">
        <f>Cen!D454</f>
        <v>0</v>
      </c>
      <c r="P53" s="385">
        <f>$H$14</f>
        <v>0</v>
      </c>
      <c r="Q53" s="386">
        <f>Cen!F454</f>
        <v>103.04093</v>
      </c>
      <c r="R53" s="387">
        <f t="shared" si="3"/>
        <v>0</v>
      </c>
    </row>
    <row r="54" spans="12:18" x14ac:dyDescent="0.25">
      <c r="L54" s="477">
        <f>Cen!A455</f>
        <v>0</v>
      </c>
      <c r="M54" s="477">
        <f>Cen!B455</f>
        <v>0</v>
      </c>
      <c r="N54" s="477">
        <f>Cen!C455</f>
        <v>0</v>
      </c>
      <c r="O54" s="477">
        <f>Cen!D455</f>
        <v>0</v>
      </c>
      <c r="P54" s="385"/>
      <c r="Q54" s="386">
        <f>Cen!F455</f>
        <v>0</v>
      </c>
      <c r="R54" s="387">
        <f t="shared" si="3"/>
        <v>0</v>
      </c>
    </row>
    <row r="55" spans="12:18" x14ac:dyDescent="0.25">
      <c r="L55" s="477">
        <f>Cen!A456</f>
        <v>0</v>
      </c>
      <c r="M55" s="477">
        <f>Cen!B456</f>
        <v>0</v>
      </c>
      <c r="N55" s="477">
        <f>Cen!C456</f>
        <v>0</v>
      </c>
      <c r="O55" s="477">
        <f>Cen!D456</f>
        <v>0</v>
      </c>
      <c r="P55" s="385"/>
      <c r="Q55" s="386">
        <f>Cen!F456</f>
        <v>0</v>
      </c>
      <c r="R55" s="387">
        <f t="shared" ref="R55:R56" si="4">P55*Q55</f>
        <v>0</v>
      </c>
    </row>
    <row r="56" spans="12:18" x14ac:dyDescent="0.25">
      <c r="L56" s="477" t="str">
        <f>Cen!A457</f>
        <v>Miska 88x88mm</v>
      </c>
      <c r="M56" s="477" t="str">
        <f>Cen!B457</f>
        <v>ZSI.010SI</v>
      </c>
      <c r="N56" s="477" t="str">
        <f>Cen!C457</f>
        <v>IG/G</v>
      </c>
      <c r="O56" s="477">
        <f>Cen!D457</f>
        <v>0</v>
      </c>
      <c r="P56" s="385">
        <f t="shared" ref="P56:P61" si="5">D19</f>
        <v>0</v>
      </c>
      <c r="Q56" s="386">
        <f>Cen!F457</f>
        <v>3.6650700000000001</v>
      </c>
      <c r="R56" s="387">
        <f t="shared" si="4"/>
        <v>0</v>
      </c>
    </row>
    <row r="57" spans="12:18" x14ac:dyDescent="0.25">
      <c r="L57" s="477" t="str">
        <f>Cen!A458</f>
        <v>Miska 88x176mm</v>
      </c>
      <c r="M57" s="477" t="str">
        <f>Cen!B458</f>
        <v>ZSI.020SI</v>
      </c>
      <c r="N57" s="477" t="str">
        <f>Cen!C458</f>
        <v>IG/G</v>
      </c>
      <c r="O57" s="477">
        <f>Cen!D458</f>
        <v>0</v>
      </c>
      <c r="P57" s="385">
        <f t="shared" si="5"/>
        <v>0</v>
      </c>
      <c r="Q57" s="386">
        <f>Cen!F458</f>
        <v>4.4506899999999998</v>
      </c>
      <c r="R57" s="387">
        <f t="shared" ref="R57:R62" si="6">P57*Q57</f>
        <v>0</v>
      </c>
    </row>
    <row r="58" spans="12:18" x14ac:dyDescent="0.25">
      <c r="L58" s="477" t="str">
        <f>Cen!A459</f>
        <v>Miska 88x264mm</v>
      </c>
      <c r="M58" s="477" t="str">
        <f>Cen!B459</f>
        <v>ZSI.030SI</v>
      </c>
      <c r="N58" s="477" t="str">
        <f>Cen!C459</f>
        <v>IG/G</v>
      </c>
      <c r="O58" s="477">
        <f>Cen!D459</f>
        <v>0</v>
      </c>
      <c r="P58" s="385">
        <f t="shared" si="5"/>
        <v>0</v>
      </c>
      <c r="Q58" s="386">
        <f>Cen!F459</f>
        <v>5.2376300000000002</v>
      </c>
      <c r="R58" s="387">
        <f t="shared" si="6"/>
        <v>0</v>
      </c>
    </row>
    <row r="59" spans="12:18" x14ac:dyDescent="0.25">
      <c r="L59" s="477" t="str">
        <f>Cen!A460</f>
        <v>Miska 88x352mm</v>
      </c>
      <c r="M59" s="477" t="str">
        <f>Cen!B460</f>
        <v>ZSI.040SI</v>
      </c>
      <c r="N59" s="477" t="str">
        <f>Cen!C460</f>
        <v>IG/G</v>
      </c>
      <c r="O59" s="477">
        <f>Cen!D460</f>
        <v>0</v>
      </c>
      <c r="P59" s="385">
        <f t="shared" si="5"/>
        <v>0</v>
      </c>
      <c r="Q59" s="386">
        <f>Cen!F460</f>
        <v>8.2490600000000001</v>
      </c>
      <c r="R59" s="387">
        <f t="shared" si="6"/>
        <v>0</v>
      </c>
    </row>
    <row r="60" spans="12:18" x14ac:dyDescent="0.25">
      <c r="L60" s="477" t="str">
        <f>Cen!A461</f>
        <v>Příčný dělící prvek 88mm</v>
      </c>
      <c r="M60" s="477" t="str">
        <f>Cen!B461</f>
        <v>ZSI.010Q</v>
      </c>
      <c r="N60" s="477" t="str">
        <f>Cen!C461</f>
        <v>R737</v>
      </c>
      <c r="O60" s="477">
        <f>Cen!D461</f>
        <v>0</v>
      </c>
      <c r="P60" s="385">
        <f t="shared" si="5"/>
        <v>0</v>
      </c>
      <c r="Q60" s="386">
        <f>Cen!F461</f>
        <v>0</v>
      </c>
      <c r="R60" s="387">
        <f t="shared" si="6"/>
        <v>0</v>
      </c>
    </row>
    <row r="61" spans="12:18" x14ac:dyDescent="0.25">
      <c r="L61" s="477" t="str">
        <f>Cen!A462</f>
        <v>Příčný dělící prvek 176mm</v>
      </c>
      <c r="M61" s="477" t="str">
        <f>Cen!B462</f>
        <v>ZSI.020Q</v>
      </c>
      <c r="N61" s="477" t="str">
        <f>Cen!C462</f>
        <v>R737</v>
      </c>
      <c r="O61" s="477">
        <f>Cen!D462</f>
        <v>0</v>
      </c>
      <c r="P61" s="385">
        <f t="shared" si="5"/>
        <v>0</v>
      </c>
      <c r="Q61" s="386">
        <f>Cen!F462</f>
        <v>1.9273499999999999</v>
      </c>
      <c r="R61" s="387">
        <f t="shared" si="6"/>
        <v>0</v>
      </c>
    </row>
    <row r="62" spans="12:18" x14ac:dyDescent="0.25">
      <c r="L62" s="477">
        <f>Cen!A463</f>
        <v>0</v>
      </c>
      <c r="M62" s="477">
        <f>Cen!B463</f>
        <v>0</v>
      </c>
      <c r="N62" s="477">
        <f>Cen!C463</f>
        <v>0</v>
      </c>
      <c r="O62" s="477">
        <f>Cen!D463</f>
        <v>0</v>
      </c>
      <c r="P62" s="385"/>
      <c r="Q62" s="386">
        <f>Cen!F463</f>
        <v>0</v>
      </c>
      <c r="R62" s="387">
        <f t="shared" si="6"/>
        <v>0</v>
      </c>
    </row>
    <row r="63" spans="12:18" x14ac:dyDescent="0.25">
      <c r="L63" s="477" t="str">
        <f>Cen!A545</f>
        <v>Držák nožů</v>
      </c>
      <c r="M63" s="477" t="str">
        <f>Cen!B545</f>
        <v>ZSZ.02M0</v>
      </c>
      <c r="N63" s="477" t="str">
        <f>Cen!C545</f>
        <v>IG/G</v>
      </c>
      <c r="O63" s="477">
        <f>Cen!D545</f>
        <v>0</v>
      </c>
      <c r="P63" s="385">
        <f>D28</f>
        <v>0</v>
      </c>
      <c r="Q63" s="386">
        <f>Cen!F545</f>
        <v>23.186489999999999</v>
      </c>
      <c r="R63" s="387">
        <f t="shared" ref="R63:R70" si="7">P63*Q63</f>
        <v>0</v>
      </c>
    </row>
    <row r="64" spans="12:18" x14ac:dyDescent="0.25">
      <c r="L64" s="477" t="str">
        <f>Cen!A549</f>
        <v>Držák s řezákem na potravinové folie</v>
      </c>
      <c r="M64" s="477" t="str">
        <f>Cen!B549</f>
        <v>ZSZ.01F0</v>
      </c>
      <c r="N64" s="477" t="str">
        <f>Cen!C549</f>
        <v>STW/G</v>
      </c>
      <c r="O64" s="477">
        <f>Cen!D549</f>
        <v>0</v>
      </c>
      <c r="P64" s="385">
        <f t="shared" ref="P64:P70" si="8">D29</f>
        <v>0</v>
      </c>
      <c r="Q64" s="386">
        <f>Cen!F549</f>
        <v>37.472929999999998</v>
      </c>
      <c r="R64" s="387">
        <f t="shared" si="7"/>
        <v>0</v>
      </c>
    </row>
    <row r="65" spans="12:18" x14ac:dyDescent="0.25">
      <c r="L65" s="477" t="str">
        <f>Cen!A550</f>
        <v>Držák s řezákem na alufolie</v>
      </c>
      <c r="M65" s="477" t="str">
        <f>Cen!B550</f>
        <v>ZSZ.02F0</v>
      </c>
      <c r="N65" s="477" t="str">
        <f>Cen!C550</f>
        <v>ST/O</v>
      </c>
      <c r="O65" s="477">
        <f>Cen!D550</f>
        <v>0</v>
      </c>
      <c r="P65" s="385">
        <f t="shared" si="8"/>
        <v>0</v>
      </c>
      <c r="Q65" s="386">
        <f>Cen!F550</f>
        <v>35.130920000000003</v>
      </c>
      <c r="R65" s="387">
        <f t="shared" si="7"/>
        <v>0</v>
      </c>
    </row>
    <row r="66" spans="12:18" x14ac:dyDescent="0.25">
      <c r="L66" s="477" t="str">
        <f>Cen!A546</f>
        <v>Stojánek na kořenky, KB 300mm</v>
      </c>
      <c r="M66" s="477" t="str">
        <f>Cen!B546</f>
        <v>ZFZ.30G0I</v>
      </c>
      <c r="N66" s="477" t="str">
        <f>Cen!C546</f>
        <v>INGL</v>
      </c>
      <c r="O66" s="477">
        <f>Cen!D546</f>
        <v>0</v>
      </c>
      <c r="P66" s="385">
        <f t="shared" si="8"/>
        <v>0</v>
      </c>
      <c r="Q66" s="386">
        <f>Cen!F546</f>
        <v>19.99335</v>
      </c>
      <c r="R66" s="387">
        <f t="shared" si="7"/>
        <v>0</v>
      </c>
    </row>
    <row r="67" spans="12:18" x14ac:dyDescent="0.25">
      <c r="L67" s="477" t="str">
        <f>Cen!A547</f>
        <v>Stojánek na kořenky, KB 400mm</v>
      </c>
      <c r="M67" s="477" t="str">
        <f>Cen!B547</f>
        <v>ZFZ.40G0I</v>
      </c>
      <c r="N67" s="477" t="str">
        <f>Cen!C547</f>
        <v>INGL</v>
      </c>
      <c r="O67" s="477">
        <f>Cen!D547</f>
        <v>0</v>
      </c>
      <c r="P67" s="385">
        <f t="shared" si="8"/>
        <v>0</v>
      </c>
      <c r="Q67" s="386">
        <f>Cen!F547</f>
        <v>25.70551</v>
      </c>
      <c r="R67" s="387">
        <f t="shared" si="7"/>
        <v>0</v>
      </c>
    </row>
    <row r="68" spans="12:18" x14ac:dyDescent="0.25">
      <c r="L68" s="477" t="str">
        <f>Cen!A548</f>
        <v>Stojánek na kořenky, KB 450mm</v>
      </c>
      <c r="M68" s="477" t="str">
        <f>Cen!B548</f>
        <v>ZFZ.45G0I</v>
      </c>
      <c r="N68" s="477" t="str">
        <f>Cen!C548</f>
        <v>INGL</v>
      </c>
      <c r="O68" s="477">
        <f>Cen!D548</f>
        <v>0</v>
      </c>
      <c r="P68" s="385">
        <f t="shared" si="8"/>
        <v>0</v>
      </c>
      <c r="Q68" s="386">
        <f>Cen!F548</f>
        <v>29.23723</v>
      </c>
      <c r="R68" s="387">
        <f t="shared" si="7"/>
        <v>0</v>
      </c>
    </row>
    <row r="69" spans="12:18" x14ac:dyDescent="0.25">
      <c r="L69" s="477" t="str">
        <f>Cen!A544</f>
        <v>Držák talířů</v>
      </c>
      <c r="M69" s="477" t="str">
        <f>Cen!B544</f>
        <v>ZC7T0350</v>
      </c>
      <c r="N69" s="477" t="str">
        <f>Cen!C544</f>
        <v>OG-M</v>
      </c>
      <c r="O69" s="477">
        <f>Cen!D544</f>
        <v>0</v>
      </c>
      <c r="P69" s="385">
        <f t="shared" si="8"/>
        <v>0</v>
      </c>
      <c r="Q69" s="386">
        <f>Cen!F544</f>
        <v>38.501280000000001</v>
      </c>
      <c r="R69" s="387">
        <f t="shared" si="7"/>
        <v>0</v>
      </c>
    </row>
    <row r="70" spans="12:18" x14ac:dyDescent="0.25">
      <c r="L70" s="477" t="str">
        <f>Cen!A551</f>
        <v>Sada pomůcek do kuchyně</v>
      </c>
      <c r="M70" s="477" t="str">
        <f>Cen!B551</f>
        <v>ZOU.30U1I</v>
      </c>
      <c r="N70" s="477">
        <f>Cen!C551</f>
        <v>0</v>
      </c>
      <c r="O70" s="477">
        <f>Cen!D551</f>
        <v>0</v>
      </c>
      <c r="P70" s="385">
        <f t="shared" si="8"/>
        <v>0</v>
      </c>
      <c r="Q70" s="386">
        <f>Cen!F551</f>
        <v>228.88526999999999</v>
      </c>
      <c r="R70" s="387">
        <f t="shared" si="7"/>
        <v>0</v>
      </c>
    </row>
    <row r="72" spans="12:18" x14ac:dyDescent="0.25">
      <c r="R72" s="436">
        <f>SUM(R2:R71)</f>
        <v>0</v>
      </c>
    </row>
    <row r="133" spans="1:12" x14ac:dyDescent="0.25">
      <c r="A133" s="577"/>
    </row>
    <row r="134" spans="1:12" x14ac:dyDescent="0.25">
      <c r="A134" s="577"/>
    </row>
    <row r="135" spans="1:12" x14ac:dyDescent="0.25">
      <c r="A135" s="577"/>
    </row>
    <row r="136" spans="1:12" x14ac:dyDescent="0.25">
      <c r="A136" s="577"/>
      <c r="K136" s="624" t="str">
        <f>List!$B$99</f>
        <v>Zpět</v>
      </c>
      <c r="L136" s="624"/>
    </row>
    <row r="137" spans="1:12" x14ac:dyDescent="0.25">
      <c r="A137" s="577"/>
    </row>
    <row r="138" spans="1:12" x14ac:dyDescent="0.25">
      <c r="A138" s="577"/>
    </row>
    <row r="139" spans="1:12" x14ac:dyDescent="0.25">
      <c r="A139" s="577"/>
    </row>
    <row r="140" spans="1:12" x14ac:dyDescent="0.25">
      <c r="A140" s="577"/>
    </row>
    <row r="141" spans="1:12" x14ac:dyDescent="0.25">
      <c r="A141" s="577"/>
    </row>
    <row r="142" spans="1:12" x14ac:dyDescent="0.25">
      <c r="A142" s="577"/>
    </row>
    <row r="143" spans="1:12" x14ac:dyDescent="0.25">
      <c r="A143" s="577"/>
    </row>
    <row r="144" spans="1:12" x14ac:dyDescent="0.25">
      <c r="A144" s="577"/>
    </row>
    <row r="145" spans="1:1" x14ac:dyDescent="0.25">
      <c r="A145" s="577"/>
    </row>
    <row r="146" spans="1:1" x14ac:dyDescent="0.25">
      <c r="A146" s="577"/>
    </row>
    <row r="147" spans="1:1" x14ac:dyDescent="0.25">
      <c r="A147" s="577"/>
    </row>
    <row r="148" spans="1:1" x14ac:dyDescent="0.25">
      <c r="A148" s="577"/>
    </row>
    <row r="149" spans="1:1" x14ac:dyDescent="0.25">
      <c r="A149" s="577"/>
    </row>
    <row r="150" spans="1:1" x14ac:dyDescent="0.25">
      <c r="A150" s="577"/>
    </row>
    <row r="151" spans="1:1" x14ac:dyDescent="0.25">
      <c r="A151" s="577"/>
    </row>
    <row r="152" spans="1:1" x14ac:dyDescent="0.25">
      <c r="A152" s="577"/>
    </row>
    <row r="153" spans="1:1" x14ac:dyDescent="0.25">
      <c r="A153" s="577"/>
    </row>
    <row r="154" spans="1:1" x14ac:dyDescent="0.25">
      <c r="A154" s="577"/>
    </row>
    <row r="155" spans="1:1" x14ac:dyDescent="0.25">
      <c r="A155" s="577"/>
    </row>
    <row r="156" spans="1:1" x14ac:dyDescent="0.25">
      <c r="A156" s="577"/>
    </row>
    <row r="157" spans="1:1" x14ac:dyDescent="0.25">
      <c r="A157" s="577"/>
    </row>
    <row r="158" spans="1:1" x14ac:dyDescent="0.25">
      <c r="A158" s="577"/>
    </row>
    <row r="159" spans="1:1" x14ac:dyDescent="0.25">
      <c r="A159" s="577"/>
    </row>
    <row r="160" spans="1:1" x14ac:dyDescent="0.25">
      <c r="A160" s="577"/>
    </row>
    <row r="161" spans="1:1" x14ac:dyDescent="0.25">
      <c r="A161" s="577"/>
    </row>
    <row r="162" spans="1:1" x14ac:dyDescent="0.25">
      <c r="A162" s="577"/>
    </row>
    <row r="163" spans="1:1" x14ac:dyDescent="0.25">
      <c r="A163" s="577"/>
    </row>
    <row r="164" spans="1:1" x14ac:dyDescent="0.25">
      <c r="A164" s="577"/>
    </row>
    <row r="165" spans="1:1" x14ac:dyDescent="0.25">
      <c r="A165" s="577"/>
    </row>
    <row r="166" spans="1:1" x14ac:dyDescent="0.25">
      <c r="A166" s="577"/>
    </row>
    <row r="167" spans="1:1" x14ac:dyDescent="0.25">
      <c r="A167" s="577"/>
    </row>
    <row r="168" spans="1:1" x14ac:dyDescent="0.25">
      <c r="A168" s="577"/>
    </row>
    <row r="169" spans="1:1" x14ac:dyDescent="0.25">
      <c r="A169" s="577"/>
    </row>
    <row r="170" spans="1:1" x14ac:dyDescent="0.25">
      <c r="A170" s="577"/>
    </row>
    <row r="171" spans="1:1" x14ac:dyDescent="0.25">
      <c r="A171" s="577"/>
    </row>
    <row r="172" spans="1:1" x14ac:dyDescent="0.25">
      <c r="A172" s="577"/>
    </row>
    <row r="173" spans="1:1" x14ac:dyDescent="0.25">
      <c r="A173" s="577"/>
    </row>
    <row r="174" spans="1:1" x14ac:dyDescent="0.25">
      <c r="A174" s="577"/>
    </row>
    <row r="175" spans="1:1" x14ac:dyDescent="0.25">
      <c r="A175" s="577"/>
    </row>
    <row r="176" spans="1:1" x14ac:dyDescent="0.25">
      <c r="A176" s="577"/>
    </row>
    <row r="177" spans="1:1" x14ac:dyDescent="0.25">
      <c r="A177" s="577"/>
    </row>
    <row r="178" spans="1:1" x14ac:dyDescent="0.25">
      <c r="A178" s="577"/>
    </row>
    <row r="179" spans="1:1" x14ac:dyDescent="0.25">
      <c r="A179" s="577"/>
    </row>
    <row r="180" spans="1:1" x14ac:dyDescent="0.25">
      <c r="A180" s="577"/>
    </row>
    <row r="181" spans="1:1" x14ac:dyDescent="0.25">
      <c r="A181" s="577"/>
    </row>
    <row r="182" spans="1:1" x14ac:dyDescent="0.25">
      <c r="A182" s="577"/>
    </row>
    <row r="183" spans="1:1" x14ac:dyDescent="0.25">
      <c r="A183" s="577"/>
    </row>
    <row r="184" spans="1:1" x14ac:dyDescent="0.25">
      <c r="A184" s="577"/>
    </row>
    <row r="185" spans="1:1" x14ac:dyDescent="0.25">
      <c r="A185" s="577"/>
    </row>
    <row r="186" spans="1:1" x14ac:dyDescent="0.25">
      <c r="A186" s="577"/>
    </row>
    <row r="187" spans="1:1" x14ac:dyDescent="0.25">
      <c r="A187" s="577"/>
    </row>
    <row r="188" spans="1:1" x14ac:dyDescent="0.25">
      <c r="A188" s="577"/>
    </row>
    <row r="189" spans="1:1" x14ac:dyDescent="0.25">
      <c r="A189" s="577"/>
    </row>
    <row r="190" spans="1:1" x14ac:dyDescent="0.25">
      <c r="A190" s="577"/>
    </row>
    <row r="191" spans="1:1" x14ac:dyDescent="0.25">
      <c r="A191" s="577"/>
    </row>
    <row r="192" spans="1:1" x14ac:dyDescent="0.25">
      <c r="A192" s="577"/>
    </row>
    <row r="193" spans="1:1" x14ac:dyDescent="0.25">
      <c r="A193" s="577"/>
    </row>
    <row r="194" spans="1:1" x14ac:dyDescent="0.25">
      <c r="A194" s="577"/>
    </row>
    <row r="251" spans="8:9" x14ac:dyDescent="0.25">
      <c r="H251" s="624" t="str">
        <f>List!$B$99</f>
        <v>Zpět</v>
      </c>
      <c r="I251" s="624"/>
    </row>
  </sheetData>
  <sheetProtection algorithmName="SHA-512" hashValue="oNmnIPf+9jNOccSTMJdBP/SxmUzOQHkSs/9tZayXb0BkSSm63qqkXjoKt3Wth0g+WUpEAkDADNnD04ymRRlVmQ==" saltValue="2bix8fAyKxJSJr8LzxlQ/A==" spinCount="100000" sheet="1" objects="1" scenarios="1"/>
  <mergeCells count="4">
    <mergeCell ref="B2:B3"/>
    <mergeCell ref="A133:A194"/>
    <mergeCell ref="K136:L136"/>
    <mergeCell ref="H251:I251"/>
  </mergeCells>
  <phoneticPr fontId="53" type="noConversion"/>
  <hyperlinks>
    <hyperlink ref="J16" location="OLOst!A150" tooltip=" " display="OLOst!A150"/>
    <hyperlink ref="J2" location="Form!A1" tooltip=" " display="Form!A1"/>
    <hyperlink ref="J3" location="Menu!A1" tooltip=" " display="Menu!A1"/>
    <hyperlink ref="J6" location="OL!A1" tooltip=" " display="ORGA-LINE"/>
    <hyperlink ref="J9" location="Sum!A128" tooltip=" " display="Sum!A128"/>
    <hyperlink ref="J4" location="Acs!A1" tooltip=" " display="Acs!A1"/>
    <hyperlink ref="J10" location="Ord!A1" tooltip=" " display="Ord!A1"/>
    <hyperlink ref="J5" location="SD!A1" tooltip=" " display="SD!A1"/>
    <hyperlink ref="K136:L136" location="OLOst!A1" tooltip=" " display="OLOst!A1"/>
    <hyperlink ref="H251:I251" location="OLOst!A1" tooltip=" " display="OLOst!A1"/>
  </hyperlinks>
  <pageMargins left="0.7" right="0.7" top="0.78740157499999996" bottom="0.78740157499999996" header="0.3" footer="0.3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139"/>
  <sheetViews>
    <sheetView showGridLines="0" showRowColHeaders="0" workbookViewId="0"/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List!$B$47&amp;" M"</f>
        <v>Vnitřní zásuvka M</v>
      </c>
      <c r="M2" s="114"/>
      <c r="N2" s="2" t="str">
        <f>List!$B$11&amp;":"</f>
        <v>Zpět na:</v>
      </c>
      <c r="O2" s="114"/>
      <c r="P2" s="419" t="s">
        <v>1208</v>
      </c>
      <c r="Q2" s="419">
        <f>SUM(D19:K19)</f>
        <v>0</v>
      </c>
      <c r="R2" s="420">
        <f>SUM(H20:L20)</f>
        <v>0</v>
      </c>
      <c r="S2" s="420">
        <f>SUM(D25:K25)</f>
        <v>0</v>
      </c>
      <c r="T2" s="420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/>
      <c r="J7" s="117"/>
      <c r="K7" s="116"/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114" t="str">
        <f>"* "&amp;List!$B$132&amp;":"</f>
        <v>* Přířezy prvků:</v>
      </c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114" t="str">
        <f>List!$C$136&amp;":   LW - 132"</f>
        <v>Přední díl:   LW - 132</v>
      </c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837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838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814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839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",$P$82)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IF(AND(SUM($D$25,$E$25)&gt;0,SUM($D$30,$E$30)=0),$P$81, IF(AND(SUM($D$25,$E$25)=0,SUM($D$30,$E$30)&gt;0),$P$80, " "))&amp;IF(SUM($D$25,$E$25)&lt;&gt;SUM($D$30,$E$30)," "&amp;$P$83,"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193" t="str">
        <f>List!$B$23&amp;": **"</f>
        <v>Volitelně: **</v>
      </c>
      <c r="C39" s="305"/>
      <c r="D39" s="305"/>
      <c r="E39" s="305"/>
      <c r="F39" s="305"/>
      <c r="G39" s="305"/>
      <c r="H39" s="114"/>
      <c r="I39" s="114"/>
      <c r="J39" s="114"/>
      <c r="K39" s="114"/>
      <c r="L39" s="114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5.75" customHeight="1" x14ac:dyDescent="0.25">
      <c r="A40" s="114"/>
      <c r="B40" s="407" t="str">
        <f>Cen!$A$204</f>
        <v>Úchytka pro vnirřní zásuvku, bílošedá</v>
      </c>
      <c r="C40" s="407"/>
      <c r="D40" s="407"/>
      <c r="E40" s="407"/>
      <c r="F40" s="407"/>
      <c r="G40" s="407"/>
      <c r="H40" s="407" t="str">
        <f>Cen!B204</f>
        <v>ZIF.80M5</v>
      </c>
      <c r="I40" s="407" t="str">
        <f>Cen!C204</f>
        <v>WGR</v>
      </c>
      <c r="J40" s="408"/>
      <c r="K40" s="152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ht="15.75" customHeight="1" x14ac:dyDescent="0.25">
      <c r="A41" s="114"/>
      <c r="B41" s="407" t="str">
        <f>Cen!A208</f>
        <v>Úchytka a unašeč pro vnirřní zásuvku, bílošedá</v>
      </c>
      <c r="C41" s="407"/>
      <c r="D41" s="407"/>
      <c r="E41" s="407"/>
      <c r="F41" s="407"/>
      <c r="G41" s="407"/>
      <c r="H41" s="407" t="str">
        <f>Cen!B208</f>
        <v>ZIF.80M7</v>
      </c>
      <c r="I41" s="407" t="str">
        <f>Cen!C208</f>
        <v>WGR</v>
      </c>
      <c r="J41" s="408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14" t="str">
        <f>"      * "&amp;List!$B$144</f>
        <v xml:space="preserve">      * Pro každý výsuv je započítán jeden přední díl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14" t="str">
        <f>"        "&amp;List!$B$146</f>
        <v xml:space="preserve">        Potřebný počet předních dílů upravte v objednávce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14" t="str">
        <f>"    ** "&amp;List!$B$151&amp;"!"</f>
        <v xml:space="preserve">    ** Cena úchytek není zahrnuta do cen jednotlivých výsuvů!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ht="13" x14ac:dyDescent="0.3">
      <c r="B47" s="277" t="str">
        <f>IF(OR($K$14&gt;0, $L$14&gt;0), List!$B$196, " ")</f>
        <v xml:space="preserve"> </v>
      </c>
      <c r="C47" s="277"/>
      <c r="D47" s="277"/>
      <c r="E47" s="277"/>
      <c r="F47" s="277"/>
      <c r="G47" s="277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ht="13" x14ac:dyDescent="0.3">
      <c r="B48" s="277" t="str">
        <f>IF(OR($K$14&gt;0, $L$14&gt;0), List!$B$200, " ")</f>
        <v xml:space="preserve"> </v>
      </c>
      <c r="C48" s="277"/>
      <c r="D48" s="277"/>
      <c r="E48" s="277"/>
      <c r="F48" s="277"/>
      <c r="G48" s="277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6:21" x14ac:dyDescent="0.25"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6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6:21" x14ac:dyDescent="0.25">
      <c r="P51" s="123"/>
      <c r="Q51" s="123"/>
      <c r="R51" s="123"/>
      <c r="S51" s="385"/>
      <c r="T51" s="386"/>
      <c r="U51" s="387"/>
    </row>
    <row r="52" spans="16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3" si="2">S52*T52</f>
        <v>0</v>
      </c>
    </row>
    <row r="53" spans="16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>
        <f>SUM($S$3:$S$11)</f>
        <v>0</v>
      </c>
      <c r="T53" s="386">
        <f>Cen!F147</f>
        <v>1.59188</v>
      </c>
      <c r="U53" s="387">
        <f t="shared" si="2"/>
        <v>0</v>
      </c>
    </row>
    <row r="54" spans="16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6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6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6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 t="shared" si="2"/>
        <v>0</v>
      </c>
    </row>
    <row r="58" spans="16:21" x14ac:dyDescent="0.25">
      <c r="P58" s="123"/>
      <c r="Q58" s="123"/>
      <c r="R58" s="123"/>
      <c r="S58" s="385"/>
      <c r="T58" s="386"/>
      <c r="U58" s="387">
        <f t="shared" si="2"/>
        <v>0</v>
      </c>
    </row>
    <row r="59" spans="16:21" x14ac:dyDescent="0.25">
      <c r="P59" s="123" t="str">
        <f>Cen!A178</f>
        <v>Držáky čela vnitřní zásuvky M, bílošedé</v>
      </c>
      <c r="Q59" s="123" t="str">
        <f>Cen!B178</f>
        <v>ZIF.71M0</v>
      </c>
      <c r="R59" s="123" t="str">
        <f>Cen!C178</f>
        <v>WGR</v>
      </c>
      <c r="S59" s="385">
        <f>SUM($S$3:$S$11)</f>
        <v>0</v>
      </c>
      <c r="T59" s="402">
        <f>Cen!F178</f>
        <v>4.2079700000000004</v>
      </c>
      <c r="U59" s="387">
        <f t="shared" si="2"/>
        <v>0</v>
      </c>
    </row>
    <row r="60" spans="16:21" x14ac:dyDescent="0.25">
      <c r="P60" s="123" t="str">
        <f>Cen!A194</f>
        <v>Přední díl vnitřní zásuvky, šedý</v>
      </c>
      <c r="Q60" s="123" t="str">
        <f>Cen!B194</f>
        <v xml:space="preserve">Z31L1036A  </v>
      </c>
      <c r="R60" s="123" t="str">
        <f>Cen!C194</f>
        <v>R906</v>
      </c>
      <c r="S60" s="385">
        <f>SUM($S$3:$S$11)</f>
        <v>0</v>
      </c>
      <c r="T60" s="402">
        <f>Cen!F194</f>
        <v>14.286440000000001</v>
      </c>
      <c r="U60" s="387">
        <f t="shared" si="2"/>
        <v>0</v>
      </c>
    </row>
    <row r="61" spans="16:21" x14ac:dyDescent="0.25">
      <c r="P61" s="123" t="str">
        <f>Cen!A199</f>
        <v>Příčný reling vnitřní zásuvky, šedý</v>
      </c>
      <c r="Q61" s="123" t="str">
        <f>Cen!B199</f>
        <v xml:space="preserve">ZRG.1046Z </v>
      </c>
      <c r="R61" s="123" t="str">
        <f>Cen!C199</f>
        <v>R906</v>
      </c>
      <c r="S61" s="385"/>
      <c r="T61" s="402">
        <f>Cen!F199</f>
        <v>6.6514599999999993</v>
      </c>
      <c r="U61" s="387">
        <f t="shared" si="2"/>
        <v>0</v>
      </c>
    </row>
    <row r="62" spans="16:21" x14ac:dyDescent="0.25">
      <c r="P62" s="123" t="str">
        <f>Cen!A204</f>
        <v>Úchytka pro vnirřní zásuvku, bílošedá</v>
      </c>
      <c r="Q62" s="123" t="str">
        <f>Cen!B204</f>
        <v>ZIF.80M5</v>
      </c>
      <c r="R62" s="123" t="str">
        <f>Cen!C204</f>
        <v>WGR</v>
      </c>
      <c r="S62" s="385">
        <f>$J$40</f>
        <v>0</v>
      </c>
      <c r="T62" s="402">
        <f>Cen!F204</f>
        <v>4.0720000000000001</v>
      </c>
      <c r="U62" s="387">
        <f t="shared" si="2"/>
        <v>0</v>
      </c>
    </row>
    <row r="63" spans="16:21" x14ac:dyDescent="0.25">
      <c r="P63" s="123" t="str">
        <f>Cen!A208</f>
        <v>Úchytka a unašeč pro vnirřní zásuvku, bílošedá</v>
      </c>
      <c r="Q63" s="123" t="str">
        <f>Cen!B208</f>
        <v>ZIF.80M7</v>
      </c>
      <c r="R63" s="123" t="str">
        <f>Cen!C208</f>
        <v>WGR</v>
      </c>
      <c r="S63" s="385">
        <f>$J$41</f>
        <v>0</v>
      </c>
      <c r="T63" s="402">
        <f>Cen!F208</f>
        <v>6.2968700000000002</v>
      </c>
      <c r="U63" s="387">
        <f t="shared" si="2"/>
        <v>0</v>
      </c>
    </row>
    <row r="70" spans="16:21" x14ac:dyDescent="0.25">
      <c r="U70" s="436">
        <f>SUM(U3:U69)</f>
        <v>0</v>
      </c>
    </row>
    <row r="80" spans="16:21" x14ac:dyDescent="0.25">
      <c r="P80" s="114" t="str">
        <f>List!$B$276&amp;"!"</f>
        <v>S0 a S1 pouze pro jmenovitou délku 270 a 300 mm!</v>
      </c>
    </row>
    <row r="81" spans="16:16" x14ac:dyDescent="0.25">
      <c r="P81" s="114" t="str">
        <f>List!$B$277&amp;"!"</f>
        <v>Pro výsuvy délky 270 a 300 mm vyberte jednotky S0 nebo S1!</v>
      </c>
    </row>
    <row r="82" spans="16:16" x14ac:dyDescent="0.25">
      <c r="P82" s="114" t="str">
        <f>List!$B$278&amp;"!"</f>
        <v>Počet jednotek L neodpovídá počtu korpusových lišt!</v>
      </c>
    </row>
    <row r="83" spans="16:16" x14ac:dyDescent="0.25">
      <c r="P83" s="114" t="str">
        <f>List!$B$279&amp;"!"</f>
        <v>Počet jednotek S neodpovídá počtu korpusových lišt!</v>
      </c>
    </row>
    <row r="99" spans="1:12" x14ac:dyDescent="0.25">
      <c r="A99" s="577"/>
    </row>
    <row r="100" spans="1:12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</row>
    <row r="101" spans="1:12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</row>
    <row r="102" spans="1:12" ht="7.5" customHeight="1" x14ac:dyDescent="0.25">
      <c r="A102" s="577"/>
    </row>
    <row r="103" spans="1:12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2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2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2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2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2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2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2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2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2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</row>
    <row r="114" spans="1:14" ht="18.75" customHeight="1" x14ac:dyDescent="0.25">
      <c r="A114" s="577"/>
      <c r="N114" s="370" t="str">
        <f>List!$B$99</f>
        <v>Zpět</v>
      </c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</sheetData>
  <sheetProtection algorithmName="SHA-512" hashValue="1SISMVpnsVTCpKDHdQ8AnJY5rRMEHJwofAeDIQt23Xb/gKnvcVM23ip75/EvKTQ0RLeAmpgRuDa5P5mpvMIZyg==" saltValue="pKS/2B3cKdrGRg2ThJBjJQ==" spinCount="100000" sheet="1" objects="1" scenarios="1"/>
  <mergeCells count="19">
    <mergeCell ref="J109:K109"/>
    <mergeCell ref="H110:I110"/>
    <mergeCell ref="K110:L110"/>
    <mergeCell ref="A99:A139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M30V!A100" tooltip=" " display="AM30V!A100"/>
    <hyperlink ref="N114" location="AM30V!A1" tooltip=" " display="AM30V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indexed="13"/>
  </sheetPr>
  <dimension ref="B1:S134"/>
  <sheetViews>
    <sheetView showGridLines="0" showRowColHeaders="0" workbookViewId="0">
      <selection activeCell="G23" sqref="G23"/>
    </sheetView>
  </sheetViews>
  <sheetFormatPr defaultColWidth="9.1796875" defaultRowHeight="12.5" x14ac:dyDescent="0.25"/>
  <cols>
    <col min="1" max="1" width="3.453125" style="114" customWidth="1"/>
    <col min="2" max="2" width="19.54296875" style="114" customWidth="1"/>
    <col min="3" max="3" width="9.1796875" style="114"/>
    <col min="4" max="4" width="3.81640625" style="114" customWidth="1"/>
    <col min="5" max="5" width="5.7265625" style="114" customWidth="1"/>
    <col min="6" max="6" width="19.453125" style="114" customWidth="1"/>
    <col min="7" max="7" width="9.1796875" style="114"/>
    <col min="8" max="8" width="3.81640625" style="114" customWidth="1"/>
    <col min="9" max="9" width="5.7265625" style="114" customWidth="1"/>
    <col min="10" max="10" width="19.453125" style="114" customWidth="1"/>
    <col min="11" max="11" width="9.1796875" style="114"/>
    <col min="12" max="12" width="3.81640625" style="114" customWidth="1"/>
    <col min="13" max="13" width="5.7265625" style="114" customWidth="1"/>
    <col min="14" max="14" width="27.54296875" style="114" customWidth="1"/>
    <col min="15" max="16384" width="9.1796875" style="114"/>
  </cols>
  <sheetData>
    <row r="1" spans="2:19" ht="22.5" customHeight="1" x14ac:dyDescent="0.3">
      <c r="B1" s="136" t="str">
        <f>List!$B$53</f>
        <v>Zásuvky</v>
      </c>
      <c r="C1" s="205" t="s">
        <v>346</v>
      </c>
      <c r="D1" s="116"/>
      <c r="E1" s="116"/>
      <c r="F1" s="116"/>
      <c r="G1" s="205" t="s">
        <v>329</v>
      </c>
      <c r="H1" s="116"/>
      <c r="I1" s="116"/>
      <c r="J1" s="116"/>
      <c r="K1" s="205" t="s">
        <v>351</v>
      </c>
      <c r="L1" s="116"/>
      <c r="N1" s="151" t="str">
        <f>List!$B$11&amp;":"</f>
        <v>Zpět na:</v>
      </c>
    </row>
    <row r="2" spans="2:19" ht="13" thickBot="1" x14ac:dyDescent="0.3">
      <c r="C2" s="421" t="s">
        <v>832</v>
      </c>
      <c r="D2" s="119">
        <f>'AN300'!$Q$2</f>
        <v>0</v>
      </c>
      <c r="G2" s="421" t="s">
        <v>829</v>
      </c>
      <c r="H2" s="119">
        <f>'AM300'!$Q2</f>
        <v>0</v>
      </c>
      <c r="K2" s="421" t="s">
        <v>834</v>
      </c>
      <c r="L2" s="119">
        <f>'AK300'!$Q2</f>
        <v>0</v>
      </c>
      <c r="N2" s="149" t="str">
        <f>" "&amp;List!$B$13</f>
        <v xml:space="preserve"> Úvod</v>
      </c>
    </row>
    <row r="3" spans="2:19" ht="13" thickBot="1" x14ac:dyDescent="0.3">
      <c r="C3" s="422"/>
      <c r="D3" s="119"/>
      <c r="G3" s="422" t="s">
        <v>950</v>
      </c>
      <c r="H3" s="119">
        <f>'AM300'!$R2</f>
        <v>0</v>
      </c>
      <c r="K3" s="422" t="s">
        <v>951</v>
      </c>
      <c r="L3" s="119">
        <f>'AK300'!$R2</f>
        <v>0</v>
      </c>
      <c r="N3" s="150" t="str">
        <f>" "&amp;List!$B$4</f>
        <v xml:space="preserve"> Výběr zásuvek a výsuvů</v>
      </c>
    </row>
    <row r="4" spans="2:19" ht="13" thickBot="1" x14ac:dyDescent="0.3">
      <c r="C4" s="423" t="s">
        <v>833</v>
      </c>
      <c r="D4" s="119">
        <f>'AN300'!$S$2</f>
        <v>0</v>
      </c>
      <c r="G4" s="423" t="s">
        <v>810</v>
      </c>
      <c r="H4" s="119">
        <f>'AM300'!$S2</f>
        <v>0</v>
      </c>
      <c r="K4" s="423" t="s">
        <v>812</v>
      </c>
      <c r="L4" s="119">
        <f>'AK300'!$S2</f>
        <v>0</v>
      </c>
      <c r="N4" s="150" t="str">
        <f>" "&amp;List!$B$5</f>
        <v xml:space="preserve"> Výběr doplňků</v>
      </c>
    </row>
    <row r="5" spans="2:19" ht="13" thickBot="1" x14ac:dyDescent="0.3">
      <c r="C5" s="424"/>
      <c r="D5" s="119"/>
      <c r="G5" s="424" t="s">
        <v>811</v>
      </c>
      <c r="H5" s="119">
        <f>'AM300'!$T2</f>
        <v>0</v>
      </c>
      <c r="K5" s="424" t="s">
        <v>813</v>
      </c>
      <c r="L5" s="119">
        <f>'AK300'!$T2</f>
        <v>0</v>
      </c>
      <c r="N5" s="150" t="str">
        <f>" "&amp;List!$B$6</f>
        <v xml:space="preserve"> Výběr SERVO-DRIVE</v>
      </c>
    </row>
    <row r="6" spans="2:19" x14ac:dyDescent="0.25">
      <c r="N6" s="265" t="str">
        <f>" "&amp;List!$B$7</f>
        <v xml:space="preserve"> Výběr ORGA-LINE</v>
      </c>
    </row>
    <row r="8" spans="2:19" ht="13.5" customHeight="1" thickBot="1" x14ac:dyDescent="0.35">
      <c r="B8" s="136" t="str">
        <f>List!$B$54</f>
        <v>Vnitřní zásuvky</v>
      </c>
      <c r="C8" s="205"/>
      <c r="D8" s="116"/>
      <c r="E8" s="116"/>
      <c r="F8" s="116"/>
      <c r="G8" s="205" t="s">
        <v>329</v>
      </c>
      <c r="H8" s="116"/>
      <c r="I8" s="116"/>
      <c r="J8" s="116"/>
      <c r="K8" s="205" t="s">
        <v>351</v>
      </c>
      <c r="L8" s="116"/>
      <c r="N8" s="2" t="str">
        <f>List!$B$12&amp;":"</f>
        <v>Pokračovat na:</v>
      </c>
    </row>
    <row r="9" spans="2:19" ht="13.5" customHeight="1" x14ac:dyDescent="0.25">
      <c r="G9" s="421" t="s">
        <v>837</v>
      </c>
      <c r="H9" s="119">
        <f>AM30V!$Q2</f>
        <v>0</v>
      </c>
      <c r="K9" s="421" t="s">
        <v>840</v>
      </c>
      <c r="L9" s="119">
        <f>AK30V!$Q2</f>
        <v>0</v>
      </c>
      <c r="N9" s="150" t="str">
        <f>" "&amp;List!$B$20</f>
        <v xml:space="preserve"> Objednávka</v>
      </c>
    </row>
    <row r="10" spans="2:19" ht="13.5" customHeight="1" x14ac:dyDescent="0.25">
      <c r="G10" s="422" t="s">
        <v>952</v>
      </c>
      <c r="H10" s="119">
        <f>AM30V!$R2</f>
        <v>0</v>
      </c>
      <c r="K10" s="422" t="s">
        <v>953</v>
      </c>
      <c r="L10" s="119">
        <f>AK30V!$R2</f>
        <v>0</v>
      </c>
      <c r="P10" s="183"/>
      <c r="Q10" s="183"/>
      <c r="R10" s="183"/>
      <c r="S10" s="183"/>
    </row>
    <row r="11" spans="2:19" ht="13.5" customHeight="1" x14ac:dyDescent="0.3">
      <c r="G11" s="423" t="s">
        <v>814</v>
      </c>
      <c r="H11" s="119">
        <f>AM30V!$S2</f>
        <v>0</v>
      </c>
      <c r="K11" s="423" t="s">
        <v>816</v>
      </c>
      <c r="L11" s="119">
        <f>AK30V!$S2</f>
        <v>0</v>
      </c>
      <c r="P11" s="244"/>
      <c r="Q11" s="244"/>
      <c r="R11" s="244"/>
      <c r="S11" s="245"/>
    </row>
    <row r="12" spans="2:19" ht="13.5" customHeight="1" x14ac:dyDescent="0.25">
      <c r="G12" s="424" t="s">
        <v>815</v>
      </c>
      <c r="H12" s="119">
        <f>AM30V!$T2</f>
        <v>0</v>
      </c>
      <c r="K12" s="424" t="s">
        <v>817</v>
      </c>
      <c r="L12" s="119">
        <f>AK30V!$T2</f>
        <v>0</v>
      </c>
      <c r="P12" s="183"/>
      <c r="Q12" s="183"/>
      <c r="R12" s="183"/>
      <c r="S12" s="183"/>
    </row>
    <row r="13" spans="2:19" ht="13.5" customHeight="1" x14ac:dyDescent="0.25">
      <c r="G13" s="200" t="str">
        <f>"* "&amp;List!$B$23</f>
        <v>* Volitelně</v>
      </c>
      <c r="H13" s="119">
        <f>SUM(AM30V!$J$40:$J$41)</f>
        <v>0</v>
      </c>
      <c r="K13" s="200" t="str">
        <f>"* "&amp;List!$B$23</f>
        <v>* Volitelně</v>
      </c>
      <c r="L13" s="119">
        <f>SUM(AK30V!$J$40:$J$41)</f>
        <v>0</v>
      </c>
      <c r="P13" s="183"/>
      <c r="Q13" s="183"/>
      <c r="R13" s="183"/>
      <c r="S13" s="183"/>
    </row>
    <row r="14" spans="2:19" ht="13.5" customHeight="1" x14ac:dyDescent="0.25"/>
    <row r="15" spans="2:19" ht="13.5" customHeight="1" x14ac:dyDescent="0.3">
      <c r="B15" s="136" t="str">
        <f>List!$B$55&amp;" D "</f>
        <v xml:space="preserve">Čelní výsuvy D 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</row>
    <row r="16" spans="2:19" ht="13.5" customHeight="1" x14ac:dyDescent="0.25">
      <c r="C16" s="421" t="s">
        <v>847</v>
      </c>
      <c r="D16" s="119">
        <f>AD310G!$Q2</f>
        <v>0</v>
      </c>
      <c r="G16" s="421" t="s">
        <v>843</v>
      </c>
      <c r="H16" s="119">
        <f>AD310M!$Q2</f>
        <v>0</v>
      </c>
      <c r="K16" s="421" t="s">
        <v>851</v>
      </c>
      <c r="L16" s="119">
        <f>AD310R!$Q2</f>
        <v>0</v>
      </c>
    </row>
    <row r="17" spans="2:12" ht="13.5" customHeight="1" x14ac:dyDescent="0.25">
      <c r="C17" s="422" t="s">
        <v>848</v>
      </c>
      <c r="D17" s="119">
        <f>AD310G!$R2</f>
        <v>0</v>
      </c>
      <c r="G17" s="422" t="s">
        <v>844</v>
      </c>
      <c r="H17" s="119">
        <f>AD310M!$R2</f>
        <v>0</v>
      </c>
      <c r="K17" s="422" t="s">
        <v>852</v>
      </c>
      <c r="L17" s="119">
        <f>AD310R!$R2</f>
        <v>0</v>
      </c>
    </row>
    <row r="18" spans="2:12" ht="13.5" customHeight="1" x14ac:dyDescent="0.25">
      <c r="C18" s="423" t="s">
        <v>849</v>
      </c>
      <c r="D18" s="119">
        <f>AD310G!$S2</f>
        <v>0</v>
      </c>
      <c r="G18" s="423" t="s">
        <v>845</v>
      </c>
      <c r="H18" s="119">
        <f>AD310M!$S2</f>
        <v>0</v>
      </c>
      <c r="K18" s="423" t="s">
        <v>853</v>
      </c>
      <c r="L18" s="119">
        <f>AD310R!$S2</f>
        <v>0</v>
      </c>
    </row>
    <row r="19" spans="2:12" ht="13.5" customHeight="1" x14ac:dyDescent="0.25">
      <c r="C19" s="424" t="s">
        <v>850</v>
      </c>
      <c r="D19" s="119">
        <f>AD310G!$T2</f>
        <v>0</v>
      </c>
      <c r="G19" s="424" t="s">
        <v>846</v>
      </c>
      <c r="H19" s="119">
        <f>AD310M!$T2</f>
        <v>0</v>
      </c>
      <c r="K19" s="424" t="s">
        <v>854</v>
      </c>
      <c r="L19" s="119">
        <f>AD310R!$T2</f>
        <v>0</v>
      </c>
    </row>
    <row r="20" spans="2:12" ht="13.5" customHeight="1" x14ac:dyDescent="0.25">
      <c r="K20" s="200" t="str">
        <f>"** "&amp;List!$B$23</f>
        <v>** Volitelně</v>
      </c>
      <c r="L20" s="119">
        <f>AD310R!$J$41</f>
        <v>0</v>
      </c>
    </row>
    <row r="21" spans="2:12" ht="13.5" customHeight="1" x14ac:dyDescent="0.25"/>
    <row r="22" spans="2:12" ht="13.5" customHeight="1" x14ac:dyDescent="0.3">
      <c r="B22" s="136" t="str">
        <f>List!$B$56&amp;" D "</f>
        <v xml:space="preserve">Vnitřní výsuvy D 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</row>
    <row r="23" spans="2:12" ht="13.5" customHeight="1" x14ac:dyDescent="0.25">
      <c r="C23" s="421" t="s">
        <v>855</v>
      </c>
      <c r="D23" s="119">
        <f>AD31VG!$Q2</f>
        <v>0</v>
      </c>
      <c r="G23" s="421" t="s">
        <v>859</v>
      </c>
      <c r="H23" s="119">
        <f>AD31VM!$Q2</f>
        <v>0</v>
      </c>
      <c r="K23" s="425" t="s">
        <v>863</v>
      </c>
      <c r="L23" s="119">
        <f>AD31VR!$Q2</f>
        <v>0</v>
      </c>
    </row>
    <row r="24" spans="2:12" ht="13.5" customHeight="1" x14ac:dyDescent="0.25">
      <c r="C24" s="422" t="s">
        <v>856</v>
      </c>
      <c r="D24" s="119">
        <f>AD31VG!$R2</f>
        <v>0</v>
      </c>
      <c r="G24" s="422" t="s">
        <v>954</v>
      </c>
      <c r="H24" s="119">
        <f>AD31VM!$R2</f>
        <v>0</v>
      </c>
      <c r="K24" s="422" t="s">
        <v>864</v>
      </c>
      <c r="L24" s="119">
        <f>AD31VR!$R2</f>
        <v>0</v>
      </c>
    </row>
    <row r="25" spans="2:12" ht="13.5" customHeight="1" x14ac:dyDescent="0.25">
      <c r="C25" s="423" t="s">
        <v>857</v>
      </c>
      <c r="D25" s="119">
        <f>AD31VG!$S2</f>
        <v>0</v>
      </c>
      <c r="G25" s="423" t="s">
        <v>861</v>
      </c>
      <c r="H25" s="119">
        <f>AD31VM!$S2</f>
        <v>0</v>
      </c>
      <c r="K25" s="423" t="s">
        <v>865</v>
      </c>
      <c r="L25" s="119">
        <f>AD31VR!$S2</f>
        <v>0</v>
      </c>
    </row>
    <row r="26" spans="2:12" ht="13.5" customHeight="1" x14ac:dyDescent="0.25">
      <c r="C26" s="424" t="s">
        <v>858</v>
      </c>
      <c r="D26" s="119">
        <f>AD31VG!$T2</f>
        <v>0</v>
      </c>
      <c r="G26" s="424" t="s">
        <v>862</v>
      </c>
      <c r="H26" s="119">
        <f>AD31VM!$T2</f>
        <v>0</v>
      </c>
      <c r="K26" s="424" t="s">
        <v>866</v>
      </c>
      <c r="L26" s="119">
        <f>AD31VR!$T2</f>
        <v>0</v>
      </c>
    </row>
    <row r="27" spans="2:12" ht="13.5" customHeight="1" x14ac:dyDescent="0.25">
      <c r="K27" s="200" t="str">
        <f>"** "&amp;List!$B$23</f>
        <v>** Volitelně</v>
      </c>
      <c r="L27" s="119">
        <f>AD31VR!$J$41</f>
        <v>0</v>
      </c>
    </row>
    <row r="28" spans="2:12" ht="13.5" customHeight="1" x14ac:dyDescent="0.25"/>
    <row r="29" spans="2:12" ht="13.5" customHeight="1" x14ac:dyDescent="0.3">
      <c r="B29" s="136" t="str">
        <f>List!$B$55&amp;" C "</f>
        <v xml:space="preserve">Čelní výsuvy C 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</row>
    <row r="30" spans="2:12" ht="13.5" customHeight="1" x14ac:dyDescent="0.35">
      <c r="B30" s="140"/>
      <c r="C30" s="421" t="s">
        <v>910</v>
      </c>
      <c r="D30" s="119">
        <f>AC310G!$Q2</f>
        <v>0</v>
      </c>
      <c r="G30" s="421" t="s">
        <v>906</v>
      </c>
      <c r="H30" s="119">
        <f>AC310M!$Q2</f>
        <v>0</v>
      </c>
      <c r="K30" s="421" t="s">
        <v>902</v>
      </c>
      <c r="L30" s="119">
        <f>AC310R!$Q2</f>
        <v>0</v>
      </c>
    </row>
    <row r="31" spans="2:12" ht="13.5" customHeight="1" x14ac:dyDescent="0.25">
      <c r="B31" s="141"/>
      <c r="C31" s="422" t="s">
        <v>911</v>
      </c>
      <c r="D31" s="119">
        <f>AC310G!$R2</f>
        <v>0</v>
      </c>
      <c r="G31" s="422" t="s">
        <v>907</v>
      </c>
      <c r="H31" s="119">
        <f>AC310M!$R2</f>
        <v>0</v>
      </c>
      <c r="K31" s="422" t="s">
        <v>903</v>
      </c>
      <c r="L31" s="119">
        <f>AC310R!$R2</f>
        <v>0</v>
      </c>
    </row>
    <row r="32" spans="2:12" ht="13.5" customHeight="1" x14ac:dyDescent="0.25">
      <c r="B32" s="141"/>
      <c r="C32" s="423" t="s">
        <v>912</v>
      </c>
      <c r="D32" s="119">
        <f>AC310G!$S2</f>
        <v>0</v>
      </c>
      <c r="G32" s="423" t="s">
        <v>908</v>
      </c>
      <c r="H32" s="119">
        <f>AC310M!$S2</f>
        <v>0</v>
      </c>
      <c r="K32" s="423" t="s">
        <v>904</v>
      </c>
      <c r="L32" s="119">
        <f>AC310R!$S2</f>
        <v>0</v>
      </c>
    </row>
    <row r="33" spans="2:14" ht="13.5" customHeight="1" x14ac:dyDescent="0.25">
      <c r="B33" s="141"/>
      <c r="C33" s="424" t="s">
        <v>913</v>
      </c>
      <c r="D33" s="119">
        <f>AC310G!$T2</f>
        <v>0</v>
      </c>
      <c r="G33" s="424" t="s">
        <v>909</v>
      </c>
      <c r="H33" s="119">
        <f>AC310M!$T2</f>
        <v>0</v>
      </c>
      <c r="K33" s="424" t="s">
        <v>905</v>
      </c>
      <c r="L33" s="119">
        <f>AC310R!$T2</f>
        <v>0</v>
      </c>
    </row>
    <row r="34" spans="2:14" ht="13.5" customHeight="1" x14ac:dyDescent="0.25">
      <c r="B34" s="141"/>
      <c r="K34" s="200" t="str">
        <f>"** "&amp;List!$B$23</f>
        <v>** Volitelně</v>
      </c>
      <c r="L34" s="119">
        <f>AC310R!$J$41</f>
        <v>0</v>
      </c>
    </row>
    <row r="35" spans="2:14" ht="13.5" customHeight="1" x14ac:dyDescent="0.25">
      <c r="B35" s="141"/>
    </row>
    <row r="36" spans="2:14" ht="13.5" customHeight="1" x14ac:dyDescent="0.3">
      <c r="B36" s="136" t="str">
        <f>List!$B$56&amp;" C "</f>
        <v xml:space="preserve">Vnitřní výsuvy C 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</row>
    <row r="37" spans="2:14" ht="13.5" customHeight="1" x14ac:dyDescent="0.25">
      <c r="C37" s="421" t="s">
        <v>898</v>
      </c>
      <c r="D37" s="119">
        <f>AC31VG!$Q2</f>
        <v>0</v>
      </c>
      <c r="G37" s="421" t="s">
        <v>894</v>
      </c>
      <c r="H37" s="119">
        <f>AC31VM!$Q2</f>
        <v>0</v>
      </c>
      <c r="K37" s="421" t="s">
        <v>890</v>
      </c>
      <c r="L37" s="119">
        <f>AC31VR!$Q2</f>
        <v>0</v>
      </c>
    </row>
    <row r="38" spans="2:14" ht="13.5" customHeight="1" x14ac:dyDescent="0.25">
      <c r="C38" s="422" t="s">
        <v>899</v>
      </c>
      <c r="D38" s="119">
        <f>AC31VG!$R2</f>
        <v>0</v>
      </c>
      <c r="G38" s="422" t="s">
        <v>895</v>
      </c>
      <c r="H38" s="119">
        <f>AC31VM!$R2</f>
        <v>0</v>
      </c>
      <c r="K38" s="422" t="s">
        <v>891</v>
      </c>
      <c r="L38" s="119">
        <f>AC31VR!$R2</f>
        <v>0</v>
      </c>
    </row>
    <row r="39" spans="2:14" ht="13.5" customHeight="1" x14ac:dyDescent="0.25">
      <c r="C39" s="423" t="s">
        <v>898</v>
      </c>
      <c r="D39" s="119">
        <f>AC31VG!$S2</f>
        <v>0</v>
      </c>
      <c r="G39" s="423" t="s">
        <v>896</v>
      </c>
      <c r="H39" s="119">
        <f>AC31VM!$S2</f>
        <v>0</v>
      </c>
      <c r="K39" s="423" t="s">
        <v>892</v>
      </c>
      <c r="L39" s="119">
        <f>AC31VR!$S2</f>
        <v>0</v>
      </c>
    </row>
    <row r="40" spans="2:14" ht="13.5" customHeight="1" x14ac:dyDescent="0.25">
      <c r="C40" s="424" t="s">
        <v>899</v>
      </c>
      <c r="D40" s="119">
        <f>AC31VG!$T2</f>
        <v>0</v>
      </c>
      <c r="G40" s="424" t="s">
        <v>897</v>
      </c>
      <c r="H40" s="119">
        <f>AC31VM!$T2</f>
        <v>0</v>
      </c>
      <c r="K40" s="424" t="s">
        <v>893</v>
      </c>
      <c r="L40" s="119">
        <f>AC31VR!$T2</f>
        <v>0</v>
      </c>
    </row>
    <row r="41" spans="2:14" ht="13.5" customHeight="1" thickBot="1" x14ac:dyDescent="0.3">
      <c r="K41" s="200" t="str">
        <f>"** "&amp;List!$B$23</f>
        <v>** Volitelně</v>
      </c>
      <c r="L41" s="119">
        <f>AC31VR!$J$41</f>
        <v>0</v>
      </c>
      <c r="N41" s="149" t="str">
        <f>" "&amp;List!$B$190</f>
        <v xml:space="preserve"> Nahoru</v>
      </c>
    </row>
    <row r="42" spans="2:14" ht="13.5" customHeight="1" x14ac:dyDescent="0.25"/>
    <row r="43" spans="2:14" ht="13.5" customHeight="1" x14ac:dyDescent="0.25"/>
    <row r="44" spans="2:14" ht="13.5" customHeight="1" x14ac:dyDescent="0.3">
      <c r="B44" s="136" t="str">
        <f>List!$B$46&amp;" SPACE CORNER "&amp;List!$B$67</f>
        <v>Zásuvka SPACE CORNER se SYNCROMOTION</v>
      </c>
      <c r="C44" s="116"/>
      <c r="D44" s="116"/>
      <c r="E44" s="116"/>
      <c r="F44" s="116"/>
      <c r="G44" s="141"/>
      <c r="H44" s="141"/>
      <c r="I44" s="141"/>
      <c r="J44" s="141"/>
      <c r="K44" s="141"/>
      <c r="L44" s="141"/>
    </row>
    <row r="45" spans="2:14" ht="13.5" customHeight="1" x14ac:dyDescent="0.25">
      <c r="B45" s="141"/>
      <c r="C45" s="421"/>
      <c r="D45" s="119"/>
      <c r="G45" s="141"/>
      <c r="H45" s="141"/>
      <c r="I45" s="141"/>
      <c r="J45" s="141"/>
      <c r="K45" s="141"/>
      <c r="L45" s="141"/>
    </row>
    <row r="46" spans="2:14" ht="13.5" customHeight="1" x14ac:dyDescent="0.25">
      <c r="B46" s="141"/>
      <c r="C46" s="422" t="s">
        <v>306</v>
      </c>
      <c r="D46" s="119">
        <f>AM530S!$R2</f>
        <v>0</v>
      </c>
    </row>
    <row r="47" spans="2:14" ht="13.5" customHeight="1" x14ac:dyDescent="0.25">
      <c r="B47" s="141"/>
      <c r="C47" s="423" t="s">
        <v>821</v>
      </c>
      <c r="D47" s="119"/>
    </row>
    <row r="48" spans="2:14" ht="13.5" customHeight="1" x14ac:dyDescent="0.25">
      <c r="B48" s="141"/>
      <c r="C48" s="424"/>
      <c r="D48" s="119"/>
    </row>
    <row r="49" spans="2:13" ht="13.5" customHeight="1" x14ac:dyDescent="0.25">
      <c r="B49" s="141"/>
    </row>
    <row r="50" spans="2:13" ht="13.5" customHeight="1" x14ac:dyDescent="0.25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</row>
    <row r="51" spans="2:13" ht="13.5" customHeight="1" x14ac:dyDescent="0.3">
      <c r="B51" s="136" t="str">
        <f>List!$B$55&amp;" SPACE CORNER "&amp;List!$B$67&amp;" - D "</f>
        <v xml:space="preserve">Čelní výsuvy SPACE CORNER se SYNCROMOTION - D 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</row>
    <row r="52" spans="2:13" ht="13.5" customHeight="1" x14ac:dyDescent="0.25">
      <c r="C52" s="421"/>
      <c r="D52" s="119"/>
      <c r="G52" s="421"/>
      <c r="H52" s="119"/>
      <c r="K52" s="421"/>
      <c r="L52" s="119"/>
    </row>
    <row r="53" spans="2:13" ht="13.5" customHeight="1" x14ac:dyDescent="0.25">
      <c r="C53" s="422" t="s">
        <v>314</v>
      </c>
      <c r="D53" s="119">
        <f>AD535SG!$R2</f>
        <v>0</v>
      </c>
      <c r="G53" s="422" t="s">
        <v>818</v>
      </c>
      <c r="H53" s="119">
        <f>AD535SM!$R2</f>
        <v>0</v>
      </c>
      <c r="K53" s="422" t="s">
        <v>322</v>
      </c>
      <c r="L53" s="119">
        <f>AD535SR!$R2</f>
        <v>0</v>
      </c>
    </row>
    <row r="54" spans="2:13" ht="13.5" customHeight="1" x14ac:dyDescent="0.25">
      <c r="C54" s="423"/>
      <c r="D54" s="119"/>
      <c r="G54" s="423"/>
      <c r="H54" s="119"/>
      <c r="K54" s="423" t="s">
        <v>821</v>
      </c>
      <c r="L54" s="119"/>
    </row>
    <row r="55" spans="2:13" ht="13.5" customHeight="1" x14ac:dyDescent="0.25">
      <c r="C55" s="424"/>
      <c r="D55" s="119"/>
      <c r="G55" s="424"/>
      <c r="H55" s="119"/>
      <c r="J55" s="141"/>
      <c r="K55" s="424"/>
      <c r="L55" s="119"/>
      <c r="M55" s="141"/>
    </row>
    <row r="56" spans="2:13" ht="13.5" customHeight="1" x14ac:dyDescent="0.25">
      <c r="K56" s="200" t="str">
        <f>"** "&amp;List!$B$23</f>
        <v>** Volitelně</v>
      </c>
      <c r="L56" s="119">
        <f>AD535SR!$J$34</f>
        <v>0</v>
      </c>
    </row>
    <row r="57" spans="2:13" ht="13.5" customHeight="1" x14ac:dyDescent="0.25"/>
    <row r="58" spans="2:13" ht="14" x14ac:dyDescent="0.3">
      <c r="B58" s="136" t="str">
        <f>List!$B$46&amp;" SPACE CORNER "&amp;List!$B$68&amp;" - D "</f>
        <v xml:space="preserve">Zásuvka SPACE CORNER s nehybnými čely - D </v>
      </c>
      <c r="C58" s="116"/>
      <c r="D58" s="116"/>
      <c r="E58" s="116"/>
      <c r="F58" s="116"/>
      <c r="G58" s="141"/>
      <c r="H58" s="141"/>
      <c r="I58" s="141"/>
      <c r="J58" s="141"/>
      <c r="K58" s="141"/>
      <c r="L58" s="141"/>
    </row>
    <row r="59" spans="2:13" x14ac:dyDescent="0.25">
      <c r="C59" s="421"/>
      <c r="D59" s="119"/>
      <c r="G59" s="141"/>
      <c r="H59" s="141"/>
      <c r="I59" s="141"/>
      <c r="J59" s="141"/>
      <c r="K59" s="141"/>
      <c r="L59" s="141"/>
    </row>
    <row r="60" spans="2:13" x14ac:dyDescent="0.25">
      <c r="C60" s="422" t="s">
        <v>323</v>
      </c>
      <c r="D60" s="119">
        <f>'AM530'!$R2</f>
        <v>0</v>
      </c>
    </row>
    <row r="61" spans="2:13" x14ac:dyDescent="0.25">
      <c r="C61" s="423" t="s">
        <v>821</v>
      </c>
      <c r="D61" s="119"/>
    </row>
    <row r="62" spans="2:13" x14ac:dyDescent="0.25">
      <c r="C62" s="424"/>
      <c r="D62" s="119"/>
    </row>
    <row r="65" spans="2:14" ht="13.5" customHeight="1" x14ac:dyDescent="0.3">
      <c r="B65" s="136" t="str">
        <f>List!$B$55&amp;" SPACE CORNER "&amp;List!$B$68&amp;" - D "</f>
        <v xml:space="preserve">Čelní výsuvy SPACE CORNER s nehybnými čely - D 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</row>
    <row r="66" spans="2:14" ht="13.5" customHeight="1" x14ac:dyDescent="0.25">
      <c r="C66" s="421"/>
      <c r="D66" s="119"/>
      <c r="G66" s="421"/>
      <c r="H66" s="119"/>
      <c r="K66" s="421"/>
      <c r="L66" s="119"/>
    </row>
    <row r="67" spans="2:14" ht="13.5" customHeight="1" x14ac:dyDescent="0.25">
      <c r="C67" s="422" t="s">
        <v>304</v>
      </c>
      <c r="D67" s="119">
        <f>AD535G!$R2</f>
        <v>0</v>
      </c>
      <c r="G67" s="422" t="s">
        <v>819</v>
      </c>
      <c r="H67" s="119">
        <f>AD535M!$R2</f>
        <v>0</v>
      </c>
      <c r="K67" s="422" t="s">
        <v>308</v>
      </c>
      <c r="L67" s="119">
        <f>AD535R!$R2</f>
        <v>0</v>
      </c>
    </row>
    <row r="68" spans="2:14" ht="13.5" customHeight="1" x14ac:dyDescent="0.25">
      <c r="C68" s="423" t="s">
        <v>821</v>
      </c>
      <c r="D68" s="119"/>
      <c r="G68" s="423" t="s">
        <v>821</v>
      </c>
      <c r="H68" s="119"/>
      <c r="K68" s="423" t="s">
        <v>821</v>
      </c>
      <c r="L68" s="119"/>
    </row>
    <row r="69" spans="2:14" ht="13.5" customHeight="1" x14ac:dyDescent="0.25">
      <c r="C69" s="424"/>
      <c r="D69" s="119"/>
      <c r="G69" s="424"/>
      <c r="H69" s="119"/>
      <c r="K69" s="426"/>
      <c r="L69" s="119"/>
    </row>
    <row r="70" spans="2:14" ht="13.5" customHeight="1" x14ac:dyDescent="0.25">
      <c r="K70" s="200" t="str">
        <f>"** "&amp;List!$B$23</f>
        <v>** Volitelně</v>
      </c>
      <c r="L70" s="119">
        <f>AD535R!$J$34</f>
        <v>0</v>
      </c>
    </row>
    <row r="72" spans="2:14" ht="14" x14ac:dyDescent="0.3">
      <c r="B72" s="136" t="str">
        <f>List!$B$58&amp;" - D "</f>
        <v xml:space="preserve">Dřezové výsuvy - D 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</row>
    <row r="73" spans="2:14" ht="14.5" x14ac:dyDescent="0.35">
      <c r="B73" s="140"/>
      <c r="C73" s="421" t="s">
        <v>915</v>
      </c>
      <c r="D73" s="119">
        <f>AD342G!$Q2</f>
        <v>0</v>
      </c>
      <c r="G73" s="421" t="s">
        <v>923</v>
      </c>
      <c r="H73" s="119">
        <f>AD342M!$Q2</f>
        <v>0</v>
      </c>
      <c r="K73" s="421" t="s">
        <v>919</v>
      </c>
      <c r="L73" s="119">
        <f>AD342R!$Q2</f>
        <v>0</v>
      </c>
    </row>
    <row r="74" spans="2:14" x14ac:dyDescent="0.25">
      <c r="B74" s="141"/>
      <c r="C74" s="422" t="s">
        <v>916</v>
      </c>
      <c r="D74" s="119">
        <f>AD342G!$R2</f>
        <v>0</v>
      </c>
      <c r="G74" s="422" t="s">
        <v>924</v>
      </c>
      <c r="H74" s="119">
        <f>AD342M!$R2</f>
        <v>0</v>
      </c>
      <c r="K74" s="422" t="s">
        <v>920</v>
      </c>
      <c r="L74" s="119">
        <f>AD342R!$R2</f>
        <v>0</v>
      </c>
    </row>
    <row r="75" spans="2:14" x14ac:dyDescent="0.25">
      <c r="B75" s="141"/>
      <c r="C75" s="423" t="s">
        <v>917</v>
      </c>
      <c r="D75" s="119">
        <f>AD342G!$S2</f>
        <v>0</v>
      </c>
      <c r="G75" s="423" t="s">
        <v>925</v>
      </c>
      <c r="H75" s="119">
        <f>AD342M!$S2</f>
        <v>0</v>
      </c>
      <c r="K75" s="423" t="s">
        <v>921</v>
      </c>
      <c r="L75" s="119">
        <f>AD342R!$S2</f>
        <v>0</v>
      </c>
    </row>
    <row r="76" spans="2:14" x14ac:dyDescent="0.25">
      <c r="B76" s="141"/>
      <c r="C76" s="424" t="s">
        <v>918</v>
      </c>
      <c r="D76" s="119">
        <f>AD342G!$T2</f>
        <v>0</v>
      </c>
      <c r="G76" s="424" t="s">
        <v>926</v>
      </c>
      <c r="H76" s="119">
        <f>AD342M!$T2</f>
        <v>0</v>
      </c>
      <c r="K76" s="424" t="s">
        <v>922</v>
      </c>
      <c r="L76" s="119">
        <f>AD342R!$T2</f>
        <v>0</v>
      </c>
    </row>
    <row r="77" spans="2:14" ht="13" thickBot="1" x14ac:dyDescent="0.3">
      <c r="B77" s="141"/>
      <c r="K77" s="200" t="str">
        <f>"** "&amp;List!$B$23</f>
        <v>** Volitelně</v>
      </c>
      <c r="L77" s="119">
        <f>AD342R!$J$39</f>
        <v>0</v>
      </c>
      <c r="N77" s="149" t="str">
        <f>" "&amp;List!$B$190</f>
        <v xml:space="preserve"> Nahoru</v>
      </c>
    </row>
    <row r="78" spans="2:14" x14ac:dyDescent="0.25">
      <c r="B78" s="141"/>
    </row>
    <row r="79" spans="2:14" ht="14" x14ac:dyDescent="0.3">
      <c r="B79" s="136" t="str">
        <f>List!$B$57</f>
        <v>Dřezové zásuvky</v>
      </c>
      <c r="C79" s="116"/>
      <c r="D79" s="116"/>
      <c r="E79" s="116"/>
      <c r="F79" s="116"/>
      <c r="G79" s="141"/>
      <c r="H79" s="141"/>
      <c r="I79" s="141"/>
      <c r="J79" s="141"/>
      <c r="K79" s="141"/>
      <c r="L79" s="141"/>
    </row>
    <row r="80" spans="2:14" x14ac:dyDescent="0.25">
      <c r="B80" s="141"/>
      <c r="C80" s="421" t="s">
        <v>377</v>
      </c>
      <c r="D80" s="119">
        <f>'AM340'!$Q2</f>
        <v>0</v>
      </c>
      <c r="G80" s="141"/>
      <c r="H80" s="141"/>
      <c r="I80" s="141"/>
      <c r="J80" s="141"/>
      <c r="K80" s="141"/>
      <c r="L80" s="141"/>
    </row>
    <row r="81" spans="2:12" x14ac:dyDescent="0.25">
      <c r="B81" s="141"/>
      <c r="C81" s="422" t="s">
        <v>821</v>
      </c>
      <c r="D81" s="119"/>
    </row>
    <row r="82" spans="2:12" x14ac:dyDescent="0.25">
      <c r="B82" s="141"/>
      <c r="C82" s="423"/>
      <c r="D82" s="119"/>
    </row>
    <row r="83" spans="2:12" x14ac:dyDescent="0.25">
      <c r="B83" s="141"/>
      <c r="C83" s="424"/>
      <c r="D83" s="119"/>
    </row>
    <row r="84" spans="2:12" x14ac:dyDescent="0.25">
      <c r="B84" s="141"/>
    </row>
    <row r="86" spans="2:12" ht="14" x14ac:dyDescent="0.3">
      <c r="B86" s="136" t="str">
        <f>List!$B$55&amp;" "&amp;List!$B$59&amp;", "&amp;List!$B$60&amp;" D+M "</f>
        <v xml:space="preserve">Čelní výsuvy pro úzké korpusy, sestava D+M 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</row>
    <row r="87" spans="2:12" ht="13.5" customHeight="1" x14ac:dyDescent="0.35">
      <c r="B87" s="140"/>
      <c r="C87" s="421" t="s">
        <v>927</v>
      </c>
      <c r="D87" s="119">
        <f>ADM30G!$Q2</f>
        <v>0</v>
      </c>
      <c r="G87" s="421" t="s">
        <v>928</v>
      </c>
      <c r="H87" s="119">
        <f>ADM30M!$Q2</f>
        <v>0</v>
      </c>
      <c r="K87" s="421" t="s">
        <v>929</v>
      </c>
      <c r="L87" s="119">
        <f>ADM30R!$Q2</f>
        <v>0</v>
      </c>
    </row>
    <row r="88" spans="2:12" x14ac:dyDescent="0.25">
      <c r="B88" s="141"/>
      <c r="C88" s="422" t="s">
        <v>958</v>
      </c>
      <c r="D88" s="119">
        <f>ADM30G!$R2</f>
        <v>0</v>
      </c>
      <c r="G88" s="422" t="s">
        <v>959</v>
      </c>
      <c r="H88" s="119">
        <f>ADM30M!$R2</f>
        <v>0</v>
      </c>
      <c r="K88" s="422" t="s">
        <v>960</v>
      </c>
      <c r="L88" s="119">
        <f>ADM30R!$R2</f>
        <v>0</v>
      </c>
    </row>
    <row r="89" spans="2:12" x14ac:dyDescent="0.25">
      <c r="B89" s="141"/>
      <c r="C89" s="423"/>
      <c r="D89" s="119"/>
      <c r="G89" s="423"/>
      <c r="H89" s="119"/>
      <c r="K89" s="423"/>
      <c r="L89" s="119"/>
    </row>
    <row r="90" spans="2:12" x14ac:dyDescent="0.25">
      <c r="B90" s="141"/>
      <c r="C90" s="424"/>
      <c r="D90" s="119"/>
      <c r="G90" s="424"/>
      <c r="H90" s="119"/>
      <c r="K90" s="424"/>
      <c r="L90" s="119"/>
    </row>
    <row r="91" spans="2:12" x14ac:dyDescent="0.25">
      <c r="B91" s="141"/>
      <c r="K91" s="200" t="str">
        <f>"** "&amp;List!$B$23</f>
        <v>** Volitelně</v>
      </c>
      <c r="L91" s="119">
        <f>ADM30R!$J$30</f>
        <v>0</v>
      </c>
    </row>
    <row r="93" spans="2:12" ht="14" x14ac:dyDescent="0.3">
      <c r="B93" s="136" t="str">
        <f>List!$B$55&amp;" "&amp;List!$B$59&amp;", "&amp;List!$B$60&amp;" D+D "</f>
        <v xml:space="preserve">Čelní výsuvy pro úzké korpusy, sestava D+D </v>
      </c>
      <c r="C93" s="116"/>
      <c r="D93" s="116"/>
      <c r="E93" s="116"/>
      <c r="F93" s="116"/>
      <c r="G93" s="116"/>
      <c r="H93" s="116"/>
      <c r="I93" s="116"/>
      <c r="J93" s="116"/>
      <c r="K93" s="116"/>
      <c r="L93" s="116"/>
    </row>
    <row r="94" spans="2:12" ht="13.5" customHeight="1" x14ac:dyDescent="0.35">
      <c r="B94" s="140"/>
      <c r="C94" s="421" t="s">
        <v>955</v>
      </c>
      <c r="D94" s="119">
        <f>ADD32G!$Q2</f>
        <v>0</v>
      </c>
      <c r="G94" s="421" t="s">
        <v>956</v>
      </c>
      <c r="H94" s="119">
        <f>ADD32M!$Q2</f>
        <v>0</v>
      </c>
      <c r="K94" s="421" t="s">
        <v>957</v>
      </c>
      <c r="L94" s="119">
        <f>ADD32R!$Q2</f>
        <v>0</v>
      </c>
    </row>
    <row r="95" spans="2:12" x14ac:dyDescent="0.25">
      <c r="B95" s="141"/>
      <c r="C95" s="422" t="s">
        <v>961</v>
      </c>
      <c r="D95" s="119">
        <f>ADD32G!$R2</f>
        <v>0</v>
      </c>
      <c r="G95" s="422" t="s">
        <v>962</v>
      </c>
      <c r="H95" s="119">
        <f>ADD32M!$R2</f>
        <v>0</v>
      </c>
      <c r="K95" s="422" t="s">
        <v>963</v>
      </c>
      <c r="L95" s="119">
        <f>ADD32R!$R2</f>
        <v>0</v>
      </c>
    </row>
    <row r="96" spans="2:12" x14ac:dyDescent="0.25">
      <c r="B96" s="141"/>
      <c r="C96" s="423"/>
      <c r="D96" s="119"/>
      <c r="G96" s="423"/>
      <c r="H96" s="119"/>
      <c r="K96" s="423"/>
      <c r="L96" s="119"/>
    </row>
    <row r="97" spans="2:14" x14ac:dyDescent="0.25">
      <c r="B97" s="141"/>
      <c r="C97" s="424"/>
      <c r="D97" s="119"/>
      <c r="G97" s="424"/>
      <c r="H97" s="119"/>
      <c r="K97" s="424"/>
      <c r="L97" s="119"/>
    </row>
    <row r="98" spans="2:14" ht="13" thickBot="1" x14ac:dyDescent="0.3">
      <c r="B98" s="141"/>
      <c r="K98" s="200" t="str">
        <f>"** "&amp;List!$B$23</f>
        <v>** Volitelně</v>
      </c>
      <c r="L98" s="119">
        <f>ADD32R!$J$30</f>
        <v>0</v>
      </c>
      <c r="N98" s="149" t="str">
        <f>" "&amp;List!$B$190</f>
        <v xml:space="preserve"> Nahoru</v>
      </c>
    </row>
    <row r="99" spans="2:14" x14ac:dyDescent="0.25">
      <c r="B99" s="141"/>
    </row>
    <row r="100" spans="2:14" ht="21" customHeight="1" x14ac:dyDescent="0.3">
      <c r="B100" s="136" t="str">
        <f>"SPACE TOWER, "&amp;List!$B$60&amp;" 4xD + 1xM "</f>
        <v xml:space="preserve">SPACE TOWER, sestava 4xD + 1xM 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</row>
    <row r="101" spans="2:14" ht="14.5" x14ac:dyDescent="0.35">
      <c r="B101" s="140"/>
      <c r="C101" s="199" t="s">
        <v>964</v>
      </c>
      <c r="D101" s="119">
        <f>ADM45G!$Q2</f>
        <v>0</v>
      </c>
      <c r="G101" s="199" t="s">
        <v>968</v>
      </c>
      <c r="H101" s="119">
        <f>ADM45M!$Q2</f>
        <v>0</v>
      </c>
      <c r="K101" s="199" t="s">
        <v>972</v>
      </c>
      <c r="L101" s="119">
        <f>ADM45R!$Q2</f>
        <v>0</v>
      </c>
    </row>
    <row r="102" spans="2:14" x14ac:dyDescent="0.25">
      <c r="B102" s="141"/>
      <c r="C102" s="199" t="s">
        <v>965</v>
      </c>
      <c r="D102" s="119">
        <f>ADM45G!$R2</f>
        <v>0</v>
      </c>
      <c r="G102" s="199" t="s">
        <v>969</v>
      </c>
      <c r="H102" s="119">
        <f>ADM45M!$R2</f>
        <v>0</v>
      </c>
      <c r="K102" s="199" t="s">
        <v>973</v>
      </c>
      <c r="L102" s="119">
        <f>ADM45R!$R2</f>
        <v>0</v>
      </c>
    </row>
    <row r="103" spans="2:14" x14ac:dyDescent="0.25">
      <c r="B103" s="141"/>
      <c r="C103" s="199" t="s">
        <v>966</v>
      </c>
      <c r="D103" s="119">
        <f>ADM45G!$S2</f>
        <v>0</v>
      </c>
      <c r="G103" s="199" t="s">
        <v>970</v>
      </c>
      <c r="H103" s="119">
        <f>ADM45M!$S2</f>
        <v>0</v>
      </c>
      <c r="K103" s="199" t="s">
        <v>975</v>
      </c>
      <c r="L103" s="119">
        <f>ADM45R!$S2</f>
        <v>0</v>
      </c>
    </row>
    <row r="104" spans="2:14" x14ac:dyDescent="0.25">
      <c r="B104" s="141"/>
      <c r="C104" s="199" t="s">
        <v>967</v>
      </c>
      <c r="D104" s="119">
        <f>ADM45G!$T2</f>
        <v>0</v>
      </c>
      <c r="G104" s="199" t="s">
        <v>971</v>
      </c>
      <c r="H104" s="119">
        <f>ADM45M!$T2</f>
        <v>0</v>
      </c>
      <c r="K104" s="199" t="s">
        <v>974</v>
      </c>
      <c r="L104" s="119">
        <f>ADM45R!$T2</f>
        <v>0</v>
      </c>
    </row>
    <row r="105" spans="2:14" x14ac:dyDescent="0.25">
      <c r="B105" s="141"/>
      <c r="K105" s="200" t="str">
        <f>"** "&amp;List!$B$23</f>
        <v>** Volitelně</v>
      </c>
      <c r="L105" s="119">
        <f>ADM45R!$J$44</f>
        <v>0</v>
      </c>
    </row>
    <row r="110" spans="2:14" ht="14" x14ac:dyDescent="0.3">
      <c r="B110" s="136" t="str">
        <f>"SPACE TOWER, "&amp;List!$B$60&amp;" 5xD "</f>
        <v xml:space="preserve">SPACE TOWER, sestava 5xD 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</row>
    <row r="111" spans="2:14" ht="13.5" customHeight="1" x14ac:dyDescent="0.35">
      <c r="B111" s="140"/>
      <c r="C111" s="199" t="s">
        <v>976</v>
      </c>
      <c r="D111" s="119">
        <f>ADD45G!$Q2</f>
        <v>0</v>
      </c>
      <c r="G111" s="199" t="s">
        <v>978</v>
      </c>
      <c r="H111" s="119">
        <f>ADD45M!$Q2</f>
        <v>0</v>
      </c>
      <c r="K111" s="199" t="s">
        <v>980</v>
      </c>
      <c r="L111" s="119">
        <f>ADD45R!$Q2</f>
        <v>0</v>
      </c>
    </row>
    <row r="112" spans="2:14" x14ac:dyDescent="0.25">
      <c r="B112" s="141"/>
      <c r="C112" s="199" t="s">
        <v>977</v>
      </c>
      <c r="D112" s="119">
        <f>ADD45G!$R2</f>
        <v>0</v>
      </c>
      <c r="G112" s="199" t="s">
        <v>979</v>
      </c>
      <c r="H112" s="119">
        <f>ADD45M!$R2</f>
        <v>0</v>
      </c>
      <c r="K112" s="199" t="s">
        <v>987</v>
      </c>
      <c r="L112" s="119">
        <f>ADD45R!$R2</f>
        <v>0</v>
      </c>
    </row>
    <row r="113" spans="2:14" x14ac:dyDescent="0.25">
      <c r="B113" s="141"/>
      <c r="C113" s="199" t="s">
        <v>981</v>
      </c>
      <c r="D113" s="119">
        <f>ADD45G!$S2</f>
        <v>0</v>
      </c>
      <c r="G113" s="199" t="s">
        <v>983</v>
      </c>
      <c r="H113" s="119">
        <f>ADD45M!$S2</f>
        <v>0</v>
      </c>
      <c r="K113" s="199" t="s">
        <v>985</v>
      </c>
      <c r="L113" s="119">
        <f>ADD45R!$S2</f>
        <v>0</v>
      </c>
    </row>
    <row r="114" spans="2:14" x14ac:dyDescent="0.25">
      <c r="B114" s="141"/>
      <c r="C114" s="199" t="s">
        <v>982</v>
      </c>
      <c r="D114" s="119">
        <f>ADD45G!$T2</f>
        <v>0</v>
      </c>
      <c r="G114" s="199" t="s">
        <v>984</v>
      </c>
      <c r="H114" s="119">
        <f>ADD45M!$T2</f>
        <v>0</v>
      </c>
      <c r="K114" s="199" t="s">
        <v>986</v>
      </c>
      <c r="L114" s="119">
        <f>ADD45R!$T2</f>
        <v>0</v>
      </c>
    </row>
    <row r="115" spans="2:14" x14ac:dyDescent="0.25">
      <c r="B115" s="141"/>
      <c r="C115" s="247"/>
      <c r="D115" s="246"/>
      <c r="G115" s="247"/>
      <c r="H115" s="246"/>
      <c r="K115" s="200" t="str">
        <f>"** "&amp;List!$B$23</f>
        <v>** Volitelně</v>
      </c>
      <c r="L115" s="119">
        <f>ADD45R!$J$44</f>
        <v>0</v>
      </c>
    </row>
    <row r="116" spans="2:14" x14ac:dyDescent="0.25">
      <c r="B116" s="141"/>
      <c r="C116" s="247"/>
      <c r="D116" s="246"/>
      <c r="G116" s="247"/>
      <c r="H116" s="246"/>
      <c r="K116" s="142"/>
      <c r="L116" s="147"/>
    </row>
    <row r="117" spans="2:14" x14ac:dyDescent="0.25">
      <c r="B117" s="141"/>
      <c r="J117" s="183"/>
      <c r="K117" s="183"/>
      <c r="L117" s="183"/>
      <c r="M117" s="183"/>
    </row>
    <row r="118" spans="2:14" ht="13" thickBot="1" x14ac:dyDescent="0.3">
      <c r="B118" s="141"/>
      <c r="N118" s="149" t="str">
        <f>" "&amp;List!$B$190</f>
        <v xml:space="preserve"> Nahoru</v>
      </c>
    </row>
    <row r="121" spans="2:14" ht="14" x14ac:dyDescent="0.3">
      <c r="B121" s="136" t="str">
        <f>List!B141</f>
        <v>Ostatní</v>
      </c>
      <c r="C121" s="116"/>
      <c r="D121" s="116"/>
      <c r="E121" s="116"/>
      <c r="F121" s="136" t="str">
        <f>List!B142</f>
        <v>Závěsy pro potravinové skříně</v>
      </c>
      <c r="G121" s="116"/>
      <c r="H121" s="116"/>
      <c r="I121" s="116"/>
      <c r="J121" s="136" t="s">
        <v>634</v>
      </c>
      <c r="K121" s="116"/>
      <c r="L121" s="116"/>
    </row>
    <row r="122" spans="2:14" x14ac:dyDescent="0.25">
      <c r="B122" s="117" t="str">
        <f>List!$B$93&amp;" "&amp;List!$B$91</f>
        <v>Celkem Ks</v>
      </c>
      <c r="C122" s="249"/>
      <c r="D122" s="119">
        <f>SUM(Acs!$E$3:$E$29)</f>
        <v>0</v>
      </c>
      <c r="F122" s="117" t="str">
        <f>List!$B$93&amp;" "&amp;List!$B$91</f>
        <v>Celkem Ks</v>
      </c>
      <c r="G122" s="249"/>
      <c r="H122" s="119">
        <f>SUM(Acs!$E$36:$E$53)</f>
        <v>0</v>
      </c>
      <c r="J122" s="627" t="str">
        <f>List!$B$93&amp;" "&amp;List!$B$91</f>
        <v>Celkem Ks</v>
      </c>
      <c r="K122" s="627"/>
      <c r="L122" s="119">
        <f>SUM(SD!$E$3:$E$35)</f>
        <v>0</v>
      </c>
    </row>
    <row r="125" spans="2:14" ht="14" x14ac:dyDescent="0.3">
      <c r="B125" s="136" t="s">
        <v>112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</row>
    <row r="126" spans="2:14" x14ac:dyDescent="0.25">
      <c r="B126" s="117" t="str">
        <f>List!$B$106</f>
        <v>Sady misek</v>
      </c>
      <c r="C126" s="249"/>
      <c r="D126" s="119">
        <f>SUM(OLMi!D20:H27)</f>
        <v>0</v>
      </c>
      <c r="F126" s="117" t="str">
        <f>List!B120</f>
        <v>Držáky talířů</v>
      </c>
      <c r="G126" s="249"/>
      <c r="H126" s="119">
        <f>OLTa!E24</f>
        <v>0</v>
      </c>
      <c r="J126" s="627" t="str">
        <f>List!$B$121&amp;", "&amp;List!$B$122</f>
        <v>Vana na láhve, Mezistěna</v>
      </c>
      <c r="K126" s="628"/>
      <c r="L126" s="119">
        <f>SUM(OLVM!E22:E27)</f>
        <v>0</v>
      </c>
    </row>
    <row r="127" spans="2:14" x14ac:dyDescent="0.25">
      <c r="B127" s="117" t="str">
        <f>List!$B$107</f>
        <v>Sady rozdělovníků</v>
      </c>
      <c r="C127" s="249"/>
      <c r="D127" s="119">
        <f>SUM(OLRo!D20:H29, OLRo!D31:D33)</f>
        <v>0</v>
      </c>
      <c r="F127" s="627" t="str">
        <f>List!$B$121&amp;", "&amp;List!$B$122&amp;", "&amp;List!$B$135</f>
        <v>Vana na láhve, Mezistěna, Příčky</v>
      </c>
      <c r="G127" s="628"/>
      <c r="H127" s="119">
        <f>SUM(OLVMP!E25:E34)</f>
        <v>0</v>
      </c>
      <c r="J127" s="117" t="str">
        <f>List!$B$121</f>
        <v>Vana na láhve</v>
      </c>
      <c r="K127" s="249"/>
      <c r="L127" s="119">
        <f>SUM(OLVa!E20:E23)</f>
        <v>0</v>
      </c>
    </row>
    <row r="128" spans="2:14" x14ac:dyDescent="0.25">
      <c r="B128" s="627" t="str">
        <f>List!$B$117&amp;", "&amp;List!$B$118&amp;" #1"</f>
        <v>Příčné dělení, Podélné dělení #1</v>
      </c>
      <c r="C128" s="628"/>
      <c r="D128" s="119">
        <f>SUM('OLP1'!E25:E31)</f>
        <v>0</v>
      </c>
      <c r="F128" s="627" t="str">
        <f>List!$B$125&amp;", "&amp;List!$B$122</f>
        <v>Držáky na kořenky, Mezistěna</v>
      </c>
      <c r="G128" s="628"/>
      <c r="H128" s="119">
        <f>SUM(OLKMP!E25:E36)</f>
        <v>0</v>
      </c>
      <c r="J128" s="117" t="str">
        <f>List!$B$122</f>
        <v>Mezistěna</v>
      </c>
      <c r="K128" s="249"/>
      <c r="L128" s="119">
        <f>OLMe!E21</f>
        <v>0</v>
      </c>
    </row>
    <row r="129" spans="2:14" x14ac:dyDescent="0.25">
      <c r="B129" s="627" t="str">
        <f>List!$B$117&amp;", "&amp;List!$B$118&amp;" #2"</f>
        <v>Příčné dělení, Podélné dělení #2</v>
      </c>
      <c r="C129" s="628"/>
      <c r="D129" s="119">
        <f>SUM('OLP2'!E25:E31)</f>
        <v>0</v>
      </c>
      <c r="F129" s="117" t="str">
        <f>List!$B$125</f>
        <v>Držáky na kořenky</v>
      </c>
      <c r="G129" s="249"/>
      <c r="H129" s="119">
        <f>SUM(OLKo!E21:E30)</f>
        <v>0</v>
      </c>
      <c r="J129" s="117" t="str">
        <f>List!B$141&amp;" ORGA-LINE"</f>
        <v>Ostatní ORGA-LINE</v>
      </c>
      <c r="K129" s="249"/>
      <c r="L129" s="119">
        <f>SUM(OLOst!D5:H15, OLOst!D19:D24, OLOst!D28:D35)</f>
        <v>0</v>
      </c>
    </row>
    <row r="130" spans="2:14" x14ac:dyDescent="0.25">
      <c r="J130" s="117" t="str">
        <f>List!$B$137</f>
        <v>Příčný reling</v>
      </c>
      <c r="K130" s="249"/>
      <c r="L130" s="119">
        <f>SUM(OLRel!E20:E22)</f>
        <v>0</v>
      </c>
    </row>
    <row r="133" spans="2:14" x14ac:dyDescent="0.25">
      <c r="B133" s="114" t="str">
        <f>"      * "&amp;List!$B$38</f>
        <v xml:space="preserve">      * Úchytka pro vnitřní zásuvky</v>
      </c>
    </row>
    <row r="134" spans="2:14" ht="13" thickBot="1" x14ac:dyDescent="0.3">
      <c r="B134" s="114" t="str">
        <f>"     ** "&amp;List!$B$148</f>
        <v xml:space="preserve">     ** Sada držáků, pro vlastní zásuvný prvek</v>
      </c>
      <c r="N134" s="149" t="str">
        <f>" "&amp;List!$B$190</f>
        <v xml:space="preserve"> Nahoru</v>
      </c>
    </row>
  </sheetData>
  <sheetProtection algorithmName="SHA-512" hashValue="v/QECuLo5ttBgv4OpsHZ/N66/RXsZv2ZecUABciOtodEOfShFsYwdL3EHjP2OGAaeQ54Tr3VMcQGF1iMv4u8Ug==" saltValue="F55uQ/WRJsJWLnhVT70scQ==" spinCount="100000" sheet="1" objects="1" scenarios="1"/>
  <mergeCells count="6">
    <mergeCell ref="J122:K122"/>
    <mergeCell ref="B129:C129"/>
    <mergeCell ref="J126:K126"/>
    <mergeCell ref="F127:G127"/>
    <mergeCell ref="F128:G128"/>
    <mergeCell ref="B128:C128"/>
  </mergeCells>
  <phoneticPr fontId="53" type="noConversion"/>
  <conditionalFormatting sqref="D4">
    <cfRule type="cellIs" dxfId="58" priority="60" operator="greaterThan">
      <formula>0</formula>
    </cfRule>
  </conditionalFormatting>
  <conditionalFormatting sqref="H2:H5">
    <cfRule type="cellIs" dxfId="57" priority="59" operator="greaterThan">
      <formula>0</formula>
    </cfRule>
  </conditionalFormatting>
  <conditionalFormatting sqref="H9:H13">
    <cfRule type="cellIs" dxfId="56" priority="57" operator="greaterThan">
      <formula>0</formula>
    </cfRule>
  </conditionalFormatting>
  <conditionalFormatting sqref="L2:L5">
    <cfRule type="cellIs" dxfId="55" priority="56" operator="greaterThan">
      <formula>0</formula>
    </cfRule>
  </conditionalFormatting>
  <conditionalFormatting sqref="L9:L12">
    <cfRule type="cellIs" dxfId="54" priority="55" operator="greaterThan">
      <formula>0</formula>
    </cfRule>
  </conditionalFormatting>
  <conditionalFormatting sqref="D2">
    <cfRule type="cellIs" dxfId="53" priority="54" operator="greaterThan">
      <formula>0</formula>
    </cfRule>
  </conditionalFormatting>
  <conditionalFormatting sqref="D101:D104">
    <cfRule type="cellIs" dxfId="52" priority="53" operator="greaterThan">
      <formula>0</formula>
    </cfRule>
  </conditionalFormatting>
  <conditionalFormatting sqref="D111:D114">
    <cfRule type="cellIs" dxfId="51" priority="52" operator="greaterThan">
      <formula>0</formula>
    </cfRule>
  </conditionalFormatting>
  <conditionalFormatting sqref="H101:H104">
    <cfRule type="cellIs" dxfId="50" priority="51" operator="greaterThan">
      <formula>0</formula>
    </cfRule>
  </conditionalFormatting>
  <conditionalFormatting sqref="H111:H114">
    <cfRule type="cellIs" dxfId="49" priority="50" operator="greaterThan">
      <formula>0</formula>
    </cfRule>
  </conditionalFormatting>
  <conditionalFormatting sqref="L101:L105">
    <cfRule type="cellIs" dxfId="48" priority="49" operator="greaterThan">
      <formula>0</formula>
    </cfRule>
  </conditionalFormatting>
  <conditionalFormatting sqref="L111:L114">
    <cfRule type="cellIs" dxfId="47" priority="48" operator="greaterThan">
      <formula>0</formula>
    </cfRule>
  </conditionalFormatting>
  <conditionalFormatting sqref="D122">
    <cfRule type="cellIs" dxfId="46" priority="47" operator="greaterThan">
      <formula>0</formula>
    </cfRule>
  </conditionalFormatting>
  <conditionalFormatting sqref="H122">
    <cfRule type="cellIs" dxfId="45" priority="46" operator="greaterThan">
      <formula>0</formula>
    </cfRule>
  </conditionalFormatting>
  <conditionalFormatting sqref="L122">
    <cfRule type="cellIs" dxfId="44" priority="45" operator="greaterThan">
      <formula>0</formula>
    </cfRule>
  </conditionalFormatting>
  <conditionalFormatting sqref="D126:D129">
    <cfRule type="cellIs" dxfId="43" priority="44" operator="greaterThan">
      <formula>0</formula>
    </cfRule>
  </conditionalFormatting>
  <conditionalFormatting sqref="H126:H129">
    <cfRule type="cellIs" dxfId="42" priority="43" operator="greaterThan">
      <formula>0</formula>
    </cfRule>
  </conditionalFormatting>
  <conditionalFormatting sqref="L126:L130">
    <cfRule type="cellIs" dxfId="41" priority="42" operator="greaterThan">
      <formula>0</formula>
    </cfRule>
  </conditionalFormatting>
  <conditionalFormatting sqref="D16:D19">
    <cfRule type="cellIs" dxfId="40" priority="41" operator="greaterThan">
      <formula>0</formula>
    </cfRule>
  </conditionalFormatting>
  <conditionalFormatting sqref="H16:H19">
    <cfRule type="cellIs" dxfId="39" priority="40" operator="greaterThan">
      <formula>0</formula>
    </cfRule>
  </conditionalFormatting>
  <conditionalFormatting sqref="L16:L19">
    <cfRule type="cellIs" dxfId="38" priority="39" operator="greaterThan">
      <formula>0</formula>
    </cfRule>
  </conditionalFormatting>
  <conditionalFormatting sqref="L23:L26">
    <cfRule type="cellIs" dxfId="37" priority="38" operator="greaterThan">
      <formula>0</formula>
    </cfRule>
  </conditionalFormatting>
  <conditionalFormatting sqref="H23:H26">
    <cfRule type="cellIs" dxfId="36" priority="37" operator="greaterThan">
      <formula>0</formula>
    </cfRule>
  </conditionalFormatting>
  <conditionalFormatting sqref="D23:D26">
    <cfRule type="cellIs" dxfId="35" priority="36" operator="greaterThan">
      <formula>0</formula>
    </cfRule>
  </conditionalFormatting>
  <conditionalFormatting sqref="D30:D33">
    <cfRule type="cellIs" dxfId="34" priority="35" operator="greaterThan">
      <formula>0</formula>
    </cfRule>
  </conditionalFormatting>
  <conditionalFormatting sqref="H30:H33">
    <cfRule type="cellIs" dxfId="33" priority="34" operator="greaterThan">
      <formula>0</formula>
    </cfRule>
  </conditionalFormatting>
  <conditionalFormatting sqref="L30:L33">
    <cfRule type="cellIs" dxfId="32" priority="33" operator="greaterThan">
      <formula>0</formula>
    </cfRule>
  </conditionalFormatting>
  <conditionalFormatting sqref="D37:D40">
    <cfRule type="cellIs" dxfId="31" priority="32" operator="greaterThan">
      <formula>0</formula>
    </cfRule>
  </conditionalFormatting>
  <conditionalFormatting sqref="H37:H40">
    <cfRule type="cellIs" dxfId="30" priority="31" operator="greaterThan">
      <formula>0</formula>
    </cfRule>
  </conditionalFormatting>
  <conditionalFormatting sqref="L37:L40">
    <cfRule type="cellIs" dxfId="29" priority="30" operator="greaterThan">
      <formula>0</formula>
    </cfRule>
  </conditionalFormatting>
  <conditionalFormatting sqref="D45:D48">
    <cfRule type="cellIs" dxfId="28" priority="29" operator="greaterThan">
      <formula>0</formula>
    </cfRule>
  </conditionalFormatting>
  <conditionalFormatting sqref="D52:D55">
    <cfRule type="cellIs" dxfId="27" priority="28" operator="greaterThan">
      <formula>0</formula>
    </cfRule>
  </conditionalFormatting>
  <conditionalFormatting sqref="H52:H55">
    <cfRule type="cellIs" dxfId="26" priority="27" operator="greaterThan">
      <formula>0</formula>
    </cfRule>
  </conditionalFormatting>
  <conditionalFormatting sqref="L52:L55">
    <cfRule type="cellIs" dxfId="25" priority="26" operator="greaterThan">
      <formula>0</formula>
    </cfRule>
  </conditionalFormatting>
  <conditionalFormatting sqref="D59:D62">
    <cfRule type="cellIs" dxfId="24" priority="25" operator="greaterThan">
      <formula>0</formula>
    </cfRule>
  </conditionalFormatting>
  <conditionalFormatting sqref="D66:D69">
    <cfRule type="cellIs" dxfId="23" priority="24" operator="greaterThan">
      <formula>0</formula>
    </cfRule>
  </conditionalFormatting>
  <conditionalFormatting sqref="H66:H69">
    <cfRule type="cellIs" dxfId="22" priority="23" operator="greaterThan">
      <formula>0</formula>
    </cfRule>
  </conditionalFormatting>
  <conditionalFormatting sqref="L66:L69">
    <cfRule type="cellIs" dxfId="21" priority="22" operator="greaterThan">
      <formula>0</formula>
    </cfRule>
  </conditionalFormatting>
  <conditionalFormatting sqref="L73:L76">
    <cfRule type="cellIs" dxfId="20" priority="21" operator="greaterThan">
      <formula>0</formula>
    </cfRule>
  </conditionalFormatting>
  <conditionalFormatting sqref="H73:H76">
    <cfRule type="cellIs" dxfId="19" priority="20" operator="greaterThan">
      <formula>0</formula>
    </cfRule>
  </conditionalFormatting>
  <conditionalFormatting sqref="D73:D76">
    <cfRule type="cellIs" dxfId="18" priority="19" operator="greaterThan">
      <formula>0</formula>
    </cfRule>
  </conditionalFormatting>
  <conditionalFormatting sqref="D80:D83">
    <cfRule type="cellIs" dxfId="17" priority="18" operator="greaterThan">
      <formula>0</formula>
    </cfRule>
  </conditionalFormatting>
  <conditionalFormatting sqref="D87:D90">
    <cfRule type="cellIs" dxfId="16" priority="17" operator="greaterThan">
      <formula>0</formula>
    </cfRule>
  </conditionalFormatting>
  <conditionalFormatting sqref="H87:H90">
    <cfRule type="cellIs" dxfId="15" priority="16" operator="greaterThan">
      <formula>0</formula>
    </cfRule>
  </conditionalFormatting>
  <conditionalFormatting sqref="L87:L90">
    <cfRule type="cellIs" dxfId="14" priority="15" operator="greaterThan">
      <formula>0</formula>
    </cfRule>
  </conditionalFormatting>
  <conditionalFormatting sqref="L94:L97">
    <cfRule type="cellIs" dxfId="13" priority="14" operator="greaterThan">
      <formula>0</formula>
    </cfRule>
  </conditionalFormatting>
  <conditionalFormatting sqref="H94:H97">
    <cfRule type="cellIs" dxfId="12" priority="13" operator="greaterThan">
      <formula>0</formula>
    </cfRule>
  </conditionalFormatting>
  <conditionalFormatting sqref="D94:D97">
    <cfRule type="cellIs" dxfId="11" priority="12" operator="greaterThan">
      <formula>0</formula>
    </cfRule>
  </conditionalFormatting>
  <conditionalFormatting sqref="L13">
    <cfRule type="cellIs" dxfId="10" priority="11" operator="greaterThan">
      <formula>0</formula>
    </cfRule>
  </conditionalFormatting>
  <conditionalFormatting sqref="L20">
    <cfRule type="cellIs" dxfId="9" priority="10" operator="greaterThan">
      <formula>0</formula>
    </cfRule>
  </conditionalFormatting>
  <conditionalFormatting sqref="L27">
    <cfRule type="cellIs" dxfId="8" priority="9" operator="greaterThan">
      <formula>0</formula>
    </cfRule>
  </conditionalFormatting>
  <conditionalFormatting sqref="L34">
    <cfRule type="cellIs" dxfId="7" priority="8" operator="greaterThan">
      <formula>0</formula>
    </cfRule>
  </conditionalFormatting>
  <conditionalFormatting sqref="L41">
    <cfRule type="cellIs" dxfId="6" priority="7" operator="greaterThan">
      <formula>0</formula>
    </cfRule>
  </conditionalFormatting>
  <conditionalFormatting sqref="L56">
    <cfRule type="cellIs" dxfId="5" priority="6" operator="greaterThan">
      <formula>0</formula>
    </cfRule>
  </conditionalFormatting>
  <conditionalFormatting sqref="L70">
    <cfRule type="cellIs" dxfId="4" priority="5" operator="greaterThan">
      <formula>0</formula>
    </cfRule>
  </conditionalFormatting>
  <conditionalFormatting sqref="L77">
    <cfRule type="cellIs" dxfId="3" priority="4" operator="greaterThan">
      <formula>0</formula>
    </cfRule>
  </conditionalFormatting>
  <conditionalFormatting sqref="L91">
    <cfRule type="cellIs" dxfId="2" priority="3" operator="greaterThan">
      <formula>0</formula>
    </cfRule>
  </conditionalFormatting>
  <conditionalFormatting sqref="L98">
    <cfRule type="cellIs" dxfId="1" priority="2" operator="greaterThan">
      <formula>0</formula>
    </cfRule>
  </conditionalFormatting>
  <conditionalFormatting sqref="L115">
    <cfRule type="cellIs" dxfId="0" priority="1" operator="greaterThan">
      <formula>0</formula>
    </cfRule>
  </conditionalFormatting>
  <hyperlinks>
    <hyperlink ref="N2" location="Form!A1" tooltip=" " display="Form!A1"/>
    <hyperlink ref="N3" location="Menu!A1" tooltip=" " display="Menu!A1"/>
    <hyperlink ref="N6" location="OL!A1" tooltip=" " display="ORGA-LINE"/>
    <hyperlink ref="N4" location="Acs!A1" tooltip=" " display="Acs!A1"/>
    <hyperlink ref="C16:C19" location="AD310G!A1" tooltip=" " display="AD 310G"/>
    <hyperlink ref="K16:K19" location="AD310R!A1" tooltip=" " display="AD 310R"/>
    <hyperlink ref="K23:K26" location="AD31VR!A1" tooltip=" " display="AD 31VR"/>
    <hyperlink ref="G23:G26" location="AD31VM!A1" tooltip=" " display="AD 31VM"/>
    <hyperlink ref="G2:G5" location="'AM300'!A1" tooltip=" " display="AM 300"/>
    <hyperlink ref="K2:K5" location="'AK300'!A1" tooltip=" " display="AK 300"/>
    <hyperlink ref="G9:G12" location="AM30V!A1" tooltip=" " display="AM 30V"/>
    <hyperlink ref="K9:K12" location="AK30V!A1" tooltip=" " display="AK 30V"/>
    <hyperlink ref="G30:G33" location="AC310M!A1" tooltip=" " display="AC 310M"/>
    <hyperlink ref="K30:K33" location="AC310R!A1" tooltip=" " display="AC 310R"/>
    <hyperlink ref="G37:G40" location="AC31VM!A1" tooltip=" " display="AC 31VM"/>
    <hyperlink ref="K37:K40" location="AC31VR!A1" tooltip=" " display="AD 31VR"/>
    <hyperlink ref="K20" location="AD310R!A1" tooltip=" " display="AD310R!A1"/>
    <hyperlink ref="K27" location="AD31VR!A1" tooltip=" " display="AD31VR!A1"/>
    <hyperlink ref="K13" location="AK30V!A1" tooltip=" " display="AK30V!A1"/>
    <hyperlink ref="G13" location="AM30V!A1" tooltip=" " display="AM30V!A1"/>
    <hyperlink ref="K34" location="AC310R!A1" tooltip=" " display="AC310R!A1"/>
    <hyperlink ref="K41" location="AC31VR!A1" tooltip=" " display="AC31VR!A1"/>
    <hyperlink ref="K53:K54" location="AD535SG!A1" tooltip=" " display="AD 535SG"/>
    <hyperlink ref="K56" location="AC31VR!A1" tooltip=" " display="AC31VR!A1"/>
    <hyperlink ref="K53:K56" location="AD535SR!A1" tooltip=" " display="AD 535SR"/>
    <hyperlink ref="C46:C47" location="AM530S!A1" tooltip=" " display="AM 530S"/>
    <hyperlink ref="C67:C68" location="AD535G!A1" tooltip=" " display="AD 535G"/>
    <hyperlink ref="G67:G68" location="AD535M!A1" tooltip=" " display="AD 535M"/>
    <hyperlink ref="K67:K68" location="AD535R!A1" tooltip=" " display="AD 535R"/>
    <hyperlink ref="C60:C61" location="'AM530'!A1" tooltip=" " display="AM 530"/>
    <hyperlink ref="K70" location="AD535SR!A1" tooltip=" " display="AD 535SR"/>
    <hyperlink ref="K67:K70" location="AD535R!A1" tooltip=" " display="AD 535R"/>
    <hyperlink ref="C73:C76" location="AD342G!A1" tooltip=" " display="AD 342G"/>
    <hyperlink ref="K73:K76" location="AD342M!A1" tooltip=" " display="AD 342M"/>
    <hyperlink ref="K77" location="AD535R!A1" tooltip=" " display="AD 535R"/>
    <hyperlink ref="K73:K77" location="AD342R!A1" display="AD 342M"/>
    <hyperlink ref="C80:C81" location="'AM340'!A1" tooltip=" " display="AD 340"/>
    <hyperlink ref="C94:C95" location="ADD32G!A1" tooltip=" " display="AM 340"/>
    <hyperlink ref="G87:G88" location="ADM30M!A1" tooltip=" " display="AD M30M"/>
    <hyperlink ref="K87:K88" location="ADD32M!A1" tooltip=" " display="AD D32G"/>
    <hyperlink ref="K91" location="AD342R!A1" display="AD 342M"/>
    <hyperlink ref="N98" location="Sum!A1" tooltip=" " display="Sum!A1"/>
    <hyperlink ref="N77" location="Sum!A1" tooltip=" " display="Sum!A1"/>
    <hyperlink ref="N41" location="Sum!A1" tooltip=" " display="Sum!A1"/>
    <hyperlink ref="C111:C112" location="ADD45G!A1" tooltip=" " display="AD D45G"/>
    <hyperlink ref="G111:G112" location="ADD45M!A1" tooltip=" " display="AD D32M"/>
    <hyperlink ref="K111:K112" location="ADD32M!A1" tooltip=" " display="AD D32G"/>
    <hyperlink ref="K115" location="AD342R!A1" display="AD 342M"/>
    <hyperlink ref="K111:K115" location="ADD45R!A1" tooltip=" " display="AD D32M"/>
    <hyperlink ref="C101:C102" location="ADM45G!A1" tooltip=" " display="AD M30G"/>
    <hyperlink ref="G101:G102" location="ADM45M!A1" tooltip=" " display="AD M30M"/>
    <hyperlink ref="K101:K102" location="ADD32M!A1" tooltip=" " display="AD D32G"/>
    <hyperlink ref="K105" location="AD342R!A1" display="AD 342M"/>
    <hyperlink ref="K101:K105" location="ADM45R!A1" tooltip=" " display="AD M30R"/>
    <hyperlink ref="N118" location="Sum!A1" tooltip=" " display="Sum!A1"/>
    <hyperlink ref="B126" location="OLMi!A1" tooltip=" " display="OLMi!A1"/>
    <hyperlink ref="B127" location="OLRo!A1" tooltip=" " display="OLRo!A1"/>
    <hyperlink ref="B128" location="OLP1!A1" tooltip=" " display="OLP1!A1"/>
    <hyperlink ref="B129" location="OLP2!A1" tooltip=" " display="OLP2!A1"/>
    <hyperlink ref="F126" location="OLTa!A1" tooltip=" " display="OLTa!A1"/>
    <hyperlink ref="F127" location="OLVMP!A1" tooltip=" " display="OLVMP!A1"/>
    <hyperlink ref="F128" location="OLKMP!A1" tooltip=" " display="OLKMP!A1"/>
    <hyperlink ref="F129" location="OLKo!A1" tooltip=" " display="OLKo!A1"/>
    <hyperlink ref="J126" location="OLVM!A1" tooltip=" " display="OLVM!A1"/>
    <hyperlink ref="J127" location="OLVa!A1" tooltip=" " display="OLVa!A1"/>
    <hyperlink ref="J128" location="OLMe!A1" tooltip=" " display="OLMe!A1"/>
    <hyperlink ref="J129" location="OLOst!A1" tooltip=" " display="OLOst!A1"/>
    <hyperlink ref="J130" location="OLRel!A1" tooltip=" " display="OLRel!A1"/>
    <hyperlink ref="N134" location="Sum!A1" tooltip=" " display="Sum!A1"/>
    <hyperlink ref="N5" location="SD!A1" tooltip=" " display="SD!A1"/>
    <hyperlink ref="N9" location="Ord!A1" tooltip=" " display="Ord!A1"/>
    <hyperlink ref="B122" location="Acs!A1" tooltip=" " display="Acs!A1"/>
    <hyperlink ref="F122" location="Acs!A1" tooltip=" " display="Acs!A1"/>
    <hyperlink ref="J122" location="OLVM!A1" tooltip=" " display="OLVM!A1"/>
    <hyperlink ref="J122:K122" location="SD!A1" tooltip=" " display="SD!A1"/>
    <hyperlink ref="C30:C33" location="AC310G!A1" tooltip=" " display="AC 310M"/>
    <hyperlink ref="C37:C40" location="AC31VG!A1" tooltip=" " display="AC 31VM"/>
    <hyperlink ref="G16:G19" location="AD310M!A1" tooltip=" " display="AD 310G"/>
    <hyperlink ref="C23:C26" location="AD31VG!A1" tooltip=" " display="AD 31VG"/>
    <hyperlink ref="C53" location="AD535SG!A1" tooltip=" " display="AD 535SG"/>
    <hyperlink ref="G53" location="AD535SM!A1" tooltip=" " display="AD 535SS"/>
    <hyperlink ref="G73:G76" location="AD342M!A1" tooltip=" " display="AD 342M"/>
    <hyperlink ref="K98" location="AD342R!A1" display="AD 342M"/>
    <hyperlink ref="K94:K95" location="ADD32M!A1" tooltip=" " display="AD D32G"/>
    <hyperlink ref="G94:G95" location="ADD32M!A1" tooltip=" " display="AD D32G"/>
    <hyperlink ref="C87:C88" location="ADM30G!A1" tooltip=" " display="AD M30G"/>
    <hyperlink ref="C103:C104" location="ADM45G!A1" tooltip=" " display="AD M30G"/>
    <hyperlink ref="G103:G104" location="ADM45M!A1" tooltip=" " display="AD M30M"/>
    <hyperlink ref="K103:K104" location="ADM45R!A1" tooltip=" " display="AD M30R"/>
    <hyperlink ref="C113:C114" location="ADD45G!A1" tooltip=" " display="AD D45G"/>
    <hyperlink ref="G113:G114" location="ADD45M!A1" tooltip=" " display="AD D32M"/>
    <hyperlink ref="K113:K114" location="ADD45R!A1" tooltip=" " display="AD D32M"/>
    <hyperlink ref="C2" location="'AN300'!A1" tooltip=" " display="AN 300B"/>
    <hyperlink ref="C4" location="'AN300'!A1" tooltip=" " display="AN 300M"/>
    <hyperlink ref="K87" location="ADM30R!A1" tooltip=" " display="ADM30BR"/>
    <hyperlink ref="K88" location="ADM30R!A1" tooltip=" " display="ADM60BR"/>
    <hyperlink ref="K94" location="ADD32R!A1" tooltip=" " display="ADD32BR"/>
    <hyperlink ref="K95" location="ADD32R!A1" tooltip=" " display="ADD62BR"/>
  </hyperlink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F8:O12"/>
  <sheetViews>
    <sheetView workbookViewId="0">
      <selection activeCell="S41" sqref="S41"/>
    </sheetView>
  </sheetViews>
  <sheetFormatPr defaultColWidth="9.1796875" defaultRowHeight="14" x14ac:dyDescent="0.3"/>
  <cols>
    <col min="1" max="5" width="9.1796875" style="1"/>
    <col min="6" max="16" width="8.7265625" style="1" customWidth="1"/>
    <col min="17" max="16384" width="9.1796875" style="1"/>
  </cols>
  <sheetData>
    <row r="8" spans="6:15" ht="20.25" customHeight="1" x14ac:dyDescent="0.3"/>
    <row r="9" spans="6:15" x14ac:dyDescent="0.3">
      <c r="F9" s="631" t="s">
        <v>432</v>
      </c>
      <c r="G9" s="631"/>
      <c r="H9" s="632" t="s">
        <v>435</v>
      </c>
      <c r="I9" s="632"/>
      <c r="J9" s="633" t="s">
        <v>436</v>
      </c>
      <c r="K9" s="633"/>
      <c r="L9" s="634" t="s">
        <v>437</v>
      </c>
      <c r="M9" s="634"/>
      <c r="N9" s="629" t="s">
        <v>438</v>
      </c>
      <c r="O9" s="629"/>
    </row>
    <row r="10" spans="6:15" x14ac:dyDescent="0.3">
      <c r="F10" s="631"/>
      <c r="G10" s="631"/>
      <c r="H10" s="632"/>
      <c r="I10" s="632"/>
      <c r="J10" s="633"/>
      <c r="K10" s="633"/>
      <c r="L10" s="634"/>
      <c r="M10" s="634"/>
      <c r="N10" s="629"/>
      <c r="O10" s="629"/>
    </row>
    <row r="12" spans="6:15" x14ac:dyDescent="0.3">
      <c r="F12" s="630"/>
      <c r="G12" s="630"/>
      <c r="H12" s="630"/>
      <c r="I12" s="630"/>
      <c r="J12" s="630"/>
      <c r="K12" s="630"/>
    </row>
  </sheetData>
  <mergeCells count="6">
    <mergeCell ref="N9:O10"/>
    <mergeCell ref="F12:K12"/>
    <mergeCell ref="F9:G10"/>
    <mergeCell ref="H9:I10"/>
    <mergeCell ref="J9:K10"/>
    <mergeCell ref="L9:M10"/>
  </mergeCells>
  <phoneticPr fontId="53" type="noConversion"/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5"/>
  </sheetPr>
  <dimension ref="B1:DX395"/>
  <sheetViews>
    <sheetView showGridLines="0" showRowColHeaders="0" showZeros="0" workbookViewId="0">
      <selection activeCell="CC7" sqref="CC7"/>
    </sheetView>
  </sheetViews>
  <sheetFormatPr defaultColWidth="9.1796875" defaultRowHeight="12.5" x14ac:dyDescent="0.25"/>
  <cols>
    <col min="1" max="1" width="1.453125" style="114" customWidth="1"/>
    <col min="2" max="2" width="41.453125" style="114" customWidth="1"/>
    <col min="3" max="3" width="14.54296875" style="114" customWidth="1"/>
    <col min="4" max="4" width="6" style="114" customWidth="1"/>
    <col min="5" max="5" width="2" style="519" customWidth="1"/>
    <col min="6" max="6" width="5" style="114" customWidth="1"/>
    <col min="7" max="7" width="9.1796875" style="114"/>
    <col min="8" max="8" width="9.7265625" style="114" customWidth="1"/>
    <col min="9" max="9" width="4.453125" style="163" customWidth="1"/>
    <col min="10" max="10" width="9.1796875" style="114"/>
    <col min="11" max="11" width="10.1796875" style="114" customWidth="1"/>
    <col min="12" max="12" width="9.1796875" style="214" hidden="1" customWidth="1"/>
    <col min="13" max="13" width="13.81640625" style="432" hidden="1" customWidth="1"/>
    <col min="14" max="55" width="3.1796875" style="214" hidden="1" customWidth="1"/>
    <col min="56" max="61" width="4.26953125" style="214" hidden="1" customWidth="1"/>
    <col min="62" max="78" width="3.1796875" style="214" hidden="1" customWidth="1"/>
    <col min="79" max="79" width="9.1796875" style="214" hidden="1" customWidth="1"/>
    <col min="80" max="80" width="3.54296875" style="214" customWidth="1"/>
    <col min="81" max="81" width="25.81640625" style="214" customWidth="1"/>
    <col min="82" max="128" width="9.1796875" style="214"/>
    <col min="129" max="16384" width="9.1796875" style="114"/>
  </cols>
  <sheetData>
    <row r="1" spans="2:81" ht="21.75" customHeight="1" x14ac:dyDescent="0.45">
      <c r="B1" s="212" t="str">
        <f>List!$B$203</f>
        <v>Odběratel</v>
      </c>
      <c r="K1" s="213" t="str">
        <f>List!$B$20</f>
        <v>Objednávka</v>
      </c>
      <c r="CC1" s="215" t="str">
        <f>List!$B$11&amp;":"</f>
        <v>Zpět na:</v>
      </c>
    </row>
    <row r="2" spans="2:81" ht="13" thickBot="1" x14ac:dyDescent="0.3">
      <c r="B2" s="123">
        <f>Form!C102</f>
        <v>0</v>
      </c>
      <c r="C2" s="127"/>
      <c r="K2" s="164">
        <f>$H$7</f>
        <v>0</v>
      </c>
      <c r="CC2" s="149" t="str">
        <f>" "&amp;List!$B$13</f>
        <v xml:space="preserve"> Úvod</v>
      </c>
    </row>
    <row r="3" spans="2:81" ht="13.5" thickBot="1" x14ac:dyDescent="0.35">
      <c r="B3" s="123">
        <f>Form!C104</f>
        <v>0</v>
      </c>
      <c r="C3" s="212" t="str">
        <f>List!$B$206</f>
        <v>IČO, DIČ</v>
      </c>
      <c r="D3" s="216"/>
      <c r="E3" s="524"/>
      <c r="F3" s="122"/>
      <c r="G3" s="122"/>
      <c r="CC3" s="150" t="str">
        <f>" "&amp;List!$B$4</f>
        <v xml:space="preserve"> Výběr zásuvek a výsuvů</v>
      </c>
    </row>
    <row r="4" spans="2:81" ht="13" thickBot="1" x14ac:dyDescent="0.3">
      <c r="B4" s="123">
        <f>Form!C105</f>
        <v>0</v>
      </c>
      <c r="C4" s="123">
        <f>Form!C112</f>
        <v>0</v>
      </c>
      <c r="D4" s="123"/>
      <c r="E4" s="385"/>
      <c r="F4" s="123"/>
      <c r="G4" s="123"/>
      <c r="K4" s="164" t="s">
        <v>719</v>
      </c>
      <c r="CC4" s="150" t="str">
        <f>" "&amp;List!$B$5</f>
        <v xml:space="preserve"> Výběr doplňků</v>
      </c>
    </row>
    <row r="5" spans="2:81" ht="13" thickBot="1" x14ac:dyDescent="0.3">
      <c r="B5" s="123">
        <f>Form!C106</f>
        <v>0</v>
      </c>
      <c r="C5" s="123">
        <f>Form!C113</f>
        <v>0</v>
      </c>
      <c r="D5" s="217"/>
      <c r="E5" s="394"/>
      <c r="F5" s="217"/>
      <c r="G5" s="217"/>
      <c r="H5" s="116"/>
      <c r="I5" s="268"/>
      <c r="J5" s="116"/>
      <c r="K5" s="269" t="str">
        <f>Form!$I$15&amp;" "</f>
        <v xml:space="preserve">2.0.2 </v>
      </c>
      <c r="CC5" s="150" t="str">
        <f>" "&amp;List!$B$6</f>
        <v xml:space="preserve"> Výběr SERVO-DRIVE</v>
      </c>
    </row>
    <row r="6" spans="2:81" ht="13.5" thickBot="1" x14ac:dyDescent="0.35">
      <c r="B6" s="218" t="str">
        <f>List!$B$205</f>
        <v>Dodací adresa</v>
      </c>
      <c r="C6" s="218" t="str">
        <f>List!$B$207</f>
        <v>Telefon, fax, e-mail</v>
      </c>
      <c r="D6" s="219"/>
      <c r="E6" s="525"/>
      <c r="F6" s="220"/>
      <c r="G6" s="220"/>
      <c r="H6" s="221" t="str">
        <f>List!$B$208</f>
        <v>Číslo objednávky</v>
      </c>
      <c r="M6" s="358">
        <f>SUM(M11:M299)</f>
        <v>0</v>
      </c>
      <c r="CC6" s="265" t="str">
        <f>" "&amp;List!$B$7</f>
        <v xml:space="preserve"> Výběr ORGA-LINE</v>
      </c>
    </row>
    <row r="7" spans="2:81" x14ac:dyDescent="0.25">
      <c r="B7" s="123">
        <f>Form!C108</f>
        <v>0</v>
      </c>
      <c r="C7" s="123">
        <f>Form!C115</f>
        <v>0</v>
      </c>
      <c r="D7" s="123"/>
      <c r="E7" s="385"/>
      <c r="F7" s="123"/>
      <c r="G7" s="123"/>
      <c r="H7" s="637"/>
      <c r="I7" s="637"/>
      <c r="J7" s="637"/>
      <c r="K7" s="637"/>
      <c r="CC7" s="150" t="str">
        <f>" "&amp;List!$B$18</f>
        <v xml:space="preserve"> Souhrn</v>
      </c>
    </row>
    <row r="8" spans="2:81" ht="12.75" customHeight="1" x14ac:dyDescent="0.3">
      <c r="B8" s="123">
        <f>Form!C109</f>
        <v>0</v>
      </c>
      <c r="C8" s="123">
        <f>Form!C116</f>
        <v>0</v>
      </c>
      <c r="D8" s="123"/>
      <c r="E8" s="385"/>
      <c r="F8" s="123"/>
      <c r="G8" s="123"/>
      <c r="H8" s="221" t="str">
        <f>List!$B$209</f>
        <v>Zakázka</v>
      </c>
      <c r="N8" s="635" t="s">
        <v>345</v>
      </c>
      <c r="O8" s="635" t="s">
        <v>349</v>
      </c>
      <c r="P8" s="635" t="s">
        <v>350</v>
      </c>
      <c r="Q8" s="635" t="s">
        <v>353</v>
      </c>
      <c r="R8" s="635" t="s">
        <v>354</v>
      </c>
      <c r="T8" s="635" t="s">
        <v>465</v>
      </c>
      <c r="U8" s="635" t="s">
        <v>464</v>
      </c>
      <c r="V8" s="635" t="s">
        <v>342</v>
      </c>
      <c r="W8" s="635" t="s">
        <v>343</v>
      </c>
      <c r="X8" s="635" t="s">
        <v>368</v>
      </c>
      <c r="Y8" s="635" t="s">
        <v>344</v>
      </c>
      <c r="Z8" s="222"/>
      <c r="AA8" s="635" t="s">
        <v>264</v>
      </c>
      <c r="AB8" s="635" t="s">
        <v>357</v>
      </c>
      <c r="AC8" s="635" t="s">
        <v>358</v>
      </c>
      <c r="AD8" s="635" t="s">
        <v>429</v>
      </c>
      <c r="AE8" s="635" t="s">
        <v>369</v>
      </c>
      <c r="AF8" s="635" t="s">
        <v>359</v>
      </c>
      <c r="AH8" s="635" t="s">
        <v>305</v>
      </c>
      <c r="AI8" s="635" t="s">
        <v>311</v>
      </c>
      <c r="AJ8" s="635" t="s">
        <v>312</v>
      </c>
      <c r="AK8" s="635" t="s">
        <v>321</v>
      </c>
      <c r="AM8" s="635" t="s">
        <v>382</v>
      </c>
      <c r="AN8" s="635" t="s">
        <v>371</v>
      </c>
      <c r="AO8" s="635" t="s">
        <v>370</v>
      </c>
      <c r="AP8" s="635" t="s">
        <v>307</v>
      </c>
      <c r="AR8" s="635" t="s">
        <v>377</v>
      </c>
      <c r="AS8" s="635" t="s">
        <v>383</v>
      </c>
      <c r="AT8" s="635" t="s">
        <v>378</v>
      </c>
      <c r="AU8" s="635" t="s">
        <v>273</v>
      </c>
      <c r="AW8" s="635" t="s">
        <v>88</v>
      </c>
      <c r="AX8" s="635" t="s">
        <v>89</v>
      </c>
      <c r="AY8" s="635" t="s">
        <v>90</v>
      </c>
      <c r="AZ8" s="635" t="s">
        <v>85</v>
      </c>
      <c r="BA8" s="635" t="s">
        <v>86</v>
      </c>
      <c r="BB8" s="635" t="s">
        <v>87</v>
      </c>
      <c r="BD8" s="635" t="s">
        <v>249</v>
      </c>
      <c r="BE8" s="635" t="s">
        <v>211</v>
      </c>
      <c r="BF8" s="635" t="s">
        <v>212</v>
      </c>
      <c r="BG8" s="635" t="s">
        <v>210</v>
      </c>
      <c r="BH8" s="635" t="s">
        <v>213</v>
      </c>
      <c r="BI8" s="635" t="s">
        <v>214</v>
      </c>
      <c r="BK8" s="635" t="s">
        <v>138</v>
      </c>
      <c r="BL8" s="635" t="s">
        <v>139</v>
      </c>
      <c r="BM8" s="635" t="s">
        <v>140</v>
      </c>
      <c r="BN8" s="635" t="s">
        <v>141</v>
      </c>
      <c r="BO8" s="635" t="s">
        <v>142</v>
      </c>
      <c r="BP8" s="635" t="s">
        <v>143</v>
      </c>
      <c r="BQ8" s="635" t="s">
        <v>144</v>
      </c>
      <c r="BR8" s="635" t="s">
        <v>146</v>
      </c>
      <c r="BS8" s="635" t="s">
        <v>145</v>
      </c>
      <c r="BT8" s="635" t="s">
        <v>147</v>
      </c>
      <c r="BU8" s="635" t="s">
        <v>148</v>
      </c>
      <c r="BV8" s="635" t="s">
        <v>149</v>
      </c>
      <c r="BW8" s="635" t="s">
        <v>15</v>
      </c>
      <c r="BY8" s="635" t="s">
        <v>150</v>
      </c>
      <c r="BZ8" s="264"/>
      <c r="CC8" s="114"/>
    </row>
    <row r="9" spans="2:81" x14ac:dyDescent="0.25">
      <c r="B9" s="217">
        <f>Form!C110</f>
        <v>0</v>
      </c>
      <c r="C9" s="217">
        <f>Form!C117</f>
        <v>0</v>
      </c>
      <c r="D9" s="217"/>
      <c r="E9" s="394"/>
      <c r="F9" s="217"/>
      <c r="G9" s="217"/>
      <c r="H9" s="638"/>
      <c r="I9" s="638"/>
      <c r="J9" s="638"/>
      <c r="K9" s="638"/>
      <c r="L9" s="223"/>
      <c r="M9" s="433"/>
      <c r="N9" s="635"/>
      <c r="O9" s="635"/>
      <c r="P9" s="635"/>
      <c r="Q9" s="635"/>
      <c r="R9" s="635"/>
      <c r="T9" s="635"/>
      <c r="U9" s="635"/>
      <c r="V9" s="635"/>
      <c r="W9" s="635"/>
      <c r="X9" s="635"/>
      <c r="Y9" s="635"/>
      <c r="Z9" s="224"/>
      <c r="AA9" s="635"/>
      <c r="AB9" s="635"/>
      <c r="AC9" s="635"/>
      <c r="AD9" s="635"/>
      <c r="AE9" s="635"/>
      <c r="AF9" s="635"/>
      <c r="AH9" s="635"/>
      <c r="AI9" s="635"/>
      <c r="AJ9" s="635"/>
      <c r="AK9" s="635"/>
      <c r="AM9" s="635"/>
      <c r="AN9" s="635"/>
      <c r="AO9" s="635"/>
      <c r="AP9" s="635"/>
      <c r="AR9" s="635"/>
      <c r="AS9" s="635"/>
      <c r="AT9" s="635"/>
      <c r="AU9" s="635"/>
      <c r="AW9" s="635"/>
      <c r="AX9" s="635"/>
      <c r="AY9" s="635"/>
      <c r="AZ9" s="635"/>
      <c r="BA9" s="635"/>
      <c r="BB9" s="635"/>
      <c r="BD9" s="635"/>
      <c r="BE9" s="635"/>
      <c r="BF9" s="635"/>
      <c r="BG9" s="635"/>
      <c r="BH9" s="635"/>
      <c r="BI9" s="635"/>
      <c r="BK9" s="635"/>
      <c r="BL9" s="635"/>
      <c r="BM9" s="635"/>
      <c r="BN9" s="635"/>
      <c r="BO9" s="635"/>
      <c r="BP9" s="635"/>
      <c r="BQ9" s="635"/>
      <c r="BR9" s="635"/>
      <c r="BS9" s="635"/>
      <c r="BT9" s="635"/>
      <c r="BU9" s="635"/>
      <c r="BV9" s="635"/>
      <c r="BW9" s="635"/>
      <c r="BY9" s="635"/>
      <c r="BZ9" s="264"/>
      <c r="CC9" s="114"/>
    </row>
    <row r="10" spans="2:81" ht="32.25" customHeight="1" x14ac:dyDescent="0.25">
      <c r="B10" s="225" t="str">
        <f>Cen!A10</f>
        <v>Název</v>
      </c>
      <c r="C10" s="225" t="str">
        <f>Cen!B10</f>
        <v>Číslo artiklu</v>
      </c>
      <c r="D10" s="225" t="str">
        <f>Cen!C10</f>
        <v>Barva</v>
      </c>
      <c r="E10" s="550" t="str">
        <f>List!$B$97</f>
        <v>Dostupnost</v>
      </c>
      <c r="F10" s="226" t="str">
        <f>Cen!E10</f>
        <v>Počet</v>
      </c>
      <c r="G10" s="227" t="str">
        <f>Cen!F10</f>
        <v>Jednotková cena</v>
      </c>
      <c r="H10" s="228" t="str">
        <f>Cen!G10</f>
        <v>Celkem</v>
      </c>
      <c r="I10" s="227" t="str">
        <f>Cen!H10</f>
        <v>Změna</v>
      </c>
      <c r="J10" s="227" t="str">
        <f>Cen!I10</f>
        <v>IDNr.</v>
      </c>
      <c r="K10" s="227">
        <f>Cen!J10</f>
        <v>0</v>
      </c>
      <c r="L10" s="229" t="s">
        <v>262</v>
      </c>
      <c r="M10" s="432" t="s">
        <v>263</v>
      </c>
      <c r="N10" s="635"/>
      <c r="O10" s="635"/>
      <c r="P10" s="635"/>
      <c r="Q10" s="635"/>
      <c r="R10" s="635"/>
      <c r="T10" s="635"/>
      <c r="U10" s="635"/>
      <c r="V10" s="635"/>
      <c r="W10" s="635"/>
      <c r="X10" s="635"/>
      <c r="Y10" s="635"/>
      <c r="Z10" s="224"/>
      <c r="AA10" s="635"/>
      <c r="AB10" s="635"/>
      <c r="AC10" s="635"/>
      <c r="AD10" s="635"/>
      <c r="AE10" s="635"/>
      <c r="AF10" s="635"/>
      <c r="AH10" s="635"/>
      <c r="AI10" s="635"/>
      <c r="AJ10" s="635"/>
      <c r="AK10" s="635"/>
      <c r="AM10" s="635"/>
      <c r="AN10" s="635"/>
      <c r="AO10" s="635"/>
      <c r="AP10" s="635"/>
      <c r="AR10" s="635"/>
      <c r="AS10" s="635"/>
      <c r="AT10" s="635"/>
      <c r="AU10" s="635"/>
      <c r="AW10" s="635"/>
      <c r="AX10" s="635"/>
      <c r="AY10" s="635"/>
      <c r="AZ10" s="635"/>
      <c r="BA10" s="635"/>
      <c r="BB10" s="635"/>
      <c r="BD10" s="635"/>
      <c r="BE10" s="635"/>
      <c r="BF10" s="635"/>
      <c r="BG10" s="635"/>
      <c r="BH10" s="635"/>
      <c r="BI10" s="635"/>
      <c r="BK10" s="635"/>
      <c r="BL10" s="635"/>
      <c r="BM10" s="635"/>
      <c r="BN10" s="635"/>
      <c r="BO10" s="635"/>
      <c r="BP10" s="635"/>
      <c r="BQ10" s="635"/>
      <c r="BR10" s="635"/>
      <c r="BS10" s="635"/>
      <c r="BT10" s="635"/>
      <c r="BU10" s="635"/>
      <c r="BV10" s="635"/>
      <c r="BW10" s="635"/>
      <c r="BY10" s="635"/>
      <c r="BZ10" s="264" t="s">
        <v>718</v>
      </c>
      <c r="CC10" s="114"/>
    </row>
    <row r="11" spans="2:81" x14ac:dyDescent="0.25">
      <c r="B11" s="232" t="str">
        <f>Cen!A11</f>
        <v>Bočnice N 400mm, šedé</v>
      </c>
      <c r="C11" s="232" t="str">
        <f>Cen!B11</f>
        <v>378N4002SA</v>
      </c>
      <c r="D11" s="232" t="str">
        <f>Cen!C11</f>
        <v>R906</v>
      </c>
      <c r="E11" s="551" t="str">
        <f>Cen!D11</f>
        <v>!</v>
      </c>
      <c r="F11" s="208">
        <f t="shared" ref="F11:F74" si="0">IF(I11&gt;0,I11,SUM(N11:BZ11))</f>
        <v>0</v>
      </c>
      <c r="G11" s="233">
        <f>Cen!F11</f>
        <v>14.71672</v>
      </c>
      <c r="H11" s="234">
        <f t="shared" ref="H11:H32" si="1">M11</f>
        <v>0</v>
      </c>
      <c r="I11" s="250"/>
      <c r="J11" s="235">
        <f>Cen!I11</f>
        <v>7931180</v>
      </c>
      <c r="K11" s="235">
        <f>Cen!J11</f>
        <v>203391</v>
      </c>
      <c r="L11" s="230">
        <f t="shared" ref="L11:L12" si="2">IF(I11="x",0,IF(I11&gt;0,I11,F11))</f>
        <v>0</v>
      </c>
      <c r="M11" s="434">
        <f t="shared" ref="M11:M12" si="3">PRODUCT(L11,G11)</f>
        <v>0</v>
      </c>
      <c r="N11" s="372">
        <f>'AN300'!S6</f>
        <v>0</v>
      </c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</row>
    <row r="12" spans="2:81" x14ac:dyDescent="0.25">
      <c r="B12" s="232" t="str">
        <f>Cen!A15</f>
        <v>Bočnice N 450mm, šedé</v>
      </c>
      <c r="C12" s="232" t="str">
        <f>Cen!B15</f>
        <v>378N4502SA</v>
      </c>
      <c r="D12" s="232" t="str">
        <f>Cen!C15</f>
        <v>R906</v>
      </c>
      <c r="E12" s="551" t="str">
        <f>Cen!D15</f>
        <v>!</v>
      </c>
      <c r="F12" s="208">
        <f t="shared" si="0"/>
        <v>0</v>
      </c>
      <c r="G12" s="233">
        <f>Cen!F15</f>
        <v>16.513190000000002</v>
      </c>
      <c r="H12" s="234">
        <f t="shared" si="1"/>
        <v>0</v>
      </c>
      <c r="I12" s="250"/>
      <c r="J12" s="235">
        <f>Cen!I15</f>
        <v>7931884</v>
      </c>
      <c r="K12" s="235">
        <f>Cen!J15</f>
        <v>203084</v>
      </c>
      <c r="L12" s="230">
        <f t="shared" si="2"/>
        <v>0</v>
      </c>
      <c r="M12" s="434">
        <f t="shared" si="3"/>
        <v>0</v>
      </c>
      <c r="N12" s="382">
        <f>'AN300'!S7</f>
        <v>0</v>
      </c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</row>
    <row r="13" spans="2:81" x14ac:dyDescent="0.25">
      <c r="B13" s="232" t="str">
        <f>Cen!A19</f>
        <v>Bočnice N 500mm, šedé</v>
      </c>
      <c r="C13" s="232" t="str">
        <f>Cen!B19</f>
        <v>378N5002SA</v>
      </c>
      <c r="D13" s="232" t="str">
        <f>Cen!C19</f>
        <v>R906</v>
      </c>
      <c r="E13" s="551">
        <f>Cen!D19</f>
        <v>0</v>
      </c>
      <c r="F13" s="208">
        <f t="shared" si="0"/>
        <v>0</v>
      </c>
      <c r="G13" s="233">
        <f>Cen!F19</f>
        <v>16.659890000000001</v>
      </c>
      <c r="H13" s="234">
        <f t="shared" si="1"/>
        <v>0</v>
      </c>
      <c r="I13" s="250"/>
      <c r="J13" s="235">
        <f>Cen!I19</f>
        <v>7947477</v>
      </c>
      <c r="K13" s="235">
        <f>Cen!J19</f>
        <v>203083</v>
      </c>
      <c r="L13" s="230">
        <f>IF(I13="x",0,IF(I13&gt;0,I13,F13))</f>
        <v>0</v>
      </c>
      <c r="M13" s="434">
        <f>PRODUCT(L13,G13)</f>
        <v>0</v>
      </c>
      <c r="N13" s="382">
        <f>'AN300'!S8</f>
        <v>0</v>
      </c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</row>
    <row r="14" spans="2:81" x14ac:dyDescent="0.25">
      <c r="B14" s="237" t="str">
        <f>Cen!A23</f>
        <v>Bočnice N 550mm, šedé</v>
      </c>
      <c r="C14" s="232" t="str">
        <f>Cen!B23</f>
        <v>378N5502SA</v>
      </c>
      <c r="D14" s="232" t="str">
        <f>Cen!C23</f>
        <v>R906</v>
      </c>
      <c r="E14" s="551" t="str">
        <f>Cen!D23</f>
        <v>!</v>
      </c>
      <c r="F14" s="208">
        <f t="shared" si="0"/>
        <v>0</v>
      </c>
      <c r="G14" s="233">
        <f>Cen!F23</f>
        <v>16.301120000000001</v>
      </c>
      <c r="H14" s="234">
        <f t="shared" si="1"/>
        <v>0</v>
      </c>
      <c r="I14" s="250"/>
      <c r="J14" s="235">
        <f>Cen!I23</f>
        <v>7952690</v>
      </c>
      <c r="K14" s="235">
        <f>Cen!J23</f>
        <v>203393</v>
      </c>
      <c r="L14" s="230">
        <f t="shared" ref="L14:L18" si="4">IF(I14="x",0,IF(I14&gt;0,I14,F14))</f>
        <v>0</v>
      </c>
      <c r="M14" s="434">
        <f t="shared" ref="M14:M18" si="5">PRODUCT(L14,G14)</f>
        <v>0</v>
      </c>
      <c r="N14" s="382">
        <f>'AN300'!S9</f>
        <v>0</v>
      </c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</row>
    <row r="15" spans="2:81" x14ac:dyDescent="0.25">
      <c r="B15" s="237" t="str">
        <f>Cen!A28</f>
        <v>Bočnice M 270mm, šedé</v>
      </c>
      <c r="C15" s="232" t="str">
        <f>Cen!B28</f>
        <v>378M2702SA</v>
      </c>
      <c r="D15" s="232" t="str">
        <f>Cen!C28</f>
        <v>R906</v>
      </c>
      <c r="E15" s="551">
        <f>Cen!D28</f>
        <v>0</v>
      </c>
      <c r="F15" s="208">
        <f t="shared" si="0"/>
        <v>0</v>
      </c>
      <c r="G15" s="233">
        <f>Cen!F28</f>
        <v>16.219809999999999</v>
      </c>
      <c r="H15" s="234">
        <f t="shared" si="1"/>
        <v>0</v>
      </c>
      <c r="I15" s="250"/>
      <c r="J15" s="235">
        <f>Cen!I28</f>
        <v>7878776</v>
      </c>
      <c r="K15" s="235">
        <f>Cen!J28</f>
        <v>202505</v>
      </c>
      <c r="L15" s="230">
        <f t="shared" si="4"/>
        <v>0</v>
      </c>
      <c r="M15" s="434">
        <f t="shared" si="5"/>
        <v>0</v>
      </c>
      <c r="N15" s="229"/>
      <c r="O15" s="372">
        <f>'AM300'!S3</f>
        <v>0</v>
      </c>
      <c r="P15" s="229"/>
      <c r="Q15" s="382">
        <f>AM30V!$S3</f>
        <v>0</v>
      </c>
      <c r="R15" s="229"/>
      <c r="S15" s="229"/>
      <c r="T15" s="382">
        <f>AD310G!$S3</f>
        <v>0</v>
      </c>
      <c r="U15" s="382">
        <f>AD310M!$S3</f>
        <v>0</v>
      </c>
      <c r="V15" s="382">
        <f>AD310R!$S3</f>
        <v>0</v>
      </c>
      <c r="W15" s="382">
        <f>AD31VG!$S3</f>
        <v>0</v>
      </c>
      <c r="X15" s="382">
        <f>AD31VM!$S3</f>
        <v>0</v>
      </c>
      <c r="Y15" s="382">
        <f>AD31VR!$S3</f>
        <v>0</v>
      </c>
      <c r="Z15" s="229"/>
      <c r="AA15" s="382">
        <f>AC310G!$S3</f>
        <v>0</v>
      </c>
      <c r="AB15" s="382">
        <f>AC310M!$S3</f>
        <v>0</v>
      </c>
      <c r="AC15" s="382">
        <f>AC310R!$S3</f>
        <v>0</v>
      </c>
      <c r="AD15" s="382">
        <f>AC31VG!$S3</f>
        <v>0</v>
      </c>
      <c r="AE15" s="382">
        <f>AC31VM!$S3</f>
        <v>0</v>
      </c>
      <c r="AF15" s="382">
        <f>AC31VR!$S3</f>
        <v>0</v>
      </c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36"/>
      <c r="AS15" s="236"/>
      <c r="AT15" s="236"/>
      <c r="AU15" s="236"/>
      <c r="AV15" s="229"/>
      <c r="AW15" s="236"/>
      <c r="AX15" s="236"/>
      <c r="AY15" s="236"/>
      <c r="AZ15" s="236"/>
      <c r="BA15" s="236"/>
      <c r="BB15" s="236"/>
      <c r="BC15" s="229"/>
      <c r="BD15" s="236"/>
      <c r="BE15" s="236"/>
      <c r="BF15" s="236"/>
      <c r="BG15" s="236"/>
      <c r="BH15" s="236"/>
      <c r="BI15" s="236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</row>
    <row r="16" spans="2:81" x14ac:dyDescent="0.25">
      <c r="B16" s="237" t="str">
        <f>Cen!A32</f>
        <v>Bočnice M 300mm, šedé</v>
      </c>
      <c r="C16" s="232" t="str">
        <f>Cen!B32</f>
        <v>378M3002SA</v>
      </c>
      <c r="D16" s="232" t="str">
        <f>Cen!C32</f>
        <v>R906</v>
      </c>
      <c r="E16" s="551">
        <f>Cen!D32</f>
        <v>0</v>
      </c>
      <c r="F16" s="208">
        <f t="shared" si="0"/>
        <v>0</v>
      </c>
      <c r="G16" s="233">
        <f>Cen!F32</f>
        <v>16.219809999999999</v>
      </c>
      <c r="H16" s="234">
        <f t="shared" si="1"/>
        <v>0</v>
      </c>
      <c r="I16" s="250"/>
      <c r="J16" s="235">
        <f>Cen!I32</f>
        <v>7879328</v>
      </c>
      <c r="K16" s="235">
        <f>Cen!J32</f>
        <v>202506</v>
      </c>
      <c r="L16" s="230">
        <f t="shared" si="4"/>
        <v>0</v>
      </c>
      <c r="M16" s="434">
        <f t="shared" si="5"/>
        <v>0</v>
      </c>
      <c r="N16" s="229"/>
      <c r="O16" s="382">
        <f>'AM300'!S4</f>
        <v>0</v>
      </c>
      <c r="P16" s="229"/>
      <c r="Q16" s="382">
        <f>AM30V!$S4</f>
        <v>0</v>
      </c>
      <c r="R16" s="229"/>
      <c r="S16" s="229"/>
      <c r="T16" s="382">
        <f>AD310G!$S4</f>
        <v>0</v>
      </c>
      <c r="U16" s="382">
        <f>AD310M!$S4</f>
        <v>0</v>
      </c>
      <c r="V16" s="382">
        <f>AD310R!$S4</f>
        <v>0</v>
      </c>
      <c r="W16" s="382">
        <f>AD31VG!$S4</f>
        <v>0</v>
      </c>
      <c r="X16" s="382">
        <f>AD31VM!$S4</f>
        <v>0</v>
      </c>
      <c r="Y16" s="382">
        <f>AD31VR!$S4</f>
        <v>0</v>
      </c>
      <c r="Z16" s="229"/>
      <c r="AA16" s="382">
        <f>AC310G!$S4</f>
        <v>0</v>
      </c>
      <c r="AB16" s="382">
        <f>AC310M!$S4</f>
        <v>0</v>
      </c>
      <c r="AC16" s="382">
        <f>AC310R!$S4</f>
        <v>0</v>
      </c>
      <c r="AD16" s="382">
        <f>AC31VG!$S4</f>
        <v>0</v>
      </c>
      <c r="AE16" s="382">
        <f>AC31VM!$S4</f>
        <v>0</v>
      </c>
      <c r="AF16" s="382">
        <f>AC31VR!$S4</f>
        <v>0</v>
      </c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36"/>
      <c r="AS16" s="236"/>
      <c r="AT16" s="236"/>
      <c r="AU16" s="236"/>
      <c r="AV16" s="229"/>
      <c r="AW16" s="236"/>
      <c r="AX16" s="236"/>
      <c r="AY16" s="236"/>
      <c r="AZ16" s="236"/>
      <c r="BA16" s="236"/>
      <c r="BB16" s="236"/>
      <c r="BC16" s="229"/>
      <c r="BD16" s="236"/>
      <c r="BE16" s="236"/>
      <c r="BF16" s="236"/>
      <c r="BG16" s="236"/>
      <c r="BH16" s="236"/>
      <c r="BI16" s="236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</row>
    <row r="17" spans="2:79" x14ac:dyDescent="0.25">
      <c r="B17" s="237" t="str">
        <f>Cen!A36</f>
        <v>Bočnice M 350mm, šedé</v>
      </c>
      <c r="C17" s="232" t="str">
        <f>Cen!B36</f>
        <v>378M3502SA</v>
      </c>
      <c r="D17" s="232" t="str">
        <f>Cen!C36</f>
        <v>R906</v>
      </c>
      <c r="E17" s="551">
        <f>Cen!D36</f>
        <v>0</v>
      </c>
      <c r="F17" s="208">
        <f t="shared" si="0"/>
        <v>0</v>
      </c>
      <c r="G17" s="233">
        <f>Cen!F36</f>
        <v>16.219809999999999</v>
      </c>
      <c r="H17" s="234">
        <f t="shared" si="1"/>
        <v>0</v>
      </c>
      <c r="I17" s="250"/>
      <c r="J17" s="235">
        <f>Cen!I36</f>
        <v>7880418</v>
      </c>
      <c r="K17" s="235">
        <f>Cen!J36</f>
        <v>202507</v>
      </c>
      <c r="L17" s="230">
        <f t="shared" si="4"/>
        <v>0</v>
      </c>
      <c r="M17" s="434">
        <f t="shared" si="5"/>
        <v>0</v>
      </c>
      <c r="N17" s="229"/>
      <c r="O17" s="382">
        <f>'AM300'!S5</f>
        <v>0</v>
      </c>
      <c r="P17" s="229"/>
      <c r="Q17" s="382">
        <f>AM30V!$S5</f>
        <v>0</v>
      </c>
      <c r="R17" s="229"/>
      <c r="S17" s="229"/>
      <c r="T17" s="382">
        <f>AD310G!$S5</f>
        <v>0</v>
      </c>
      <c r="U17" s="382">
        <f>AD310M!$S5</f>
        <v>0</v>
      </c>
      <c r="V17" s="382">
        <f>AD310R!$S5</f>
        <v>0</v>
      </c>
      <c r="W17" s="382">
        <f>AD31VG!$S5</f>
        <v>0</v>
      </c>
      <c r="X17" s="382">
        <f>AD31VM!$S5</f>
        <v>0</v>
      </c>
      <c r="Y17" s="382">
        <f>AD31VR!$S5</f>
        <v>0</v>
      </c>
      <c r="Z17" s="229"/>
      <c r="AA17" s="382">
        <f>AC310G!$S5</f>
        <v>0</v>
      </c>
      <c r="AB17" s="382">
        <f>AC310M!$S5</f>
        <v>0</v>
      </c>
      <c r="AC17" s="382">
        <f>AC310R!$S5</f>
        <v>0</v>
      </c>
      <c r="AD17" s="382">
        <f>AC31VG!$S5</f>
        <v>0</v>
      </c>
      <c r="AE17" s="382">
        <f>AC31VM!$S5</f>
        <v>0</v>
      </c>
      <c r="AF17" s="382">
        <f>AC31VR!$S5</f>
        <v>0</v>
      </c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36"/>
      <c r="AS17" s="236"/>
      <c r="AT17" s="236"/>
      <c r="AU17" s="236"/>
      <c r="AV17" s="229"/>
      <c r="AW17" s="236"/>
      <c r="AX17" s="236"/>
      <c r="AY17" s="236"/>
      <c r="AZ17" s="236"/>
      <c r="BA17" s="236"/>
      <c r="BB17" s="236"/>
      <c r="BC17" s="229"/>
      <c r="BD17" s="236"/>
      <c r="BE17" s="236"/>
      <c r="BF17" s="236"/>
      <c r="BG17" s="236"/>
      <c r="BH17" s="236"/>
      <c r="BI17" s="236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</row>
    <row r="18" spans="2:79" x14ac:dyDescent="0.25">
      <c r="B18" s="237" t="str">
        <f>Cen!A40</f>
        <v>Bočnice M 400mm, šedé</v>
      </c>
      <c r="C18" s="232" t="str">
        <f>Cen!B40</f>
        <v>378M4002SA</v>
      </c>
      <c r="D18" s="232" t="str">
        <f>Cen!C40</f>
        <v>R906</v>
      </c>
      <c r="E18" s="551">
        <f>Cen!D40</f>
        <v>0</v>
      </c>
      <c r="F18" s="208">
        <f t="shared" si="0"/>
        <v>0</v>
      </c>
      <c r="G18" s="233">
        <f>Cen!F40</f>
        <v>16.366499999999998</v>
      </c>
      <c r="H18" s="234">
        <f t="shared" si="1"/>
        <v>0</v>
      </c>
      <c r="I18" s="250"/>
      <c r="J18" s="235">
        <f>Cen!I40</f>
        <v>7892695</v>
      </c>
      <c r="K18" s="235">
        <f>Cen!J40</f>
        <v>202508</v>
      </c>
      <c r="L18" s="230">
        <f t="shared" si="4"/>
        <v>0</v>
      </c>
      <c r="M18" s="434">
        <f t="shared" si="5"/>
        <v>0</v>
      </c>
      <c r="N18" s="229"/>
      <c r="O18" s="382">
        <f>'AM300'!S6</f>
        <v>0</v>
      </c>
      <c r="P18" s="229"/>
      <c r="Q18" s="382">
        <f>AM30V!$S6</f>
        <v>0</v>
      </c>
      <c r="R18" s="229"/>
      <c r="S18" s="229"/>
      <c r="T18" s="382">
        <f>AD310G!$S6</f>
        <v>0</v>
      </c>
      <c r="U18" s="382">
        <f>AD310M!$S6</f>
        <v>0</v>
      </c>
      <c r="V18" s="382">
        <f>AD310R!$S6</f>
        <v>0</v>
      </c>
      <c r="W18" s="382">
        <f>AD31VG!$S6</f>
        <v>0</v>
      </c>
      <c r="X18" s="382">
        <f>AD31VM!$S6</f>
        <v>0</v>
      </c>
      <c r="Y18" s="382">
        <f>AD31VR!$S6</f>
        <v>0</v>
      </c>
      <c r="Z18" s="229"/>
      <c r="AA18" s="382">
        <f>AC310G!$S6</f>
        <v>0</v>
      </c>
      <c r="AB18" s="382">
        <f>AC310M!$S6</f>
        <v>0</v>
      </c>
      <c r="AC18" s="382">
        <f>AC310R!$S6</f>
        <v>0</v>
      </c>
      <c r="AD18" s="382">
        <f>AC31VG!$S6</f>
        <v>0</v>
      </c>
      <c r="AE18" s="382">
        <f>AC31VM!$S6</f>
        <v>0</v>
      </c>
      <c r="AF18" s="382">
        <f>AC31VR!$S6</f>
        <v>0</v>
      </c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372">
        <f>'AM340'!$S6</f>
        <v>0</v>
      </c>
      <c r="AS18" s="236"/>
      <c r="AT18" s="236"/>
      <c r="AU18" s="236"/>
      <c r="AV18" s="229"/>
      <c r="AW18" s="236"/>
      <c r="AX18" s="236"/>
      <c r="AY18" s="236"/>
      <c r="AZ18" s="236"/>
      <c r="BA18" s="236"/>
      <c r="BB18" s="236"/>
      <c r="BC18" s="229"/>
      <c r="BD18" s="236"/>
      <c r="BE18" s="236"/>
      <c r="BF18" s="236"/>
      <c r="BG18" s="236"/>
      <c r="BH18" s="236"/>
      <c r="BI18" s="236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</row>
    <row r="19" spans="2:79" x14ac:dyDescent="0.25">
      <c r="B19" s="237" t="str">
        <f>Cen!A44</f>
        <v>Bočnice M 450mm, šedé</v>
      </c>
      <c r="C19" s="232" t="str">
        <f>Cen!B44</f>
        <v>378M4502SA</v>
      </c>
      <c r="D19" s="232" t="str">
        <f>Cen!C44</f>
        <v>R906</v>
      </c>
      <c r="E19" s="551">
        <f>Cen!D44</f>
        <v>0</v>
      </c>
      <c r="F19" s="208">
        <f t="shared" si="0"/>
        <v>0</v>
      </c>
      <c r="G19" s="233">
        <f>Cen!F44</f>
        <v>16.513179999999998</v>
      </c>
      <c r="H19" s="234">
        <f t="shared" si="1"/>
        <v>0</v>
      </c>
      <c r="I19" s="250"/>
      <c r="J19" s="235">
        <f>Cen!I44</f>
        <v>7893644</v>
      </c>
      <c r="K19" s="235">
        <f>Cen!J44</f>
        <v>202509</v>
      </c>
      <c r="L19" s="230">
        <f t="shared" ref="L19:L20" si="6">IF(I19="x",0,IF(I19&gt;0,I19,F19))</f>
        <v>0</v>
      </c>
      <c r="M19" s="434">
        <f t="shared" ref="M19:M20" si="7">PRODUCT(L19,G19)</f>
        <v>0</v>
      </c>
      <c r="N19" s="229"/>
      <c r="O19" s="382">
        <f>'AM300'!S7</f>
        <v>0</v>
      </c>
      <c r="P19" s="229"/>
      <c r="Q19" s="382">
        <f>AM30V!$S7</f>
        <v>0</v>
      </c>
      <c r="R19" s="229"/>
      <c r="S19" s="229"/>
      <c r="T19" s="382">
        <f>AD310G!$S7</f>
        <v>0</v>
      </c>
      <c r="U19" s="382">
        <f>AD310M!$S7</f>
        <v>0</v>
      </c>
      <c r="V19" s="382">
        <f>AD310R!$S7</f>
        <v>0</v>
      </c>
      <c r="W19" s="382">
        <f>AD31VG!$S7</f>
        <v>0</v>
      </c>
      <c r="X19" s="382">
        <f>AD31VM!$S7</f>
        <v>0</v>
      </c>
      <c r="Y19" s="382">
        <f>AD31VR!$S7</f>
        <v>0</v>
      </c>
      <c r="Z19" s="229"/>
      <c r="AA19" s="382">
        <f>AC310G!$S7</f>
        <v>0</v>
      </c>
      <c r="AB19" s="382">
        <f>AC310M!$S7</f>
        <v>0</v>
      </c>
      <c r="AC19" s="382">
        <f>AC310R!$S7</f>
        <v>0</v>
      </c>
      <c r="AD19" s="382">
        <f>AC31VG!$S7</f>
        <v>0</v>
      </c>
      <c r="AE19" s="382">
        <f>AC31VM!$S7</f>
        <v>0</v>
      </c>
      <c r="AF19" s="382">
        <f>AC31VR!$S7</f>
        <v>0</v>
      </c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412">
        <f>'AM340'!$S7</f>
        <v>0</v>
      </c>
      <c r="AS19" s="236"/>
      <c r="AT19" s="236"/>
      <c r="AU19" s="236"/>
      <c r="AV19" s="229"/>
      <c r="AW19" s="382">
        <f>ADD32G!$S7</f>
        <v>0</v>
      </c>
      <c r="AX19" s="382">
        <f>ADD32M!$S7</f>
        <v>0</v>
      </c>
      <c r="AY19" s="382">
        <f>ADD32R!$S7</f>
        <v>0</v>
      </c>
      <c r="AZ19" s="382">
        <f>ADM30G!$S7</f>
        <v>0</v>
      </c>
      <c r="BA19" s="382">
        <f>ADM30M!$S7</f>
        <v>0</v>
      </c>
      <c r="BB19" s="382">
        <f>ADM30R!$S7</f>
        <v>0</v>
      </c>
      <c r="BC19" s="229"/>
      <c r="BD19" s="415">
        <f>ADM45G!S7</f>
        <v>0</v>
      </c>
      <c r="BE19" s="415">
        <f>ADM45M!S7</f>
        <v>0</v>
      </c>
      <c r="BF19" s="415">
        <f>ADM45R!$S7</f>
        <v>0</v>
      </c>
      <c r="BG19" s="415">
        <f>ADD45G!S7</f>
        <v>0</v>
      </c>
      <c r="BH19" s="415">
        <f>ADD45M!S7</f>
        <v>0</v>
      </c>
      <c r="BI19" s="415">
        <f>ADD45R!$S7</f>
        <v>0</v>
      </c>
      <c r="BJ19" s="229"/>
      <c r="BK19" s="229"/>
      <c r="BL19" s="229"/>
      <c r="BM19" s="229"/>
      <c r="BN19" s="229"/>
      <c r="BO19" s="229"/>
      <c r="BP19" s="229"/>
      <c r="BQ19" s="229"/>
      <c r="BR19" s="229"/>
      <c r="BS19" s="229"/>
      <c r="BT19" s="229"/>
      <c r="BU19" s="229"/>
      <c r="BV19" s="229"/>
      <c r="BW19" s="229"/>
      <c r="BX19" s="229"/>
      <c r="BY19" s="229"/>
      <c r="BZ19" s="229"/>
      <c r="CA19" s="229"/>
    </row>
    <row r="20" spans="2:79" x14ac:dyDescent="0.25">
      <c r="B20" s="232" t="str">
        <f>Cen!A48</f>
        <v>Bočnice M 500mm, šedé</v>
      </c>
      <c r="C20" s="232" t="str">
        <f>Cen!B48</f>
        <v>378M5002SA</v>
      </c>
      <c r="D20" s="232" t="str">
        <f>Cen!C48</f>
        <v>R906</v>
      </c>
      <c r="E20" s="551">
        <f>Cen!D48</f>
        <v>0</v>
      </c>
      <c r="F20" s="208">
        <f t="shared" si="0"/>
        <v>0</v>
      </c>
      <c r="G20" s="233">
        <f>Cen!F48</f>
        <v>16.6599</v>
      </c>
      <c r="H20" s="234">
        <f t="shared" si="1"/>
        <v>0</v>
      </c>
      <c r="I20" s="250"/>
      <c r="J20" s="235">
        <f>Cen!I48</f>
        <v>7907526</v>
      </c>
      <c r="K20" s="235">
        <f>Cen!J48</f>
        <v>202510</v>
      </c>
      <c r="L20" s="230">
        <f t="shared" si="6"/>
        <v>0</v>
      </c>
      <c r="M20" s="434">
        <f t="shared" si="7"/>
        <v>0</v>
      </c>
      <c r="N20" s="229"/>
      <c r="O20" s="382">
        <f>'AM300'!S8</f>
        <v>0</v>
      </c>
      <c r="P20" s="229"/>
      <c r="Q20" s="231">
        <f>AM30V!$S8</f>
        <v>0</v>
      </c>
      <c r="R20" s="229"/>
      <c r="S20" s="229"/>
      <c r="T20" s="231">
        <f>AD310G!$S8</f>
        <v>0</v>
      </c>
      <c r="U20" s="231">
        <f>AD310M!$S8</f>
        <v>0</v>
      </c>
      <c r="V20" s="231">
        <f>AD310R!$S8</f>
        <v>0</v>
      </c>
      <c r="W20" s="231">
        <f>AD31VG!$S8</f>
        <v>0</v>
      </c>
      <c r="X20" s="231">
        <f>AD31VM!$S8</f>
        <v>0</v>
      </c>
      <c r="Y20" s="231">
        <f>AD31VR!$S8</f>
        <v>0</v>
      </c>
      <c r="Z20" s="229"/>
      <c r="AA20" s="231">
        <f>AC310G!$S8</f>
        <v>0</v>
      </c>
      <c r="AB20" s="231">
        <f>AC310M!$S8</f>
        <v>0</v>
      </c>
      <c r="AC20" s="231">
        <f>AC310R!$S8</f>
        <v>0</v>
      </c>
      <c r="AD20" s="231">
        <f>AC31VG!$S8</f>
        <v>0</v>
      </c>
      <c r="AE20" s="231">
        <f>AC31VM!$S8</f>
        <v>0</v>
      </c>
      <c r="AF20" s="231">
        <f>AC31VR!$S8</f>
        <v>0</v>
      </c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412">
        <f>'AM340'!$S8</f>
        <v>0</v>
      </c>
      <c r="AS20" s="231">
        <f>AD342G!$S8</f>
        <v>0</v>
      </c>
      <c r="AT20" s="231">
        <f>AD342M!$S8</f>
        <v>0</v>
      </c>
      <c r="AU20" s="231">
        <f>AD342R!$S8</f>
        <v>0</v>
      </c>
      <c r="AV20" s="229"/>
      <c r="AW20" s="231">
        <f>ADD32G!$S8</f>
        <v>0</v>
      </c>
      <c r="AX20" s="231">
        <f>ADD32M!$S8</f>
        <v>0</v>
      </c>
      <c r="AY20" s="231">
        <f>ADD32R!$S8</f>
        <v>0</v>
      </c>
      <c r="AZ20" s="231">
        <f>ADM30G!$S8</f>
        <v>0</v>
      </c>
      <c r="BA20" s="231">
        <f>ADM30M!$S8</f>
        <v>0</v>
      </c>
      <c r="BB20" s="231">
        <f>ADM30R!$S8</f>
        <v>0</v>
      </c>
      <c r="BC20" s="229"/>
      <c r="BD20" s="415">
        <f>ADM45G!S8</f>
        <v>0</v>
      </c>
      <c r="BE20" s="415">
        <f>ADM45M!S8</f>
        <v>0</v>
      </c>
      <c r="BF20" s="415">
        <f>ADM45R!$S8</f>
        <v>0</v>
      </c>
      <c r="BG20" s="415">
        <f>ADD45G!S8</f>
        <v>0</v>
      </c>
      <c r="BH20" s="415">
        <f>ADD45M!S8</f>
        <v>0</v>
      </c>
      <c r="BI20" s="415">
        <f>ADD45R!$S8</f>
        <v>0</v>
      </c>
      <c r="BJ20" s="229"/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  <c r="CA20" s="229"/>
    </row>
    <row r="21" spans="2:79" x14ac:dyDescent="0.25">
      <c r="B21" s="232" t="str">
        <f>Cen!A52</f>
        <v>Bočnice M 550mm, šedé</v>
      </c>
      <c r="C21" s="232" t="str">
        <f>Cen!B52</f>
        <v>378M5502SA</v>
      </c>
      <c r="D21" s="232" t="str">
        <f>Cen!C52</f>
        <v>R906</v>
      </c>
      <c r="E21" s="551">
        <f>Cen!D52</f>
        <v>0</v>
      </c>
      <c r="F21" s="208">
        <f t="shared" si="0"/>
        <v>0</v>
      </c>
      <c r="G21" s="233">
        <f>Cen!F52</f>
        <v>18.128509999999999</v>
      </c>
      <c r="H21" s="234">
        <f t="shared" si="1"/>
        <v>0</v>
      </c>
      <c r="I21" s="250"/>
      <c r="J21" s="235">
        <f>Cen!I52</f>
        <v>7915701</v>
      </c>
      <c r="K21" s="235">
        <f>Cen!J52</f>
        <v>202511</v>
      </c>
      <c r="L21" s="230">
        <f t="shared" ref="L21:L28" si="8">IF(I21="x",0,IF(I21&gt;0,I21,F21))</f>
        <v>0</v>
      </c>
      <c r="M21" s="434">
        <f t="shared" ref="M21:M28" si="9">PRODUCT(L21,G21)</f>
        <v>0</v>
      </c>
      <c r="N21" s="229"/>
      <c r="O21" s="382">
        <f>'AM300'!S9</f>
        <v>0</v>
      </c>
      <c r="P21" s="229"/>
      <c r="Q21" s="382">
        <f>AM30V!$S9</f>
        <v>0</v>
      </c>
      <c r="R21" s="229"/>
      <c r="S21" s="229"/>
      <c r="T21" s="382">
        <f>AD310G!$S9</f>
        <v>0</v>
      </c>
      <c r="U21" s="382">
        <f>AD310M!$S9</f>
        <v>0</v>
      </c>
      <c r="V21" s="382">
        <f>AD310R!$S9</f>
        <v>0</v>
      </c>
      <c r="W21" s="382">
        <f>AD31VG!$S9</f>
        <v>0</v>
      </c>
      <c r="X21" s="382">
        <f>AD31VM!$S9</f>
        <v>0</v>
      </c>
      <c r="Y21" s="382">
        <f>AD31VR!$S9</f>
        <v>0</v>
      </c>
      <c r="Z21" s="229"/>
      <c r="AA21" s="382">
        <f>AC310G!$S9</f>
        <v>0</v>
      </c>
      <c r="AB21" s="382">
        <f>AC310M!$S9</f>
        <v>0</v>
      </c>
      <c r="AC21" s="382">
        <f>AC310R!$S9</f>
        <v>0</v>
      </c>
      <c r="AD21" s="382">
        <f>AC31VG!$S9</f>
        <v>0</v>
      </c>
      <c r="AE21" s="382">
        <f>AC31VM!$S9</f>
        <v>0</v>
      </c>
      <c r="AF21" s="382">
        <f>AC31VR!$S9</f>
        <v>0</v>
      </c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412">
        <f>'AM340'!$S9</f>
        <v>0</v>
      </c>
      <c r="AS21" s="236"/>
      <c r="AT21" s="236"/>
      <c r="AU21" s="236"/>
      <c r="AV21" s="229"/>
      <c r="AW21" s="382">
        <f>ADD32G!$S9</f>
        <v>0</v>
      </c>
      <c r="AX21" s="382">
        <f>ADD32M!$S9</f>
        <v>0</v>
      </c>
      <c r="AY21" s="382">
        <f>ADD32R!$S9</f>
        <v>0</v>
      </c>
      <c r="AZ21" s="382">
        <f>ADM30G!$S9</f>
        <v>0</v>
      </c>
      <c r="BA21" s="382">
        <f>ADM30M!$S9</f>
        <v>0</v>
      </c>
      <c r="BB21" s="382">
        <f>ADM30R!$S9</f>
        <v>0</v>
      </c>
      <c r="BC21" s="229"/>
      <c r="BD21" s="415">
        <f>ADM45G!S9</f>
        <v>0</v>
      </c>
      <c r="BE21" s="415">
        <f>ADM45M!S9</f>
        <v>0</v>
      </c>
      <c r="BF21" s="415">
        <f>ADM45R!$S9</f>
        <v>0</v>
      </c>
      <c r="BG21" s="415">
        <f>ADD45G!S9</f>
        <v>0</v>
      </c>
      <c r="BH21" s="415">
        <f>ADD45M!S9</f>
        <v>0</v>
      </c>
      <c r="BI21" s="415">
        <f>ADD45R!$S9</f>
        <v>0</v>
      </c>
      <c r="BJ21" s="229"/>
      <c r="BK21" s="229"/>
      <c r="BL21" s="229"/>
      <c r="BM21" s="229"/>
      <c r="BN21" s="229"/>
      <c r="BO21" s="229"/>
      <c r="BP21" s="229"/>
      <c r="BQ21" s="229"/>
      <c r="BR21" s="229"/>
      <c r="BS21" s="229"/>
      <c r="BT21" s="229"/>
      <c r="BU21" s="229"/>
      <c r="BV21" s="229"/>
      <c r="BW21" s="229"/>
      <c r="BX21" s="229"/>
      <c r="BY21" s="229"/>
      <c r="BZ21" s="229"/>
      <c r="CA21" s="229"/>
    </row>
    <row r="22" spans="2:79" x14ac:dyDescent="0.25">
      <c r="B22" s="232" t="str">
        <f>Cen!A56</f>
        <v>Bočnice M 600mm, šedé</v>
      </c>
      <c r="C22" s="232" t="str">
        <f>Cen!B56</f>
        <v>378M6002SA</v>
      </c>
      <c r="D22" s="232" t="str">
        <f>Cen!C56</f>
        <v>R906</v>
      </c>
      <c r="E22" s="551">
        <f>Cen!D56</f>
        <v>0</v>
      </c>
      <c r="F22" s="208">
        <f t="shared" si="0"/>
        <v>0</v>
      </c>
      <c r="G22" s="233">
        <f>Cen!F56</f>
        <v>22.41141</v>
      </c>
      <c r="H22" s="234">
        <f t="shared" si="1"/>
        <v>0</v>
      </c>
      <c r="I22" s="250"/>
      <c r="J22" s="235">
        <f>Cen!I56</f>
        <v>7921510</v>
      </c>
      <c r="K22" s="235">
        <f>Cen!J56</f>
        <v>203394</v>
      </c>
      <c r="L22" s="230">
        <f t="shared" si="8"/>
        <v>0</v>
      </c>
      <c r="M22" s="434">
        <f t="shared" si="9"/>
        <v>0</v>
      </c>
      <c r="N22" s="229"/>
      <c r="O22" s="382">
        <f>'AM300'!S10</f>
        <v>0</v>
      </c>
      <c r="P22" s="229"/>
      <c r="Q22" s="382">
        <f>AM30V!$S10</f>
        <v>0</v>
      </c>
      <c r="R22" s="229"/>
      <c r="S22" s="229"/>
      <c r="T22" s="382">
        <f>AD310G!$S10</f>
        <v>0</v>
      </c>
      <c r="U22" s="382">
        <f>AD310M!$S10</f>
        <v>0</v>
      </c>
      <c r="V22" s="382">
        <f>AD310R!$S10</f>
        <v>0</v>
      </c>
      <c r="W22" s="382">
        <f>AD31VG!$S10</f>
        <v>0</v>
      </c>
      <c r="X22" s="382">
        <f>AD31VM!$S10</f>
        <v>0</v>
      </c>
      <c r="Y22" s="382">
        <f>AD31VR!$S10</f>
        <v>0</v>
      </c>
      <c r="Z22" s="229"/>
      <c r="AA22" s="382">
        <f>AC310G!$S10</f>
        <v>0</v>
      </c>
      <c r="AB22" s="382">
        <f>AC310M!$S10</f>
        <v>0</v>
      </c>
      <c r="AC22" s="382">
        <f>AC310R!$S10</f>
        <v>0</v>
      </c>
      <c r="AD22" s="382">
        <f>AC31VG!$S10</f>
        <v>0</v>
      </c>
      <c r="AE22" s="382">
        <f>AC31VM!$S10</f>
        <v>0</v>
      </c>
      <c r="AF22" s="382">
        <f>AC31VR!$S10</f>
        <v>0</v>
      </c>
      <c r="AG22" s="229"/>
      <c r="AH22" s="376">
        <f>AM530S!$S10</f>
        <v>0</v>
      </c>
      <c r="AI22" s="376">
        <f>AD535SG!$S10</f>
        <v>0</v>
      </c>
      <c r="AJ22" s="404">
        <f>AD535SM!$S10</f>
        <v>0</v>
      </c>
      <c r="AK22" s="404">
        <f>AD535SR!$S10</f>
        <v>0</v>
      </c>
      <c r="AL22" s="229"/>
      <c r="AM22" s="376">
        <f>'AM530'!$S10</f>
        <v>0</v>
      </c>
      <c r="AN22" s="376">
        <f>AD535G!$S10</f>
        <v>0</v>
      </c>
      <c r="AO22" s="404">
        <f>AD535M!$S10</f>
        <v>0</v>
      </c>
      <c r="AP22" s="404">
        <f>AD535R!$S10</f>
        <v>0</v>
      </c>
      <c r="AQ22" s="229"/>
      <c r="AR22" s="236"/>
      <c r="AS22" s="236"/>
      <c r="AT22" s="236"/>
      <c r="AU22" s="236"/>
      <c r="AV22" s="229"/>
      <c r="AW22" s="382">
        <f>ADD32G!$S10</f>
        <v>0</v>
      </c>
      <c r="AX22" s="382">
        <f>ADD32M!$S10</f>
        <v>0</v>
      </c>
      <c r="AY22" s="382">
        <f>ADD32R!$S10</f>
        <v>0</v>
      </c>
      <c r="AZ22" s="382">
        <f>ADM30G!$S10</f>
        <v>0</v>
      </c>
      <c r="BA22" s="382">
        <f>ADM30M!$S10</f>
        <v>0</v>
      </c>
      <c r="BB22" s="382">
        <f>ADM30R!$S10</f>
        <v>0</v>
      </c>
      <c r="BC22" s="229"/>
      <c r="BD22" s="236"/>
      <c r="BE22" s="236"/>
      <c r="BF22" s="236"/>
      <c r="BG22" s="236"/>
      <c r="BH22" s="236"/>
      <c r="BI22" s="236"/>
      <c r="BJ22" s="229"/>
      <c r="BK22" s="229"/>
      <c r="BL22" s="229"/>
      <c r="BM22" s="229"/>
      <c r="BN22" s="229"/>
      <c r="BO22" s="229"/>
      <c r="BP22" s="229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  <c r="CA22" s="229"/>
    </row>
    <row r="23" spans="2:79" x14ac:dyDescent="0.25">
      <c r="B23" s="232" t="str">
        <f>Cen!A60</f>
        <v>Bočnice M 650mm, šedé</v>
      </c>
      <c r="C23" s="232" t="str">
        <f>Cen!B60</f>
        <v>378M6502SA</v>
      </c>
      <c r="D23" s="232" t="str">
        <f>Cen!C60</f>
        <v>R906</v>
      </c>
      <c r="E23" s="551">
        <f>Cen!D60</f>
        <v>0</v>
      </c>
      <c r="F23" s="208">
        <f t="shared" si="0"/>
        <v>0</v>
      </c>
      <c r="G23" s="233">
        <f>Cen!F60</f>
        <v>23.512640000000001</v>
      </c>
      <c r="H23" s="234">
        <f t="shared" si="1"/>
        <v>0</v>
      </c>
      <c r="I23" s="250"/>
      <c r="J23" s="235">
        <f>Cen!I60</f>
        <v>7927885</v>
      </c>
      <c r="K23" s="235">
        <f>Cen!J60</f>
        <v>301611</v>
      </c>
      <c r="L23" s="230">
        <f t="shared" si="8"/>
        <v>0</v>
      </c>
      <c r="M23" s="434">
        <f t="shared" si="9"/>
        <v>0</v>
      </c>
      <c r="N23" s="229"/>
      <c r="O23" s="382">
        <f>'AM300'!S11</f>
        <v>0</v>
      </c>
      <c r="P23" s="229"/>
      <c r="Q23" s="382">
        <f>AM30V!$S11</f>
        <v>0</v>
      </c>
      <c r="R23" s="229"/>
      <c r="S23" s="229"/>
      <c r="T23" s="382">
        <f>AD310G!$S11</f>
        <v>0</v>
      </c>
      <c r="U23" s="382">
        <f>AD310M!$S11</f>
        <v>0</v>
      </c>
      <c r="V23" s="382">
        <f>AD310R!$S11</f>
        <v>0</v>
      </c>
      <c r="W23" s="382">
        <f>AD31VG!$S11</f>
        <v>0</v>
      </c>
      <c r="X23" s="382">
        <f>AD31VM!$S11</f>
        <v>0</v>
      </c>
      <c r="Y23" s="382">
        <f>AD31VR!$S11</f>
        <v>0</v>
      </c>
      <c r="Z23" s="229"/>
      <c r="AA23" s="382">
        <f>AC310G!$S11</f>
        <v>0</v>
      </c>
      <c r="AB23" s="382">
        <f>AC310M!$S11</f>
        <v>0</v>
      </c>
      <c r="AC23" s="382">
        <f>AC310R!$S11</f>
        <v>0</v>
      </c>
      <c r="AD23" s="382">
        <f>AC31VG!$S11</f>
        <v>0</v>
      </c>
      <c r="AE23" s="382">
        <f>AC31VM!$S11</f>
        <v>0</v>
      </c>
      <c r="AF23" s="382">
        <f>AC31VR!$S11</f>
        <v>0</v>
      </c>
      <c r="AG23" s="229"/>
      <c r="AH23" s="404">
        <f>AM530S!$S11</f>
        <v>0</v>
      </c>
      <c r="AI23" s="404">
        <f>AD535SG!$S11</f>
        <v>0</v>
      </c>
      <c r="AJ23" s="404">
        <f>AD535SM!$S11</f>
        <v>0</v>
      </c>
      <c r="AK23" s="404">
        <f>AD535SR!$S11</f>
        <v>0</v>
      </c>
      <c r="AL23" s="229"/>
      <c r="AM23" s="404">
        <f>'AM530'!$S11</f>
        <v>0</v>
      </c>
      <c r="AN23" s="404">
        <f>AD535G!$S11</f>
        <v>0</v>
      </c>
      <c r="AO23" s="404">
        <f>AD535M!$S11</f>
        <v>0</v>
      </c>
      <c r="AP23" s="404">
        <f>AD535R!$S11</f>
        <v>0</v>
      </c>
      <c r="AQ23" s="229"/>
      <c r="AR23" s="236"/>
      <c r="AS23" s="236"/>
      <c r="AT23" s="236"/>
      <c r="AU23" s="236"/>
      <c r="AV23" s="229"/>
      <c r="AW23" s="382">
        <f>ADD32G!$S11</f>
        <v>0</v>
      </c>
      <c r="AX23" s="382">
        <f>ADD32M!$S11</f>
        <v>0</v>
      </c>
      <c r="AY23" s="382">
        <f>ADD32R!$S11</f>
        <v>0</v>
      </c>
      <c r="AZ23" s="382">
        <f>ADM30G!$S11</f>
        <v>0</v>
      </c>
      <c r="BA23" s="382">
        <f>ADM30M!$S11</f>
        <v>0</v>
      </c>
      <c r="BB23" s="557">
        <f>ADM30R!$S11</f>
        <v>0</v>
      </c>
      <c r="BC23" s="229"/>
      <c r="BD23" s="236"/>
      <c r="BE23" s="236"/>
      <c r="BF23" s="236"/>
      <c r="BG23" s="236"/>
      <c r="BH23" s="236"/>
      <c r="BI23" s="236"/>
      <c r="BJ23" s="229"/>
      <c r="BK23" s="229"/>
      <c r="BL23" s="229"/>
      <c r="BM23" s="229"/>
      <c r="BN23" s="229"/>
      <c r="BO23" s="229"/>
      <c r="BP23" s="229"/>
      <c r="BQ23" s="229"/>
      <c r="BR23" s="229"/>
      <c r="BS23" s="229"/>
      <c r="BT23" s="229"/>
      <c r="BU23" s="229"/>
      <c r="BV23" s="229"/>
      <c r="BW23" s="229"/>
      <c r="BX23" s="229"/>
      <c r="BY23" s="229"/>
      <c r="BZ23" s="229"/>
      <c r="CA23" s="229"/>
    </row>
    <row r="24" spans="2:79" x14ac:dyDescent="0.25">
      <c r="B24" s="232" t="str">
        <f>Cen!A65</f>
        <v>Bočnice K 270mm, šedé</v>
      </c>
      <c r="C24" s="232" t="str">
        <f>Cen!B65</f>
        <v>378K2702SA</v>
      </c>
      <c r="D24" s="232" t="str">
        <f>Cen!C65</f>
        <v>R906</v>
      </c>
      <c r="E24" s="551" t="str">
        <f>Cen!D65</f>
        <v>!</v>
      </c>
      <c r="F24" s="208">
        <f t="shared" si="0"/>
        <v>0</v>
      </c>
      <c r="G24" s="233">
        <f>Cen!F65</f>
        <v>23.526759999999999</v>
      </c>
      <c r="H24" s="234">
        <f t="shared" si="1"/>
        <v>0</v>
      </c>
      <c r="I24" s="250"/>
      <c r="J24" s="235">
        <f>Cen!I65</f>
        <v>7735870</v>
      </c>
      <c r="K24" s="235">
        <f>Cen!J65</f>
        <v>210749</v>
      </c>
      <c r="L24" s="230">
        <f t="shared" si="8"/>
        <v>0</v>
      </c>
      <c r="M24" s="434">
        <f t="shared" si="9"/>
        <v>0</v>
      </c>
      <c r="N24" s="229"/>
      <c r="O24" s="236"/>
      <c r="P24" s="376">
        <f>'AK300'!$S3</f>
        <v>0</v>
      </c>
      <c r="Q24" s="236"/>
      <c r="R24" s="376">
        <f>AK30V!$S3</f>
        <v>0</v>
      </c>
      <c r="S24" s="229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29"/>
      <c r="BK24" s="229"/>
      <c r="BL24" s="229"/>
      <c r="BM24" s="229"/>
      <c r="BN24" s="229"/>
      <c r="BO24" s="229"/>
      <c r="BP24" s="229"/>
      <c r="BQ24" s="229"/>
      <c r="BR24" s="229"/>
      <c r="BS24" s="229"/>
      <c r="BT24" s="229"/>
      <c r="BU24" s="229"/>
      <c r="BV24" s="229"/>
      <c r="BW24" s="229"/>
      <c r="BX24" s="229"/>
      <c r="BY24" s="229"/>
      <c r="BZ24" s="229"/>
      <c r="CA24" s="229"/>
    </row>
    <row r="25" spans="2:79" x14ac:dyDescent="0.25">
      <c r="B25" s="232" t="str">
        <f>Cen!A68</f>
        <v>Bočnice K 300mm, šedé</v>
      </c>
      <c r="C25" s="232" t="str">
        <f>Cen!B68</f>
        <v>378K3002SA</v>
      </c>
      <c r="D25" s="232" t="str">
        <f>Cen!C68</f>
        <v>R906</v>
      </c>
      <c r="E25" s="551" t="str">
        <f>Cen!D68</f>
        <v>!</v>
      </c>
      <c r="F25" s="208">
        <f t="shared" si="0"/>
        <v>0</v>
      </c>
      <c r="G25" s="233">
        <f>Cen!F68</f>
        <v>23.526759999999999</v>
      </c>
      <c r="H25" s="234">
        <f t="shared" si="1"/>
        <v>0</v>
      </c>
      <c r="I25" s="250"/>
      <c r="J25" s="235">
        <f>Cen!I68</f>
        <v>7754207</v>
      </c>
      <c r="K25" s="235">
        <f>Cen!J68</f>
        <v>210752</v>
      </c>
      <c r="L25" s="230">
        <f t="shared" ref="L25:L26" si="10">IF(I25="x",0,IF(I25&gt;0,I25,F25))</f>
        <v>0</v>
      </c>
      <c r="M25" s="434">
        <f t="shared" ref="M25:M26" si="11">PRODUCT(L25,G25)</f>
        <v>0</v>
      </c>
      <c r="N25" s="229"/>
      <c r="O25" s="236"/>
      <c r="P25" s="382">
        <f>'AK300'!$S4</f>
        <v>0</v>
      </c>
      <c r="Q25" s="236"/>
      <c r="R25" s="382">
        <f>AK30V!$S4</f>
        <v>0</v>
      </c>
      <c r="S25" s="229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  <c r="CA25" s="229"/>
    </row>
    <row r="26" spans="2:79" x14ac:dyDescent="0.25">
      <c r="B26" s="232" t="str">
        <f>Cen!A71</f>
        <v>Bočnice K 350mm, šedé</v>
      </c>
      <c r="C26" s="232" t="str">
        <f>Cen!B71</f>
        <v>378K3502SA</v>
      </c>
      <c r="D26" s="232" t="str">
        <f>Cen!C71</f>
        <v>R906</v>
      </c>
      <c r="E26" s="551" t="str">
        <f>Cen!D71</f>
        <v>!</v>
      </c>
      <c r="F26" s="208">
        <f t="shared" si="0"/>
        <v>0</v>
      </c>
      <c r="G26" s="233">
        <f>Cen!F71</f>
        <v>23.526759999999999</v>
      </c>
      <c r="H26" s="234">
        <f t="shared" si="1"/>
        <v>0</v>
      </c>
      <c r="I26" s="250"/>
      <c r="J26" s="235">
        <f>Cen!I71</f>
        <v>7754240</v>
      </c>
      <c r="K26" s="235">
        <f>Cen!J71</f>
        <v>210755</v>
      </c>
      <c r="L26" s="230">
        <f t="shared" si="10"/>
        <v>0</v>
      </c>
      <c r="M26" s="434">
        <f t="shared" si="11"/>
        <v>0</v>
      </c>
      <c r="N26" s="229"/>
      <c r="O26" s="236"/>
      <c r="P26" s="382">
        <f>'AK300'!$S5</f>
        <v>0</v>
      </c>
      <c r="Q26" s="236"/>
      <c r="R26" s="382">
        <f>AK30V!$S5</f>
        <v>0</v>
      </c>
      <c r="S26" s="229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</row>
    <row r="27" spans="2:79" x14ac:dyDescent="0.25">
      <c r="B27" s="232" t="str">
        <f>Cen!A74</f>
        <v>Bočnice K 400mm, šedé</v>
      </c>
      <c r="C27" s="232" t="str">
        <f>Cen!B74</f>
        <v>378K4002SA</v>
      </c>
      <c r="D27" s="232" t="str">
        <f>Cen!C74</f>
        <v>R906</v>
      </c>
      <c r="E27" s="551" t="str">
        <f>Cen!D74</f>
        <v>!</v>
      </c>
      <c r="F27" s="208">
        <f t="shared" si="0"/>
        <v>0</v>
      </c>
      <c r="G27" s="233">
        <f>Cen!F74</f>
        <v>23.673449999999999</v>
      </c>
      <c r="H27" s="234">
        <f t="shared" si="1"/>
        <v>0</v>
      </c>
      <c r="I27" s="250"/>
      <c r="J27" s="235">
        <f>Cen!I74</f>
        <v>7770099</v>
      </c>
      <c r="K27" s="235">
        <f>Cen!J74</f>
        <v>210758</v>
      </c>
      <c r="L27" s="230">
        <f t="shared" si="8"/>
        <v>0</v>
      </c>
      <c r="M27" s="434">
        <f t="shared" si="9"/>
        <v>0</v>
      </c>
      <c r="N27" s="229"/>
      <c r="O27" s="236"/>
      <c r="P27" s="382">
        <f>'AK300'!$S6</f>
        <v>0</v>
      </c>
      <c r="Q27" s="236"/>
      <c r="R27" s="382">
        <f>AK30V!$S6</f>
        <v>0</v>
      </c>
      <c r="S27" s="229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</row>
    <row r="28" spans="2:79" x14ac:dyDescent="0.25">
      <c r="B28" s="232" t="str">
        <f>Cen!A77</f>
        <v>Bočnice K 450mm, šedé</v>
      </c>
      <c r="C28" s="232" t="str">
        <f>Cen!B77</f>
        <v>378K4502SA</v>
      </c>
      <c r="D28" s="232" t="str">
        <f>Cen!C77</f>
        <v>R906</v>
      </c>
      <c r="E28" s="551">
        <f>Cen!D77</f>
        <v>0</v>
      </c>
      <c r="F28" s="208">
        <f t="shared" si="0"/>
        <v>0</v>
      </c>
      <c r="G28" s="233">
        <f>Cen!F77</f>
        <v>23.820340000000002</v>
      </c>
      <c r="H28" s="234">
        <f t="shared" si="1"/>
        <v>0</v>
      </c>
      <c r="I28" s="250"/>
      <c r="J28" s="235">
        <f>Cen!I77</f>
        <v>7800942</v>
      </c>
      <c r="K28" s="235">
        <f>Cen!J77</f>
        <v>210761</v>
      </c>
      <c r="L28" s="230">
        <f t="shared" si="8"/>
        <v>0</v>
      </c>
      <c r="M28" s="434">
        <f t="shared" si="9"/>
        <v>0</v>
      </c>
      <c r="N28" s="229"/>
      <c r="O28" s="236"/>
      <c r="P28" s="382">
        <f>'AK300'!$S7</f>
        <v>0</v>
      </c>
      <c r="Q28" s="236"/>
      <c r="R28" s="382">
        <f>AK30V!$S7</f>
        <v>0</v>
      </c>
      <c r="S28" s="229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</row>
    <row r="29" spans="2:79" x14ac:dyDescent="0.25">
      <c r="B29" s="232" t="str">
        <f>Cen!A80</f>
        <v>Bočnice K 500mm, šedé</v>
      </c>
      <c r="C29" s="232" t="str">
        <f>Cen!B80</f>
        <v>378K5002SA</v>
      </c>
      <c r="D29" s="232" t="str">
        <f>Cen!C80</f>
        <v>R906</v>
      </c>
      <c r="E29" s="551">
        <f>Cen!D80</f>
        <v>0</v>
      </c>
      <c r="F29" s="208">
        <f t="shared" si="0"/>
        <v>0</v>
      </c>
      <c r="G29" s="233">
        <f>Cen!F80</f>
        <v>23.967030000000001</v>
      </c>
      <c r="H29" s="234">
        <f t="shared" si="1"/>
        <v>0</v>
      </c>
      <c r="I29" s="250"/>
      <c r="J29" s="235">
        <f>Cen!I80</f>
        <v>7826509</v>
      </c>
      <c r="K29" s="235">
        <f>Cen!J80</f>
        <v>210764</v>
      </c>
      <c r="L29" s="230">
        <f>IF(I29="x",0,IF(I29&gt;0,I29,F29))</f>
        <v>0</v>
      </c>
      <c r="M29" s="434">
        <f>PRODUCT(L29,G29)</f>
        <v>0</v>
      </c>
      <c r="N29" s="229"/>
      <c r="O29" s="229"/>
      <c r="P29" s="382">
        <f>'AK300'!$S8</f>
        <v>0</v>
      </c>
      <c r="Q29" s="229"/>
      <c r="R29" s="382">
        <f>AK30V!$S8</f>
        <v>0</v>
      </c>
      <c r="S29" s="229"/>
      <c r="T29" s="229"/>
      <c r="U29" s="229"/>
      <c r="V29" s="229"/>
      <c r="W29" s="229"/>
      <c r="X29" s="229"/>
      <c r="Y29" s="229"/>
      <c r="Z29" s="229"/>
      <c r="AA29" s="229"/>
      <c r="AB29" s="236"/>
      <c r="AC29" s="236"/>
      <c r="AD29" s="236"/>
      <c r="AE29" s="236"/>
      <c r="AF29" s="236"/>
      <c r="AG29" s="229"/>
      <c r="AH29" s="236"/>
      <c r="AI29" s="236"/>
      <c r="AJ29" s="236"/>
      <c r="AK29" s="236"/>
      <c r="AL29" s="229"/>
      <c r="AM29" s="236"/>
      <c r="AN29" s="236"/>
      <c r="AO29" s="236"/>
      <c r="AP29" s="236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</row>
    <row r="30" spans="2:79" x14ac:dyDescent="0.25">
      <c r="B30" s="232" t="str">
        <f>Cen!A83</f>
        <v>Bočnice K 550mm, šedé</v>
      </c>
      <c r="C30" s="232" t="str">
        <f>Cen!B83</f>
        <v>378K5502SA</v>
      </c>
      <c r="D30" s="232" t="str">
        <f>Cen!C83</f>
        <v>R906</v>
      </c>
      <c r="E30" s="551" t="str">
        <f>Cen!D83</f>
        <v>!</v>
      </c>
      <c r="F30" s="208">
        <f t="shared" si="0"/>
        <v>0</v>
      </c>
      <c r="G30" s="233">
        <f>Cen!F83</f>
        <v>25.435459999999999</v>
      </c>
      <c r="H30" s="234">
        <f t="shared" si="1"/>
        <v>0</v>
      </c>
      <c r="I30" s="250"/>
      <c r="J30" s="235">
        <f>Cen!I83</f>
        <v>7833537</v>
      </c>
      <c r="K30" s="235">
        <f>Cen!J83</f>
        <v>210767</v>
      </c>
      <c r="L30" s="230">
        <f>IF(I30="x",0,IF(I30&gt;0,I30,F30))</f>
        <v>0</v>
      </c>
      <c r="M30" s="434">
        <f>PRODUCT(L30,G30)</f>
        <v>0</v>
      </c>
      <c r="N30" s="229"/>
      <c r="O30" s="229"/>
      <c r="P30" s="382">
        <f>'AK300'!$S9</f>
        <v>0</v>
      </c>
      <c r="Q30" s="229"/>
      <c r="R30" s="382">
        <f>AK30V!$S9</f>
        <v>0</v>
      </c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36"/>
      <c r="AI30" s="236">
        <f>AD535SG!$J34</f>
        <v>0</v>
      </c>
      <c r="AJ30" s="236">
        <f>AD535SM!$J34</f>
        <v>0</v>
      </c>
      <c r="AK30" s="236"/>
      <c r="AL30" s="236"/>
      <c r="AM30" s="236">
        <f>'AM530'!$J34</f>
        <v>0</v>
      </c>
      <c r="AN30" s="236">
        <f>AD535G!$J34</f>
        <v>0</v>
      </c>
      <c r="AO30" s="236">
        <f>AD535M!$J34</f>
        <v>0</v>
      </c>
      <c r="AP30" s="236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229"/>
      <c r="BZ30" s="229"/>
      <c r="CA30" s="229"/>
    </row>
    <row r="31" spans="2:79" x14ac:dyDescent="0.25">
      <c r="B31" s="232" t="str">
        <f>Cen!A86</f>
        <v>Bočnice K 600mm, šedé</v>
      </c>
      <c r="C31" s="232" t="str">
        <f>Cen!B86</f>
        <v>378K6002SA</v>
      </c>
      <c r="D31" s="232" t="str">
        <f>Cen!C86</f>
        <v>R906</v>
      </c>
      <c r="E31" s="551" t="str">
        <f>Cen!D86</f>
        <v>!</v>
      </c>
      <c r="F31" s="208">
        <f t="shared" si="0"/>
        <v>0</v>
      </c>
      <c r="G31" s="233">
        <f>Cen!F86</f>
        <v>29.71855</v>
      </c>
      <c r="H31" s="234">
        <f t="shared" si="1"/>
        <v>0</v>
      </c>
      <c r="I31" s="250"/>
      <c r="J31" s="235">
        <f>Cen!I86</f>
        <v>7843319</v>
      </c>
      <c r="K31" s="235">
        <f>Cen!J86</f>
        <v>210770</v>
      </c>
      <c r="L31" s="230">
        <f t="shared" ref="L31:L34" si="12">IF(I31="x",0,IF(I31&gt;0,I31,F31))</f>
        <v>0</v>
      </c>
      <c r="M31" s="434">
        <f t="shared" ref="M31:M34" si="13">PRODUCT(L31,G31)</f>
        <v>0</v>
      </c>
      <c r="N31" s="229"/>
      <c r="O31" s="229"/>
      <c r="P31" s="382">
        <f>'AK300'!$S10</f>
        <v>0</v>
      </c>
      <c r="Q31" s="229"/>
      <c r="R31" s="382">
        <f>AK30V!$S10</f>
        <v>0</v>
      </c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36"/>
      <c r="AI31" s="236"/>
      <c r="AJ31" s="236"/>
      <c r="AK31" s="236"/>
      <c r="AL31" s="236"/>
      <c r="AM31" s="236"/>
      <c r="AN31" s="236"/>
      <c r="AO31" s="236"/>
      <c r="AP31" s="236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</row>
    <row r="32" spans="2:79" x14ac:dyDescent="0.25">
      <c r="B32" s="232" t="str">
        <f>Cen!A89</f>
        <v>Bočnice K 650mm, šedé</v>
      </c>
      <c r="C32" s="232" t="str">
        <f>Cen!B89</f>
        <v>378K6502SA</v>
      </c>
      <c r="D32" s="232" t="str">
        <f>Cen!C89</f>
        <v>R906</v>
      </c>
      <c r="E32" s="551" t="str">
        <f>Cen!D89</f>
        <v>!</v>
      </c>
      <c r="F32" s="208">
        <f t="shared" si="0"/>
        <v>0</v>
      </c>
      <c r="G32" s="233">
        <f>Cen!F89</f>
        <v>30.819780000000002</v>
      </c>
      <c r="H32" s="234">
        <f t="shared" si="1"/>
        <v>0</v>
      </c>
      <c r="I32" s="250"/>
      <c r="J32" s="235">
        <f>Cen!I89</f>
        <v>7862096</v>
      </c>
      <c r="K32" s="235">
        <f>Cen!J89</f>
        <v>210773</v>
      </c>
      <c r="L32" s="230">
        <f t="shared" si="12"/>
        <v>0</v>
      </c>
      <c r="M32" s="434">
        <f t="shared" si="13"/>
        <v>0</v>
      </c>
      <c r="N32" s="229"/>
      <c r="O32" s="229"/>
      <c r="P32" s="382">
        <f>'AK300'!$S11</f>
        <v>0</v>
      </c>
      <c r="Q32" s="229"/>
      <c r="R32" s="382">
        <f>AK30V!$S11</f>
        <v>0</v>
      </c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36"/>
      <c r="AI32" s="236"/>
      <c r="AJ32" s="236"/>
      <c r="AK32" s="236"/>
      <c r="AL32" s="236"/>
      <c r="AM32" s="236"/>
      <c r="AN32" s="236"/>
      <c r="AO32" s="236"/>
      <c r="AP32" s="236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</row>
    <row r="33" spans="2:79" customFormat="1" ht="12.75" customHeight="1" x14ac:dyDescent="0.35">
      <c r="E33" s="552"/>
      <c r="F33" s="208">
        <f t="shared" si="0"/>
        <v>0</v>
      </c>
      <c r="L33" s="230">
        <f t="shared" si="12"/>
        <v>0</v>
      </c>
      <c r="M33" s="434">
        <f t="shared" si="13"/>
        <v>0</v>
      </c>
      <c r="AH33" s="384"/>
      <c r="AI33" s="384"/>
      <c r="AJ33" s="384"/>
      <c r="AK33" s="384"/>
      <c r="AL33" s="384"/>
      <c r="AM33" s="384"/>
      <c r="AN33" s="384"/>
      <c r="AO33" s="384"/>
      <c r="AP33" s="384"/>
    </row>
    <row r="34" spans="2:79" x14ac:dyDescent="0.25">
      <c r="B34" s="232" t="str">
        <f>Cen!A94</f>
        <v>Korpusové lišty 270mm, BLUMOTION, 30kg</v>
      </c>
      <c r="C34" s="232" t="str">
        <f>Cen!B94</f>
        <v>578.2701B</v>
      </c>
      <c r="D34" s="232" t="str">
        <f>Cen!C94</f>
        <v>ZN</v>
      </c>
      <c r="E34" s="551">
        <f>Cen!D94</f>
        <v>0</v>
      </c>
      <c r="F34" s="208">
        <f t="shared" si="0"/>
        <v>0</v>
      </c>
      <c r="G34" s="233">
        <f>Cen!F94</f>
        <v>16.390229999999999</v>
      </c>
      <c r="H34" s="234">
        <f>M34</f>
        <v>0</v>
      </c>
      <c r="I34" s="250"/>
      <c r="J34" s="235">
        <f>Cen!I94</f>
        <v>8000501</v>
      </c>
      <c r="K34" s="235">
        <f>Cen!J94</f>
        <v>14300</v>
      </c>
      <c r="L34" s="230">
        <f t="shared" si="12"/>
        <v>0</v>
      </c>
      <c r="M34" s="434">
        <f t="shared" si="13"/>
        <v>0</v>
      </c>
      <c r="N34" s="229"/>
      <c r="O34" s="382">
        <f>'AM300'!$S13</f>
        <v>0</v>
      </c>
      <c r="P34" s="382">
        <f>'AK300'!$S13</f>
        <v>0</v>
      </c>
      <c r="Q34" s="382">
        <f>AM30V!$S13</f>
        <v>0</v>
      </c>
      <c r="R34" s="382">
        <f>AK30V!$S13</f>
        <v>0</v>
      </c>
      <c r="S34" s="229"/>
      <c r="T34" s="382">
        <f>AD310G!$S13</f>
        <v>0</v>
      </c>
      <c r="U34" s="382">
        <f>AD310M!$S13</f>
        <v>0</v>
      </c>
      <c r="V34" s="382">
        <f>AD310R!$S13</f>
        <v>0</v>
      </c>
      <c r="W34" s="382">
        <f>AD31VG!S13</f>
        <v>0</v>
      </c>
      <c r="X34" s="382">
        <f>AD31VM!$S13</f>
        <v>0</v>
      </c>
      <c r="Y34" s="382">
        <f>AD31VR!$S13</f>
        <v>0</v>
      </c>
      <c r="Z34" s="229"/>
      <c r="AA34" s="382">
        <f>AC310G!$S13</f>
        <v>0</v>
      </c>
      <c r="AB34" s="382">
        <f>AC310M!$S13</f>
        <v>0</v>
      </c>
      <c r="AC34" s="382">
        <f>AC310R!$S13</f>
        <v>0</v>
      </c>
      <c r="AD34" s="382">
        <f>AC31VG!$S13</f>
        <v>0</v>
      </c>
      <c r="AE34" s="382">
        <f>AC31VM!$S13</f>
        <v>0</v>
      </c>
      <c r="AF34" s="382">
        <f>AC31VR!$S13</f>
        <v>0</v>
      </c>
      <c r="AG34" s="229"/>
      <c r="AH34" s="236"/>
      <c r="AI34" s="236"/>
      <c r="AJ34" s="236"/>
      <c r="AK34" s="236"/>
      <c r="AL34" s="236"/>
      <c r="AM34" s="236"/>
      <c r="AN34" s="236"/>
      <c r="AO34" s="236"/>
      <c r="AP34" s="236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</row>
    <row r="35" spans="2:79" x14ac:dyDescent="0.25">
      <c r="B35" s="232" t="str">
        <f>Cen!A95</f>
        <v>Korpusové lišty 300mm, BLUMOTION, 30kg</v>
      </c>
      <c r="C35" s="232" t="str">
        <f>Cen!B95</f>
        <v>578.3001B</v>
      </c>
      <c r="D35" s="232" t="str">
        <f>Cen!C95</f>
        <v>ZN</v>
      </c>
      <c r="E35" s="551">
        <f>Cen!D95</f>
        <v>0</v>
      </c>
      <c r="F35" s="208">
        <f t="shared" si="0"/>
        <v>0</v>
      </c>
      <c r="G35" s="233">
        <f>Cen!F95</f>
        <v>16.390229999999999</v>
      </c>
      <c r="H35" s="234">
        <f>M35</f>
        <v>0</v>
      </c>
      <c r="I35" s="250"/>
      <c r="J35" s="235">
        <f>Cen!I95</f>
        <v>8091502</v>
      </c>
      <c r="K35" s="235">
        <f>Cen!J95</f>
        <v>14299</v>
      </c>
      <c r="L35" s="230">
        <f>IF(I35="x",0,IF(I35&gt;0,I35,F35))</f>
        <v>0</v>
      </c>
      <c r="M35" s="434">
        <f>PRODUCT(L35,G35)</f>
        <v>0</v>
      </c>
      <c r="N35" s="229"/>
      <c r="O35" s="382">
        <f>'AM300'!$S14</f>
        <v>0</v>
      </c>
      <c r="P35" s="382">
        <f>'AK300'!$S14</f>
        <v>0</v>
      </c>
      <c r="Q35" s="382">
        <f>AM30V!$S14</f>
        <v>0</v>
      </c>
      <c r="R35" s="428">
        <f>AK30V!$S14</f>
        <v>0</v>
      </c>
      <c r="S35" s="229"/>
      <c r="T35" s="382">
        <f>AD310G!$S14</f>
        <v>0</v>
      </c>
      <c r="U35" s="382">
        <f>AD310M!$S14</f>
        <v>0</v>
      </c>
      <c r="V35" s="382">
        <f>AD310R!$S14</f>
        <v>0</v>
      </c>
      <c r="W35" s="382">
        <f>AD31VG!S14</f>
        <v>0</v>
      </c>
      <c r="X35" s="382">
        <f>AD31VM!$S14</f>
        <v>0</v>
      </c>
      <c r="Y35" s="382">
        <f>AD31VR!$S14</f>
        <v>0</v>
      </c>
      <c r="Z35" s="229"/>
      <c r="AA35" s="382">
        <f>AC310G!$S14</f>
        <v>0</v>
      </c>
      <c r="AB35" s="382">
        <f>AC310M!$S14</f>
        <v>0</v>
      </c>
      <c r="AC35" s="382">
        <f>AC310R!$S14</f>
        <v>0</v>
      </c>
      <c r="AD35" s="382">
        <f>AC31VG!$S14</f>
        <v>0</v>
      </c>
      <c r="AE35" s="382">
        <f>AC31VM!$S14</f>
        <v>0</v>
      </c>
      <c r="AF35" s="382">
        <f>AC31VR!$S14</f>
        <v>0</v>
      </c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</row>
    <row r="36" spans="2:79" x14ac:dyDescent="0.25">
      <c r="B36" s="232" t="str">
        <f>Cen!A96</f>
        <v>Korpusové lišty 350mm, BLUMOTION, 30kg</v>
      </c>
      <c r="C36" s="232" t="str">
        <f>Cen!B96</f>
        <v>578.3501B</v>
      </c>
      <c r="D36" s="232" t="str">
        <f>Cen!C96</f>
        <v>ZN</v>
      </c>
      <c r="E36" s="551">
        <f>Cen!D96</f>
        <v>0</v>
      </c>
      <c r="F36" s="208">
        <f t="shared" si="0"/>
        <v>0</v>
      </c>
      <c r="G36" s="233">
        <f>Cen!F96</f>
        <v>16.390229999999999</v>
      </c>
      <c r="H36" s="234">
        <f>M36</f>
        <v>0</v>
      </c>
      <c r="I36" s="250"/>
      <c r="J36" s="235">
        <f>Cen!I96</f>
        <v>8359762</v>
      </c>
      <c r="K36" s="235">
        <f>Cen!J96</f>
        <v>14301</v>
      </c>
      <c r="L36" s="230">
        <f>IF(I36="x",0,IF(I36&gt;0,I36,F36))</f>
        <v>0</v>
      </c>
      <c r="M36" s="434">
        <f>PRODUCT(L36,G36)</f>
        <v>0</v>
      </c>
      <c r="N36" s="229"/>
      <c r="O36" s="382">
        <f>'AM300'!$S15</f>
        <v>0</v>
      </c>
      <c r="P36" s="382">
        <f>'AK300'!$S15</f>
        <v>0</v>
      </c>
      <c r="Q36" s="382">
        <f>AM30V!$S15</f>
        <v>0</v>
      </c>
      <c r="R36" s="428">
        <f>AK30V!$S15</f>
        <v>0</v>
      </c>
      <c r="S36" s="229"/>
      <c r="T36" s="382">
        <f>AD310G!$S15</f>
        <v>0</v>
      </c>
      <c r="U36" s="382">
        <f>AD310M!$S15</f>
        <v>0</v>
      </c>
      <c r="V36" s="382">
        <f>AD310R!$S15</f>
        <v>0</v>
      </c>
      <c r="W36" s="382">
        <f>AD31VG!S15</f>
        <v>0</v>
      </c>
      <c r="X36" s="382">
        <f>AD31VM!$S15</f>
        <v>0</v>
      </c>
      <c r="Y36" s="382">
        <f>AD31VR!$S15</f>
        <v>0</v>
      </c>
      <c r="Z36" s="229"/>
      <c r="AA36" s="382">
        <f>AC310G!$S15</f>
        <v>0</v>
      </c>
      <c r="AB36" s="382">
        <f>AC310M!$S15</f>
        <v>0</v>
      </c>
      <c r="AC36" s="382">
        <f>AC310R!$S15</f>
        <v>0</v>
      </c>
      <c r="AD36" s="382">
        <f>AC31VG!$S15</f>
        <v>0</v>
      </c>
      <c r="AE36" s="382">
        <f>AC31VM!$S15</f>
        <v>0</v>
      </c>
      <c r="AF36" s="382">
        <f>AC31VR!$S15</f>
        <v>0</v>
      </c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</row>
    <row r="37" spans="2:79" x14ac:dyDescent="0.25">
      <c r="B37" s="232" t="str">
        <f>Cen!A97</f>
        <v>Korpusové lišty 400mm, BLUMOTION, 30kg</v>
      </c>
      <c r="C37" s="232" t="str">
        <f>Cen!B97</f>
        <v>578.4001B</v>
      </c>
      <c r="D37" s="232" t="str">
        <f>Cen!C97</f>
        <v>ZN</v>
      </c>
      <c r="E37" s="551">
        <f>Cen!D97</f>
        <v>0</v>
      </c>
      <c r="F37" s="208">
        <f t="shared" si="0"/>
        <v>0</v>
      </c>
      <c r="G37" s="233">
        <f>Cen!F97</f>
        <v>16.512820000000001</v>
      </c>
      <c r="H37" s="234">
        <f t="shared" ref="H37:H59" si="14">M37</f>
        <v>0</v>
      </c>
      <c r="I37" s="250"/>
      <c r="J37" s="235">
        <f>Cen!I97</f>
        <v>8445585</v>
      </c>
      <c r="K37" s="235">
        <f>Cen!J97</f>
        <v>14302</v>
      </c>
      <c r="L37" s="230">
        <f t="shared" ref="L37:L60" si="15">IF(I37="x",0,IF(I37&gt;0,I37,F37))</f>
        <v>0</v>
      </c>
      <c r="M37" s="434">
        <f t="shared" ref="M37:M60" si="16">PRODUCT(L37,G37)</f>
        <v>0</v>
      </c>
      <c r="N37" s="376">
        <f>'AN300'!S16</f>
        <v>0</v>
      </c>
      <c r="O37" s="382">
        <f>'AM300'!$S16</f>
        <v>0</v>
      </c>
      <c r="P37" s="382">
        <f>'AK300'!$S16</f>
        <v>0</v>
      </c>
      <c r="Q37" s="382">
        <f>AM30V!$S16</f>
        <v>0</v>
      </c>
      <c r="R37" s="428">
        <f>AK30V!$S16</f>
        <v>0</v>
      </c>
      <c r="S37" s="229"/>
      <c r="T37" s="382">
        <f>AD310G!$S16</f>
        <v>0</v>
      </c>
      <c r="U37" s="382">
        <f>AD310M!$S16</f>
        <v>0</v>
      </c>
      <c r="V37" s="382">
        <f>AD310R!$S16</f>
        <v>0</v>
      </c>
      <c r="W37" s="382">
        <f>AD31VG!S16</f>
        <v>0</v>
      </c>
      <c r="X37" s="382">
        <f>AD31VM!$S16</f>
        <v>0</v>
      </c>
      <c r="Y37" s="382">
        <f>AD31VR!$S16</f>
        <v>0</v>
      </c>
      <c r="Z37" s="229"/>
      <c r="AA37" s="382">
        <f>AC310G!$S16</f>
        <v>0</v>
      </c>
      <c r="AB37" s="382">
        <f>AC310M!$S16</f>
        <v>0</v>
      </c>
      <c r="AC37" s="382">
        <f>AC310R!$S16</f>
        <v>0</v>
      </c>
      <c r="AD37" s="382">
        <f>AC31VG!$S16</f>
        <v>0</v>
      </c>
      <c r="AE37" s="382">
        <f>AC31VM!$S16</f>
        <v>0</v>
      </c>
      <c r="AF37" s="382">
        <f>AC31VR!$S16</f>
        <v>0</v>
      </c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412">
        <f>'AM340'!$S16</f>
        <v>0</v>
      </c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</row>
    <row r="38" spans="2:79" x14ac:dyDescent="0.25">
      <c r="B38" s="232" t="str">
        <f>Cen!A98</f>
        <v>Korpusové lišty 450mm, BLUMOTION, 30kg</v>
      </c>
      <c r="C38" s="232" t="str">
        <f>Cen!B98</f>
        <v>578.4501B</v>
      </c>
      <c r="D38" s="232" t="str">
        <f>Cen!C98</f>
        <v>ZN</v>
      </c>
      <c r="E38" s="551">
        <f>Cen!D98</f>
        <v>0</v>
      </c>
      <c r="F38" s="208">
        <f t="shared" si="0"/>
        <v>0</v>
      </c>
      <c r="G38" s="233">
        <f>Cen!F98</f>
        <v>16.63541</v>
      </c>
      <c r="H38" s="234">
        <f t="shared" si="14"/>
        <v>0</v>
      </c>
      <c r="I38" s="250"/>
      <c r="J38" s="235">
        <f>Cen!I98</f>
        <v>8517597</v>
      </c>
      <c r="K38" s="235">
        <f>Cen!J98</f>
        <v>14303</v>
      </c>
      <c r="L38" s="230">
        <f t="shared" si="15"/>
        <v>0</v>
      </c>
      <c r="M38" s="434">
        <f t="shared" si="16"/>
        <v>0</v>
      </c>
      <c r="N38" s="376">
        <f>'AN300'!S17</f>
        <v>0</v>
      </c>
      <c r="O38" s="382">
        <f>'AM300'!$S17</f>
        <v>0</v>
      </c>
      <c r="P38" s="382">
        <f>'AK300'!$S17</f>
        <v>0</v>
      </c>
      <c r="Q38" s="382">
        <f>AM30V!$S17</f>
        <v>0</v>
      </c>
      <c r="R38" s="428">
        <f>AK30V!$S17</f>
        <v>0</v>
      </c>
      <c r="S38" s="229"/>
      <c r="T38" s="382">
        <f>AD310G!$S17</f>
        <v>0</v>
      </c>
      <c r="U38" s="382">
        <f>AD310M!$S17</f>
        <v>0</v>
      </c>
      <c r="V38" s="382">
        <f>AD310R!$S17</f>
        <v>0</v>
      </c>
      <c r="W38" s="382">
        <f>AD31VG!S17</f>
        <v>0</v>
      </c>
      <c r="X38" s="382">
        <f>AD31VM!$S17</f>
        <v>0</v>
      </c>
      <c r="Y38" s="382">
        <f>AD31VR!$S17</f>
        <v>0</v>
      </c>
      <c r="Z38" s="229"/>
      <c r="AA38" s="382">
        <f>AC310G!$S17</f>
        <v>0</v>
      </c>
      <c r="AB38" s="382">
        <f>AC310M!$S17</f>
        <v>0</v>
      </c>
      <c r="AC38" s="382">
        <f>AC310R!$S17</f>
        <v>0</v>
      </c>
      <c r="AD38" s="382">
        <f>AC31VG!$S17</f>
        <v>0</v>
      </c>
      <c r="AE38" s="382">
        <f>AC31VM!$S17</f>
        <v>0</v>
      </c>
      <c r="AF38" s="382">
        <f>AC31VR!$S17</f>
        <v>0</v>
      </c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412">
        <f>'AM340'!$S17</f>
        <v>0</v>
      </c>
      <c r="AS38" s="229"/>
      <c r="AT38" s="229"/>
      <c r="AU38" s="229"/>
      <c r="AV38" s="229"/>
      <c r="AW38" s="414">
        <f>ADD32G!$S17</f>
        <v>0</v>
      </c>
      <c r="AX38" s="414">
        <f>ADD32M!$S17</f>
        <v>0</v>
      </c>
      <c r="AY38" s="414">
        <f>ADD32R!$S17</f>
        <v>0</v>
      </c>
      <c r="AZ38" s="414">
        <f>ADM30G!$S17</f>
        <v>0</v>
      </c>
      <c r="BA38" s="414">
        <f>ADM30M!$S17</f>
        <v>0</v>
      </c>
      <c r="BB38" s="414">
        <f>ADM30R!$S17</f>
        <v>0</v>
      </c>
      <c r="BC38" s="229"/>
      <c r="BD38" s="415">
        <f>ADM45G!S17</f>
        <v>0</v>
      </c>
      <c r="BE38" s="415">
        <f>ADM45M!S17</f>
        <v>0</v>
      </c>
      <c r="BF38" s="415">
        <f>ADM45R!$S17</f>
        <v>0</v>
      </c>
      <c r="BG38" s="415">
        <f>ADD45G!S17</f>
        <v>0</v>
      </c>
      <c r="BH38" s="415">
        <f>ADD45M!S17</f>
        <v>0</v>
      </c>
      <c r="BI38" s="415">
        <f>ADD45R!$S17</f>
        <v>0</v>
      </c>
      <c r="BJ38" s="236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</row>
    <row r="39" spans="2:79" x14ac:dyDescent="0.25">
      <c r="B39" s="232" t="str">
        <f>Cen!A99</f>
        <v>Korpusové lišty 450mm, BLUMOTION, 65kg</v>
      </c>
      <c r="C39" s="232" t="str">
        <f>Cen!B99</f>
        <v>576.4501B</v>
      </c>
      <c r="D39" s="232" t="str">
        <f>Cen!C99</f>
        <v>ZN</v>
      </c>
      <c r="E39" s="551">
        <f>Cen!D99</f>
        <v>0</v>
      </c>
      <c r="F39" s="208">
        <f t="shared" si="0"/>
        <v>0</v>
      </c>
      <c r="G39" s="233">
        <f>Cen!F99</f>
        <v>22.021799999999999</v>
      </c>
      <c r="H39" s="234">
        <f t="shared" si="14"/>
        <v>0</v>
      </c>
      <c r="I39" s="250"/>
      <c r="J39" s="235">
        <f>Cen!I99</f>
        <v>6861652</v>
      </c>
      <c r="K39" s="235">
        <f>Cen!J99</f>
        <v>311001</v>
      </c>
      <c r="L39" s="230">
        <f t="shared" si="15"/>
        <v>0</v>
      </c>
      <c r="M39" s="434">
        <f t="shared" si="16"/>
        <v>0</v>
      </c>
      <c r="N39" s="229"/>
      <c r="O39" s="382">
        <f>'AM300'!$S18</f>
        <v>0</v>
      </c>
      <c r="P39" s="382">
        <f>'AK300'!$S18</f>
        <v>0</v>
      </c>
      <c r="Q39" s="382">
        <f>AM30V!$S18</f>
        <v>0</v>
      </c>
      <c r="R39" s="428">
        <f>AK30V!$S18</f>
        <v>0</v>
      </c>
      <c r="S39" s="229"/>
      <c r="T39" s="382">
        <f>AD310G!$S18</f>
        <v>0</v>
      </c>
      <c r="U39" s="382">
        <f>AD310M!$S18</f>
        <v>0</v>
      </c>
      <c r="V39" s="382">
        <f>AD310R!$S18</f>
        <v>0</v>
      </c>
      <c r="W39" s="382">
        <f>AD31VG!S18</f>
        <v>0</v>
      </c>
      <c r="X39" s="382">
        <f>AD31VM!$S18</f>
        <v>0</v>
      </c>
      <c r="Y39" s="382">
        <f>AD31VR!$S18</f>
        <v>0</v>
      </c>
      <c r="Z39" s="229"/>
      <c r="AA39" s="382">
        <f>AC310G!$S18</f>
        <v>0</v>
      </c>
      <c r="AB39" s="382">
        <f>AC310M!$S18</f>
        <v>0</v>
      </c>
      <c r="AC39" s="382">
        <f>AC310R!$S18</f>
        <v>0</v>
      </c>
      <c r="AD39" s="382">
        <f>AC31VG!$S18</f>
        <v>0</v>
      </c>
      <c r="AE39" s="382">
        <f>AC31VM!$S18</f>
        <v>0</v>
      </c>
      <c r="AF39" s="382">
        <f>AC31VR!$S18</f>
        <v>0</v>
      </c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36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415">
        <f>ADM45G!S18</f>
        <v>0</v>
      </c>
      <c r="BE39" s="415">
        <f>ADM45M!S18</f>
        <v>0</v>
      </c>
      <c r="BF39" s="415">
        <f>ADM45R!$S18</f>
        <v>0</v>
      </c>
      <c r="BG39" s="415">
        <f>ADD45G!S18</f>
        <v>0</v>
      </c>
      <c r="BH39" s="415">
        <f>ADD45M!S18</f>
        <v>0</v>
      </c>
      <c r="BI39" s="415">
        <f>ADD45R!$S18</f>
        <v>0</v>
      </c>
      <c r="BJ39" s="236"/>
      <c r="BK39" s="229"/>
      <c r="BL39" s="229"/>
      <c r="BM39" s="229"/>
      <c r="BN39" s="229"/>
      <c r="BO39" s="229"/>
      <c r="BP39" s="229"/>
      <c r="BQ39" s="229"/>
      <c r="BR39" s="229"/>
      <c r="BS39" s="229"/>
      <c r="BT39" s="229"/>
      <c r="BU39" s="229"/>
      <c r="BV39" s="229"/>
      <c r="BW39" s="229"/>
      <c r="BX39" s="229"/>
      <c r="BY39" s="229"/>
      <c r="BZ39" s="229"/>
      <c r="CA39" s="229"/>
    </row>
    <row r="40" spans="2:79" x14ac:dyDescent="0.25">
      <c r="B40" s="232" t="str">
        <f>Cen!A100</f>
        <v>Korpusové lišty 500mm, BLUMOTION, 30kg</v>
      </c>
      <c r="C40" s="232" t="str">
        <f>Cen!B100</f>
        <v>578.5001B</v>
      </c>
      <c r="D40" s="232" t="str">
        <f>Cen!C100</f>
        <v>ZN</v>
      </c>
      <c r="E40" s="551">
        <f>Cen!D100</f>
        <v>0</v>
      </c>
      <c r="F40" s="208">
        <f t="shared" si="0"/>
        <v>0</v>
      </c>
      <c r="G40" s="233">
        <f>Cen!F100</f>
        <v>15.919919999999999</v>
      </c>
      <c r="H40" s="234">
        <f t="shared" si="14"/>
        <v>0</v>
      </c>
      <c r="I40" s="250"/>
      <c r="J40" s="235">
        <f>Cen!I100</f>
        <v>8548489</v>
      </c>
      <c r="K40" s="235">
        <f>Cen!J100</f>
        <v>14304</v>
      </c>
      <c r="L40" s="230">
        <f t="shared" si="15"/>
        <v>0</v>
      </c>
      <c r="M40" s="434">
        <f t="shared" si="16"/>
        <v>0</v>
      </c>
      <c r="N40" s="376">
        <f>'AN300'!S19</f>
        <v>0</v>
      </c>
      <c r="O40" s="382">
        <f>'AM300'!$S19</f>
        <v>0</v>
      </c>
      <c r="P40" s="382">
        <f>'AK300'!$S19</f>
        <v>0</v>
      </c>
      <c r="Q40" s="382">
        <f>AM30V!$S19</f>
        <v>0</v>
      </c>
      <c r="R40" s="428">
        <f>AK30V!$S19</f>
        <v>0</v>
      </c>
      <c r="S40" s="229"/>
      <c r="T40" s="382">
        <f>AD310G!$S19</f>
        <v>0</v>
      </c>
      <c r="U40" s="382">
        <f>AD310M!$S19</f>
        <v>0</v>
      </c>
      <c r="V40" s="382">
        <f>AD310R!$S19</f>
        <v>0</v>
      </c>
      <c r="W40" s="382">
        <f>AD31VG!S19</f>
        <v>0</v>
      </c>
      <c r="X40" s="382">
        <f>AD31VM!$S19</f>
        <v>0</v>
      </c>
      <c r="Y40" s="382">
        <f>AD31VR!$S19</f>
        <v>0</v>
      </c>
      <c r="Z40" s="229"/>
      <c r="AA40" s="382">
        <f>AC310G!$S19</f>
        <v>0</v>
      </c>
      <c r="AB40" s="382">
        <f>AC310M!$S19</f>
        <v>0</v>
      </c>
      <c r="AC40" s="382">
        <f>AC310R!$S19</f>
        <v>0</v>
      </c>
      <c r="AD40" s="382">
        <f>AC31VG!$S19</f>
        <v>0</v>
      </c>
      <c r="AE40" s="382">
        <f>AC31VM!$S19</f>
        <v>0</v>
      </c>
      <c r="AF40" s="382">
        <f>AC31VR!$S19</f>
        <v>0</v>
      </c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412">
        <f>'AM340'!$S19</f>
        <v>0</v>
      </c>
      <c r="AS40" s="412">
        <f>AD342G!$S19</f>
        <v>0</v>
      </c>
      <c r="AT40" s="412">
        <f>AD342M!$S19</f>
        <v>0</v>
      </c>
      <c r="AU40" s="412">
        <f>AD342R!$S19</f>
        <v>0</v>
      </c>
      <c r="AV40" s="229"/>
      <c r="AW40" s="414">
        <f>ADD32G!$S19</f>
        <v>0</v>
      </c>
      <c r="AX40" s="414">
        <f>ADD32M!$S19</f>
        <v>0</v>
      </c>
      <c r="AY40" s="414">
        <f>ADD32R!$S19</f>
        <v>0</v>
      </c>
      <c r="AZ40" s="414">
        <f>ADM30G!$S19</f>
        <v>0</v>
      </c>
      <c r="BA40" s="414">
        <f>ADM30M!$S19</f>
        <v>0</v>
      </c>
      <c r="BB40" s="414">
        <f>ADM30R!$S19</f>
        <v>0</v>
      </c>
      <c r="BC40" s="229"/>
      <c r="BD40" s="415">
        <f>ADM45G!S19</f>
        <v>0</v>
      </c>
      <c r="BE40" s="415">
        <f>ADM45M!S19</f>
        <v>0</v>
      </c>
      <c r="BF40" s="415">
        <f>ADM45R!$S19</f>
        <v>0</v>
      </c>
      <c r="BG40" s="415">
        <f>ADD45G!S19</f>
        <v>0</v>
      </c>
      <c r="BH40" s="415">
        <f>ADD45M!S19</f>
        <v>0</v>
      </c>
      <c r="BI40" s="415">
        <f>ADD45R!$S19</f>
        <v>0</v>
      </c>
      <c r="BJ40" s="236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</row>
    <row r="41" spans="2:79" x14ac:dyDescent="0.25">
      <c r="B41" s="232" t="str">
        <f>Cen!A101</f>
        <v>Korpusové lišty 500mm, BLUMOTION, 65kg</v>
      </c>
      <c r="C41" s="232" t="str">
        <f>Cen!B101</f>
        <v>576.5001B</v>
      </c>
      <c r="D41" s="232" t="str">
        <f>Cen!C101</f>
        <v>ZN</v>
      </c>
      <c r="E41" s="551">
        <f>Cen!D101</f>
        <v>0</v>
      </c>
      <c r="F41" s="208">
        <f t="shared" si="0"/>
        <v>0</v>
      </c>
      <c r="G41" s="233">
        <f>Cen!F101</f>
        <v>24.51277</v>
      </c>
      <c r="H41" s="234">
        <f t="shared" si="14"/>
        <v>0</v>
      </c>
      <c r="I41" s="250"/>
      <c r="J41" s="235">
        <f>Cen!I101</f>
        <v>6861712</v>
      </c>
      <c r="K41" s="235">
        <f>Cen!J101</f>
        <v>310998</v>
      </c>
      <c r="L41" s="230">
        <f t="shared" si="15"/>
        <v>0</v>
      </c>
      <c r="M41" s="434">
        <f t="shared" si="16"/>
        <v>0</v>
      </c>
      <c r="N41" s="229"/>
      <c r="O41" s="382">
        <f>'AM300'!$S20</f>
        <v>0</v>
      </c>
      <c r="P41" s="382">
        <f>'AK300'!$S20</f>
        <v>0</v>
      </c>
      <c r="Q41" s="382">
        <f>AM30V!$S20</f>
        <v>0</v>
      </c>
      <c r="R41" s="428">
        <f>AK30V!$S20</f>
        <v>0</v>
      </c>
      <c r="S41" s="229"/>
      <c r="T41" s="382">
        <f>AD310G!$S20</f>
        <v>0</v>
      </c>
      <c r="U41" s="382">
        <f>AD310M!$S20</f>
        <v>0</v>
      </c>
      <c r="V41" s="382">
        <f>AD310R!$S20</f>
        <v>0</v>
      </c>
      <c r="W41" s="382">
        <f>AD31VG!S20</f>
        <v>0</v>
      </c>
      <c r="X41" s="382">
        <f>AD31VM!$S20</f>
        <v>0</v>
      </c>
      <c r="Y41" s="382">
        <f>AD31VR!$S20</f>
        <v>0</v>
      </c>
      <c r="Z41" s="229"/>
      <c r="AA41" s="382">
        <f>AC310G!$S20</f>
        <v>0</v>
      </c>
      <c r="AB41" s="382">
        <f>AC310M!$S20</f>
        <v>0</v>
      </c>
      <c r="AC41" s="382">
        <f>AC310R!$S20</f>
        <v>0</v>
      </c>
      <c r="AD41" s="382">
        <f>AC31VG!$S20</f>
        <v>0</v>
      </c>
      <c r="AE41" s="382">
        <f>AC31VM!$S20</f>
        <v>0</v>
      </c>
      <c r="AF41" s="382">
        <f>AC31VR!$S20</f>
        <v>0</v>
      </c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114"/>
      <c r="AS41" s="412">
        <f>AD342G!$S20</f>
        <v>0</v>
      </c>
      <c r="AT41" s="412">
        <f>AD342M!$S20</f>
        <v>0</v>
      </c>
      <c r="AU41" s="412">
        <f>AD342R!$S20</f>
        <v>0</v>
      </c>
      <c r="AV41" s="229"/>
      <c r="AW41" s="229"/>
      <c r="AX41" s="229"/>
      <c r="AY41" s="229"/>
      <c r="AZ41" s="229"/>
      <c r="BA41" s="229"/>
      <c r="BB41" s="229"/>
      <c r="BC41" s="229"/>
      <c r="BD41" s="415">
        <f>ADM45G!S20</f>
        <v>0</v>
      </c>
      <c r="BE41" s="415">
        <f>ADM45M!S20</f>
        <v>0</v>
      </c>
      <c r="BF41" s="415">
        <f>ADM45R!$S20</f>
        <v>0</v>
      </c>
      <c r="BG41" s="415">
        <f>ADD45G!S20</f>
        <v>0</v>
      </c>
      <c r="BH41" s="415">
        <f>ADD45M!S20</f>
        <v>0</v>
      </c>
      <c r="BI41" s="415">
        <f>ADD45R!$S20</f>
        <v>0</v>
      </c>
      <c r="BJ41" s="236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</row>
    <row r="42" spans="2:79" x14ac:dyDescent="0.25">
      <c r="B42" s="232" t="str">
        <f>Cen!A102</f>
        <v>Korpusové lišty 550mm, BLUMOTION, 30kg</v>
      </c>
      <c r="C42" s="232" t="str">
        <f>Cen!B102</f>
        <v>578.5501B</v>
      </c>
      <c r="D42" s="232" t="str">
        <f>Cen!C102</f>
        <v>ZN</v>
      </c>
      <c r="E42" s="551">
        <f>Cen!D102</f>
        <v>0</v>
      </c>
      <c r="F42" s="208">
        <f t="shared" si="0"/>
        <v>0</v>
      </c>
      <c r="G42" s="233">
        <f>Cen!F102</f>
        <v>17.614419999999999</v>
      </c>
      <c r="H42" s="234">
        <f t="shared" si="14"/>
        <v>0</v>
      </c>
      <c r="I42" s="250"/>
      <c r="J42" s="235">
        <f>Cen!I102</f>
        <v>8653566</v>
      </c>
      <c r="K42" s="235">
        <f>Cen!J102</f>
        <v>14305</v>
      </c>
      <c r="L42" s="230">
        <f t="shared" si="15"/>
        <v>0</v>
      </c>
      <c r="M42" s="434">
        <f t="shared" si="16"/>
        <v>0</v>
      </c>
      <c r="N42" s="376">
        <f>'AN300'!S21</f>
        <v>0</v>
      </c>
      <c r="O42" s="382">
        <f>'AM300'!$S21</f>
        <v>0</v>
      </c>
      <c r="P42" s="382">
        <f>'AK300'!$S21</f>
        <v>0</v>
      </c>
      <c r="Q42" s="382">
        <f>AM30V!$S21</f>
        <v>0</v>
      </c>
      <c r="R42" s="428">
        <f>AK30V!$S21</f>
        <v>0</v>
      </c>
      <c r="S42" s="229"/>
      <c r="T42" s="382">
        <f>AD310G!$S21</f>
        <v>0</v>
      </c>
      <c r="U42" s="382">
        <f>AD310M!$S21</f>
        <v>0</v>
      </c>
      <c r="V42" s="382">
        <f>AD310R!$S21</f>
        <v>0</v>
      </c>
      <c r="W42" s="382">
        <f>AD31VG!S21</f>
        <v>0</v>
      </c>
      <c r="X42" s="382">
        <f>AD31VM!$S21</f>
        <v>0</v>
      </c>
      <c r="Y42" s="382">
        <f>AD31VR!$S21</f>
        <v>0</v>
      </c>
      <c r="Z42" s="229"/>
      <c r="AA42" s="382">
        <f>AC310G!$S21</f>
        <v>0</v>
      </c>
      <c r="AB42" s="382">
        <f>AC310M!$S21</f>
        <v>0</v>
      </c>
      <c r="AC42" s="382">
        <f>AC310R!$S21</f>
        <v>0</v>
      </c>
      <c r="AD42" s="382">
        <f>AC31VG!$S21</f>
        <v>0</v>
      </c>
      <c r="AE42" s="382">
        <f>AC31VM!$S21</f>
        <v>0</v>
      </c>
      <c r="AF42" s="382">
        <f>AC31VR!$S21</f>
        <v>0</v>
      </c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412">
        <f>'AM340'!$S21</f>
        <v>0</v>
      </c>
      <c r="AS42" s="229"/>
      <c r="AT42" s="229"/>
      <c r="AU42" s="229"/>
      <c r="AV42" s="229"/>
      <c r="AW42" s="414">
        <f>ADD32G!$S21</f>
        <v>0</v>
      </c>
      <c r="AX42" s="414">
        <f>ADD32M!$S21</f>
        <v>0</v>
      </c>
      <c r="AY42" s="414">
        <f>ADD32R!$S21</f>
        <v>0</v>
      </c>
      <c r="AZ42" s="414">
        <f>ADM30G!$S21</f>
        <v>0</v>
      </c>
      <c r="BA42" s="414">
        <f>ADM30M!$S21</f>
        <v>0</v>
      </c>
      <c r="BB42" s="414">
        <f>ADM30R!$S21</f>
        <v>0</v>
      </c>
      <c r="BC42" s="229"/>
      <c r="BD42" s="415">
        <f>ADM45G!S21</f>
        <v>0</v>
      </c>
      <c r="BE42" s="415">
        <f>ADM45M!S21</f>
        <v>0</v>
      </c>
      <c r="BF42" s="415">
        <f>ADM45R!$S21</f>
        <v>0</v>
      </c>
      <c r="BG42" s="415">
        <f>ADD45G!S21</f>
        <v>0</v>
      </c>
      <c r="BH42" s="415">
        <f>ADD45M!S21</f>
        <v>0</v>
      </c>
      <c r="BI42" s="415">
        <f>ADD45R!$S21</f>
        <v>0</v>
      </c>
      <c r="BJ42" s="236"/>
      <c r="BK42" s="229"/>
      <c r="BL42" s="229"/>
      <c r="BM42" s="229"/>
      <c r="BN42" s="229"/>
      <c r="BO42" s="229"/>
      <c r="BP42" s="229"/>
      <c r="BQ42" s="229"/>
      <c r="BR42" s="229"/>
      <c r="BS42" s="229"/>
      <c r="BT42" s="229"/>
      <c r="BU42" s="229"/>
      <c r="BV42" s="229"/>
      <c r="BW42" s="229"/>
      <c r="BX42" s="229"/>
      <c r="BY42" s="229"/>
      <c r="BZ42" s="229"/>
      <c r="CA42" s="229"/>
    </row>
    <row r="43" spans="2:79" x14ac:dyDescent="0.25">
      <c r="B43" s="232" t="str">
        <f>Cen!A103</f>
        <v>Korpusové lišty 550mm, BLUMOTION, 65kg</v>
      </c>
      <c r="C43" s="232" t="str">
        <f>Cen!B103</f>
        <v>576.5501B</v>
      </c>
      <c r="D43" s="232" t="str">
        <f>Cen!C103</f>
        <v>ZN</v>
      </c>
      <c r="E43" s="551">
        <f>Cen!D103</f>
        <v>0</v>
      </c>
      <c r="F43" s="208">
        <f t="shared" si="0"/>
        <v>0</v>
      </c>
      <c r="G43" s="233">
        <f>Cen!F103</f>
        <v>23.000999999999998</v>
      </c>
      <c r="H43" s="234">
        <f t="shared" si="14"/>
        <v>0</v>
      </c>
      <c r="I43" s="250"/>
      <c r="J43" s="235">
        <f>Cen!I103</f>
        <v>6877115</v>
      </c>
      <c r="K43" s="235">
        <f>Cen!J103</f>
        <v>14382</v>
      </c>
      <c r="L43" s="230">
        <f t="shared" si="15"/>
        <v>0</v>
      </c>
      <c r="M43" s="434">
        <f t="shared" si="16"/>
        <v>0</v>
      </c>
      <c r="N43" s="229"/>
      <c r="O43" s="382">
        <f>'AM300'!$S22</f>
        <v>0</v>
      </c>
      <c r="P43" s="382">
        <f>'AK300'!$S22</f>
        <v>0</v>
      </c>
      <c r="Q43" s="382">
        <f>AM30V!$S22</f>
        <v>0</v>
      </c>
      <c r="R43" s="428">
        <f>AK30V!$S22</f>
        <v>0</v>
      </c>
      <c r="S43" s="229"/>
      <c r="T43" s="382">
        <f>AD310G!$S22</f>
        <v>0</v>
      </c>
      <c r="U43" s="382">
        <f>AD310M!$S22</f>
        <v>0</v>
      </c>
      <c r="V43" s="382">
        <f>AD310R!$S22</f>
        <v>0</v>
      </c>
      <c r="W43" s="382">
        <f>AD31VG!S22</f>
        <v>0</v>
      </c>
      <c r="X43" s="382">
        <f>AD31VM!$S22</f>
        <v>0</v>
      </c>
      <c r="Y43" s="382">
        <f>AD31VR!$S22</f>
        <v>0</v>
      </c>
      <c r="Z43" s="229"/>
      <c r="AA43" s="382">
        <f>AC310G!$S22</f>
        <v>0</v>
      </c>
      <c r="AB43" s="382">
        <f>AC310M!$S22</f>
        <v>0</v>
      </c>
      <c r="AC43" s="382">
        <f>AC310R!$S22</f>
        <v>0</v>
      </c>
      <c r="AD43" s="382">
        <f>AC31VG!$S22</f>
        <v>0</v>
      </c>
      <c r="AE43" s="382">
        <f>AC31VM!$S22</f>
        <v>0</v>
      </c>
      <c r="AF43" s="382">
        <f>AC31VR!$S22</f>
        <v>0</v>
      </c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415">
        <f>ADM45G!S22</f>
        <v>0</v>
      </c>
      <c r="BE43" s="415">
        <f>ADM45M!S22</f>
        <v>0</v>
      </c>
      <c r="BF43" s="415">
        <f>ADM45R!$S22</f>
        <v>0</v>
      </c>
      <c r="BG43" s="415">
        <f>ADD45G!S22</f>
        <v>0</v>
      </c>
      <c r="BH43" s="415">
        <f>ADD45M!S22</f>
        <v>0</v>
      </c>
      <c r="BI43" s="415">
        <f>ADD45R!$S22</f>
        <v>0</v>
      </c>
      <c r="BJ43" s="236"/>
      <c r="BK43" s="229"/>
      <c r="BL43" s="229"/>
      <c r="BM43" s="229"/>
      <c r="BN43" s="229"/>
      <c r="BO43" s="229"/>
      <c r="BP43" s="229"/>
      <c r="BQ43" s="229"/>
      <c r="BR43" s="229"/>
      <c r="BS43" s="229"/>
      <c r="BT43" s="229"/>
      <c r="BU43" s="229"/>
      <c r="BV43" s="229"/>
      <c r="BW43" s="229"/>
      <c r="BX43" s="229"/>
      <c r="BY43" s="229"/>
      <c r="BZ43" s="229"/>
      <c r="CA43" s="229"/>
    </row>
    <row r="44" spans="2:79" x14ac:dyDescent="0.25">
      <c r="B44" s="232" t="str">
        <f>Cen!A104</f>
        <v>Korpusové lišty 600mm, BLUMOTION, 30kg</v>
      </c>
      <c r="C44" s="232" t="str">
        <f>Cen!B104</f>
        <v>578.6001B</v>
      </c>
      <c r="D44" s="232" t="str">
        <f>Cen!C104</f>
        <v>ZN</v>
      </c>
      <c r="E44" s="551">
        <f>Cen!D104</f>
        <v>0</v>
      </c>
      <c r="F44" s="208">
        <f t="shared" si="0"/>
        <v>0</v>
      </c>
      <c r="G44" s="233">
        <f>Cen!F104</f>
        <v>20.570499999999996</v>
      </c>
      <c r="H44" s="234">
        <f t="shared" si="14"/>
        <v>0</v>
      </c>
      <c r="I44" s="250"/>
      <c r="J44" s="235">
        <f>Cen!I104</f>
        <v>8785467</v>
      </c>
      <c r="K44" s="235">
        <f>Cen!J104</f>
        <v>296178</v>
      </c>
      <c r="L44" s="230">
        <f t="shared" si="15"/>
        <v>0</v>
      </c>
      <c r="M44" s="434">
        <f t="shared" si="16"/>
        <v>0</v>
      </c>
      <c r="N44" s="229"/>
      <c r="O44" s="382">
        <f>'AM300'!$S23</f>
        <v>0</v>
      </c>
      <c r="P44" s="382">
        <f>'AK300'!$S23</f>
        <v>0</v>
      </c>
      <c r="Q44" s="382">
        <f>AM30V!$S23</f>
        <v>0</v>
      </c>
      <c r="R44" s="428">
        <f>AK30V!$S23</f>
        <v>0</v>
      </c>
      <c r="S44" s="229"/>
      <c r="T44" s="382">
        <f>AD310G!$S23</f>
        <v>0</v>
      </c>
      <c r="U44" s="382">
        <f>AD310M!$S23</f>
        <v>0</v>
      </c>
      <c r="V44" s="382">
        <f>AD310R!$S23</f>
        <v>0</v>
      </c>
      <c r="W44" s="382">
        <f>AD31VG!S23</f>
        <v>0</v>
      </c>
      <c r="X44" s="382">
        <f>AD31VM!$S23</f>
        <v>0</v>
      </c>
      <c r="Y44" s="382">
        <f>AD31VR!$S23</f>
        <v>0</v>
      </c>
      <c r="Z44" s="229"/>
      <c r="AA44" s="382">
        <f>AC310G!$S23</f>
        <v>0</v>
      </c>
      <c r="AB44" s="382">
        <f>AC310M!$S23</f>
        <v>0</v>
      </c>
      <c r="AC44" s="382">
        <f>AC310R!$S23</f>
        <v>0</v>
      </c>
      <c r="AD44" s="382">
        <f>AC31VG!$S23</f>
        <v>0</v>
      </c>
      <c r="AE44" s="382">
        <f>AC31VM!$S23</f>
        <v>0</v>
      </c>
      <c r="AF44" s="382">
        <f>AC31VR!$S23</f>
        <v>0</v>
      </c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414">
        <f>ADD32G!$S23</f>
        <v>0</v>
      </c>
      <c r="AX44" s="414">
        <f>ADD32M!$S23</f>
        <v>0</v>
      </c>
      <c r="AY44" s="414">
        <f>ADD32R!$S23</f>
        <v>0</v>
      </c>
      <c r="AZ44" s="414">
        <f>ADM30G!$S23</f>
        <v>0</v>
      </c>
      <c r="BA44" s="414">
        <f>ADM30M!$S23</f>
        <v>0</v>
      </c>
      <c r="BB44" s="414">
        <f>ADM30R!$S23</f>
        <v>0</v>
      </c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9"/>
      <c r="BQ44" s="229"/>
      <c r="BR44" s="229"/>
      <c r="BS44" s="229"/>
      <c r="BT44" s="229"/>
      <c r="BU44" s="229"/>
      <c r="BV44" s="229"/>
      <c r="BW44" s="229"/>
      <c r="BX44" s="229"/>
      <c r="BY44" s="229"/>
      <c r="BZ44" s="229"/>
      <c r="CA44" s="229"/>
    </row>
    <row r="45" spans="2:79" x14ac:dyDescent="0.25">
      <c r="B45" s="232" t="str">
        <f>Cen!A105</f>
        <v>Korpusové lišty 600mm, BLUMOTION, 65kg</v>
      </c>
      <c r="C45" s="232" t="str">
        <f>Cen!B105</f>
        <v>576.6001B</v>
      </c>
      <c r="D45" s="232" t="str">
        <f>Cen!C105</f>
        <v>ZN</v>
      </c>
      <c r="E45" s="551">
        <f>Cen!D105</f>
        <v>0</v>
      </c>
      <c r="F45" s="208">
        <f t="shared" si="0"/>
        <v>0</v>
      </c>
      <c r="G45" s="233">
        <f>Cen!F105</f>
        <v>25.957080000000001</v>
      </c>
      <c r="H45" s="234">
        <f t="shared" si="14"/>
        <v>0</v>
      </c>
      <c r="I45" s="250"/>
      <c r="J45" s="235">
        <f>Cen!I105</f>
        <v>6885191</v>
      </c>
      <c r="K45" s="235">
        <f>Cen!J105</f>
        <v>14383</v>
      </c>
      <c r="L45" s="230">
        <f t="shared" si="15"/>
        <v>0</v>
      </c>
      <c r="M45" s="434">
        <f t="shared" si="16"/>
        <v>0</v>
      </c>
      <c r="N45" s="229"/>
      <c r="O45" s="382">
        <f>'AM300'!$S24</f>
        <v>0</v>
      </c>
      <c r="P45" s="382">
        <f>'AK300'!$S24</f>
        <v>0</v>
      </c>
      <c r="Q45" s="382">
        <f>AM30V!$S24</f>
        <v>0</v>
      </c>
      <c r="R45" s="428">
        <f>AK30V!$S24</f>
        <v>0</v>
      </c>
      <c r="S45" s="229"/>
      <c r="T45" s="382">
        <f>AD310G!$S24</f>
        <v>0</v>
      </c>
      <c r="U45" s="382">
        <f>AD310M!$S24</f>
        <v>0</v>
      </c>
      <c r="V45" s="382">
        <f>AD310R!$S24</f>
        <v>0</v>
      </c>
      <c r="W45" s="382">
        <f>AD31VG!S24</f>
        <v>0</v>
      </c>
      <c r="X45" s="382">
        <f>AD31VM!$S24</f>
        <v>0</v>
      </c>
      <c r="Y45" s="382">
        <f>AD31VR!$S24</f>
        <v>0</v>
      </c>
      <c r="Z45" s="229"/>
      <c r="AA45" s="382">
        <f>AC310G!$S24</f>
        <v>0</v>
      </c>
      <c r="AB45" s="382">
        <f>AC310M!$S24</f>
        <v>0</v>
      </c>
      <c r="AC45" s="382">
        <f>AC310R!$S24</f>
        <v>0</v>
      </c>
      <c r="AD45" s="382">
        <f>AC31VG!$S24</f>
        <v>0</v>
      </c>
      <c r="AE45" s="382">
        <f>AC31VM!$S24</f>
        <v>0</v>
      </c>
      <c r="AF45" s="382">
        <f>AC31VR!$S24</f>
        <v>0</v>
      </c>
      <c r="AG45" s="229"/>
      <c r="AH45" s="404">
        <f>AM530S!$S24</f>
        <v>0</v>
      </c>
      <c r="AI45" s="404">
        <f>AD535SG!$S24</f>
        <v>0</v>
      </c>
      <c r="AJ45" s="404">
        <f>AD535SM!$S24</f>
        <v>0</v>
      </c>
      <c r="AK45" s="404">
        <f>AD535SR!$S24</f>
        <v>0</v>
      </c>
      <c r="AL45" s="229"/>
      <c r="AM45" s="404">
        <f>'AM530'!$S24</f>
        <v>0</v>
      </c>
      <c r="AN45" s="404">
        <f>AD535G!$S24</f>
        <v>0</v>
      </c>
      <c r="AO45" s="404">
        <f>AD535M!$S24</f>
        <v>0</v>
      </c>
      <c r="AP45" s="404">
        <f>AD535R!$S24</f>
        <v>0</v>
      </c>
      <c r="AQ45" s="229"/>
      <c r="AR45" s="229"/>
      <c r="AS45" s="229"/>
      <c r="AT45" s="229"/>
      <c r="AU45" s="229"/>
      <c r="AV45" s="229"/>
      <c r="AW45" s="114"/>
      <c r="AX45" s="114"/>
      <c r="AY45" s="114"/>
      <c r="AZ45" s="114"/>
      <c r="BA45" s="114"/>
      <c r="BB45" s="114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229"/>
      <c r="BP45" s="229"/>
      <c r="BQ45" s="229"/>
      <c r="BR45" s="229"/>
      <c r="BS45" s="229"/>
      <c r="BT45" s="229"/>
      <c r="BU45" s="229"/>
      <c r="BV45" s="229"/>
      <c r="BW45" s="229"/>
      <c r="BX45" s="229"/>
      <c r="BY45" s="229"/>
      <c r="BZ45" s="229"/>
      <c r="CA45" s="229"/>
    </row>
    <row r="46" spans="2:79" x14ac:dyDescent="0.25">
      <c r="B46" s="232" t="str">
        <f>Cen!A106</f>
        <v>Korpusové lišty 650mm, BLUMOTION, 65kg</v>
      </c>
      <c r="C46" s="232" t="str">
        <f>Cen!B106</f>
        <v>576.6501B</v>
      </c>
      <c r="D46" s="232" t="str">
        <f>Cen!C106</f>
        <v>ZN</v>
      </c>
      <c r="E46" s="551">
        <f>Cen!D106</f>
        <v>0</v>
      </c>
      <c r="F46" s="208">
        <f t="shared" si="0"/>
        <v>0</v>
      </c>
      <c r="G46" s="233">
        <f>Cen!F106</f>
        <v>26.813510000000001</v>
      </c>
      <c r="H46" s="234">
        <f t="shared" si="14"/>
        <v>0</v>
      </c>
      <c r="I46" s="250"/>
      <c r="J46" s="235">
        <f>Cen!I106</f>
        <v>6885499</v>
      </c>
      <c r="K46" s="235">
        <f>Cen!J106</f>
        <v>14384</v>
      </c>
      <c r="L46" s="230">
        <f t="shared" si="15"/>
        <v>0</v>
      </c>
      <c r="M46" s="434">
        <f t="shared" si="16"/>
        <v>0</v>
      </c>
      <c r="N46" s="229"/>
      <c r="O46" s="382">
        <f>'AM300'!$S25</f>
        <v>0</v>
      </c>
      <c r="P46" s="382">
        <f>'AK300'!$S25</f>
        <v>0</v>
      </c>
      <c r="Q46" s="382">
        <f>AM30V!$S25</f>
        <v>0</v>
      </c>
      <c r="R46" s="428">
        <f>AK30V!$S25</f>
        <v>0</v>
      </c>
      <c r="S46" s="229"/>
      <c r="T46" s="382">
        <f>AD310G!$S25</f>
        <v>0</v>
      </c>
      <c r="U46" s="382">
        <f>AD310M!$S25</f>
        <v>0</v>
      </c>
      <c r="V46" s="382">
        <f>AD310R!$S25</f>
        <v>0</v>
      </c>
      <c r="W46" s="382">
        <f>AD31VG!S25</f>
        <v>0</v>
      </c>
      <c r="X46" s="382">
        <f>AD31VM!$S25</f>
        <v>0</v>
      </c>
      <c r="Y46" s="382">
        <f>AD31VR!$S25</f>
        <v>0</v>
      </c>
      <c r="Z46" s="229"/>
      <c r="AA46" s="382">
        <f>AC310G!$S25</f>
        <v>0</v>
      </c>
      <c r="AB46" s="382">
        <f>AC310M!$S25</f>
        <v>0</v>
      </c>
      <c r="AC46" s="382">
        <f>AC310R!$S25</f>
        <v>0</v>
      </c>
      <c r="AD46" s="382">
        <f>AC31VG!$S25</f>
        <v>0</v>
      </c>
      <c r="AE46" s="382">
        <f>AC31VM!$S25</f>
        <v>0</v>
      </c>
      <c r="AF46" s="382">
        <f>AC31VR!$S25</f>
        <v>0</v>
      </c>
      <c r="AG46" s="229"/>
      <c r="AH46" s="404">
        <f>AM530S!$S25</f>
        <v>0</v>
      </c>
      <c r="AI46" s="404">
        <f>AD535SG!$S25</f>
        <v>0</v>
      </c>
      <c r="AJ46" s="404">
        <f>AD535SM!$S25</f>
        <v>0</v>
      </c>
      <c r="AK46" s="404">
        <f>AD535SR!$S25</f>
        <v>0</v>
      </c>
      <c r="AL46" s="229"/>
      <c r="AM46" s="404">
        <f>'AM530'!$S25</f>
        <v>0</v>
      </c>
      <c r="AN46" s="404">
        <f>AD535G!$S25</f>
        <v>0</v>
      </c>
      <c r="AO46" s="404">
        <f>AD535M!$S25</f>
        <v>0</v>
      </c>
      <c r="AP46" s="404">
        <f>AD535R!$S25</f>
        <v>0</v>
      </c>
      <c r="AQ46" s="229"/>
      <c r="AR46" s="229"/>
      <c r="AS46" s="229"/>
      <c r="AT46" s="229"/>
      <c r="AU46" s="229"/>
      <c r="AV46" s="229"/>
      <c r="AW46" s="414">
        <f>ADD32G!$S25</f>
        <v>0</v>
      </c>
      <c r="AX46" s="414">
        <f>ADD32M!$S25</f>
        <v>0</v>
      </c>
      <c r="AY46" s="414">
        <f>ADD32R!$S25</f>
        <v>0</v>
      </c>
      <c r="AZ46" s="414">
        <f>ADM30G!$S25</f>
        <v>0</v>
      </c>
      <c r="BA46" s="414">
        <f>ADM30M!$S25</f>
        <v>0</v>
      </c>
      <c r="BB46" s="560">
        <f>ADM30R!$S25</f>
        <v>0</v>
      </c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29"/>
      <c r="BQ46" s="229"/>
      <c r="BR46" s="229"/>
      <c r="BS46" s="229"/>
      <c r="BT46" s="229"/>
      <c r="BU46" s="229"/>
      <c r="BV46" s="229"/>
      <c r="BW46" s="229"/>
      <c r="BX46" s="229"/>
      <c r="BY46" s="229"/>
      <c r="BZ46" s="229"/>
      <c r="CA46" s="229"/>
    </row>
    <row r="47" spans="2:79" x14ac:dyDescent="0.25">
      <c r="B47" s="232" t="str">
        <f>Cen!A109</f>
        <v>Korp. lišty TIP-ON BLUMOTION, 270mm, 30 kg</v>
      </c>
      <c r="C47" s="232" t="str">
        <f>Cen!B109</f>
        <v>578.2701M</v>
      </c>
      <c r="D47" s="232" t="str">
        <f>Cen!C109</f>
        <v>ZN</v>
      </c>
      <c r="E47" s="551">
        <f>Cen!D109</f>
        <v>0</v>
      </c>
      <c r="F47" s="208">
        <f t="shared" si="0"/>
        <v>0</v>
      </c>
      <c r="G47" s="233">
        <f>Cen!F109</f>
        <v>16.390229999999999</v>
      </c>
      <c r="H47" s="234">
        <f t="shared" si="14"/>
        <v>0</v>
      </c>
      <c r="I47" s="250"/>
      <c r="J47" s="235">
        <f>Cen!I109</f>
        <v>9089187</v>
      </c>
      <c r="K47" s="235">
        <f>Cen!J109</f>
        <v>282109</v>
      </c>
      <c r="L47" s="230">
        <f t="shared" si="15"/>
        <v>0</v>
      </c>
      <c r="M47" s="434">
        <f t="shared" si="16"/>
        <v>0</v>
      </c>
      <c r="N47" s="229"/>
      <c r="O47" s="382">
        <f>'AM300'!$S26</f>
        <v>0</v>
      </c>
      <c r="P47" s="382">
        <f>'AK300'!$S26</f>
        <v>0</v>
      </c>
      <c r="Q47" s="382">
        <f>AM30V!$S26</f>
        <v>0</v>
      </c>
      <c r="R47" s="428">
        <f>AK30V!$S26</f>
        <v>0</v>
      </c>
      <c r="S47" s="229"/>
      <c r="T47" s="382">
        <f>AD310G!$S26</f>
        <v>0</v>
      </c>
      <c r="U47" s="382">
        <f>AD310M!$S26</f>
        <v>0</v>
      </c>
      <c r="V47" s="382">
        <f>AD310R!$S26</f>
        <v>0</v>
      </c>
      <c r="W47" s="382">
        <f>AD31VG!S26</f>
        <v>0</v>
      </c>
      <c r="X47" s="382">
        <f>AD31VM!$S26</f>
        <v>0</v>
      </c>
      <c r="Y47" s="382">
        <f>AD31VR!$S26</f>
        <v>0</v>
      </c>
      <c r="Z47" s="229"/>
      <c r="AA47" s="382">
        <f>AC310G!$S26</f>
        <v>0</v>
      </c>
      <c r="AB47" s="382">
        <f>AC310M!$S26</f>
        <v>0</v>
      </c>
      <c r="AC47" s="382">
        <f>AC310R!$S26</f>
        <v>0</v>
      </c>
      <c r="AD47" s="382">
        <f>AC31VG!$S26</f>
        <v>0</v>
      </c>
      <c r="AE47" s="382">
        <f>AC31VM!$S26</f>
        <v>0</v>
      </c>
      <c r="AF47" s="382">
        <f>AC31VR!$S26</f>
        <v>0</v>
      </c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29"/>
      <c r="BQ47" s="229"/>
      <c r="BR47" s="229"/>
      <c r="BS47" s="229"/>
      <c r="BT47" s="229"/>
      <c r="BU47" s="229"/>
      <c r="BV47" s="229"/>
      <c r="BW47" s="229"/>
      <c r="BX47" s="229"/>
      <c r="BY47" s="229"/>
      <c r="BZ47" s="229"/>
      <c r="CA47" s="229"/>
    </row>
    <row r="48" spans="2:79" x14ac:dyDescent="0.25">
      <c r="B48" s="232" t="str">
        <f>Cen!A110</f>
        <v>Korp. lišty TIP-ON BLUMOTION, 300mm, 30 kg</v>
      </c>
      <c r="C48" s="232" t="str">
        <f>Cen!B110</f>
        <v>578.3001M</v>
      </c>
      <c r="D48" s="232" t="str">
        <f>Cen!C110</f>
        <v>ZN</v>
      </c>
      <c r="E48" s="551">
        <f>Cen!D110</f>
        <v>0</v>
      </c>
      <c r="F48" s="208">
        <f t="shared" si="0"/>
        <v>0</v>
      </c>
      <c r="G48" s="233">
        <f>Cen!F110</f>
        <v>16.390229999999999</v>
      </c>
      <c r="H48" s="234">
        <f t="shared" si="14"/>
        <v>0</v>
      </c>
      <c r="I48" s="250"/>
      <c r="J48" s="235">
        <f>Cen!I110</f>
        <v>9106907</v>
      </c>
      <c r="K48" s="235">
        <f>Cen!J110</f>
        <v>282110</v>
      </c>
      <c r="L48" s="230">
        <f t="shared" si="15"/>
        <v>0</v>
      </c>
      <c r="M48" s="434">
        <f t="shared" si="16"/>
        <v>0</v>
      </c>
      <c r="N48" s="229"/>
      <c r="O48" s="382">
        <f>'AM300'!$S27</f>
        <v>0</v>
      </c>
      <c r="P48" s="382">
        <f>'AK300'!$S27</f>
        <v>0</v>
      </c>
      <c r="Q48" s="382">
        <f>AM30V!$S27</f>
        <v>0</v>
      </c>
      <c r="R48" s="428">
        <f>AK30V!$S27</f>
        <v>0</v>
      </c>
      <c r="S48" s="229"/>
      <c r="T48" s="382">
        <f>AD310G!$S27</f>
        <v>0</v>
      </c>
      <c r="U48" s="382">
        <f>AD310M!$S27</f>
        <v>0</v>
      </c>
      <c r="V48" s="382">
        <f>AD310R!$S27</f>
        <v>0</v>
      </c>
      <c r="W48" s="382">
        <f>AD31VG!S27</f>
        <v>0</v>
      </c>
      <c r="X48" s="382">
        <f>AD31VM!$S27</f>
        <v>0</v>
      </c>
      <c r="Y48" s="382">
        <f>AD31VR!$S27</f>
        <v>0</v>
      </c>
      <c r="Z48" s="229"/>
      <c r="AA48" s="382">
        <f>AC310G!$S27</f>
        <v>0</v>
      </c>
      <c r="AB48" s="382">
        <f>AC310M!$S27</f>
        <v>0</v>
      </c>
      <c r="AC48" s="382">
        <f>AC310R!$S27</f>
        <v>0</v>
      </c>
      <c r="AD48" s="382">
        <f>AC31VG!$S27</f>
        <v>0</v>
      </c>
      <c r="AE48" s="382">
        <f>AC31VM!$S27</f>
        <v>0</v>
      </c>
      <c r="AF48" s="382">
        <f>AC31VR!$S27</f>
        <v>0</v>
      </c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29"/>
      <c r="BY48" s="229"/>
      <c r="BZ48" s="229"/>
      <c r="CA48" s="229"/>
    </row>
    <row r="49" spans="2:79" x14ac:dyDescent="0.25">
      <c r="B49" s="232" t="str">
        <f>Cen!A111</f>
        <v>Korp. lišty TIP-ON BLUMOTION, 350mm, 30 kg</v>
      </c>
      <c r="C49" s="232" t="str">
        <f>Cen!B111</f>
        <v>578.3501M</v>
      </c>
      <c r="D49" s="232" t="str">
        <f>Cen!C111</f>
        <v>ZN</v>
      </c>
      <c r="E49" s="551">
        <f>Cen!D111</f>
        <v>0</v>
      </c>
      <c r="F49" s="208">
        <f t="shared" si="0"/>
        <v>0</v>
      </c>
      <c r="G49" s="233">
        <f>Cen!F111</f>
        <v>16.390229999999999</v>
      </c>
      <c r="H49" s="234">
        <f t="shared" si="14"/>
        <v>0</v>
      </c>
      <c r="I49" s="250"/>
      <c r="J49" s="235">
        <f>Cen!I111</f>
        <v>9139077</v>
      </c>
      <c r="K49" s="235">
        <f>Cen!J111</f>
        <v>282111</v>
      </c>
      <c r="L49" s="230">
        <f t="shared" si="15"/>
        <v>0</v>
      </c>
      <c r="M49" s="434">
        <f t="shared" si="16"/>
        <v>0</v>
      </c>
      <c r="N49" s="236"/>
      <c r="O49" s="382">
        <f>'AM300'!$S28</f>
        <v>0</v>
      </c>
      <c r="P49" s="382">
        <f>'AK300'!$S28</f>
        <v>0</v>
      </c>
      <c r="Q49" s="382">
        <f>AM30V!$S28</f>
        <v>0</v>
      </c>
      <c r="R49" s="428">
        <f>AK30V!$S28</f>
        <v>0</v>
      </c>
      <c r="S49" s="229"/>
      <c r="T49" s="382">
        <f>AD310G!$S28</f>
        <v>0</v>
      </c>
      <c r="U49" s="382">
        <f>AD310M!$S28</f>
        <v>0</v>
      </c>
      <c r="V49" s="382">
        <f>AD310R!$S28</f>
        <v>0</v>
      </c>
      <c r="W49" s="382">
        <f>AD31VG!S28</f>
        <v>0</v>
      </c>
      <c r="X49" s="382">
        <f>AD31VM!$S28</f>
        <v>0</v>
      </c>
      <c r="Y49" s="382">
        <f>AD31VR!$S28</f>
        <v>0</v>
      </c>
      <c r="Z49" s="229"/>
      <c r="AA49" s="382">
        <f>AC310G!$S28</f>
        <v>0</v>
      </c>
      <c r="AB49" s="382">
        <f>AC310M!$S28</f>
        <v>0</v>
      </c>
      <c r="AC49" s="382">
        <f>AC310R!$S28</f>
        <v>0</v>
      </c>
      <c r="AD49" s="382">
        <f>AC31VG!$S28</f>
        <v>0</v>
      </c>
      <c r="AE49" s="382">
        <f>AC31VM!$S28</f>
        <v>0</v>
      </c>
      <c r="AF49" s="382">
        <f>AC31VR!$S28</f>
        <v>0</v>
      </c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29"/>
      <c r="BR49" s="229"/>
      <c r="BS49" s="229"/>
      <c r="BT49" s="229"/>
      <c r="BU49" s="229"/>
      <c r="BV49" s="229"/>
      <c r="BW49" s="229"/>
      <c r="BX49" s="229"/>
      <c r="BY49" s="229"/>
      <c r="BZ49" s="229"/>
      <c r="CA49" s="229"/>
    </row>
    <row r="50" spans="2:79" x14ac:dyDescent="0.25">
      <c r="B50" s="232" t="str">
        <f>Cen!A112</f>
        <v>Korp. lišty TIP-ON BLUMOTION, 400mm, 30 kg</v>
      </c>
      <c r="C50" s="232" t="str">
        <f>Cen!B112</f>
        <v>578.4001M</v>
      </c>
      <c r="D50" s="232" t="str">
        <f>Cen!C112</f>
        <v>ZN</v>
      </c>
      <c r="E50" s="551">
        <f>Cen!D112</f>
        <v>0</v>
      </c>
      <c r="F50" s="208">
        <f t="shared" si="0"/>
        <v>0</v>
      </c>
      <c r="G50" s="233">
        <f>Cen!F112</f>
        <v>16.512820000000001</v>
      </c>
      <c r="H50" s="234">
        <f t="shared" si="14"/>
        <v>0</v>
      </c>
      <c r="I50" s="250"/>
      <c r="J50" s="235">
        <f>Cen!I112</f>
        <v>9182099</v>
      </c>
      <c r="K50" s="235">
        <f>Cen!J112</f>
        <v>282112</v>
      </c>
      <c r="L50" s="230">
        <f t="shared" si="15"/>
        <v>0</v>
      </c>
      <c r="M50" s="434">
        <f t="shared" si="16"/>
        <v>0</v>
      </c>
      <c r="N50" s="376">
        <f>'AN300'!S29</f>
        <v>0</v>
      </c>
      <c r="O50" s="382">
        <f>'AM300'!$S29</f>
        <v>0</v>
      </c>
      <c r="P50" s="382">
        <f>'AK300'!$S29</f>
        <v>0</v>
      </c>
      <c r="Q50" s="382">
        <f>AM30V!$S29</f>
        <v>0</v>
      </c>
      <c r="R50" s="428">
        <f>AK30V!$S29</f>
        <v>0</v>
      </c>
      <c r="S50" s="229"/>
      <c r="T50" s="382">
        <f>AD310G!$S29</f>
        <v>0</v>
      </c>
      <c r="U50" s="382">
        <f>AD310M!$S29</f>
        <v>0</v>
      </c>
      <c r="V50" s="382">
        <f>AD310R!$S29</f>
        <v>0</v>
      </c>
      <c r="W50" s="382">
        <f>AD31VG!S29</f>
        <v>0</v>
      </c>
      <c r="X50" s="382">
        <f>AD31VM!$S29</f>
        <v>0</v>
      </c>
      <c r="Y50" s="382">
        <f>AD31VR!$S29</f>
        <v>0</v>
      </c>
      <c r="Z50" s="229"/>
      <c r="AA50" s="382">
        <f>AC310G!$S29</f>
        <v>0</v>
      </c>
      <c r="AB50" s="382">
        <f>AC310M!$S29</f>
        <v>0</v>
      </c>
      <c r="AC50" s="382">
        <f>AC310R!$S29</f>
        <v>0</v>
      </c>
      <c r="AD50" s="382">
        <f>AC31VG!$S29</f>
        <v>0</v>
      </c>
      <c r="AE50" s="382">
        <f>AC31VM!$S29</f>
        <v>0</v>
      </c>
      <c r="AF50" s="382">
        <f>AC31VR!$S29</f>
        <v>0</v>
      </c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  <c r="CA50" s="229"/>
    </row>
    <row r="51" spans="2:79" x14ac:dyDescent="0.25">
      <c r="B51" s="232" t="str">
        <f>Cen!A113</f>
        <v>Korp. lišty TIP-ON BLUMOTION, 450mm, 30 kg</v>
      </c>
      <c r="C51" s="232" t="str">
        <f>Cen!B113</f>
        <v>578.4501M</v>
      </c>
      <c r="D51" s="232" t="str">
        <f>Cen!C113</f>
        <v>ZN</v>
      </c>
      <c r="E51" s="551">
        <f>Cen!D113</f>
        <v>0</v>
      </c>
      <c r="F51" s="208">
        <f t="shared" si="0"/>
        <v>0</v>
      </c>
      <c r="G51" s="233">
        <f>Cen!F113</f>
        <v>16.63541</v>
      </c>
      <c r="H51" s="234">
        <f t="shared" si="14"/>
        <v>0</v>
      </c>
      <c r="I51" s="250"/>
      <c r="J51" s="235">
        <f>Cen!I113</f>
        <v>9291634</v>
      </c>
      <c r="K51" s="235">
        <f>Cen!J113</f>
        <v>282113</v>
      </c>
      <c r="L51" s="230">
        <f t="shared" si="15"/>
        <v>0</v>
      </c>
      <c r="M51" s="434">
        <f t="shared" si="16"/>
        <v>0</v>
      </c>
      <c r="N51" s="376">
        <f>'AN300'!S30</f>
        <v>0</v>
      </c>
      <c r="O51" s="382">
        <f>'AM300'!$S30</f>
        <v>0</v>
      </c>
      <c r="P51" s="382">
        <f>'AK300'!$S30</f>
        <v>0</v>
      </c>
      <c r="Q51" s="382">
        <f>AM30V!$S30</f>
        <v>0</v>
      </c>
      <c r="R51" s="428">
        <f>AK30V!$S30</f>
        <v>0</v>
      </c>
      <c r="S51" s="229"/>
      <c r="T51" s="382">
        <f>AD310G!$S30</f>
        <v>0</v>
      </c>
      <c r="U51" s="382">
        <f>AD310M!$S30</f>
        <v>0</v>
      </c>
      <c r="V51" s="382">
        <f>AD310R!$S30</f>
        <v>0</v>
      </c>
      <c r="W51" s="382">
        <f>AD31VG!S30</f>
        <v>0</v>
      </c>
      <c r="X51" s="382">
        <f>AD31VM!$S30</f>
        <v>0</v>
      </c>
      <c r="Y51" s="382">
        <f>AD31VR!$S30</f>
        <v>0</v>
      </c>
      <c r="Z51" s="229"/>
      <c r="AA51" s="382">
        <f>AC310G!$S30</f>
        <v>0</v>
      </c>
      <c r="AB51" s="382">
        <f>AC310M!$S30</f>
        <v>0</v>
      </c>
      <c r="AC51" s="382">
        <f>AC310R!$S30</f>
        <v>0</v>
      </c>
      <c r="AD51" s="382">
        <f>AC31VG!$S30</f>
        <v>0</v>
      </c>
      <c r="AE51" s="382">
        <f>AC31VM!$S30</f>
        <v>0</v>
      </c>
      <c r="AF51" s="382">
        <f>AC31VR!$S30</f>
        <v>0</v>
      </c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415">
        <f>ADM45G!S30</f>
        <v>0</v>
      </c>
      <c r="BE51" s="415">
        <f>ADM45M!S30</f>
        <v>0</v>
      </c>
      <c r="BF51" s="415">
        <f>ADM45R!$S30</f>
        <v>0</v>
      </c>
      <c r="BG51" s="415">
        <f>ADD45G!S30</f>
        <v>0</v>
      </c>
      <c r="BH51" s="415">
        <f>ADD45M!S30</f>
        <v>0</v>
      </c>
      <c r="BI51" s="415">
        <f>ADD45R!$S30</f>
        <v>0</v>
      </c>
      <c r="BJ51" s="229"/>
      <c r="BK51" s="229"/>
      <c r="BL51" s="229"/>
      <c r="BM51" s="229"/>
      <c r="BN51" s="229"/>
      <c r="BO51" s="229"/>
      <c r="BP51" s="229"/>
      <c r="BQ51" s="229"/>
      <c r="BR51" s="229"/>
      <c r="BS51" s="229"/>
      <c r="BT51" s="229"/>
      <c r="BU51" s="229"/>
      <c r="BV51" s="229"/>
      <c r="BW51" s="229"/>
      <c r="BX51" s="229"/>
      <c r="BY51" s="229"/>
      <c r="BZ51" s="229"/>
      <c r="CA51" s="229"/>
    </row>
    <row r="52" spans="2:79" x14ac:dyDescent="0.25">
      <c r="B52" s="232" t="str">
        <f>Cen!A114</f>
        <v>Korp. lišty TIP-ON BLUMOTION, 450mm, 65 kg</v>
      </c>
      <c r="C52" s="232" t="str">
        <f>Cen!B114</f>
        <v>578.4501M</v>
      </c>
      <c r="D52" s="232" t="str">
        <f>Cen!C114</f>
        <v>ZN</v>
      </c>
      <c r="E52" s="551">
        <f>Cen!D114</f>
        <v>0</v>
      </c>
      <c r="F52" s="208">
        <f t="shared" si="0"/>
        <v>0</v>
      </c>
      <c r="G52" s="233">
        <f>Cen!F114</f>
        <v>22.021810000000002</v>
      </c>
      <c r="H52" s="234">
        <f t="shared" si="14"/>
        <v>0</v>
      </c>
      <c r="I52" s="250"/>
      <c r="J52" s="235">
        <f>Cen!I114</f>
        <v>6022202</v>
      </c>
      <c r="K52" s="235">
        <f>Cen!J114</f>
        <v>282117</v>
      </c>
      <c r="L52" s="230">
        <f t="shared" si="15"/>
        <v>0</v>
      </c>
      <c r="M52" s="434">
        <f t="shared" si="16"/>
        <v>0</v>
      </c>
      <c r="N52" s="236"/>
      <c r="O52" s="382">
        <f>'AM300'!$S31</f>
        <v>0</v>
      </c>
      <c r="P52" s="382">
        <f>'AK300'!$S31</f>
        <v>0</v>
      </c>
      <c r="Q52" s="382">
        <f>AM30V!$S31</f>
        <v>0</v>
      </c>
      <c r="R52" s="428">
        <f>AK30V!$S31</f>
        <v>0</v>
      </c>
      <c r="S52" s="229"/>
      <c r="T52" s="382">
        <f>AD310G!$S31</f>
        <v>0</v>
      </c>
      <c r="U52" s="382">
        <f>AD310M!$S31</f>
        <v>0</v>
      </c>
      <c r="V52" s="382">
        <f>AD310R!$S31</f>
        <v>0</v>
      </c>
      <c r="W52" s="382">
        <f>AD31VG!S31</f>
        <v>0</v>
      </c>
      <c r="X52" s="382">
        <f>AD31VM!$S31</f>
        <v>0</v>
      </c>
      <c r="Y52" s="382">
        <f>AD31VR!$S31</f>
        <v>0</v>
      </c>
      <c r="Z52" s="229"/>
      <c r="AA52" s="382">
        <f>AC310G!$S31</f>
        <v>0</v>
      </c>
      <c r="AB52" s="382">
        <f>AC310M!$S31</f>
        <v>0</v>
      </c>
      <c r="AC52" s="382">
        <f>AC310R!$S31</f>
        <v>0</v>
      </c>
      <c r="AD52" s="382">
        <f>AC31VG!$S31</f>
        <v>0</v>
      </c>
      <c r="AE52" s="382">
        <f>AC31VM!$S31</f>
        <v>0</v>
      </c>
      <c r="AF52" s="382">
        <f>AC31VR!$S31</f>
        <v>0</v>
      </c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415">
        <f>ADM45G!S31</f>
        <v>0</v>
      </c>
      <c r="BE52" s="415">
        <f>ADM45M!S31</f>
        <v>0</v>
      </c>
      <c r="BF52" s="415">
        <f>ADM45R!$S31</f>
        <v>0</v>
      </c>
      <c r="BG52" s="415">
        <f>ADD45G!S31</f>
        <v>0</v>
      </c>
      <c r="BH52" s="415">
        <f>ADD45M!S31</f>
        <v>0</v>
      </c>
      <c r="BI52" s="415">
        <f>ADD45R!$S31</f>
        <v>0</v>
      </c>
      <c r="BJ52" s="229"/>
      <c r="BK52" s="229"/>
      <c r="BL52" s="229"/>
      <c r="BM52" s="229"/>
      <c r="BN52" s="229"/>
      <c r="BO52" s="229"/>
      <c r="BP52" s="229"/>
      <c r="BQ52" s="229"/>
      <c r="BR52" s="229"/>
      <c r="BS52" s="229"/>
      <c r="BT52" s="229"/>
      <c r="BU52" s="229"/>
      <c r="BV52" s="229"/>
      <c r="BW52" s="229"/>
      <c r="BX52" s="229"/>
      <c r="BY52" s="229"/>
      <c r="BZ52" s="229"/>
      <c r="CA52" s="229"/>
    </row>
    <row r="53" spans="2:79" x14ac:dyDescent="0.25">
      <c r="B53" s="232" t="str">
        <f>Cen!A115</f>
        <v>Korp. lišty TIP-ON BLUMOTION, 500mm, 30 kg</v>
      </c>
      <c r="C53" s="232" t="str">
        <f>Cen!B115</f>
        <v>578.5001M</v>
      </c>
      <c r="D53" s="232" t="str">
        <f>Cen!C115</f>
        <v>ZN</v>
      </c>
      <c r="E53" s="551">
        <f>Cen!D115</f>
        <v>0</v>
      </c>
      <c r="F53" s="208">
        <f t="shared" si="0"/>
        <v>0</v>
      </c>
      <c r="G53" s="233">
        <f>Cen!F115</f>
        <v>16.757819999999999</v>
      </c>
      <c r="H53" s="234">
        <f t="shared" si="14"/>
        <v>0</v>
      </c>
      <c r="I53" s="250"/>
      <c r="J53" s="235">
        <f>Cen!I115</f>
        <v>9301459</v>
      </c>
      <c r="K53" s="235">
        <f>Cen!J115</f>
        <v>282114</v>
      </c>
      <c r="L53" s="230">
        <f t="shared" si="15"/>
        <v>0</v>
      </c>
      <c r="M53" s="434">
        <f t="shared" si="16"/>
        <v>0</v>
      </c>
      <c r="N53" s="376">
        <f>'AN300'!S32</f>
        <v>0</v>
      </c>
      <c r="O53" s="382">
        <f>'AM300'!$S32</f>
        <v>0</v>
      </c>
      <c r="P53" s="382">
        <f>'AK300'!$S32</f>
        <v>0</v>
      </c>
      <c r="Q53" s="382">
        <f>AM30V!$S32</f>
        <v>0</v>
      </c>
      <c r="R53" s="428">
        <f>AK30V!$S32</f>
        <v>0</v>
      </c>
      <c r="S53" s="229"/>
      <c r="T53" s="382">
        <f>AD310G!$S32</f>
        <v>0</v>
      </c>
      <c r="U53" s="382">
        <f>AD310M!$S32</f>
        <v>0</v>
      </c>
      <c r="V53" s="382">
        <f>AD310R!$S32</f>
        <v>0</v>
      </c>
      <c r="W53" s="382">
        <f>AD31VG!S32</f>
        <v>0</v>
      </c>
      <c r="X53" s="382">
        <f>AD31VM!$S32</f>
        <v>0</v>
      </c>
      <c r="Y53" s="382">
        <f>AD31VR!$S32</f>
        <v>0</v>
      </c>
      <c r="Z53" s="229"/>
      <c r="AA53" s="382">
        <f>AC310G!$S32</f>
        <v>0</v>
      </c>
      <c r="AB53" s="382">
        <f>AC310M!$S32</f>
        <v>0</v>
      </c>
      <c r="AC53" s="382">
        <f>AC310R!$S32</f>
        <v>0</v>
      </c>
      <c r="AD53" s="382">
        <f>AC31VG!$S32</f>
        <v>0</v>
      </c>
      <c r="AE53" s="382">
        <f>AC31VM!$S32</f>
        <v>0</v>
      </c>
      <c r="AF53" s="382">
        <f>AC31VR!$S32</f>
        <v>0</v>
      </c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412">
        <f>AD342G!$S32</f>
        <v>0</v>
      </c>
      <c r="AT53" s="412">
        <f>AD342M!$S32</f>
        <v>0</v>
      </c>
      <c r="AU53" s="412">
        <f>AD342R!$S32</f>
        <v>0</v>
      </c>
      <c r="AV53" s="229"/>
      <c r="AW53" s="229"/>
      <c r="AX53" s="229"/>
      <c r="AY53" s="229"/>
      <c r="AZ53" s="229"/>
      <c r="BA53" s="229"/>
      <c r="BB53" s="229"/>
      <c r="BC53" s="229"/>
      <c r="BD53" s="415">
        <f>ADM45G!S32</f>
        <v>0</v>
      </c>
      <c r="BE53" s="415">
        <f>ADM45M!S32</f>
        <v>0</v>
      </c>
      <c r="BF53" s="415">
        <f>ADM45R!$S32</f>
        <v>0</v>
      </c>
      <c r="BG53" s="415">
        <f>ADD45G!S32</f>
        <v>0</v>
      </c>
      <c r="BH53" s="415">
        <f>ADD45M!S32</f>
        <v>0</v>
      </c>
      <c r="BI53" s="415">
        <f>ADD45R!$S32</f>
        <v>0</v>
      </c>
      <c r="BJ53" s="229"/>
      <c r="BK53" s="229"/>
      <c r="BL53" s="229"/>
      <c r="BM53" s="229"/>
      <c r="BN53" s="229"/>
      <c r="BO53" s="229"/>
      <c r="BP53" s="229"/>
      <c r="BQ53" s="229"/>
      <c r="BR53" s="229"/>
      <c r="BS53" s="229"/>
      <c r="BT53" s="229"/>
      <c r="BU53" s="229"/>
      <c r="BV53" s="229"/>
      <c r="BW53" s="229"/>
      <c r="BX53" s="229"/>
      <c r="BY53" s="229"/>
      <c r="BZ53" s="229"/>
      <c r="CA53" s="229"/>
    </row>
    <row r="54" spans="2:79" x14ac:dyDescent="0.25">
      <c r="B54" s="232" t="str">
        <f>Cen!A116</f>
        <v>Korp. lišty TIP-ON BLUMOTION, 500mm, 65 kg</v>
      </c>
      <c r="C54" s="232" t="str">
        <f>Cen!B116</f>
        <v>576.5001M</v>
      </c>
      <c r="D54" s="232" t="str">
        <f>Cen!C116</f>
        <v>ZN</v>
      </c>
      <c r="E54" s="551">
        <f>Cen!D116</f>
        <v>0</v>
      </c>
      <c r="F54" s="208">
        <f t="shared" si="0"/>
        <v>0</v>
      </c>
      <c r="G54" s="233">
        <f>Cen!F116</f>
        <v>22.144390000000001</v>
      </c>
      <c r="H54" s="234">
        <f t="shared" si="14"/>
        <v>0</v>
      </c>
      <c r="I54" s="250"/>
      <c r="J54" s="235">
        <f>Cen!I116</f>
        <v>6028270</v>
      </c>
      <c r="K54" s="235">
        <f>Cen!J116</f>
        <v>282118</v>
      </c>
      <c r="L54" s="230">
        <f t="shared" si="15"/>
        <v>0</v>
      </c>
      <c r="M54" s="434">
        <f t="shared" si="16"/>
        <v>0</v>
      </c>
      <c r="N54" s="236"/>
      <c r="O54" s="382">
        <f>'AM300'!$S33</f>
        <v>0</v>
      </c>
      <c r="P54" s="382">
        <f>'AK300'!$S33</f>
        <v>0</v>
      </c>
      <c r="Q54" s="382">
        <f>AM30V!$S33</f>
        <v>0</v>
      </c>
      <c r="R54" s="428">
        <f>AK30V!$S33</f>
        <v>0</v>
      </c>
      <c r="S54" s="229"/>
      <c r="T54" s="382">
        <f>AD310G!$S33</f>
        <v>0</v>
      </c>
      <c r="U54" s="382">
        <f>AD310M!$S33</f>
        <v>0</v>
      </c>
      <c r="V54" s="382">
        <f>AD310R!$S33</f>
        <v>0</v>
      </c>
      <c r="W54" s="382">
        <f>AD31VG!S33</f>
        <v>0</v>
      </c>
      <c r="X54" s="382">
        <f>AD31VM!$S33</f>
        <v>0</v>
      </c>
      <c r="Y54" s="382">
        <f>AD31VR!$S33</f>
        <v>0</v>
      </c>
      <c r="Z54" s="229"/>
      <c r="AA54" s="382">
        <f>AC310G!$S33</f>
        <v>0</v>
      </c>
      <c r="AB54" s="382">
        <f>AC310M!$S33</f>
        <v>0</v>
      </c>
      <c r="AC54" s="382">
        <f>AC310R!$S33</f>
        <v>0</v>
      </c>
      <c r="AD54" s="382">
        <f>AC31VG!$S33</f>
        <v>0</v>
      </c>
      <c r="AE54" s="382">
        <f>AC31VM!$S33</f>
        <v>0</v>
      </c>
      <c r="AF54" s="382">
        <f>AC31VR!$S33</f>
        <v>0</v>
      </c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412">
        <f>AD342G!$S33</f>
        <v>0</v>
      </c>
      <c r="AT54" s="412">
        <f>AD342M!$S33</f>
        <v>0</v>
      </c>
      <c r="AU54" s="412">
        <f>AD342R!$S33</f>
        <v>0</v>
      </c>
      <c r="AV54" s="229"/>
      <c r="AW54" s="229"/>
      <c r="AX54" s="229"/>
      <c r="AY54" s="229"/>
      <c r="AZ54" s="229"/>
      <c r="BA54" s="229"/>
      <c r="BB54" s="229"/>
      <c r="BC54" s="229"/>
      <c r="BD54" s="415">
        <f>ADM45G!S33</f>
        <v>0</v>
      </c>
      <c r="BE54" s="415">
        <f>ADM45M!S33</f>
        <v>0</v>
      </c>
      <c r="BF54" s="415">
        <f>ADM45R!$S33</f>
        <v>0</v>
      </c>
      <c r="BG54" s="415">
        <f>ADD45G!S33</f>
        <v>0</v>
      </c>
      <c r="BH54" s="415">
        <f>ADD45M!S33</f>
        <v>0</v>
      </c>
      <c r="BI54" s="415">
        <f>ADD45R!$S33</f>
        <v>0</v>
      </c>
      <c r="BJ54" s="229"/>
      <c r="BK54" s="229"/>
      <c r="BL54" s="229"/>
      <c r="BM54" s="229"/>
      <c r="BN54" s="229"/>
      <c r="BO54" s="229"/>
      <c r="BP54" s="229"/>
      <c r="BQ54" s="229"/>
      <c r="BR54" s="229"/>
      <c r="BS54" s="229"/>
      <c r="BT54" s="229"/>
      <c r="BU54" s="229"/>
      <c r="BV54" s="229"/>
      <c r="BW54" s="229"/>
      <c r="BX54" s="229"/>
      <c r="BY54" s="229"/>
      <c r="BZ54" s="229"/>
      <c r="CA54" s="229"/>
    </row>
    <row r="55" spans="2:79" x14ac:dyDescent="0.25">
      <c r="B55" s="232" t="str">
        <f>Cen!A117</f>
        <v>Korp. lišty TIP-ON BLUMOTION, 550mm, 30 kg</v>
      </c>
      <c r="C55" s="232" t="str">
        <f>Cen!B117</f>
        <v>578.5501M</v>
      </c>
      <c r="D55" s="232" t="str">
        <f>Cen!C117</f>
        <v>ZN</v>
      </c>
      <c r="E55" s="551">
        <f>Cen!D117</f>
        <v>0</v>
      </c>
      <c r="F55" s="208">
        <f t="shared" si="0"/>
        <v>0</v>
      </c>
      <c r="G55" s="233">
        <f>Cen!F117</f>
        <v>17.614419999999999</v>
      </c>
      <c r="H55" s="234">
        <f t="shared" si="14"/>
        <v>0</v>
      </c>
      <c r="I55" s="250"/>
      <c r="J55" s="235">
        <f>Cen!I117</f>
        <v>9403708</v>
      </c>
      <c r="K55" s="235">
        <f>Cen!J117</f>
        <v>282115</v>
      </c>
      <c r="L55" s="230">
        <f t="shared" si="15"/>
        <v>0</v>
      </c>
      <c r="M55" s="434">
        <f t="shared" si="16"/>
        <v>0</v>
      </c>
      <c r="N55" s="376">
        <f>'AN300'!S34</f>
        <v>0</v>
      </c>
      <c r="O55" s="382">
        <f>'AM300'!$S34</f>
        <v>0</v>
      </c>
      <c r="P55" s="382">
        <f>'AK300'!$S34</f>
        <v>0</v>
      </c>
      <c r="Q55" s="382">
        <f>AM30V!$S34</f>
        <v>0</v>
      </c>
      <c r="R55" s="428">
        <f>AK30V!$S34</f>
        <v>0</v>
      </c>
      <c r="S55" s="229"/>
      <c r="T55" s="382">
        <f>AD310G!$S34</f>
        <v>0</v>
      </c>
      <c r="U55" s="382">
        <f>AD310M!$S34</f>
        <v>0</v>
      </c>
      <c r="V55" s="382">
        <f>AD310R!$S34</f>
        <v>0</v>
      </c>
      <c r="W55" s="382">
        <f>AD31VG!S34</f>
        <v>0</v>
      </c>
      <c r="X55" s="382">
        <f>AD31VM!$S34</f>
        <v>0</v>
      </c>
      <c r="Y55" s="382">
        <f>AD31VR!$S34</f>
        <v>0</v>
      </c>
      <c r="Z55" s="229"/>
      <c r="AA55" s="382">
        <f>AC310G!$S34</f>
        <v>0</v>
      </c>
      <c r="AB55" s="382">
        <f>AC310M!$S34</f>
        <v>0</v>
      </c>
      <c r="AC55" s="382">
        <f>AC310R!$S34</f>
        <v>0</v>
      </c>
      <c r="AD55" s="382">
        <f>AC31VG!$S34</f>
        <v>0</v>
      </c>
      <c r="AE55" s="382">
        <f>AC31VM!$S34</f>
        <v>0</v>
      </c>
      <c r="AF55" s="382">
        <f>AC31VR!$S34</f>
        <v>0</v>
      </c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415">
        <f>ADM45G!S34</f>
        <v>0</v>
      </c>
      <c r="BE55" s="415">
        <f>ADM45M!S34</f>
        <v>0</v>
      </c>
      <c r="BF55" s="415">
        <f>ADM45R!$S34</f>
        <v>0</v>
      </c>
      <c r="BG55" s="415">
        <f>ADD45G!S34</f>
        <v>0</v>
      </c>
      <c r="BH55" s="415">
        <f>ADD45M!S34</f>
        <v>0</v>
      </c>
      <c r="BI55" s="415">
        <f>ADD45R!$S34</f>
        <v>0</v>
      </c>
      <c r="BJ55" s="229"/>
      <c r="BK55" s="229"/>
      <c r="BL55" s="229"/>
      <c r="BM55" s="229"/>
      <c r="BN55" s="229"/>
      <c r="BO55" s="229"/>
      <c r="BP55" s="229"/>
      <c r="BQ55" s="229"/>
      <c r="BR55" s="229"/>
      <c r="BS55" s="229"/>
      <c r="BT55" s="229"/>
      <c r="BU55" s="229"/>
      <c r="BV55" s="229"/>
      <c r="BW55" s="229"/>
      <c r="BX55" s="229"/>
      <c r="BY55" s="229"/>
      <c r="BZ55" s="229"/>
      <c r="CA55" s="229"/>
    </row>
    <row r="56" spans="2:79" x14ac:dyDescent="0.25">
      <c r="B56" s="232" t="str">
        <f>Cen!A118</f>
        <v>Korp. lišty TIP-ON BLUMOTION, 550mm, 65 kg</v>
      </c>
      <c r="C56" s="232" t="str">
        <f>Cen!B118</f>
        <v>576.5501M</v>
      </c>
      <c r="D56" s="232" t="str">
        <f>Cen!C118</f>
        <v>ZN</v>
      </c>
      <c r="E56" s="551">
        <f>Cen!D118</f>
        <v>0</v>
      </c>
      <c r="F56" s="208">
        <f t="shared" si="0"/>
        <v>0</v>
      </c>
      <c r="G56" s="233">
        <f>Cen!F118</f>
        <v>23.000999999999998</v>
      </c>
      <c r="H56" s="234">
        <f t="shared" si="14"/>
        <v>0</v>
      </c>
      <c r="I56" s="250"/>
      <c r="J56" s="235">
        <f>Cen!I118</f>
        <v>6042877</v>
      </c>
      <c r="K56" s="235">
        <f>Cen!J118</f>
        <v>282119</v>
      </c>
      <c r="L56" s="230">
        <f t="shared" si="15"/>
        <v>0</v>
      </c>
      <c r="M56" s="434">
        <f t="shared" si="16"/>
        <v>0</v>
      </c>
      <c r="N56" s="229"/>
      <c r="O56" s="382">
        <f>'AM300'!$S35</f>
        <v>0</v>
      </c>
      <c r="P56" s="382">
        <f>'AK300'!$S35</f>
        <v>0</v>
      </c>
      <c r="Q56" s="382">
        <f>AM30V!$S35</f>
        <v>0</v>
      </c>
      <c r="R56" s="428">
        <f>AK30V!$S35</f>
        <v>0</v>
      </c>
      <c r="S56" s="229"/>
      <c r="T56" s="382">
        <f>AD310G!$S35</f>
        <v>0</v>
      </c>
      <c r="U56" s="382">
        <f>AD310M!$S35</f>
        <v>0</v>
      </c>
      <c r="V56" s="382">
        <f>AD310R!$S35</f>
        <v>0</v>
      </c>
      <c r="W56" s="382">
        <f>AD31VG!S35</f>
        <v>0</v>
      </c>
      <c r="X56" s="382">
        <f>AD31VM!$S35</f>
        <v>0</v>
      </c>
      <c r="Y56" s="382">
        <f>AD31VR!$S35</f>
        <v>0</v>
      </c>
      <c r="Z56" s="229"/>
      <c r="AA56" s="382">
        <f>AC310G!$S35</f>
        <v>0</v>
      </c>
      <c r="AB56" s="382">
        <f>AC310M!$S35</f>
        <v>0</v>
      </c>
      <c r="AC56" s="382">
        <f>AC310R!$S35</f>
        <v>0</v>
      </c>
      <c r="AD56" s="382">
        <f>AC31VG!$S35</f>
        <v>0</v>
      </c>
      <c r="AE56" s="382">
        <f>AC31VM!$S35</f>
        <v>0</v>
      </c>
      <c r="AF56" s="382">
        <f>AC31VR!$S35</f>
        <v>0</v>
      </c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415">
        <f>ADM45G!S35</f>
        <v>0</v>
      </c>
      <c r="BE56" s="415">
        <f>ADM45M!S35</f>
        <v>0</v>
      </c>
      <c r="BF56" s="415">
        <f>ADM45R!$S35</f>
        <v>0</v>
      </c>
      <c r="BG56" s="415">
        <f>ADD45G!S35</f>
        <v>0</v>
      </c>
      <c r="BH56" s="415">
        <f>ADD45M!S35</f>
        <v>0</v>
      </c>
      <c r="BI56" s="415">
        <f>ADD45R!$S35</f>
        <v>0</v>
      </c>
      <c r="BJ56" s="229"/>
      <c r="BK56" s="229"/>
      <c r="BL56" s="229"/>
      <c r="BM56" s="229"/>
      <c r="BN56" s="229"/>
      <c r="BO56" s="229"/>
      <c r="BP56" s="229"/>
      <c r="BQ56" s="229"/>
      <c r="BR56" s="229"/>
      <c r="BS56" s="229"/>
      <c r="BT56" s="229"/>
      <c r="BU56" s="229"/>
      <c r="BV56" s="229"/>
      <c r="BW56" s="229"/>
      <c r="BX56" s="229"/>
      <c r="BY56" s="229"/>
      <c r="BZ56" s="229"/>
      <c r="CA56" s="229"/>
    </row>
    <row r="57" spans="2:79" x14ac:dyDescent="0.25">
      <c r="B57" s="232" t="str">
        <f>Cen!A119</f>
        <v>Korp. lišty TIP-ON BLUMOTION, 600mm, 30 kg</v>
      </c>
      <c r="C57" s="232" t="str">
        <f>Cen!B119</f>
        <v>578.6001M</v>
      </c>
      <c r="D57" s="232" t="str">
        <f>Cen!C119</f>
        <v>ZN</v>
      </c>
      <c r="E57" s="551">
        <f>Cen!D119</f>
        <v>0</v>
      </c>
      <c r="F57" s="208">
        <f t="shared" si="0"/>
        <v>0</v>
      </c>
      <c r="G57" s="233">
        <f>Cen!F119</f>
        <v>20.570499999999996</v>
      </c>
      <c r="H57" s="234">
        <f t="shared" si="14"/>
        <v>0</v>
      </c>
      <c r="I57" s="250"/>
      <c r="J57" s="235">
        <f>Cen!I119</f>
        <v>9564207</v>
      </c>
      <c r="K57" s="235">
        <f>Cen!J119</f>
        <v>282116</v>
      </c>
      <c r="L57" s="230">
        <f t="shared" si="15"/>
        <v>0</v>
      </c>
      <c r="M57" s="434">
        <f t="shared" si="16"/>
        <v>0</v>
      </c>
      <c r="N57" s="229"/>
      <c r="O57" s="382">
        <f>'AM300'!$S36</f>
        <v>0</v>
      </c>
      <c r="P57" s="382">
        <f>'AK300'!$S36</f>
        <v>0</v>
      </c>
      <c r="Q57" s="382">
        <f>AM30V!$S36</f>
        <v>0</v>
      </c>
      <c r="R57" s="428">
        <f>AK30V!$S36</f>
        <v>0</v>
      </c>
      <c r="S57" s="229"/>
      <c r="T57" s="382">
        <f>AD310G!$S36</f>
        <v>0</v>
      </c>
      <c r="U57" s="382">
        <f>AD310M!$S36</f>
        <v>0</v>
      </c>
      <c r="V57" s="382">
        <f>AD310R!$S36</f>
        <v>0</v>
      </c>
      <c r="W57" s="382">
        <f>AD31VG!S36</f>
        <v>0</v>
      </c>
      <c r="X57" s="382">
        <f>AD31VM!$S36</f>
        <v>0</v>
      </c>
      <c r="Y57" s="382">
        <f>AD31VR!$S36</f>
        <v>0</v>
      </c>
      <c r="Z57" s="229"/>
      <c r="AA57" s="382">
        <f>AC310G!$S36</f>
        <v>0</v>
      </c>
      <c r="AB57" s="382">
        <f>AC310M!$S36</f>
        <v>0</v>
      </c>
      <c r="AC57" s="382">
        <f>AC310R!$S36</f>
        <v>0</v>
      </c>
      <c r="AD57" s="382">
        <f>AC31VG!$S36</f>
        <v>0</v>
      </c>
      <c r="AE57" s="382">
        <f>AC31VM!$S36</f>
        <v>0</v>
      </c>
      <c r="AF57" s="382">
        <f>AC31VR!$S36</f>
        <v>0</v>
      </c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29"/>
      <c r="BR57" s="229"/>
      <c r="BS57" s="229"/>
      <c r="BT57" s="229"/>
      <c r="BU57" s="229"/>
      <c r="BV57" s="229"/>
      <c r="BW57" s="229"/>
      <c r="BX57" s="229"/>
      <c r="BY57" s="229"/>
      <c r="BZ57" s="229"/>
      <c r="CA57" s="229"/>
    </row>
    <row r="58" spans="2:79" x14ac:dyDescent="0.25">
      <c r="B58" s="232" t="str">
        <f>Cen!A120</f>
        <v>Korp. lišty TIP-ON BLUMOTION, 600mm, 65 kg</v>
      </c>
      <c r="C58" s="232" t="str">
        <f>Cen!B120</f>
        <v>576.6001M</v>
      </c>
      <c r="D58" s="232" t="str">
        <f>Cen!C120</f>
        <v>ZN</v>
      </c>
      <c r="E58" s="551">
        <f>Cen!D120</f>
        <v>0</v>
      </c>
      <c r="F58" s="208">
        <f t="shared" si="0"/>
        <v>0</v>
      </c>
      <c r="G58" s="233">
        <f>Cen!F120</f>
        <v>25.957080000000001</v>
      </c>
      <c r="H58" s="234">
        <f t="shared" si="14"/>
        <v>0</v>
      </c>
      <c r="I58" s="250"/>
      <c r="J58" s="235">
        <f>Cen!I120</f>
        <v>6058115</v>
      </c>
      <c r="K58" s="235">
        <f>Cen!J120</f>
        <v>282120</v>
      </c>
      <c r="L58" s="230">
        <f t="shared" si="15"/>
        <v>0</v>
      </c>
      <c r="M58" s="434">
        <f t="shared" si="16"/>
        <v>0</v>
      </c>
      <c r="N58" s="229"/>
      <c r="O58" s="382">
        <f>'AM300'!$S37</f>
        <v>0</v>
      </c>
      <c r="P58" s="382">
        <f>'AK300'!$S37</f>
        <v>0</v>
      </c>
      <c r="Q58" s="382">
        <f>AM30V!$S37</f>
        <v>0</v>
      </c>
      <c r="R58" s="428">
        <f>AK30V!$S37</f>
        <v>0</v>
      </c>
      <c r="S58" s="229"/>
      <c r="T58" s="382">
        <f>AD310G!$S37</f>
        <v>0</v>
      </c>
      <c r="U58" s="382">
        <f>AD310M!$S37</f>
        <v>0</v>
      </c>
      <c r="V58" s="382">
        <f>AD310R!$S37</f>
        <v>0</v>
      </c>
      <c r="W58" s="382">
        <f>AD31VG!S37</f>
        <v>0</v>
      </c>
      <c r="X58" s="382">
        <f>AD31VM!$S37</f>
        <v>0</v>
      </c>
      <c r="Y58" s="382">
        <f>AD31VR!$S37</f>
        <v>0</v>
      </c>
      <c r="Z58" s="229"/>
      <c r="AA58" s="382">
        <f>AC310G!$S37</f>
        <v>0</v>
      </c>
      <c r="AB58" s="382">
        <f>AC310M!$S37</f>
        <v>0</v>
      </c>
      <c r="AC58" s="382">
        <f>AC310R!$S37</f>
        <v>0</v>
      </c>
      <c r="AD58" s="382">
        <f>AC31VG!$S37</f>
        <v>0</v>
      </c>
      <c r="AE58" s="382">
        <f>AC31VM!$S37</f>
        <v>0</v>
      </c>
      <c r="AF58" s="382">
        <f>AC31VR!$S37</f>
        <v>0</v>
      </c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229"/>
      <c r="BD58" s="229"/>
      <c r="BE58" s="229"/>
      <c r="BF58" s="229"/>
      <c r="BG58" s="229"/>
      <c r="BH58" s="229"/>
      <c r="BI58" s="229"/>
      <c r="BJ58" s="229"/>
      <c r="BK58" s="229"/>
      <c r="BL58" s="229"/>
      <c r="BM58" s="229"/>
      <c r="BN58" s="229"/>
      <c r="BO58" s="229"/>
      <c r="BP58" s="229"/>
      <c r="BQ58" s="229"/>
      <c r="BR58" s="229"/>
      <c r="BS58" s="229"/>
      <c r="BT58" s="229"/>
      <c r="BU58" s="229"/>
      <c r="BV58" s="229"/>
      <c r="BW58" s="229"/>
      <c r="BX58" s="229"/>
      <c r="BY58" s="229"/>
      <c r="BZ58" s="229"/>
      <c r="CA58" s="229"/>
    </row>
    <row r="59" spans="2:79" x14ac:dyDescent="0.25">
      <c r="B59" s="232" t="str">
        <f>Cen!A121</f>
        <v>Korp. lišty TIP-ON BLUMOTION, 650mm, 65 kg</v>
      </c>
      <c r="C59" s="232" t="str">
        <f>Cen!B121</f>
        <v>576.6501M</v>
      </c>
      <c r="D59" s="232" t="str">
        <f>Cen!C121</f>
        <v>ZN</v>
      </c>
      <c r="E59" s="551">
        <f>Cen!D121</f>
        <v>0</v>
      </c>
      <c r="F59" s="208">
        <f t="shared" si="0"/>
        <v>0</v>
      </c>
      <c r="G59" s="233">
        <f>Cen!F121</f>
        <v>26.813510000000001</v>
      </c>
      <c r="H59" s="234">
        <f t="shared" si="14"/>
        <v>0</v>
      </c>
      <c r="I59" s="250"/>
      <c r="J59" s="235">
        <f>Cen!I121</f>
        <v>6063496</v>
      </c>
      <c r="K59" s="235">
        <f>Cen!J121</f>
        <v>282121</v>
      </c>
      <c r="L59" s="230">
        <f t="shared" si="15"/>
        <v>0</v>
      </c>
      <c r="M59" s="434">
        <f t="shared" si="16"/>
        <v>0</v>
      </c>
      <c r="N59" s="229"/>
      <c r="O59" s="382">
        <f>'AM300'!$S38</f>
        <v>0</v>
      </c>
      <c r="P59" s="382">
        <f>'AK300'!$S38</f>
        <v>0</v>
      </c>
      <c r="Q59" s="382">
        <f>AM30V!$S38</f>
        <v>0</v>
      </c>
      <c r="R59" s="428">
        <f>AK30V!$S38</f>
        <v>0</v>
      </c>
      <c r="S59" s="229"/>
      <c r="T59" s="382">
        <f>AD310G!$S38</f>
        <v>0</v>
      </c>
      <c r="U59" s="382">
        <f>AD310M!$S38</f>
        <v>0</v>
      </c>
      <c r="V59" s="382">
        <f>AD310R!$S38</f>
        <v>0</v>
      </c>
      <c r="W59" s="382">
        <f>AD31VG!S38</f>
        <v>0</v>
      </c>
      <c r="X59" s="382">
        <f>AD31VM!$S38</f>
        <v>0</v>
      </c>
      <c r="Y59" s="382">
        <f>AD31VR!$S38</f>
        <v>0</v>
      </c>
      <c r="Z59" s="229"/>
      <c r="AA59" s="382">
        <f>AC310G!$S38</f>
        <v>0</v>
      </c>
      <c r="AB59" s="382">
        <f>AC310M!$S38</f>
        <v>0</v>
      </c>
      <c r="AC59" s="382">
        <f>AC310R!$S38</f>
        <v>0</v>
      </c>
      <c r="AD59" s="382">
        <f>AC31VG!$S38</f>
        <v>0</v>
      </c>
      <c r="AE59" s="382">
        <f>AC31VM!$S38</f>
        <v>0</v>
      </c>
      <c r="AF59" s="382">
        <f>AC31VR!$S38</f>
        <v>0</v>
      </c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29"/>
      <c r="BI59" s="229"/>
      <c r="BJ59" s="229"/>
      <c r="BK59" s="229"/>
      <c r="BL59" s="229"/>
      <c r="BM59" s="229"/>
      <c r="BN59" s="229"/>
      <c r="BO59" s="229"/>
      <c r="BP59" s="229"/>
      <c r="BQ59" s="229"/>
      <c r="BR59" s="229"/>
      <c r="BS59" s="229"/>
      <c r="BT59" s="229"/>
      <c r="BU59" s="229"/>
      <c r="BV59" s="229"/>
      <c r="BW59" s="229"/>
      <c r="BX59" s="229"/>
      <c r="BY59" s="229"/>
      <c r="BZ59" s="229"/>
      <c r="CA59" s="229"/>
    </row>
    <row r="60" spans="2:79" x14ac:dyDescent="0.25">
      <c r="B60" s="232"/>
      <c r="C60" s="232"/>
      <c r="D60" s="232"/>
      <c r="E60" s="551"/>
      <c r="F60" s="208">
        <f t="shared" si="0"/>
        <v>0</v>
      </c>
      <c r="G60" s="233"/>
      <c r="H60" s="234"/>
      <c r="I60" s="235"/>
      <c r="J60" s="235"/>
      <c r="K60" s="235"/>
      <c r="L60" s="230">
        <f t="shared" si="15"/>
        <v>0</v>
      </c>
      <c r="M60" s="434">
        <f t="shared" si="16"/>
        <v>0</v>
      </c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29"/>
      <c r="BV60" s="229"/>
      <c r="BW60" s="229"/>
      <c r="BX60" s="229"/>
      <c r="BY60" s="229"/>
      <c r="BZ60" s="229"/>
      <c r="CA60" s="229"/>
    </row>
    <row r="61" spans="2:79" x14ac:dyDescent="0.25">
      <c r="B61" s="232" t="str">
        <f>Cen!A143</f>
        <v>Držáky zadní stěny N, šedé</v>
      </c>
      <c r="C61" s="232" t="str">
        <f>Cen!B143</f>
        <v>Z30N000S.04</v>
      </c>
      <c r="D61" s="232" t="str">
        <f>Cen!C143</f>
        <v>R906</v>
      </c>
      <c r="E61" s="551">
        <f>Cen!D143</f>
        <v>0</v>
      </c>
      <c r="F61" s="208">
        <f t="shared" si="0"/>
        <v>0</v>
      </c>
      <c r="G61" s="233">
        <f>Cen!F143</f>
        <v>1.4347399999999999</v>
      </c>
      <c r="H61" s="234">
        <f t="shared" ref="H61:H77" si="17">M61</f>
        <v>0</v>
      </c>
      <c r="I61" s="250"/>
      <c r="J61" s="235">
        <f>Cen!I143</f>
        <v>5823334</v>
      </c>
      <c r="K61" s="235">
        <f>Cen!J143</f>
        <v>202540</v>
      </c>
      <c r="L61" s="230">
        <f t="shared" ref="L61:L77" si="18">IF(I61="x",0,IF(I61&gt;0,I61,F61))</f>
        <v>0</v>
      </c>
      <c r="M61" s="434">
        <f t="shared" ref="M61:M77" si="19">PRODUCT(L61,G61)</f>
        <v>0</v>
      </c>
      <c r="N61" s="231">
        <f>'AN300'!$S52</f>
        <v>0</v>
      </c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231">
        <f>AD342G!$S52</f>
        <v>0</v>
      </c>
      <c r="AT61" s="231">
        <f>AD342M!$S52</f>
        <v>0</v>
      </c>
      <c r="AU61" s="231">
        <f>AD342R!$S52</f>
        <v>0</v>
      </c>
      <c r="AV61" s="229"/>
      <c r="AW61" s="229"/>
      <c r="AX61" s="229"/>
      <c r="AY61" s="229"/>
      <c r="AZ61" s="229"/>
      <c r="BA61" s="229"/>
      <c r="BB61" s="229"/>
      <c r="BC61" s="229"/>
      <c r="BD61" s="229"/>
      <c r="BE61" s="229"/>
      <c r="BF61" s="229"/>
      <c r="BG61" s="229"/>
      <c r="BH61" s="229"/>
      <c r="BI61" s="229"/>
      <c r="BJ61" s="229"/>
      <c r="BK61" s="229"/>
      <c r="BL61" s="229"/>
      <c r="BM61" s="229"/>
      <c r="BN61" s="229"/>
      <c r="BO61" s="229"/>
      <c r="BP61" s="229"/>
      <c r="BQ61" s="229"/>
      <c r="BR61" s="229"/>
      <c r="BS61" s="229"/>
      <c r="BT61" s="229"/>
      <c r="BU61" s="229"/>
      <c r="BV61" s="229"/>
      <c r="BW61" s="229"/>
      <c r="BX61" s="229"/>
      <c r="BY61" s="229"/>
      <c r="BZ61" s="229"/>
      <c r="CA61" s="229"/>
    </row>
    <row r="62" spans="2:79" x14ac:dyDescent="0.25">
      <c r="B62" s="237" t="str">
        <f>Cen!A147</f>
        <v>Držáky zadní stěny M, šedé</v>
      </c>
      <c r="C62" s="237" t="str">
        <f>Cen!B147</f>
        <v>Z30M000S.04</v>
      </c>
      <c r="D62" s="237" t="str">
        <f>Cen!C147</f>
        <v>R906</v>
      </c>
      <c r="E62" s="553">
        <f>Cen!D147</f>
        <v>0</v>
      </c>
      <c r="F62" s="208">
        <f t="shared" si="0"/>
        <v>0</v>
      </c>
      <c r="G62" s="233">
        <f>Cen!F147</f>
        <v>1.59188</v>
      </c>
      <c r="H62" s="234">
        <f t="shared" si="17"/>
        <v>0</v>
      </c>
      <c r="I62" s="250"/>
      <c r="J62" s="235">
        <f>Cen!I147</f>
        <v>4114541</v>
      </c>
      <c r="K62" s="235">
        <f>Cen!J147</f>
        <v>202542</v>
      </c>
      <c r="L62" s="230">
        <f t="shared" si="18"/>
        <v>0</v>
      </c>
      <c r="M62" s="434">
        <f t="shared" si="19"/>
        <v>0</v>
      </c>
      <c r="N62" s="236"/>
      <c r="O62" s="231">
        <f>'AM300'!$S53</f>
        <v>0</v>
      </c>
      <c r="P62" s="229"/>
      <c r="Q62" s="231">
        <f>AM30V!$S53</f>
        <v>0</v>
      </c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  <c r="AQ62" s="229"/>
      <c r="AR62" s="231">
        <f>'AM340'!$S53</f>
        <v>0</v>
      </c>
      <c r="AS62" s="229"/>
      <c r="AT62" s="229"/>
      <c r="AU62" s="229"/>
      <c r="AV62" s="229"/>
      <c r="AW62" s="229"/>
      <c r="AX62" s="229"/>
      <c r="AY62" s="229"/>
      <c r="AZ62" s="231">
        <f>ADM30G!$S53</f>
        <v>0</v>
      </c>
      <c r="BA62" s="231">
        <f>ADM30M!$S53</f>
        <v>0</v>
      </c>
      <c r="BB62" s="231">
        <f>ADM30R!$S55</f>
        <v>0</v>
      </c>
      <c r="BC62" s="229"/>
      <c r="BD62" s="231">
        <f>ADM45G!S53</f>
        <v>0</v>
      </c>
      <c r="BE62" s="231">
        <f>ADM45M!S53</f>
        <v>0</v>
      </c>
      <c r="BF62" s="231">
        <f>ADM45R!$S53</f>
        <v>0</v>
      </c>
      <c r="BG62" s="229"/>
      <c r="BH62" s="229"/>
      <c r="BI62" s="229"/>
      <c r="BJ62" s="229"/>
      <c r="BK62" s="229"/>
      <c r="BL62" s="229"/>
      <c r="BM62" s="229"/>
      <c r="BN62" s="229"/>
      <c r="BO62" s="229"/>
      <c r="BP62" s="229"/>
      <c r="BQ62" s="229"/>
      <c r="BR62" s="229"/>
      <c r="BS62" s="229"/>
      <c r="BT62" s="229"/>
      <c r="BU62" s="229"/>
      <c r="BV62" s="229"/>
      <c r="BW62" s="229"/>
      <c r="BX62" s="229"/>
      <c r="BY62" s="229"/>
      <c r="BZ62" s="236"/>
      <c r="CA62" s="229"/>
    </row>
    <row r="63" spans="2:79" x14ac:dyDescent="0.25">
      <c r="B63" s="237" t="str">
        <f>Cen!A151</f>
        <v>Držáky zadní stěny K, šedé</v>
      </c>
      <c r="C63" s="237" t="str">
        <f>Cen!B151</f>
        <v>Z30K000S</v>
      </c>
      <c r="D63" s="237" t="str">
        <f>Cen!C151</f>
        <v>R906</v>
      </c>
      <c r="E63" s="553">
        <f>Cen!D151</f>
        <v>0</v>
      </c>
      <c r="F63" s="208">
        <f t="shared" si="0"/>
        <v>0</v>
      </c>
      <c r="G63" s="233">
        <f>Cen!F151</f>
        <v>2.4067799999999999</v>
      </c>
      <c r="H63" s="234">
        <f t="shared" si="17"/>
        <v>0</v>
      </c>
      <c r="I63" s="250"/>
      <c r="J63" s="235">
        <f>Cen!I151</f>
        <v>9406204</v>
      </c>
      <c r="K63" s="235">
        <f>Cen!J151</f>
        <v>245359</v>
      </c>
      <c r="L63" s="230">
        <f t="shared" si="18"/>
        <v>0</v>
      </c>
      <c r="M63" s="434">
        <f t="shared" si="19"/>
        <v>0</v>
      </c>
      <c r="N63" s="229"/>
      <c r="O63" s="229"/>
      <c r="P63" s="231">
        <f>'AK300'!$S54</f>
        <v>0</v>
      </c>
      <c r="Q63" s="229"/>
      <c r="R63" s="231">
        <f>AK30V!$S54</f>
        <v>0</v>
      </c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38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29"/>
      <c r="BE63" s="229"/>
      <c r="BF63" s="229"/>
      <c r="BG63" s="229"/>
      <c r="BH63" s="229"/>
      <c r="BI63" s="229"/>
      <c r="BJ63" s="229"/>
      <c r="BK63" s="229"/>
      <c r="BL63" s="229"/>
      <c r="BM63" s="229"/>
      <c r="BN63" s="229"/>
      <c r="BO63" s="229"/>
      <c r="BP63" s="229"/>
      <c r="BQ63" s="229"/>
      <c r="BR63" s="229"/>
      <c r="BS63" s="229"/>
      <c r="BT63" s="229"/>
      <c r="BU63" s="229"/>
      <c r="BV63" s="229"/>
      <c r="BW63" s="229"/>
      <c r="BX63" s="229"/>
      <c r="BY63" s="229"/>
      <c r="BZ63" s="236"/>
      <c r="CA63" s="229"/>
    </row>
    <row r="64" spans="2:79" x14ac:dyDescent="0.25">
      <c r="B64" s="237" t="str">
        <f>Cen!A154</f>
        <v>Držáky zadní stěny B, šedé</v>
      </c>
      <c r="C64" s="237" t="str">
        <f>Cen!B154</f>
        <v>Z30B000S.04</v>
      </c>
      <c r="D64" s="237" t="str">
        <f>Cen!C154</f>
        <v>R906</v>
      </c>
      <c r="E64" s="553">
        <f>Cen!D154</f>
        <v>0</v>
      </c>
      <c r="F64" s="208">
        <f t="shared" si="0"/>
        <v>0</v>
      </c>
      <c r="G64" s="233">
        <f>Cen!F154</f>
        <v>1.74017</v>
      </c>
      <c r="H64" s="234">
        <f t="shared" si="17"/>
        <v>0</v>
      </c>
      <c r="I64" s="250"/>
      <c r="J64" s="235">
        <f>Cen!I154</f>
        <v>1071721</v>
      </c>
      <c r="K64" s="235">
        <f>Cen!J154</f>
        <v>202546</v>
      </c>
      <c r="L64" s="230">
        <f t="shared" si="18"/>
        <v>0</v>
      </c>
      <c r="M64" s="434">
        <f t="shared" si="19"/>
        <v>0</v>
      </c>
      <c r="N64" s="229"/>
      <c r="O64" s="229"/>
      <c r="P64" s="236"/>
      <c r="Q64" s="236"/>
      <c r="R64" s="236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29"/>
      <c r="BR64" s="229"/>
      <c r="BS64" s="229"/>
      <c r="BT64" s="229"/>
      <c r="BU64" s="229"/>
      <c r="BV64" s="229"/>
      <c r="BW64" s="229"/>
      <c r="BX64" s="229"/>
      <c r="BY64" s="231">
        <f>Acs!E3</f>
        <v>0</v>
      </c>
      <c r="BZ64" s="236"/>
      <c r="CA64" s="229"/>
    </row>
    <row r="65" spans="2:79" x14ac:dyDescent="0.25">
      <c r="B65" s="237" t="str">
        <f>Cen!A158</f>
        <v>Držáky zadní stěny C, šedé</v>
      </c>
      <c r="C65" s="237" t="str">
        <f>Cen!B158</f>
        <v>Z30C000S</v>
      </c>
      <c r="D65" s="237" t="str">
        <f>Cen!C158</f>
        <v>R906</v>
      </c>
      <c r="E65" s="553">
        <f>Cen!D158</f>
        <v>0</v>
      </c>
      <c r="F65" s="208">
        <f t="shared" si="0"/>
        <v>0</v>
      </c>
      <c r="G65" s="233">
        <f>Cen!F158</f>
        <v>2.7871800000000002</v>
      </c>
      <c r="H65" s="234">
        <f t="shared" si="17"/>
        <v>0</v>
      </c>
      <c r="I65" s="250"/>
      <c r="J65" s="235">
        <f>Cen!I158</f>
        <v>2344977</v>
      </c>
      <c r="K65" s="235">
        <f>Cen!J158</f>
        <v>202548</v>
      </c>
      <c r="L65" s="230">
        <f t="shared" si="18"/>
        <v>0</v>
      </c>
      <c r="M65" s="434">
        <f t="shared" si="19"/>
        <v>0</v>
      </c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31">
        <f>AC310G!$S56</f>
        <v>0</v>
      </c>
      <c r="AB65" s="231">
        <f>AC310M!$S56</f>
        <v>0</v>
      </c>
      <c r="AC65" s="231">
        <f>AC310R!$S56</f>
        <v>0</v>
      </c>
      <c r="AD65" s="231">
        <f>AC31VG!$S56</f>
        <v>0</v>
      </c>
      <c r="AE65" s="231">
        <f>AC31VM!$S56</f>
        <v>0</v>
      </c>
      <c r="AF65" s="231">
        <f>AC31VR!$S56</f>
        <v>0</v>
      </c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229"/>
      <c r="BP65" s="229"/>
      <c r="BQ65" s="229"/>
      <c r="BR65" s="229"/>
      <c r="BS65" s="229"/>
      <c r="BT65" s="229"/>
      <c r="BU65" s="229"/>
      <c r="BV65" s="229"/>
      <c r="BW65" s="229"/>
      <c r="BX65" s="229"/>
      <c r="BY65" s="229"/>
      <c r="BZ65" s="236"/>
      <c r="CA65" s="229"/>
    </row>
    <row r="66" spans="2:79" x14ac:dyDescent="0.25">
      <c r="B66" s="237" t="str">
        <f>Cen!A162</f>
        <v>Držáky zadní stěny D, šedé</v>
      </c>
      <c r="C66" s="237" t="str">
        <f>Cen!B162</f>
        <v>Z30D000S</v>
      </c>
      <c r="D66" s="237" t="str">
        <f>Cen!C162</f>
        <v>R906</v>
      </c>
      <c r="E66" s="553">
        <f>Cen!D162</f>
        <v>0</v>
      </c>
      <c r="F66" s="208">
        <f t="shared" si="0"/>
        <v>0</v>
      </c>
      <c r="G66" s="233">
        <f>Cen!F162</f>
        <v>2.93709</v>
      </c>
      <c r="H66" s="234">
        <f t="shared" si="17"/>
        <v>0</v>
      </c>
      <c r="I66" s="250"/>
      <c r="J66" s="235">
        <f>Cen!I162</f>
        <v>7561427</v>
      </c>
      <c r="K66" s="235">
        <f>Cen!J162</f>
        <v>202550</v>
      </c>
      <c r="L66" s="230">
        <f t="shared" si="18"/>
        <v>0</v>
      </c>
      <c r="M66" s="434">
        <f t="shared" si="19"/>
        <v>0</v>
      </c>
      <c r="N66" s="229"/>
      <c r="O66" s="229"/>
      <c r="P66" s="229"/>
      <c r="Q66" s="229"/>
      <c r="R66" s="229"/>
      <c r="S66" s="229"/>
      <c r="T66" s="231">
        <f>AD310G!$S57</f>
        <v>0</v>
      </c>
      <c r="U66" s="231">
        <f>AD310M!$S57</f>
        <v>0</v>
      </c>
      <c r="V66" s="231">
        <f>AD310R!$S57</f>
        <v>0</v>
      </c>
      <c r="W66" s="231">
        <f>AD31VG!$S57</f>
        <v>0</v>
      </c>
      <c r="X66" s="231">
        <f>AD31VM!$S57</f>
        <v>0</v>
      </c>
      <c r="Y66" s="231">
        <f>AD31VR!$S57</f>
        <v>0</v>
      </c>
      <c r="Z66" s="229"/>
      <c r="AA66" s="229"/>
      <c r="AB66" s="229"/>
      <c r="AC66" s="229"/>
      <c r="AD66" s="229"/>
      <c r="AE66" s="229"/>
      <c r="AF66" s="229"/>
      <c r="AG66" s="229"/>
      <c r="AH66" s="229"/>
      <c r="AI66" s="236"/>
      <c r="AJ66" s="236"/>
      <c r="AK66" s="236"/>
      <c r="AL66" s="229"/>
      <c r="AM66" s="229"/>
      <c r="AN66" s="229"/>
      <c r="AO66" s="229"/>
      <c r="AP66" s="229"/>
      <c r="AQ66" s="229"/>
      <c r="AR66" s="229"/>
      <c r="AS66" s="231">
        <f>AD342G!$S57</f>
        <v>0</v>
      </c>
      <c r="AT66" s="231">
        <f>AD342M!$S57</f>
        <v>0</v>
      </c>
      <c r="AU66" s="231">
        <f>AD342R!S57</f>
        <v>0</v>
      </c>
      <c r="AV66" s="229"/>
      <c r="AW66" s="231">
        <f>ADD32G!$S57</f>
        <v>0</v>
      </c>
      <c r="AX66" s="231">
        <f>ADD32M!$S57</f>
        <v>0</v>
      </c>
      <c r="AY66" s="231">
        <f>ADD32R!$S53</f>
        <v>0</v>
      </c>
      <c r="AZ66" s="231">
        <f>ADM30G!$S57</f>
        <v>0</v>
      </c>
      <c r="BA66" s="231">
        <f>ADM30M!$S57</f>
        <v>0</v>
      </c>
      <c r="BB66" s="231">
        <f>ADM30R!$S59</f>
        <v>0</v>
      </c>
      <c r="BC66" s="229"/>
      <c r="BD66" s="231">
        <f>ADM45G!S57</f>
        <v>0</v>
      </c>
      <c r="BE66" s="231">
        <f>ADM45M!S57</f>
        <v>0</v>
      </c>
      <c r="BF66" s="231">
        <f>ADM45R!$S57</f>
        <v>0</v>
      </c>
      <c r="BG66" s="231">
        <f>ADD45G!S57</f>
        <v>0</v>
      </c>
      <c r="BH66" s="231">
        <f>ADD45M!S57</f>
        <v>0</v>
      </c>
      <c r="BI66" s="231">
        <f>ADD45R!$S57</f>
        <v>0</v>
      </c>
      <c r="BJ66" s="229"/>
      <c r="BK66" s="229"/>
      <c r="BL66" s="229"/>
      <c r="BM66" s="229"/>
      <c r="BN66" s="229"/>
      <c r="BO66" s="229"/>
      <c r="BP66" s="229"/>
      <c r="BQ66" s="229"/>
      <c r="BR66" s="229"/>
      <c r="BS66" s="229"/>
      <c r="BT66" s="229"/>
      <c r="BU66" s="229"/>
      <c r="BV66" s="229"/>
      <c r="BW66" s="229"/>
      <c r="BX66" s="229"/>
      <c r="BY66" s="229"/>
      <c r="BZ66" s="236"/>
      <c r="CA66" s="229"/>
    </row>
    <row r="67" spans="2:79" x14ac:dyDescent="0.25">
      <c r="B67" s="237" t="str">
        <f>Cen!A167</f>
        <v>Variabilní držák relingu, vlevo/vpravo, šedý</v>
      </c>
      <c r="C67" s="237" t="str">
        <f>Cen!B167</f>
        <v>ZRR.5200</v>
      </c>
      <c r="D67" s="237" t="str">
        <f>Cen!C167</f>
        <v>R906</v>
      </c>
      <c r="E67" s="553">
        <f>Cen!D167</f>
        <v>0</v>
      </c>
      <c r="F67" s="208">
        <f t="shared" si="0"/>
        <v>0</v>
      </c>
      <c r="G67" s="233">
        <f>Cen!F167</f>
        <v>2.1385900000000002</v>
      </c>
      <c r="H67" s="234">
        <f t="shared" si="17"/>
        <v>0</v>
      </c>
      <c r="I67" s="250"/>
      <c r="J67" s="235">
        <f>Cen!I167</f>
        <v>1646954</v>
      </c>
      <c r="K67" s="235">
        <f>Cen!J167</f>
        <v>210820</v>
      </c>
      <c r="L67" s="230">
        <f t="shared" si="18"/>
        <v>0</v>
      </c>
      <c r="M67" s="434">
        <f t="shared" si="19"/>
        <v>0</v>
      </c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  <c r="AJ67" s="229"/>
      <c r="AK67" s="229"/>
      <c r="AL67" s="229"/>
      <c r="AM67" s="229"/>
      <c r="AN67" s="229"/>
      <c r="AO67" s="229"/>
      <c r="AP67" s="229"/>
      <c r="AQ67" s="229"/>
      <c r="AR67" s="229"/>
      <c r="AS67" s="229"/>
      <c r="AT67" s="229"/>
      <c r="AU67" s="229"/>
      <c r="AV67" s="229"/>
      <c r="AW67" s="229"/>
      <c r="AX67" s="229"/>
      <c r="AY67" s="229"/>
      <c r="AZ67" s="229"/>
      <c r="BA67" s="229"/>
      <c r="BB67" s="229"/>
      <c r="BC67" s="229"/>
      <c r="BD67" s="229"/>
      <c r="BE67" s="229"/>
      <c r="BF67" s="229"/>
      <c r="BG67" s="229"/>
      <c r="BH67" s="229"/>
      <c r="BI67" s="229"/>
      <c r="BJ67" s="229"/>
      <c r="BK67" s="229"/>
      <c r="BL67" s="229"/>
      <c r="BM67" s="229"/>
      <c r="BN67" s="229"/>
      <c r="BO67" s="229"/>
      <c r="BP67" s="229"/>
      <c r="BQ67" s="229"/>
      <c r="BR67" s="229"/>
      <c r="BS67" s="229"/>
      <c r="BT67" s="229"/>
      <c r="BU67" s="229"/>
      <c r="BV67" s="229"/>
      <c r="BW67" s="229"/>
      <c r="BX67" s="229"/>
      <c r="BY67" s="231">
        <f>Acs!E4</f>
        <v>0</v>
      </c>
      <c r="BZ67" s="236"/>
      <c r="CA67" s="229"/>
    </row>
    <row r="68" spans="2:79" x14ac:dyDescent="0.25">
      <c r="B68" s="237" t="str">
        <f>Cen!A173</f>
        <v>Čelní kování INSERTA</v>
      </c>
      <c r="C68" s="237" t="str">
        <f>Cen!B173</f>
        <v>ZSF.39A2</v>
      </c>
      <c r="D68" s="237" t="str">
        <f>Cen!C173</f>
        <v>BL</v>
      </c>
      <c r="E68" s="553">
        <f>Cen!D173</f>
        <v>0</v>
      </c>
      <c r="F68" s="208">
        <f t="shared" si="0"/>
        <v>0</v>
      </c>
      <c r="G68" s="233">
        <f>Cen!F173</f>
        <v>0.75153000000000003</v>
      </c>
      <c r="H68" s="234">
        <f t="shared" si="17"/>
        <v>0</v>
      </c>
      <c r="I68" s="250"/>
      <c r="J68" s="235">
        <f>Cen!I173</f>
        <v>4045944</v>
      </c>
      <c r="K68" s="235">
        <f>Cen!J173</f>
        <v>12689</v>
      </c>
      <c r="L68" s="230">
        <f t="shared" si="18"/>
        <v>0</v>
      </c>
      <c r="M68" s="434">
        <f t="shared" si="19"/>
        <v>0</v>
      </c>
      <c r="N68" s="231">
        <f>'AN300'!$S59</f>
        <v>0</v>
      </c>
      <c r="O68" s="231">
        <f>'AM300'!$S59</f>
        <v>0</v>
      </c>
      <c r="P68" s="231">
        <f>'AK300'!$S59</f>
        <v>0</v>
      </c>
      <c r="Q68" s="229"/>
      <c r="R68" s="229"/>
      <c r="S68" s="229"/>
      <c r="T68" s="231">
        <f>AD310G!$S59</f>
        <v>0</v>
      </c>
      <c r="U68" s="231">
        <f>AD310M!$S59</f>
        <v>0</v>
      </c>
      <c r="V68" s="231">
        <f>AD310R!$S59</f>
        <v>0</v>
      </c>
      <c r="W68" s="229"/>
      <c r="X68" s="229"/>
      <c r="Y68" s="229"/>
      <c r="Z68" s="229"/>
      <c r="AA68" s="231">
        <f>AC310G!$S59</f>
        <v>0</v>
      </c>
      <c r="AB68" s="231">
        <f>AC310M!S$59</f>
        <v>0</v>
      </c>
      <c r="AC68" s="231">
        <f>AC310R!$S59</f>
        <v>0</v>
      </c>
      <c r="AD68" s="229"/>
      <c r="AE68" s="229"/>
      <c r="AF68" s="229"/>
      <c r="AG68" s="229"/>
      <c r="AH68" s="229"/>
      <c r="AI68" s="229"/>
      <c r="AJ68" s="229"/>
      <c r="AK68" s="229"/>
      <c r="AL68" s="229"/>
      <c r="AM68" s="229"/>
      <c r="AN68" s="229"/>
      <c r="AO68" s="229"/>
      <c r="AP68" s="229"/>
      <c r="AQ68" s="229"/>
      <c r="AR68" s="231">
        <f>'AM340'!$S59</f>
        <v>0</v>
      </c>
      <c r="AS68" s="231">
        <f>AD342G!$S59</f>
        <v>0</v>
      </c>
      <c r="AT68" s="231">
        <f>AD342M!$S59</f>
        <v>0</v>
      </c>
      <c r="AU68" s="231">
        <f>AD342R!$S59</f>
        <v>0</v>
      </c>
      <c r="AV68" s="229"/>
      <c r="AW68" s="231">
        <f>ADD32G!$S59</f>
        <v>0</v>
      </c>
      <c r="AX68" s="231">
        <f>ADD32M!$S59</f>
        <v>0</v>
      </c>
      <c r="AY68" s="231">
        <f>ADD32R!$S55</f>
        <v>0</v>
      </c>
      <c r="AZ68" s="231">
        <f>ADM30G!$S59</f>
        <v>0</v>
      </c>
      <c r="BA68" s="231">
        <f>ADM30M!$S59</f>
        <v>0</v>
      </c>
      <c r="BB68" s="231">
        <f>ADM30R!$S61</f>
        <v>0</v>
      </c>
      <c r="BC68" s="229"/>
      <c r="BD68" s="229"/>
      <c r="BE68" s="229"/>
      <c r="BF68" s="229"/>
      <c r="BG68" s="229"/>
      <c r="BH68" s="229"/>
      <c r="BI68" s="229"/>
      <c r="BJ68" s="229"/>
      <c r="BK68" s="229"/>
      <c r="BL68" s="229"/>
      <c r="BM68" s="229"/>
      <c r="BN68" s="229"/>
      <c r="BO68" s="229"/>
      <c r="BP68" s="229"/>
      <c r="BQ68" s="229"/>
      <c r="BR68" s="229"/>
      <c r="BS68" s="229"/>
      <c r="BT68" s="229"/>
      <c r="BU68" s="229"/>
      <c r="BV68" s="229"/>
      <c r="BW68" s="229"/>
      <c r="BX68" s="229"/>
      <c r="BY68" s="229"/>
      <c r="BZ68" s="236"/>
      <c r="CA68" s="229"/>
    </row>
    <row r="69" spans="2:79" x14ac:dyDescent="0.25">
      <c r="B69" s="237" t="str">
        <f>Cen!A174</f>
        <v>Čelní kování na vruty</v>
      </c>
      <c r="C69" s="237" t="str">
        <f>Cen!B174</f>
        <v>ZSF.35A2</v>
      </c>
      <c r="D69" s="237" t="str">
        <f>Cen!C174</f>
        <v>BL</v>
      </c>
      <c r="E69" s="553">
        <f>Cen!D174</f>
        <v>0</v>
      </c>
      <c r="F69" s="208">
        <f t="shared" si="0"/>
        <v>0</v>
      </c>
      <c r="G69" s="233">
        <f>Cen!F174</f>
        <v>0.39928999999999992</v>
      </c>
      <c r="H69" s="234">
        <f t="shared" si="17"/>
        <v>0</v>
      </c>
      <c r="I69" s="250"/>
      <c r="J69" s="235">
        <f>Cen!I174</f>
        <v>1014891</v>
      </c>
      <c r="K69" s="235">
        <f>Cen!J174</f>
        <v>12687</v>
      </c>
      <c r="L69" s="230">
        <f t="shared" si="18"/>
        <v>0</v>
      </c>
      <c r="M69" s="434">
        <f t="shared" si="19"/>
        <v>0</v>
      </c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  <c r="AJ69" s="229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  <c r="BC69" s="229"/>
      <c r="BD69" s="229"/>
      <c r="BE69" s="229"/>
      <c r="BF69" s="229"/>
      <c r="BG69" s="229"/>
      <c r="BH69" s="229"/>
      <c r="BI69" s="229"/>
      <c r="BJ69" s="229"/>
      <c r="BK69" s="229"/>
      <c r="BL69" s="229"/>
      <c r="BM69" s="229"/>
      <c r="BN69" s="229"/>
      <c r="BO69" s="229"/>
      <c r="BP69" s="229"/>
      <c r="BQ69" s="229"/>
      <c r="BR69" s="229"/>
      <c r="BS69" s="229"/>
      <c r="BT69" s="229"/>
      <c r="BU69" s="229"/>
      <c r="BV69" s="229"/>
      <c r="BW69" s="229"/>
      <c r="BX69" s="229"/>
      <c r="BY69" s="229"/>
      <c r="BZ69" s="236"/>
      <c r="CA69" s="229"/>
    </row>
    <row r="70" spans="2:79" x14ac:dyDescent="0.25">
      <c r="B70" s="237" t="str">
        <f>Cen!A178</f>
        <v>Držáky čela vnitřní zásuvky M, bílošedé</v>
      </c>
      <c r="C70" s="237" t="str">
        <f>Cen!B178</f>
        <v>ZIF.71M0</v>
      </c>
      <c r="D70" s="237" t="str">
        <f>Cen!C178</f>
        <v>WGR</v>
      </c>
      <c r="E70" s="553">
        <f>Cen!D178</f>
        <v>0</v>
      </c>
      <c r="F70" s="208">
        <f t="shared" si="0"/>
        <v>0</v>
      </c>
      <c r="G70" s="233">
        <f>Cen!F178</f>
        <v>4.2079700000000004</v>
      </c>
      <c r="H70" s="234">
        <f t="shared" si="17"/>
        <v>0</v>
      </c>
      <c r="I70" s="250"/>
      <c r="J70" s="235">
        <f>Cen!I178</f>
        <v>5074773</v>
      </c>
      <c r="K70" s="235">
        <f>Cen!J178</f>
        <v>202564</v>
      </c>
      <c r="L70" s="230">
        <f t="shared" si="18"/>
        <v>0</v>
      </c>
      <c r="M70" s="434">
        <f t="shared" si="19"/>
        <v>0</v>
      </c>
      <c r="N70" s="229"/>
      <c r="O70" s="229"/>
      <c r="P70" s="229"/>
      <c r="Q70" s="231">
        <f>AM30V!$S59</f>
        <v>0</v>
      </c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  <c r="AJ70" s="229"/>
      <c r="AK70" s="229"/>
      <c r="AL70" s="229"/>
      <c r="AM70" s="229"/>
      <c r="AN70" s="229"/>
      <c r="AO70" s="229"/>
      <c r="AP70" s="229"/>
      <c r="AQ70" s="229"/>
      <c r="AR70" s="236"/>
      <c r="AS70" s="229"/>
      <c r="AT70" s="229"/>
      <c r="AU70" s="229"/>
      <c r="AV70" s="236"/>
      <c r="AW70" s="229"/>
      <c r="AX70" s="229"/>
      <c r="AY70" s="229"/>
      <c r="AZ70" s="229"/>
      <c r="BA70" s="229"/>
      <c r="BB70" s="229"/>
      <c r="BC70" s="229"/>
      <c r="BD70" s="231">
        <f>ADM45G!S58</f>
        <v>0</v>
      </c>
      <c r="BE70" s="231">
        <f>ADM45M!S58</f>
        <v>0</v>
      </c>
      <c r="BF70" s="231">
        <f>ADM45R!$S58</f>
        <v>0</v>
      </c>
      <c r="BG70" s="229"/>
      <c r="BH70" s="229"/>
      <c r="BI70" s="229"/>
      <c r="BJ70" s="229"/>
      <c r="BK70" s="229"/>
      <c r="BL70" s="229"/>
      <c r="BM70" s="229"/>
      <c r="BN70" s="229"/>
      <c r="BO70" s="229"/>
      <c r="BP70" s="229"/>
      <c r="BQ70" s="229"/>
      <c r="BR70" s="229"/>
      <c r="BS70" s="229"/>
      <c r="BT70" s="229"/>
      <c r="BU70" s="229"/>
      <c r="BV70" s="229"/>
      <c r="BW70" s="229"/>
      <c r="BX70" s="229"/>
      <c r="BY70" s="229"/>
      <c r="BZ70" s="236"/>
      <c r="CA70" s="229"/>
    </row>
    <row r="71" spans="2:79" x14ac:dyDescent="0.25">
      <c r="B71" s="237" t="str">
        <f>Cen!A182</f>
        <v>Držáky čela vnitřní zásuvky K, bílošedé</v>
      </c>
      <c r="C71" s="237" t="str">
        <f>Cen!B182</f>
        <v>ZIF.71K0</v>
      </c>
      <c r="D71" s="237" t="str">
        <f>Cen!C182</f>
        <v>WGR</v>
      </c>
      <c r="E71" s="553">
        <f>Cen!D182</f>
        <v>0</v>
      </c>
      <c r="F71" s="208">
        <f t="shared" si="0"/>
        <v>0</v>
      </c>
      <c r="G71" s="233">
        <f>Cen!F182</f>
        <v>5.1253899999999994</v>
      </c>
      <c r="H71" s="234">
        <f t="shared" si="17"/>
        <v>0</v>
      </c>
      <c r="I71" s="250"/>
      <c r="J71" s="235">
        <f>Cen!I182</f>
        <v>2720695</v>
      </c>
      <c r="K71" s="235">
        <f>Cen!J182</f>
        <v>210823</v>
      </c>
      <c r="L71" s="230">
        <f t="shared" si="18"/>
        <v>0</v>
      </c>
      <c r="M71" s="434">
        <f t="shared" si="19"/>
        <v>0</v>
      </c>
      <c r="N71" s="229"/>
      <c r="O71" s="229"/>
      <c r="P71" s="229"/>
      <c r="Q71" s="229"/>
      <c r="R71" s="231">
        <f>AK30V!$S59</f>
        <v>0</v>
      </c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  <c r="AK71" s="229"/>
      <c r="AL71" s="229"/>
      <c r="AM71" s="229"/>
      <c r="AN71" s="229"/>
      <c r="AO71" s="229"/>
      <c r="AP71" s="229"/>
      <c r="AQ71" s="229"/>
      <c r="AR71" s="236"/>
      <c r="AS71" s="229"/>
      <c r="AT71" s="229"/>
      <c r="AU71" s="229"/>
      <c r="AV71" s="236"/>
      <c r="AW71" s="229"/>
      <c r="AX71" s="229"/>
      <c r="AY71" s="229"/>
      <c r="AZ71" s="229"/>
      <c r="BA71" s="229"/>
      <c r="BB71" s="229"/>
      <c r="BC71" s="229"/>
      <c r="BD71" s="236"/>
      <c r="BE71" s="236"/>
      <c r="BF71" s="236"/>
      <c r="BG71" s="236"/>
      <c r="BH71" s="236"/>
      <c r="BI71" s="236"/>
      <c r="BJ71" s="229"/>
      <c r="BK71" s="229"/>
      <c r="BL71" s="229"/>
      <c r="BM71" s="229"/>
      <c r="BN71" s="229"/>
      <c r="BO71" s="229"/>
      <c r="BP71" s="229"/>
      <c r="BQ71" s="229"/>
      <c r="BR71" s="229"/>
      <c r="BS71" s="229"/>
      <c r="BT71" s="229"/>
      <c r="BU71" s="229"/>
      <c r="BV71" s="229"/>
      <c r="BW71" s="229"/>
      <c r="BX71" s="229"/>
      <c r="BY71" s="229"/>
      <c r="BZ71" s="236"/>
      <c r="CA71" s="229"/>
    </row>
    <row r="72" spans="2:79" x14ac:dyDescent="0.25">
      <c r="B72" s="237" t="str">
        <f>Cen!A185</f>
        <v>Držáky čela vnitřního výsuvu C, bílošedé</v>
      </c>
      <c r="C72" s="237" t="str">
        <f>Cen!B185</f>
        <v>ZIF.74C0</v>
      </c>
      <c r="D72" s="237" t="str">
        <f>Cen!C185</f>
        <v>WGR</v>
      </c>
      <c r="E72" s="553">
        <f>Cen!D185</f>
        <v>0</v>
      </c>
      <c r="F72" s="208">
        <f t="shared" si="0"/>
        <v>0</v>
      </c>
      <c r="G72" s="233">
        <f>Cen!F185</f>
        <v>5.8567799999999997</v>
      </c>
      <c r="H72" s="234">
        <f t="shared" si="17"/>
        <v>0</v>
      </c>
      <c r="I72" s="250"/>
      <c r="J72" s="235">
        <f>Cen!I185</f>
        <v>3213636</v>
      </c>
      <c r="K72" s="235">
        <f>Cen!J185</f>
        <v>202562</v>
      </c>
      <c r="L72" s="230">
        <f t="shared" si="18"/>
        <v>0</v>
      </c>
      <c r="M72" s="434">
        <f t="shared" si="19"/>
        <v>0</v>
      </c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36"/>
      <c r="AC72" s="236"/>
      <c r="AD72" s="231">
        <f>AC31VG!$S59</f>
        <v>0</v>
      </c>
      <c r="AE72" s="231">
        <f>AC31VM!$S59</f>
        <v>0</v>
      </c>
      <c r="AF72" s="231">
        <f>AC31VR!$S59</f>
        <v>0</v>
      </c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36"/>
      <c r="AS72" s="229"/>
      <c r="AT72" s="229"/>
      <c r="AU72" s="229"/>
      <c r="AV72" s="236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229"/>
      <c r="BN72" s="229"/>
      <c r="BO72" s="229"/>
      <c r="BP72" s="229"/>
      <c r="BQ72" s="229"/>
      <c r="BR72" s="229"/>
      <c r="BS72" s="229"/>
      <c r="BT72" s="229"/>
      <c r="BU72" s="229"/>
      <c r="BV72" s="229"/>
      <c r="BW72" s="229"/>
      <c r="BX72" s="229"/>
      <c r="BY72" s="229"/>
      <c r="BZ72" s="236"/>
      <c r="CA72" s="229"/>
    </row>
    <row r="73" spans="2:79" x14ac:dyDescent="0.25">
      <c r="B73" s="237" t="str">
        <f>Cen!A189</f>
        <v>Držáky čela vnitřního výsuvu D bílošedé</v>
      </c>
      <c r="C73" s="237" t="str">
        <f>Cen!B189</f>
        <v>ZIF.74D0</v>
      </c>
      <c r="D73" s="237" t="str">
        <f>Cen!C189</f>
        <v>WGR</v>
      </c>
      <c r="E73" s="553">
        <f>Cen!D189</f>
        <v>0</v>
      </c>
      <c r="F73" s="208">
        <f t="shared" si="0"/>
        <v>0</v>
      </c>
      <c r="G73" s="233">
        <f>Cen!F189</f>
        <v>6.1373600000000001</v>
      </c>
      <c r="H73" s="234">
        <f t="shared" si="17"/>
        <v>0</v>
      </c>
      <c r="I73" s="250"/>
      <c r="J73" s="235">
        <f>Cen!I189</f>
        <v>4438914</v>
      </c>
      <c r="K73" s="235">
        <f>Cen!J189</f>
        <v>202560</v>
      </c>
      <c r="L73" s="230">
        <f t="shared" si="18"/>
        <v>0</v>
      </c>
      <c r="M73" s="434">
        <f t="shared" si="19"/>
        <v>0</v>
      </c>
      <c r="N73" s="229"/>
      <c r="O73" s="229"/>
      <c r="P73" s="229"/>
      <c r="Q73" s="229"/>
      <c r="R73" s="229"/>
      <c r="S73" s="229"/>
      <c r="T73" s="229"/>
      <c r="U73" s="229"/>
      <c r="V73" s="229"/>
      <c r="W73" s="231">
        <f>AD31VG!$S59</f>
        <v>0</v>
      </c>
      <c r="X73" s="231">
        <f>AD31VM!$S59</f>
        <v>0</v>
      </c>
      <c r="Y73" s="231">
        <f>AD31VR!$S59</f>
        <v>0</v>
      </c>
      <c r="Z73" s="229"/>
      <c r="AA73" s="229"/>
      <c r="AB73" s="236"/>
      <c r="AC73" s="236"/>
      <c r="AD73" s="236"/>
      <c r="AE73" s="229"/>
      <c r="AF73" s="229"/>
      <c r="AG73" s="229"/>
      <c r="AH73" s="229"/>
      <c r="AI73" s="229"/>
      <c r="AJ73" s="229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29"/>
      <c r="BC73" s="229"/>
      <c r="BD73" s="231">
        <f>ADM45G!S59</f>
        <v>0</v>
      </c>
      <c r="BE73" s="231">
        <f>ADM45M!S59</f>
        <v>0</v>
      </c>
      <c r="BF73" s="231">
        <f>ADM45R!$S59</f>
        <v>0</v>
      </c>
      <c r="BG73" s="231">
        <f>ADD45G!S59</f>
        <v>0</v>
      </c>
      <c r="BH73" s="231">
        <f>ADD45M!S59</f>
        <v>0</v>
      </c>
      <c r="BI73" s="231">
        <f>ADD45R!$S59</f>
        <v>0</v>
      </c>
      <c r="BJ73" s="229"/>
      <c r="BK73" s="229"/>
      <c r="BL73" s="229"/>
      <c r="BM73" s="229"/>
      <c r="BN73" s="229"/>
      <c r="BO73" s="229"/>
      <c r="BP73" s="229"/>
      <c r="BQ73" s="229"/>
      <c r="BR73" s="229"/>
      <c r="BS73" s="229"/>
      <c r="BT73" s="229"/>
      <c r="BU73" s="229"/>
      <c r="BV73" s="229"/>
      <c r="BW73" s="229"/>
      <c r="BX73" s="229"/>
      <c r="BY73" s="229"/>
      <c r="BZ73" s="236"/>
      <c r="CA73" s="229"/>
    </row>
    <row r="74" spans="2:79" x14ac:dyDescent="0.25">
      <c r="B74" s="237" t="str">
        <f>Cen!A194</f>
        <v>Přední díl vnitřní zásuvky, šedý</v>
      </c>
      <c r="C74" s="237" t="str">
        <f>Cen!B194</f>
        <v xml:space="preserve">Z31L1036A  </v>
      </c>
      <c r="D74" s="237" t="str">
        <f>Cen!C194</f>
        <v>R906</v>
      </c>
      <c r="E74" s="553">
        <f>Cen!D194</f>
        <v>0</v>
      </c>
      <c r="F74" s="208">
        <f t="shared" si="0"/>
        <v>0</v>
      </c>
      <c r="G74" s="233">
        <f>Cen!F194</f>
        <v>14.286440000000001</v>
      </c>
      <c r="H74" s="234">
        <f t="shared" si="17"/>
        <v>0</v>
      </c>
      <c r="I74" s="250"/>
      <c r="J74" s="235">
        <f>Cen!I194</f>
        <v>8479020</v>
      </c>
      <c r="K74" s="235">
        <f>Cen!J194</f>
        <v>205759</v>
      </c>
      <c r="L74" s="230">
        <f t="shared" si="18"/>
        <v>0</v>
      </c>
      <c r="M74" s="434">
        <f t="shared" si="19"/>
        <v>0</v>
      </c>
      <c r="N74" s="229"/>
      <c r="O74" s="229"/>
      <c r="P74" s="229"/>
      <c r="Q74" s="231">
        <f>AM30V!$S60</f>
        <v>0</v>
      </c>
      <c r="R74" s="231">
        <f>AK30V!$S60</f>
        <v>0</v>
      </c>
      <c r="S74" s="229"/>
      <c r="T74" s="229"/>
      <c r="U74" s="229"/>
      <c r="V74" s="229"/>
      <c r="W74" s="382">
        <f>AD31VG!$S60</f>
        <v>0</v>
      </c>
      <c r="X74" s="382">
        <f>AD31VM!$S60</f>
        <v>0</v>
      </c>
      <c r="Y74" s="382">
        <f>AD31VR!$S60</f>
        <v>0</v>
      </c>
      <c r="Z74" s="229"/>
      <c r="AA74" s="229"/>
      <c r="AB74" s="236"/>
      <c r="AC74" s="236"/>
      <c r="AD74" s="231">
        <f>AC31VG!$S60</f>
        <v>0</v>
      </c>
      <c r="AE74" s="231">
        <f>AC31VM!$S60</f>
        <v>0</v>
      </c>
      <c r="AF74" s="231">
        <f>AC31VR!$S60</f>
        <v>0</v>
      </c>
      <c r="AG74" s="229"/>
      <c r="AH74" s="229"/>
      <c r="AI74" s="229"/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229"/>
      <c r="BB74" s="229"/>
      <c r="BC74" s="229"/>
      <c r="BD74" s="415">
        <f>ADM45G!S60</f>
        <v>0</v>
      </c>
      <c r="BE74" s="415">
        <f>ADM45M!S60</f>
        <v>0</v>
      </c>
      <c r="BF74" s="415">
        <f>ADM45R!$S60</f>
        <v>0</v>
      </c>
      <c r="BG74" s="415">
        <f>ADD45G!S60</f>
        <v>0</v>
      </c>
      <c r="BH74" s="415">
        <f>ADD45M!S60</f>
        <v>0</v>
      </c>
      <c r="BI74" s="415">
        <f>ADD45R!$S60</f>
        <v>0</v>
      </c>
      <c r="BJ74" s="229"/>
      <c r="BK74" s="229"/>
      <c r="BL74" s="229"/>
      <c r="BM74" s="229"/>
      <c r="BN74" s="229"/>
      <c r="BO74" s="229"/>
      <c r="BP74" s="229"/>
      <c r="BQ74" s="229"/>
      <c r="BR74" s="229"/>
      <c r="BS74" s="229"/>
      <c r="BT74" s="229"/>
      <c r="BU74" s="229"/>
      <c r="BV74" s="229"/>
      <c r="BW74" s="229"/>
      <c r="BX74" s="229"/>
      <c r="BY74" s="229"/>
      <c r="BZ74" s="236"/>
      <c r="CA74" s="229"/>
    </row>
    <row r="75" spans="2:79" x14ac:dyDescent="0.25">
      <c r="B75" s="237" t="str">
        <f>Cen!A199</f>
        <v>Příčný reling vnitřní zásuvky, šedý</v>
      </c>
      <c r="C75" s="237" t="str">
        <f>Cen!B199</f>
        <v xml:space="preserve">ZRG.1046Z </v>
      </c>
      <c r="D75" s="237" t="str">
        <f>Cen!C199</f>
        <v>R906</v>
      </c>
      <c r="E75" s="553">
        <f>Cen!D199</f>
        <v>0</v>
      </c>
      <c r="F75" s="208">
        <f t="shared" ref="F75:F138" si="20">IF(I75&gt;0,I75,SUM(N75:BZ75))</f>
        <v>0</v>
      </c>
      <c r="G75" s="233">
        <f>Cen!F199</f>
        <v>6.6514599999999993</v>
      </c>
      <c r="H75" s="234">
        <f t="shared" si="17"/>
        <v>0</v>
      </c>
      <c r="I75" s="250"/>
      <c r="J75" s="235">
        <f>Cen!I199</f>
        <v>8473390</v>
      </c>
      <c r="K75" s="235">
        <f>Cen!J199</f>
        <v>205758</v>
      </c>
      <c r="L75" s="230">
        <f t="shared" si="18"/>
        <v>0</v>
      </c>
      <c r="M75" s="434">
        <f t="shared" si="19"/>
        <v>0</v>
      </c>
      <c r="N75" s="229"/>
      <c r="O75" s="229"/>
      <c r="P75" s="229"/>
      <c r="Q75" s="229"/>
      <c r="R75" s="229"/>
      <c r="S75" s="229"/>
      <c r="T75" s="229"/>
      <c r="U75" s="229"/>
      <c r="V75" s="229"/>
      <c r="W75" s="382">
        <f>AD31VG!$S61</f>
        <v>0</v>
      </c>
      <c r="X75" s="382">
        <f>AD31VM!$S61</f>
        <v>0</v>
      </c>
      <c r="Y75" s="382">
        <f>AD31VR!$S61</f>
        <v>0</v>
      </c>
      <c r="Z75" s="229"/>
      <c r="AA75" s="229"/>
      <c r="AB75" s="236"/>
      <c r="AC75" s="236"/>
      <c r="AD75" s="231">
        <f>AC31VG!$S60</f>
        <v>0</v>
      </c>
      <c r="AE75" s="231">
        <f>AC31VM!$S60</f>
        <v>0</v>
      </c>
      <c r="AF75" s="231">
        <f>AC31VR!$S60</f>
        <v>0</v>
      </c>
      <c r="AG75" s="229"/>
      <c r="AH75" s="229"/>
      <c r="AI75" s="229"/>
      <c r="AJ75" s="229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36"/>
      <c r="AX75" s="236"/>
      <c r="AY75" s="236"/>
      <c r="AZ75" s="236"/>
      <c r="BA75" s="236"/>
      <c r="BB75" s="236"/>
      <c r="BC75" s="229"/>
      <c r="BD75" s="415">
        <f>ADM45G!S61</f>
        <v>0</v>
      </c>
      <c r="BE75" s="415">
        <f>ADM45M!S61</f>
        <v>0</v>
      </c>
      <c r="BF75" s="415">
        <f>ADM45R!$S61</f>
        <v>0</v>
      </c>
      <c r="BG75" s="415">
        <f>ADD45G!S61</f>
        <v>0</v>
      </c>
      <c r="BH75" s="415">
        <f>ADD45M!S61</f>
        <v>0</v>
      </c>
      <c r="BI75" s="415">
        <f>ADD45R!$S61</f>
        <v>0</v>
      </c>
      <c r="BJ75" s="229"/>
      <c r="BK75" s="229"/>
      <c r="BL75" s="229"/>
      <c r="BM75" s="229"/>
      <c r="BN75" s="229"/>
      <c r="BO75" s="229"/>
      <c r="BP75" s="229"/>
      <c r="BQ75" s="229"/>
      <c r="BR75" s="229"/>
      <c r="BS75" s="229"/>
      <c r="BT75" s="229"/>
      <c r="BU75" s="229"/>
      <c r="BV75" s="229"/>
      <c r="BW75" s="229"/>
      <c r="BX75" s="229"/>
      <c r="BY75" s="229"/>
      <c r="BZ75" s="236"/>
      <c r="CA75" s="229"/>
    </row>
    <row r="76" spans="2:79" x14ac:dyDescent="0.25">
      <c r="B76" s="237" t="str">
        <f>Cen!A204</f>
        <v>Úchytka pro vnirřní zásuvku, bílošedá</v>
      </c>
      <c r="C76" s="237" t="str">
        <f>Cen!B204</f>
        <v>ZIF.80M5</v>
      </c>
      <c r="D76" s="237" t="str">
        <f>Cen!C204</f>
        <v>WGR</v>
      </c>
      <c r="E76" s="553">
        <f>Cen!D204</f>
        <v>0</v>
      </c>
      <c r="F76" s="208">
        <f t="shared" si="20"/>
        <v>0</v>
      </c>
      <c r="G76" s="233">
        <f>Cen!F204</f>
        <v>4.0720000000000001</v>
      </c>
      <c r="H76" s="234">
        <f t="shared" si="17"/>
        <v>0</v>
      </c>
      <c r="I76" s="250"/>
      <c r="J76" s="235">
        <f>Cen!I204</f>
        <v>4276837</v>
      </c>
      <c r="K76" s="235">
        <f>Cen!J204</f>
        <v>202567</v>
      </c>
      <c r="L76" s="230">
        <f t="shared" si="18"/>
        <v>0</v>
      </c>
      <c r="M76" s="434">
        <f t="shared" si="19"/>
        <v>0</v>
      </c>
      <c r="N76" s="229"/>
      <c r="O76" s="229"/>
      <c r="P76" s="229"/>
      <c r="Q76" s="231">
        <f>AM30V!$S62</f>
        <v>0</v>
      </c>
      <c r="R76" s="231">
        <f>AK30V!$S62</f>
        <v>0</v>
      </c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36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29"/>
      <c r="BC76" s="229"/>
      <c r="BD76" s="229"/>
      <c r="BE76" s="229"/>
      <c r="BF76" s="229"/>
      <c r="BG76" s="229"/>
      <c r="BH76" s="229"/>
      <c r="BI76" s="229"/>
      <c r="BJ76" s="229"/>
      <c r="BK76" s="229"/>
      <c r="BL76" s="229"/>
      <c r="BM76" s="229"/>
      <c r="BN76" s="229"/>
      <c r="BO76" s="229"/>
      <c r="BP76" s="229"/>
      <c r="BQ76" s="229"/>
      <c r="BR76" s="229"/>
      <c r="BS76" s="229"/>
      <c r="BT76" s="229"/>
      <c r="BU76" s="229"/>
      <c r="BV76" s="229"/>
      <c r="BW76" s="229"/>
      <c r="BX76" s="229"/>
      <c r="BY76" s="229"/>
      <c r="BZ76" s="236"/>
      <c r="CA76" s="229"/>
    </row>
    <row r="77" spans="2:79" x14ac:dyDescent="0.25">
      <c r="B77" s="237" t="str">
        <f>Cen!A208</f>
        <v>Úchytka a unašeč pro vnirřní zásuvku, bílošedá</v>
      </c>
      <c r="C77" s="237" t="str">
        <f>Cen!B208</f>
        <v>ZIF.80M7</v>
      </c>
      <c r="D77" s="237" t="str">
        <f>Cen!C208</f>
        <v>WGR</v>
      </c>
      <c r="E77" s="553">
        <f>Cen!D208</f>
        <v>0</v>
      </c>
      <c r="F77" s="208">
        <f t="shared" si="20"/>
        <v>0</v>
      </c>
      <c r="G77" s="233">
        <f>Cen!F208</f>
        <v>6.2968700000000002</v>
      </c>
      <c r="H77" s="234">
        <f t="shared" si="17"/>
        <v>0</v>
      </c>
      <c r="I77" s="250"/>
      <c r="J77" s="235">
        <f>Cen!I208</f>
        <v>3350802</v>
      </c>
      <c r="K77" s="235">
        <f>Cen!J208</f>
        <v>202569</v>
      </c>
      <c r="L77" s="230">
        <f t="shared" si="18"/>
        <v>0</v>
      </c>
      <c r="M77" s="434">
        <f t="shared" si="19"/>
        <v>0</v>
      </c>
      <c r="N77" s="229"/>
      <c r="O77" s="229"/>
      <c r="P77" s="229"/>
      <c r="Q77" s="231">
        <f>AM30V!$S63</f>
        <v>0</v>
      </c>
      <c r="R77" s="231">
        <f>AK30V!$S63</f>
        <v>0</v>
      </c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36"/>
      <c r="AE77" s="229"/>
      <c r="AF77" s="229"/>
      <c r="AG77" s="229"/>
      <c r="AH77" s="229"/>
      <c r="AI77" s="229"/>
      <c r="AJ77" s="229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229"/>
      <c r="BB77" s="229"/>
      <c r="BC77" s="229"/>
      <c r="BD77" s="229"/>
      <c r="BE77" s="229"/>
      <c r="BF77" s="229"/>
      <c r="BG77" s="229"/>
      <c r="BH77" s="229"/>
      <c r="BI77" s="229"/>
      <c r="BJ77" s="229"/>
      <c r="BK77" s="229"/>
      <c r="BL77" s="229"/>
      <c r="BM77" s="229"/>
      <c r="BN77" s="229"/>
      <c r="BO77" s="229"/>
      <c r="BP77" s="229"/>
      <c r="BQ77" s="229"/>
      <c r="BR77" s="229"/>
      <c r="BS77" s="229"/>
      <c r="BT77" s="229"/>
      <c r="BU77" s="229"/>
      <c r="BV77" s="229"/>
      <c r="BW77" s="229"/>
      <c r="BX77" s="229"/>
      <c r="BY77" s="229"/>
      <c r="BZ77" s="236"/>
      <c r="CA77" s="229"/>
    </row>
    <row r="78" spans="2:79" x14ac:dyDescent="0.25">
      <c r="B78" s="237"/>
      <c r="C78" s="237"/>
      <c r="D78" s="237"/>
      <c r="E78" s="553"/>
      <c r="F78" s="208">
        <f t="shared" si="20"/>
        <v>0</v>
      </c>
      <c r="G78" s="233"/>
      <c r="H78" s="234"/>
      <c r="I78" s="235"/>
      <c r="J78" s="235"/>
      <c r="K78" s="235"/>
      <c r="L78" s="230"/>
      <c r="M78" s="434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36"/>
      <c r="AE78" s="229"/>
      <c r="AF78" s="229"/>
      <c r="AG78" s="229"/>
      <c r="AH78" s="229"/>
      <c r="AI78" s="229"/>
      <c r="AJ78" s="229"/>
      <c r="AK78" s="229"/>
      <c r="AL78" s="229"/>
      <c r="AM78" s="229"/>
      <c r="AN78" s="229"/>
      <c r="AO78" s="229"/>
      <c r="AP78" s="229"/>
      <c r="AQ78" s="229"/>
      <c r="AR78" s="229"/>
      <c r="AS78" s="229"/>
      <c r="AT78" s="229"/>
      <c r="AU78" s="229"/>
      <c r="AV78" s="229"/>
      <c r="AW78" s="229"/>
      <c r="AX78" s="229"/>
      <c r="AY78" s="229"/>
      <c r="AZ78" s="229"/>
      <c r="BA78" s="229"/>
      <c r="BB78" s="229"/>
      <c r="BC78" s="229"/>
      <c r="BD78" s="229"/>
      <c r="BE78" s="229"/>
      <c r="BF78" s="229"/>
      <c r="BG78" s="229"/>
      <c r="BH78" s="229"/>
      <c r="BI78" s="229"/>
      <c r="BJ78" s="229"/>
      <c r="BK78" s="229"/>
      <c r="BL78" s="229"/>
      <c r="BM78" s="229"/>
      <c r="BN78" s="229"/>
      <c r="BO78" s="229"/>
      <c r="BP78" s="229"/>
      <c r="BQ78" s="229"/>
      <c r="BR78" s="229"/>
      <c r="BS78" s="229"/>
      <c r="BT78" s="229"/>
      <c r="BU78" s="229"/>
      <c r="BV78" s="229"/>
      <c r="BW78" s="229"/>
      <c r="BX78" s="229"/>
      <c r="BY78" s="229"/>
      <c r="BZ78" s="236"/>
      <c r="CA78" s="229"/>
    </row>
    <row r="79" spans="2:79" x14ac:dyDescent="0.25">
      <c r="B79" s="237" t="str">
        <f>Cen!A215</f>
        <v>Podélný reling vlevo/vpravo, 270mm, šedý</v>
      </c>
      <c r="C79" s="237" t="str">
        <f>Cen!B215</f>
        <v>ZRG.207RSIC</v>
      </c>
      <c r="D79" s="237" t="str">
        <f>Cen!C215</f>
        <v>R906</v>
      </c>
      <c r="E79" s="553">
        <f>Cen!D215</f>
        <v>0</v>
      </c>
      <c r="F79" s="208">
        <f t="shared" si="20"/>
        <v>0</v>
      </c>
      <c r="G79" s="233">
        <f>Cen!F215</f>
        <v>6.5190299999999999</v>
      </c>
      <c r="H79" s="234">
        <f t="shared" ref="H79:H83" si="21">M79</f>
        <v>0</v>
      </c>
      <c r="I79" s="250"/>
      <c r="J79" s="235">
        <f>Cen!I215</f>
        <v>1472243</v>
      </c>
      <c r="K79" s="235">
        <f>Cen!J215</f>
        <v>202514</v>
      </c>
      <c r="L79" s="230">
        <f t="shared" ref="L79:L83" si="22">IF(I79="x",0,IF(I79&gt;0,I79,F79))</f>
        <v>0</v>
      </c>
      <c r="M79" s="434">
        <f t="shared" ref="M79:M83" si="23">PRODUCT(L79,G79)</f>
        <v>0</v>
      </c>
      <c r="N79" s="229"/>
      <c r="O79" s="229"/>
      <c r="P79" s="229"/>
      <c r="Q79" s="236"/>
      <c r="R79" s="236"/>
      <c r="S79" s="229"/>
      <c r="T79" s="376">
        <f>AD310G!$S63</f>
        <v>0</v>
      </c>
      <c r="U79" s="376">
        <f>AD310M!$S63</f>
        <v>0</v>
      </c>
      <c r="V79" s="376">
        <f>AD310R!$S63</f>
        <v>0</v>
      </c>
      <c r="W79" s="376">
        <f>AD31VG!$S63</f>
        <v>0</v>
      </c>
      <c r="X79" s="376">
        <f>AD31VM!$S63</f>
        <v>0</v>
      </c>
      <c r="Y79" s="376">
        <f>AD31VR!$S63</f>
        <v>0</v>
      </c>
      <c r="Z79" s="229"/>
      <c r="AA79" s="376">
        <f>AC310G!$S63</f>
        <v>0</v>
      </c>
      <c r="AB79" s="376">
        <f>AC310M!$S63</f>
        <v>0</v>
      </c>
      <c r="AC79" s="376">
        <f>AC310R!$S63</f>
        <v>0</v>
      </c>
      <c r="AD79" s="376">
        <f>AC31VG!$S63</f>
        <v>0</v>
      </c>
      <c r="AE79" s="376">
        <f>AC31VM!$S63</f>
        <v>0</v>
      </c>
      <c r="AF79" s="376">
        <f>AC31VR!$S63</f>
        <v>0</v>
      </c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  <c r="AQ79" s="229"/>
      <c r="AR79" s="229"/>
      <c r="AS79" s="229"/>
      <c r="AT79" s="229"/>
      <c r="AU79" s="229"/>
      <c r="AV79" s="229"/>
      <c r="AW79" s="229"/>
      <c r="AX79" s="229"/>
      <c r="AY79" s="229"/>
      <c r="AZ79" s="229"/>
      <c r="BA79" s="229"/>
      <c r="BB79" s="229"/>
      <c r="BC79" s="229"/>
      <c r="BD79" s="229"/>
      <c r="BE79" s="229"/>
      <c r="BF79" s="229"/>
      <c r="BG79" s="229"/>
      <c r="BH79" s="229"/>
      <c r="BI79" s="229"/>
      <c r="BJ79" s="229"/>
      <c r="BK79" s="229"/>
      <c r="BL79" s="229"/>
      <c r="BM79" s="229"/>
      <c r="BN79" s="229"/>
      <c r="BO79" s="229"/>
      <c r="BP79" s="229"/>
      <c r="BQ79" s="229"/>
      <c r="BR79" s="229"/>
      <c r="BS79" s="229"/>
      <c r="BT79" s="229"/>
      <c r="BU79" s="229"/>
      <c r="BV79" s="229"/>
      <c r="BW79" s="229"/>
      <c r="BX79" s="229"/>
      <c r="BY79" s="555">
        <f>Acs!E5</f>
        <v>0</v>
      </c>
      <c r="BZ79" s="236"/>
      <c r="CA79" s="229"/>
    </row>
    <row r="80" spans="2:79" x14ac:dyDescent="0.25">
      <c r="B80" s="237" t="str">
        <f>Cen!A219</f>
        <v>Podélný reling vlevo/vpravo, 300mm, šedý</v>
      </c>
      <c r="C80" s="237" t="str">
        <f>Cen!B219</f>
        <v>ZRG.237RSIC</v>
      </c>
      <c r="D80" s="237" t="str">
        <f>Cen!C219</f>
        <v>R906</v>
      </c>
      <c r="E80" s="553">
        <f>Cen!D219</f>
        <v>0</v>
      </c>
      <c r="F80" s="208">
        <f t="shared" si="20"/>
        <v>0</v>
      </c>
      <c r="G80" s="233">
        <f>Cen!F219</f>
        <v>6.62744</v>
      </c>
      <c r="H80" s="234">
        <f t="shared" si="21"/>
        <v>0</v>
      </c>
      <c r="I80" s="250"/>
      <c r="J80" s="235">
        <f>Cen!I219</f>
        <v>3083862</v>
      </c>
      <c r="K80" s="235">
        <f>Cen!J219</f>
        <v>202516</v>
      </c>
      <c r="L80" s="230">
        <f t="shared" si="22"/>
        <v>0</v>
      </c>
      <c r="M80" s="434">
        <f t="shared" si="23"/>
        <v>0</v>
      </c>
      <c r="N80" s="229"/>
      <c r="O80" s="229"/>
      <c r="P80" s="229"/>
      <c r="Q80" s="236"/>
      <c r="R80" s="236"/>
      <c r="S80" s="229"/>
      <c r="T80" s="382">
        <f>AD310G!$S64</f>
        <v>0</v>
      </c>
      <c r="U80" s="382">
        <f>AD310M!$S64</f>
        <v>0</v>
      </c>
      <c r="V80" s="382">
        <f>AD310R!$S64</f>
        <v>0</v>
      </c>
      <c r="W80" s="382">
        <f>AD31VG!$S64</f>
        <v>0</v>
      </c>
      <c r="X80" s="382">
        <f>AD31VM!$S64</f>
        <v>0</v>
      </c>
      <c r="Y80" s="382">
        <f>AD31VR!$S64</f>
        <v>0</v>
      </c>
      <c r="Z80" s="229"/>
      <c r="AA80" s="382">
        <f>AC310G!$S64</f>
        <v>0</v>
      </c>
      <c r="AB80" s="382">
        <f>AC310M!$S64</f>
        <v>0</v>
      </c>
      <c r="AC80" s="382">
        <f>AC310R!$S64</f>
        <v>0</v>
      </c>
      <c r="AD80" s="382">
        <f>AC31VG!$S64</f>
        <v>0</v>
      </c>
      <c r="AE80" s="382">
        <f>AC31VM!$S64</f>
        <v>0</v>
      </c>
      <c r="AF80" s="382">
        <f>AC31VR!$S64</f>
        <v>0</v>
      </c>
      <c r="AG80" s="229"/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229"/>
      <c r="BB80" s="229"/>
      <c r="BC80" s="229"/>
      <c r="BD80" s="229"/>
      <c r="BE80" s="229"/>
      <c r="BF80" s="229"/>
      <c r="BG80" s="229"/>
      <c r="BH80" s="229"/>
      <c r="BI80" s="229"/>
      <c r="BJ80" s="229"/>
      <c r="BK80" s="229"/>
      <c r="BL80" s="229"/>
      <c r="BM80" s="229"/>
      <c r="BN80" s="229"/>
      <c r="BO80" s="229"/>
      <c r="BP80" s="229"/>
      <c r="BQ80" s="229"/>
      <c r="BR80" s="229"/>
      <c r="BS80" s="229"/>
      <c r="BT80" s="229"/>
      <c r="BU80" s="229"/>
      <c r="BV80" s="229"/>
      <c r="BW80" s="229"/>
      <c r="BX80" s="229"/>
      <c r="BY80" s="555">
        <f>Acs!E6</f>
        <v>0</v>
      </c>
      <c r="BZ80" s="236"/>
      <c r="CA80" s="229"/>
    </row>
    <row r="81" spans="2:79" x14ac:dyDescent="0.25">
      <c r="B81" s="237" t="str">
        <f>Cen!A223</f>
        <v>Podélný reling vlevo/vpravo, 350mm, šedý</v>
      </c>
      <c r="C81" s="237" t="str">
        <f>Cen!B223</f>
        <v>ZRG.287RSIC</v>
      </c>
      <c r="D81" s="237" t="str">
        <f>Cen!C223</f>
        <v>R906</v>
      </c>
      <c r="E81" s="553">
        <f>Cen!D223</f>
        <v>0</v>
      </c>
      <c r="F81" s="208">
        <f t="shared" si="20"/>
        <v>0</v>
      </c>
      <c r="G81" s="233">
        <f>Cen!F223</f>
        <v>6.7358200000000004</v>
      </c>
      <c r="H81" s="234">
        <f t="shared" si="21"/>
        <v>0</v>
      </c>
      <c r="I81" s="250"/>
      <c r="J81" s="235">
        <f>Cen!I223</f>
        <v>4262438</v>
      </c>
      <c r="K81" s="235">
        <f>Cen!J223</f>
        <v>202518</v>
      </c>
      <c r="L81" s="230">
        <f t="shared" si="22"/>
        <v>0</v>
      </c>
      <c r="M81" s="434">
        <f t="shared" si="23"/>
        <v>0</v>
      </c>
      <c r="N81" s="229"/>
      <c r="O81" s="229"/>
      <c r="P81" s="229"/>
      <c r="Q81" s="236"/>
      <c r="R81" s="236"/>
      <c r="S81" s="229"/>
      <c r="T81" s="382">
        <f>AD310G!$S65</f>
        <v>0</v>
      </c>
      <c r="U81" s="382">
        <f>AD310M!$S65</f>
        <v>0</v>
      </c>
      <c r="V81" s="382">
        <f>AD310R!$S65</f>
        <v>0</v>
      </c>
      <c r="W81" s="382">
        <f>AD31VG!$S65</f>
        <v>0</v>
      </c>
      <c r="X81" s="382">
        <f>AD31VM!$S65</f>
        <v>0</v>
      </c>
      <c r="Y81" s="382">
        <f>AD31VR!$S65</f>
        <v>0</v>
      </c>
      <c r="Z81" s="229"/>
      <c r="AA81" s="382">
        <f>AC310G!$S65</f>
        <v>0</v>
      </c>
      <c r="AB81" s="382">
        <f>AC310M!$S65</f>
        <v>0</v>
      </c>
      <c r="AC81" s="382">
        <f>AC310R!$S65</f>
        <v>0</v>
      </c>
      <c r="AD81" s="382">
        <f>AC31VG!$S65</f>
        <v>0</v>
      </c>
      <c r="AE81" s="382">
        <f>AC31VM!$S65</f>
        <v>0</v>
      </c>
      <c r="AF81" s="382">
        <f>AC31VR!$S65</f>
        <v>0</v>
      </c>
      <c r="AG81" s="229"/>
      <c r="AH81" s="229"/>
      <c r="AI81" s="229"/>
      <c r="AJ81" s="229"/>
      <c r="AK81" s="229"/>
      <c r="AL81" s="229"/>
      <c r="AM81" s="229"/>
      <c r="AN81" s="229"/>
      <c r="AO81" s="229"/>
      <c r="AP81" s="229"/>
      <c r="AQ81" s="229"/>
      <c r="AR81" s="229"/>
      <c r="AS81" s="229"/>
      <c r="AT81" s="229"/>
      <c r="AU81" s="229"/>
      <c r="AV81" s="229"/>
      <c r="AW81" s="229"/>
      <c r="AX81" s="229"/>
      <c r="AY81" s="229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29"/>
      <c r="BQ81" s="229"/>
      <c r="BR81" s="229"/>
      <c r="BS81" s="229"/>
      <c r="BT81" s="229"/>
      <c r="BU81" s="229"/>
      <c r="BV81" s="229"/>
      <c r="BW81" s="229"/>
      <c r="BX81" s="229"/>
      <c r="BY81" s="555">
        <f>Acs!E7</f>
        <v>0</v>
      </c>
      <c r="BZ81" s="236"/>
      <c r="CA81" s="229"/>
    </row>
    <row r="82" spans="2:79" x14ac:dyDescent="0.25">
      <c r="B82" s="237" t="str">
        <f>Cen!A227</f>
        <v>Podélný reling vlevo/vpravo, 400mm, šedý</v>
      </c>
      <c r="C82" s="237" t="str">
        <f>Cen!B227</f>
        <v>ZRG.337RSIC</v>
      </c>
      <c r="D82" s="237" t="str">
        <f>Cen!C227</f>
        <v>R906</v>
      </c>
      <c r="E82" s="553">
        <f>Cen!D227</f>
        <v>0</v>
      </c>
      <c r="F82" s="208">
        <f t="shared" si="20"/>
        <v>0</v>
      </c>
      <c r="G82" s="233">
        <f>Cen!F227</f>
        <v>6.8442100000000003</v>
      </c>
      <c r="H82" s="234">
        <f t="shared" si="21"/>
        <v>0</v>
      </c>
      <c r="I82" s="250"/>
      <c r="J82" s="235">
        <f>Cen!I227</f>
        <v>3741088</v>
      </c>
      <c r="K82" s="235">
        <f>Cen!J227</f>
        <v>202520</v>
      </c>
      <c r="L82" s="230">
        <f t="shared" si="22"/>
        <v>0</v>
      </c>
      <c r="M82" s="434">
        <f t="shared" si="23"/>
        <v>0</v>
      </c>
      <c r="N82" s="229"/>
      <c r="O82" s="229"/>
      <c r="P82" s="229"/>
      <c r="Q82" s="236"/>
      <c r="R82" s="236"/>
      <c r="S82" s="229"/>
      <c r="T82" s="382">
        <f>AD310G!$S66</f>
        <v>0</v>
      </c>
      <c r="U82" s="382">
        <f>AD310M!$S66</f>
        <v>0</v>
      </c>
      <c r="V82" s="382">
        <f>AD310R!$S66</f>
        <v>0</v>
      </c>
      <c r="W82" s="382">
        <f>AD31VG!$S66</f>
        <v>0</v>
      </c>
      <c r="X82" s="382">
        <f>AD31VM!$S66</f>
        <v>0</v>
      </c>
      <c r="Y82" s="382">
        <f>AD31VR!$S66</f>
        <v>0</v>
      </c>
      <c r="Z82" s="229"/>
      <c r="AA82" s="382">
        <f>AC310G!$S66</f>
        <v>0</v>
      </c>
      <c r="AB82" s="382">
        <f>AC310M!$S66</f>
        <v>0</v>
      </c>
      <c r="AC82" s="382">
        <f>AC310R!$S66</f>
        <v>0</v>
      </c>
      <c r="AD82" s="382">
        <f>AC31VG!$S66</f>
        <v>0</v>
      </c>
      <c r="AE82" s="382">
        <f>AC31VM!$S66</f>
        <v>0</v>
      </c>
      <c r="AF82" s="382">
        <f>AC31VR!$S66</f>
        <v>0</v>
      </c>
      <c r="AG82" s="229"/>
      <c r="AH82" s="229"/>
      <c r="AI82" s="229"/>
      <c r="AJ82" s="229"/>
      <c r="AK82" s="229"/>
      <c r="AL82" s="229"/>
      <c r="AM82" s="229"/>
      <c r="AN82" s="229"/>
      <c r="AO82" s="229"/>
      <c r="AP82" s="229"/>
      <c r="AQ82" s="229"/>
      <c r="AR82" s="229"/>
      <c r="AS82" s="229"/>
      <c r="AT82" s="229"/>
      <c r="AU82" s="229"/>
      <c r="AV82" s="229"/>
      <c r="AW82" s="229"/>
      <c r="AX82" s="229"/>
      <c r="AY82" s="229"/>
      <c r="AZ82" s="229"/>
      <c r="BA82" s="229"/>
      <c r="BB82" s="229"/>
      <c r="BC82" s="229"/>
      <c r="BD82" s="229"/>
      <c r="BE82" s="229"/>
      <c r="BF82" s="229"/>
      <c r="BG82" s="229"/>
      <c r="BH82" s="229"/>
      <c r="BI82" s="229"/>
      <c r="BJ82" s="229"/>
      <c r="BK82" s="229"/>
      <c r="BL82" s="229"/>
      <c r="BM82" s="229"/>
      <c r="BN82" s="229"/>
      <c r="BO82" s="229"/>
      <c r="BP82" s="229"/>
      <c r="BQ82" s="229"/>
      <c r="BR82" s="229"/>
      <c r="BS82" s="229"/>
      <c r="BT82" s="229"/>
      <c r="BU82" s="229"/>
      <c r="BV82" s="229"/>
      <c r="BW82" s="229"/>
      <c r="BX82" s="229"/>
      <c r="BY82" s="555">
        <f>Acs!E8</f>
        <v>0</v>
      </c>
      <c r="BZ82" s="236"/>
      <c r="CA82" s="229"/>
    </row>
    <row r="83" spans="2:79" x14ac:dyDescent="0.25">
      <c r="B83" s="237" t="str">
        <f>Cen!A231</f>
        <v>Podélný reling vlevo/vpravo, 450mm, šedý</v>
      </c>
      <c r="C83" s="237" t="str">
        <f>Cen!B231</f>
        <v>ZRG.387RSIC</v>
      </c>
      <c r="D83" s="237" t="str">
        <f>Cen!C231</f>
        <v>R906</v>
      </c>
      <c r="E83" s="553">
        <f>Cen!D231</f>
        <v>0</v>
      </c>
      <c r="F83" s="208">
        <f t="shared" si="20"/>
        <v>0</v>
      </c>
      <c r="G83" s="233">
        <f>Cen!F231</f>
        <v>6.2810499999999987</v>
      </c>
      <c r="H83" s="234">
        <f t="shared" si="21"/>
        <v>0</v>
      </c>
      <c r="I83" s="250"/>
      <c r="J83" s="235">
        <f>Cen!I231</f>
        <v>2436584</v>
      </c>
      <c r="K83" s="235">
        <f>Cen!J231</f>
        <v>202522</v>
      </c>
      <c r="L83" s="230">
        <f t="shared" si="22"/>
        <v>0</v>
      </c>
      <c r="M83" s="434">
        <f t="shared" si="23"/>
        <v>0</v>
      </c>
      <c r="N83" s="229"/>
      <c r="O83" s="229"/>
      <c r="P83" s="229"/>
      <c r="Q83" s="236"/>
      <c r="R83" s="236"/>
      <c r="S83" s="229"/>
      <c r="T83" s="382">
        <f>AD310G!$S67</f>
        <v>0</v>
      </c>
      <c r="U83" s="382">
        <f>AD310M!$S67</f>
        <v>0</v>
      </c>
      <c r="V83" s="382">
        <f>AD310R!$S67</f>
        <v>0</v>
      </c>
      <c r="W83" s="382">
        <f>AD31VG!$S67</f>
        <v>0</v>
      </c>
      <c r="X83" s="382">
        <f>AD31VM!$S67</f>
        <v>0</v>
      </c>
      <c r="Y83" s="382">
        <f>AD31VR!$S67</f>
        <v>0</v>
      </c>
      <c r="Z83" s="229"/>
      <c r="AA83" s="382">
        <f>AC310G!$S67</f>
        <v>0</v>
      </c>
      <c r="AB83" s="382">
        <f>AC310M!$S67</f>
        <v>0</v>
      </c>
      <c r="AC83" s="382">
        <f>AC310R!$S67</f>
        <v>0</v>
      </c>
      <c r="AD83" s="382">
        <f>AC31VG!$S67</f>
        <v>0</v>
      </c>
      <c r="AE83" s="382">
        <f>AC31VM!$S67</f>
        <v>0</v>
      </c>
      <c r="AF83" s="382">
        <f>AC31VR!$S67</f>
        <v>0</v>
      </c>
      <c r="AG83" s="229"/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  <c r="AW83" s="414">
        <f>ADD32G!$S67</f>
        <v>0</v>
      </c>
      <c r="AX83" s="414">
        <f>ADD32M!$S67</f>
        <v>0</v>
      </c>
      <c r="AY83" s="414">
        <f>ADD32R!$S63</f>
        <v>0</v>
      </c>
      <c r="AZ83" s="414">
        <f>ADM30G!$S67</f>
        <v>0</v>
      </c>
      <c r="BA83" s="414">
        <f>ADM30M!$S67</f>
        <v>0</v>
      </c>
      <c r="BB83" s="414">
        <f>ADM30R!$S69</f>
        <v>0</v>
      </c>
      <c r="BC83" s="229"/>
      <c r="BD83" s="415">
        <f>ADM45G!S67</f>
        <v>0</v>
      </c>
      <c r="BE83" s="415">
        <f>ADM45M!S67</f>
        <v>0</v>
      </c>
      <c r="BF83" s="415">
        <f>ADM45R!S67</f>
        <v>0</v>
      </c>
      <c r="BG83" s="415">
        <f>ADD45G!S67</f>
        <v>0</v>
      </c>
      <c r="BH83" s="415">
        <f>ADD45M!S67</f>
        <v>0</v>
      </c>
      <c r="BI83" s="415">
        <f>ADD45R!$S67</f>
        <v>0</v>
      </c>
      <c r="BJ83" s="229"/>
      <c r="BK83" s="229"/>
      <c r="BL83" s="229"/>
      <c r="BM83" s="229"/>
      <c r="BN83" s="229"/>
      <c r="BO83" s="229"/>
      <c r="BP83" s="229"/>
      <c r="BQ83" s="229"/>
      <c r="BR83" s="229"/>
      <c r="BS83" s="229"/>
      <c r="BT83" s="229"/>
      <c r="BU83" s="229"/>
      <c r="BV83" s="229"/>
      <c r="BW83" s="229"/>
      <c r="BX83" s="229"/>
      <c r="BY83" s="555">
        <f>Acs!E9</f>
        <v>0</v>
      </c>
      <c r="BZ83" s="236"/>
      <c r="CA83" s="229"/>
    </row>
    <row r="84" spans="2:79" x14ac:dyDescent="0.25">
      <c r="B84" s="237" t="str">
        <f>Cen!A235</f>
        <v>Podélný reling vlevo/vpravo, 500mm, šedý</v>
      </c>
      <c r="C84" s="237" t="str">
        <f>Cen!B235</f>
        <v>ZRG.437RSIC</v>
      </c>
      <c r="D84" s="237" t="str">
        <f>Cen!C235</f>
        <v>R906</v>
      </c>
      <c r="E84" s="553">
        <f>Cen!D235</f>
        <v>0</v>
      </c>
      <c r="F84" s="208">
        <f t="shared" si="20"/>
        <v>0</v>
      </c>
      <c r="G84" s="233">
        <f>Cen!F235</f>
        <v>6.3789800000000003</v>
      </c>
      <c r="H84" s="234">
        <f>M84</f>
        <v>0</v>
      </c>
      <c r="I84" s="250"/>
      <c r="J84" s="235">
        <f>Cen!I235</f>
        <v>8705976</v>
      </c>
      <c r="K84" s="235">
        <f>Cen!J235</f>
        <v>202524</v>
      </c>
      <c r="L84" s="230">
        <f>IF(I84="x",0,IF(I84&gt;0,I84,F84))</f>
        <v>0</v>
      </c>
      <c r="M84" s="434">
        <f>PRODUCT(L84,G84)</f>
        <v>0</v>
      </c>
      <c r="N84" s="229"/>
      <c r="O84" s="229"/>
      <c r="P84" s="229"/>
      <c r="Q84" s="229"/>
      <c r="R84" s="229"/>
      <c r="S84" s="229"/>
      <c r="T84" s="382">
        <f>AD310G!$S68</f>
        <v>0</v>
      </c>
      <c r="U84" s="382">
        <f>AD310M!$S68</f>
        <v>0</v>
      </c>
      <c r="V84" s="382">
        <f>AD310R!$S68</f>
        <v>0</v>
      </c>
      <c r="W84" s="382">
        <f>AD31VG!$S68</f>
        <v>0</v>
      </c>
      <c r="X84" s="382">
        <f>AD31VM!$S68</f>
        <v>0</v>
      </c>
      <c r="Y84" s="382">
        <f>AD31VR!$S68</f>
        <v>0</v>
      </c>
      <c r="Z84" s="229"/>
      <c r="AA84" s="382">
        <f>AC310G!$S68</f>
        <v>0</v>
      </c>
      <c r="AB84" s="382">
        <f>AC310M!$S68</f>
        <v>0</v>
      </c>
      <c r="AC84" s="382">
        <f>AC310R!$S68</f>
        <v>0</v>
      </c>
      <c r="AD84" s="382">
        <f>AC31VG!$S68</f>
        <v>0</v>
      </c>
      <c r="AE84" s="382">
        <f>AC31VM!$S68</f>
        <v>0</v>
      </c>
      <c r="AF84" s="382">
        <f>AC31VR!$S68</f>
        <v>0</v>
      </c>
      <c r="AG84" s="229"/>
      <c r="AH84" s="236"/>
      <c r="AI84" s="229"/>
      <c r="AJ84" s="229"/>
      <c r="AK84" s="229"/>
      <c r="AL84" s="229"/>
      <c r="AM84" s="229"/>
      <c r="AN84" s="229"/>
      <c r="AO84" s="229"/>
      <c r="AP84" s="229"/>
      <c r="AQ84" s="229"/>
      <c r="AR84" s="229"/>
      <c r="AS84" s="231">
        <f>AD342G!$S68</f>
        <v>0</v>
      </c>
      <c r="AT84" s="231">
        <f>AD342M!$S68</f>
        <v>0</v>
      </c>
      <c r="AU84" s="231">
        <f>AD342R!$S68</f>
        <v>0</v>
      </c>
      <c r="AV84" s="229"/>
      <c r="AW84" s="414">
        <f>ADD32G!$S68</f>
        <v>0</v>
      </c>
      <c r="AX84" s="414">
        <f>ADD32M!$S68</f>
        <v>0</v>
      </c>
      <c r="AY84" s="414">
        <f>ADD32R!$S64</f>
        <v>0</v>
      </c>
      <c r="AZ84" s="414">
        <f>ADM30G!$S68</f>
        <v>0</v>
      </c>
      <c r="BA84" s="414">
        <f>ADM30M!$S68</f>
        <v>0</v>
      </c>
      <c r="BB84" s="414">
        <f>ADM30R!$S70</f>
        <v>0</v>
      </c>
      <c r="BC84" s="229"/>
      <c r="BD84" s="231">
        <f>ADM45G!S68</f>
        <v>0</v>
      </c>
      <c r="BE84" s="231">
        <f>ADM45M!S68</f>
        <v>0</v>
      </c>
      <c r="BF84" s="231">
        <f>ADM45R!S68</f>
        <v>0</v>
      </c>
      <c r="BG84" s="231">
        <f>ADD45G!S68</f>
        <v>0</v>
      </c>
      <c r="BH84" s="231">
        <f>ADD45M!S68</f>
        <v>0</v>
      </c>
      <c r="BI84" s="231">
        <f>ADD45R!$S68</f>
        <v>0</v>
      </c>
      <c r="BJ84" s="229"/>
      <c r="BK84" s="229"/>
      <c r="BL84" s="229"/>
      <c r="BM84" s="229"/>
      <c r="BN84" s="229"/>
      <c r="BO84" s="229"/>
      <c r="BP84" s="229"/>
      <c r="BQ84" s="229"/>
      <c r="BR84" s="229"/>
      <c r="BS84" s="229"/>
      <c r="BT84" s="229"/>
      <c r="BU84" s="229"/>
      <c r="BV84" s="229"/>
      <c r="BW84" s="229"/>
      <c r="BX84" s="229"/>
      <c r="BY84" s="231">
        <f>Acs!E10</f>
        <v>0</v>
      </c>
      <c r="BZ84" s="236"/>
      <c r="CA84" s="229"/>
    </row>
    <row r="85" spans="2:79" x14ac:dyDescent="0.25">
      <c r="B85" s="237" t="str">
        <f>Cen!A239</f>
        <v>Podélný reling vlevo/vpravo, 550mm, šedý</v>
      </c>
      <c r="C85" s="237" t="str">
        <f>Cen!B239</f>
        <v>ZRG.487RSIC</v>
      </c>
      <c r="D85" s="237" t="str">
        <f>Cen!C239</f>
        <v>R906</v>
      </c>
      <c r="E85" s="553">
        <f>Cen!D239</f>
        <v>0</v>
      </c>
      <c r="F85" s="208">
        <f t="shared" si="20"/>
        <v>0</v>
      </c>
      <c r="G85" s="233">
        <f>Cen!F239</f>
        <v>7.3622199999999998</v>
      </c>
      <c r="H85" s="234">
        <f t="shared" ref="H85:H86" si="24">M85</f>
        <v>0</v>
      </c>
      <c r="I85" s="250"/>
      <c r="J85" s="235">
        <f>Cen!I239</f>
        <v>2422408</v>
      </c>
      <c r="K85" s="235">
        <f>Cen!J239</f>
        <v>202526</v>
      </c>
      <c r="L85" s="230">
        <f t="shared" ref="L85:L86" si="25">IF(I85="x",0,IF(I85&gt;0,I85,F85))</f>
        <v>0</v>
      </c>
      <c r="M85" s="434">
        <f t="shared" ref="M85:M86" si="26">PRODUCT(L85,G85)</f>
        <v>0</v>
      </c>
      <c r="N85" s="229"/>
      <c r="O85" s="229"/>
      <c r="P85" s="229"/>
      <c r="Q85" s="229"/>
      <c r="R85" s="229"/>
      <c r="S85" s="229"/>
      <c r="T85" s="382">
        <f>AD310G!$S69</f>
        <v>0</v>
      </c>
      <c r="U85" s="382">
        <f>AD310M!$S69</f>
        <v>0</v>
      </c>
      <c r="V85" s="382">
        <f>AD310R!$S69</f>
        <v>0</v>
      </c>
      <c r="W85" s="382">
        <f>AD31VG!$S69</f>
        <v>0</v>
      </c>
      <c r="X85" s="382">
        <f>AD31VM!$S69</f>
        <v>0</v>
      </c>
      <c r="Y85" s="382">
        <f>AD31VR!$S69</f>
        <v>0</v>
      </c>
      <c r="Z85" s="229"/>
      <c r="AA85" s="382">
        <f>AC310G!$S69</f>
        <v>0</v>
      </c>
      <c r="AB85" s="382">
        <f>AC310M!$S69</f>
        <v>0</v>
      </c>
      <c r="AC85" s="382">
        <f>AC310R!$S69</f>
        <v>0</v>
      </c>
      <c r="AD85" s="382">
        <f>AC31VG!$S69</f>
        <v>0</v>
      </c>
      <c r="AE85" s="382">
        <f>AC31VM!$S69</f>
        <v>0</v>
      </c>
      <c r="AF85" s="382">
        <f>AC31VR!$S69</f>
        <v>0</v>
      </c>
      <c r="AG85" s="229"/>
      <c r="AH85" s="236"/>
      <c r="AI85" s="229"/>
      <c r="AJ85" s="229"/>
      <c r="AK85" s="229"/>
      <c r="AL85" s="229"/>
      <c r="AM85" s="229"/>
      <c r="AN85" s="229"/>
      <c r="AO85" s="229"/>
      <c r="AP85" s="229"/>
      <c r="AQ85" s="229"/>
      <c r="AR85" s="229"/>
      <c r="AS85" s="236">
        <f>AD342G!$S69</f>
        <v>0</v>
      </c>
      <c r="AT85" s="236">
        <f>AD342M!$S69</f>
        <v>0</v>
      </c>
      <c r="AU85" s="236">
        <f>AD342R!$S69</f>
        <v>0</v>
      </c>
      <c r="AV85" s="229"/>
      <c r="AW85" s="414">
        <f>ADD32G!$S69</f>
        <v>0</v>
      </c>
      <c r="AX85" s="414">
        <f>ADD32M!$S69</f>
        <v>0</v>
      </c>
      <c r="AY85" s="414">
        <f>ADD32R!$S65</f>
        <v>0</v>
      </c>
      <c r="AZ85" s="414">
        <f>ADM30G!$S69</f>
        <v>0</v>
      </c>
      <c r="BA85" s="414">
        <f>ADM30M!$S69</f>
        <v>0</v>
      </c>
      <c r="BB85" s="414">
        <f>ADM30R!$S71</f>
        <v>0</v>
      </c>
      <c r="BC85" s="229"/>
      <c r="BD85" s="415">
        <f>ADM45G!S69</f>
        <v>0</v>
      </c>
      <c r="BE85" s="415">
        <f>ADM45M!S69</f>
        <v>0</v>
      </c>
      <c r="BF85" s="415">
        <f>ADM45R!S69</f>
        <v>0</v>
      </c>
      <c r="BG85" s="415">
        <f>ADD45G!S69</f>
        <v>0</v>
      </c>
      <c r="BH85" s="415">
        <f>ADD45M!S69</f>
        <v>0</v>
      </c>
      <c r="BI85" s="415">
        <f>ADD45R!$S69</f>
        <v>0</v>
      </c>
      <c r="BJ85" s="229"/>
      <c r="BK85" s="229"/>
      <c r="BL85" s="229"/>
      <c r="BM85" s="229"/>
      <c r="BN85" s="229"/>
      <c r="BO85" s="229"/>
      <c r="BP85" s="229"/>
      <c r="BQ85" s="229"/>
      <c r="BR85" s="229"/>
      <c r="BS85" s="229"/>
      <c r="BT85" s="229"/>
      <c r="BU85" s="229"/>
      <c r="BV85" s="229"/>
      <c r="BW85" s="229"/>
      <c r="BX85" s="229"/>
      <c r="BY85" s="555">
        <f>Acs!E11</f>
        <v>0</v>
      </c>
      <c r="BZ85" s="236"/>
      <c r="CA85" s="229"/>
    </row>
    <row r="86" spans="2:79" x14ac:dyDescent="0.25">
      <c r="B86" s="237" t="str">
        <f>Cen!A243</f>
        <v>Podélný reling vlevo/vpravo, 600mm, šedý</v>
      </c>
      <c r="C86" s="237" t="str">
        <f>Cen!B243</f>
        <v>ZRG.537RSIC</v>
      </c>
      <c r="D86" s="237" t="str">
        <f>Cen!C243</f>
        <v>R906</v>
      </c>
      <c r="E86" s="553">
        <f>Cen!D243</f>
        <v>0</v>
      </c>
      <c r="F86" s="208">
        <f t="shared" si="20"/>
        <v>0</v>
      </c>
      <c r="G86" s="233">
        <f>Cen!F243</f>
        <v>6.9229999999999992</v>
      </c>
      <c r="H86" s="234">
        <f t="shared" si="24"/>
        <v>0</v>
      </c>
      <c r="I86" s="250"/>
      <c r="J86" s="235">
        <f>Cen!I243</f>
        <v>1696058</v>
      </c>
      <c r="K86" s="235">
        <f>Cen!J243</f>
        <v>203000</v>
      </c>
      <c r="L86" s="230">
        <f t="shared" si="25"/>
        <v>0</v>
      </c>
      <c r="M86" s="434">
        <f t="shared" si="26"/>
        <v>0</v>
      </c>
      <c r="N86" s="229"/>
      <c r="O86" s="229"/>
      <c r="P86" s="229"/>
      <c r="Q86" s="229"/>
      <c r="R86" s="229"/>
      <c r="S86" s="229"/>
      <c r="T86" s="382">
        <f>AD310G!$S70</f>
        <v>0</v>
      </c>
      <c r="U86" s="382">
        <f>AD310M!$S70</f>
        <v>0</v>
      </c>
      <c r="V86" s="382">
        <f>AD310R!$S70</f>
        <v>0</v>
      </c>
      <c r="W86" s="382">
        <f>AD31VG!$S70</f>
        <v>0</v>
      </c>
      <c r="X86" s="382">
        <f>AD31VM!$S70</f>
        <v>0</v>
      </c>
      <c r="Y86" s="382">
        <f>AD31VR!$S70</f>
        <v>0</v>
      </c>
      <c r="Z86" s="229"/>
      <c r="AA86" s="382">
        <f>AC310G!$S70</f>
        <v>0</v>
      </c>
      <c r="AB86" s="382">
        <f>AC310M!$S70</f>
        <v>0</v>
      </c>
      <c r="AC86" s="382">
        <f>AC310R!$S70</f>
        <v>0</v>
      </c>
      <c r="AD86" s="382">
        <f>AC31VG!$S70</f>
        <v>0</v>
      </c>
      <c r="AE86" s="382">
        <f>AC31VM!$S70</f>
        <v>0</v>
      </c>
      <c r="AF86" s="382">
        <f>AC31VR!$S70</f>
        <v>0</v>
      </c>
      <c r="AG86" s="229"/>
      <c r="AH86" s="236"/>
      <c r="AI86" s="404">
        <f>AD535SG!$S41</f>
        <v>0</v>
      </c>
      <c r="AJ86" s="404">
        <f>AD535SM!$S41</f>
        <v>0</v>
      </c>
      <c r="AK86" s="404">
        <f>AD535SR!$S41</f>
        <v>0</v>
      </c>
      <c r="AL86" s="229"/>
      <c r="AM86" s="229"/>
      <c r="AN86" s="404">
        <f>AD535G!$S41</f>
        <v>0</v>
      </c>
      <c r="AO86" s="404">
        <f>AD535M!$S41</f>
        <v>0</v>
      </c>
      <c r="AP86" s="404">
        <f>AD535R!$S41</f>
        <v>0</v>
      </c>
      <c r="AQ86" s="229"/>
      <c r="AR86" s="229"/>
      <c r="AS86" s="236">
        <f>AD342G!$S70</f>
        <v>0</v>
      </c>
      <c r="AT86" s="236">
        <f>AD342M!$S70</f>
        <v>0</v>
      </c>
      <c r="AU86" s="236">
        <f>AD342R!$S70</f>
        <v>0</v>
      </c>
      <c r="AV86" s="229"/>
      <c r="AW86" s="414">
        <f>ADD32G!$S70</f>
        <v>0</v>
      </c>
      <c r="AX86" s="414">
        <f>ADD32M!$S70</f>
        <v>0</v>
      </c>
      <c r="AY86" s="414">
        <f>ADD32R!$S66</f>
        <v>0</v>
      </c>
      <c r="AZ86" s="414">
        <f>ADM30G!$S70</f>
        <v>0</v>
      </c>
      <c r="BA86" s="414">
        <f>ADM30M!$S70</f>
        <v>0</v>
      </c>
      <c r="BB86" s="414">
        <f>ADM30R!$S72</f>
        <v>0</v>
      </c>
      <c r="BC86" s="229"/>
      <c r="BD86" s="236"/>
      <c r="BE86" s="236"/>
      <c r="BF86" s="236"/>
      <c r="BG86" s="236"/>
      <c r="BH86" s="236"/>
      <c r="BI86" s="236"/>
      <c r="BJ86" s="229"/>
      <c r="BK86" s="229"/>
      <c r="BL86" s="229"/>
      <c r="BM86" s="229"/>
      <c r="BN86" s="229"/>
      <c r="BO86" s="229"/>
      <c r="BP86" s="229"/>
      <c r="BQ86" s="229"/>
      <c r="BR86" s="229"/>
      <c r="BS86" s="229"/>
      <c r="BT86" s="229"/>
      <c r="BU86" s="229"/>
      <c r="BV86" s="229"/>
      <c r="BW86" s="229"/>
      <c r="BX86" s="229"/>
      <c r="BY86" s="555">
        <f>Acs!E12</f>
        <v>0</v>
      </c>
      <c r="BZ86" s="236"/>
      <c r="CA86" s="229"/>
    </row>
    <row r="87" spans="2:79" x14ac:dyDescent="0.25">
      <c r="B87" s="237" t="str">
        <f>Cen!A247</f>
        <v>Podélný reling vlevo/vpravo, 650mm, šedý</v>
      </c>
      <c r="C87" s="237" t="str">
        <f>Cen!B247</f>
        <v>ZRG.587RSIC</v>
      </c>
      <c r="D87" s="237" t="str">
        <f>Cen!C247</f>
        <v>R906</v>
      </c>
      <c r="E87" s="553">
        <f>Cen!D247</f>
        <v>0</v>
      </c>
      <c r="F87" s="208">
        <f t="shared" si="20"/>
        <v>0</v>
      </c>
      <c r="G87" s="233">
        <f>Cen!F247</f>
        <v>7.9644300000000001</v>
      </c>
      <c r="H87" s="234">
        <f>M87</f>
        <v>0</v>
      </c>
      <c r="I87" s="250"/>
      <c r="J87" s="235">
        <f>Cen!I247</f>
        <v>3892970</v>
      </c>
      <c r="K87" s="235">
        <f>Cen!J247</f>
        <v>202528</v>
      </c>
      <c r="L87" s="230">
        <f>IF(I87="x",0,IF(I87&gt;0,I87,F87))</f>
        <v>0</v>
      </c>
      <c r="M87" s="434">
        <f>PRODUCT(L87,G87)</f>
        <v>0</v>
      </c>
      <c r="N87" s="229"/>
      <c r="O87" s="229"/>
      <c r="P87" s="229"/>
      <c r="Q87" s="229"/>
      <c r="R87" s="229"/>
      <c r="S87" s="229"/>
      <c r="T87" s="382">
        <f>AD310G!$S71</f>
        <v>0</v>
      </c>
      <c r="U87" s="382">
        <f>AD310M!$S71</f>
        <v>0</v>
      </c>
      <c r="V87" s="382">
        <f>AD310R!$S71</f>
        <v>0</v>
      </c>
      <c r="W87" s="382">
        <f>AD31VG!$S71</f>
        <v>0</v>
      </c>
      <c r="X87" s="382">
        <f>AD31VM!$S71</f>
        <v>0</v>
      </c>
      <c r="Y87" s="382">
        <f>AD31VR!$S71</f>
        <v>0</v>
      </c>
      <c r="Z87" s="229"/>
      <c r="AA87" s="382">
        <f>AC310G!$S71</f>
        <v>0</v>
      </c>
      <c r="AB87" s="382">
        <f>AC310M!$S71</f>
        <v>0</v>
      </c>
      <c r="AC87" s="382">
        <f>AC310R!$S71</f>
        <v>0</v>
      </c>
      <c r="AD87" s="382">
        <f>AC31VG!$S71</f>
        <v>0</v>
      </c>
      <c r="AE87" s="382">
        <f>AC31VM!$S71</f>
        <v>0</v>
      </c>
      <c r="AF87" s="382">
        <f>AC31VR!$S71</f>
        <v>0</v>
      </c>
      <c r="AG87" s="229"/>
      <c r="AH87" s="229"/>
      <c r="AI87" s="404">
        <f>AD535SG!$S42</f>
        <v>0</v>
      </c>
      <c r="AJ87" s="404">
        <f>AD535SM!$S42</f>
        <v>0</v>
      </c>
      <c r="AK87" s="404">
        <f>AD535SR!$S42</f>
        <v>0</v>
      </c>
      <c r="AL87" s="229"/>
      <c r="AM87" s="229"/>
      <c r="AN87" s="404">
        <f>AD535G!$S42</f>
        <v>0</v>
      </c>
      <c r="AO87" s="404">
        <f>AD535M!$S42</f>
        <v>0</v>
      </c>
      <c r="AP87" s="404">
        <f>AD535R!$S42</f>
        <v>0</v>
      </c>
      <c r="AQ87" s="229"/>
      <c r="AR87" s="229"/>
      <c r="AS87" s="229"/>
      <c r="AT87" s="229"/>
      <c r="AU87" s="229"/>
      <c r="AV87" s="229"/>
      <c r="AW87" s="414">
        <f>ADD32G!$S71</f>
        <v>0</v>
      </c>
      <c r="AX87" s="414">
        <f>ADD32M!$S71</f>
        <v>0</v>
      </c>
      <c r="AY87" s="414">
        <f>ADD32R!$S67</f>
        <v>0</v>
      </c>
      <c r="AZ87" s="414">
        <f>ADM30G!$S71</f>
        <v>0</v>
      </c>
      <c r="BA87" s="414">
        <f>ADM30M!$S71</f>
        <v>0</v>
      </c>
      <c r="BB87" s="414">
        <f>ADM30R!$S73</f>
        <v>0</v>
      </c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29"/>
      <c r="BQ87" s="229"/>
      <c r="BR87" s="229"/>
      <c r="BS87" s="229"/>
      <c r="BT87" s="229"/>
      <c r="BU87" s="229"/>
      <c r="BV87" s="229"/>
      <c r="BW87" s="229"/>
      <c r="BX87" s="229"/>
      <c r="BY87" s="555">
        <f>Acs!E13</f>
        <v>0</v>
      </c>
      <c r="BZ87" s="236"/>
      <c r="CA87" s="229"/>
    </row>
    <row r="88" spans="2:79" x14ac:dyDescent="0.25">
      <c r="B88" s="237" t="str">
        <f>Cen!A254</f>
        <v>Zásuvný prvek D, 270mm, čiré sko</v>
      </c>
      <c r="C88" s="237" t="str">
        <f>Cen!B254</f>
        <v>Z37R237D</v>
      </c>
      <c r="D88" s="237" t="str">
        <f>Cen!C254</f>
        <v>KL</v>
      </c>
      <c r="E88" s="553" t="str">
        <f>Cen!D254</f>
        <v>!</v>
      </c>
      <c r="F88" s="208">
        <f t="shared" si="20"/>
        <v>0</v>
      </c>
      <c r="G88" s="233">
        <f>Cen!F254</f>
        <v>9.78749</v>
      </c>
      <c r="H88" s="234">
        <f t="shared" ref="H88:H92" si="27">M88</f>
        <v>0</v>
      </c>
      <c r="I88" s="250"/>
      <c r="J88" s="235">
        <f>Cen!I254</f>
        <v>2774799</v>
      </c>
      <c r="K88" s="235">
        <f>Cen!J254</f>
        <v>222070</v>
      </c>
      <c r="L88" s="230">
        <f t="shared" ref="L88:L92" si="28">IF(I88="x",0,IF(I88&gt;0,I88,F88))</f>
        <v>0</v>
      </c>
      <c r="M88" s="434">
        <f t="shared" ref="M88:M92" si="29">PRODUCT(L88,G88)</f>
        <v>0</v>
      </c>
      <c r="N88" s="229"/>
      <c r="O88" s="229"/>
      <c r="P88" s="229"/>
      <c r="Q88" s="229"/>
      <c r="R88" s="229"/>
      <c r="S88" s="229"/>
      <c r="T88" s="376">
        <f>AD310G!$S75</f>
        <v>0</v>
      </c>
      <c r="U88" s="236"/>
      <c r="V88" s="236"/>
      <c r="W88" s="382">
        <f>AD31VG!$S75</f>
        <v>0</v>
      </c>
      <c r="X88" s="236"/>
      <c r="Y88" s="236"/>
      <c r="Z88" s="236"/>
      <c r="AA88" s="236"/>
      <c r="AB88" s="236"/>
      <c r="AC88" s="236"/>
      <c r="AD88" s="236"/>
      <c r="AE88" s="236"/>
      <c r="AF88" s="236"/>
      <c r="AG88" s="229"/>
      <c r="AH88" s="229"/>
      <c r="AI88" s="236"/>
      <c r="AJ88" s="236"/>
      <c r="AK88" s="236"/>
      <c r="AL88" s="236"/>
      <c r="AM88" s="236"/>
      <c r="AN88" s="236"/>
      <c r="AO88" s="236"/>
      <c r="AP88" s="236"/>
      <c r="AQ88" s="236"/>
      <c r="AR88" s="229"/>
      <c r="AS88" s="229"/>
      <c r="AT88" s="229"/>
      <c r="AU88" s="229"/>
      <c r="AV88" s="229"/>
      <c r="AW88" s="229"/>
      <c r="AX88" s="229"/>
      <c r="AY88" s="229"/>
      <c r="AZ88" s="229"/>
      <c r="BA88" s="229"/>
      <c r="BB88" s="229"/>
      <c r="BC88" s="229"/>
      <c r="BD88" s="229"/>
      <c r="BE88" s="229"/>
      <c r="BF88" s="229"/>
      <c r="BG88" s="229"/>
      <c r="BH88" s="229"/>
      <c r="BI88" s="229"/>
      <c r="BJ88" s="229"/>
      <c r="BK88" s="229"/>
      <c r="BL88" s="229"/>
      <c r="BM88" s="229"/>
      <c r="BN88" s="229"/>
      <c r="BO88" s="229"/>
      <c r="BP88" s="229"/>
      <c r="BQ88" s="229"/>
      <c r="BR88" s="229"/>
      <c r="BS88" s="229"/>
      <c r="BT88" s="229"/>
      <c r="BU88" s="229"/>
      <c r="BV88" s="229"/>
      <c r="BW88" s="229"/>
      <c r="BX88" s="229"/>
      <c r="BY88" s="229"/>
      <c r="BZ88" s="236"/>
      <c r="CA88" s="229"/>
    </row>
    <row r="89" spans="2:79" x14ac:dyDescent="0.25">
      <c r="B89" s="237" t="str">
        <f>Cen!A256</f>
        <v>Zásuvný prvek D, 300mm, čiré sko</v>
      </c>
      <c r="C89" s="237" t="str">
        <f>Cen!B256</f>
        <v>Z37R267D</v>
      </c>
      <c r="D89" s="237" t="str">
        <f>Cen!C256</f>
        <v>KL</v>
      </c>
      <c r="E89" s="553" t="str">
        <f>Cen!D256</f>
        <v>!</v>
      </c>
      <c r="F89" s="208">
        <f t="shared" si="20"/>
        <v>0</v>
      </c>
      <c r="G89" s="233">
        <f>Cen!F256</f>
        <v>10.956569999999999</v>
      </c>
      <c r="H89" s="234">
        <f t="shared" si="27"/>
        <v>0</v>
      </c>
      <c r="I89" s="250"/>
      <c r="J89" s="235">
        <f>Cen!I256</f>
        <v>3308193</v>
      </c>
      <c r="K89" s="235">
        <f>Cen!J256</f>
        <v>222074</v>
      </c>
      <c r="L89" s="230">
        <f t="shared" si="28"/>
        <v>0</v>
      </c>
      <c r="M89" s="434">
        <f t="shared" si="29"/>
        <v>0</v>
      </c>
      <c r="N89" s="229"/>
      <c r="O89" s="229"/>
      <c r="P89" s="229"/>
      <c r="Q89" s="229"/>
      <c r="R89" s="229"/>
      <c r="S89" s="229"/>
      <c r="T89" s="382">
        <f>AD310G!$S76</f>
        <v>0</v>
      </c>
      <c r="U89" s="229"/>
      <c r="V89" s="229"/>
      <c r="W89" s="382">
        <f>AD31VG!$S76</f>
        <v>0</v>
      </c>
      <c r="X89" s="229"/>
      <c r="Y89" s="229"/>
      <c r="Z89" s="229"/>
      <c r="AA89" s="229"/>
      <c r="AB89" s="229"/>
      <c r="AC89" s="229"/>
      <c r="AD89" s="236"/>
      <c r="AE89" s="229"/>
      <c r="AF89" s="229"/>
      <c r="AG89" s="229"/>
      <c r="AH89" s="229"/>
      <c r="AI89" s="236"/>
      <c r="AJ89" s="236"/>
      <c r="AK89" s="236"/>
      <c r="AL89" s="236"/>
      <c r="AM89" s="236"/>
      <c r="AN89" s="236"/>
      <c r="AO89" s="236"/>
      <c r="AP89" s="236"/>
      <c r="AQ89" s="236"/>
      <c r="AR89" s="229"/>
      <c r="AS89" s="229"/>
      <c r="AT89" s="229"/>
      <c r="AU89" s="229"/>
      <c r="AV89" s="229"/>
      <c r="AW89" s="229"/>
      <c r="AX89" s="229"/>
      <c r="AY89" s="229"/>
      <c r="AZ89" s="229"/>
      <c r="BA89" s="229"/>
      <c r="BB89" s="229"/>
      <c r="BC89" s="229"/>
      <c r="BD89" s="229"/>
      <c r="BE89" s="229"/>
      <c r="BF89" s="229"/>
      <c r="BG89" s="229"/>
      <c r="BH89" s="229"/>
      <c r="BI89" s="229"/>
      <c r="BJ89" s="229"/>
      <c r="BK89" s="229"/>
      <c r="BL89" s="229"/>
      <c r="BM89" s="229"/>
      <c r="BN89" s="229"/>
      <c r="BO89" s="229"/>
      <c r="BP89" s="229"/>
      <c r="BQ89" s="229"/>
      <c r="BR89" s="229"/>
      <c r="BS89" s="229"/>
      <c r="BT89" s="229"/>
      <c r="BU89" s="229"/>
      <c r="BV89" s="229"/>
      <c r="BW89" s="229"/>
      <c r="BX89" s="229"/>
      <c r="BY89" s="229"/>
      <c r="BZ89" s="236"/>
      <c r="CA89" s="229"/>
    </row>
    <row r="90" spans="2:79" x14ac:dyDescent="0.25">
      <c r="B90" s="237" t="str">
        <f>Cen!A258</f>
        <v>Zásuvný prvek D, 350mm, čiré sko</v>
      </c>
      <c r="C90" s="237" t="str">
        <f>Cen!B258</f>
        <v>Z37R317D</v>
      </c>
      <c r="D90" s="237" t="str">
        <f>Cen!C258</f>
        <v>KL</v>
      </c>
      <c r="E90" s="553" t="str">
        <f>Cen!D258</f>
        <v>!</v>
      </c>
      <c r="F90" s="208">
        <f t="shared" si="20"/>
        <v>0</v>
      </c>
      <c r="G90" s="233">
        <f>Cen!F258</f>
        <v>10.55153</v>
      </c>
      <c r="H90" s="234">
        <f t="shared" si="27"/>
        <v>0</v>
      </c>
      <c r="I90" s="250"/>
      <c r="J90" s="235">
        <f>Cen!I258</f>
        <v>7929860</v>
      </c>
      <c r="K90" s="235">
        <f>Cen!J258</f>
        <v>222078</v>
      </c>
      <c r="L90" s="230">
        <f t="shared" si="28"/>
        <v>0</v>
      </c>
      <c r="M90" s="434">
        <f t="shared" si="29"/>
        <v>0</v>
      </c>
      <c r="N90" s="229"/>
      <c r="O90" s="229"/>
      <c r="P90" s="229"/>
      <c r="Q90" s="229"/>
      <c r="R90" s="229"/>
      <c r="S90" s="229"/>
      <c r="T90" s="382">
        <f>AD310G!$S77</f>
        <v>0</v>
      </c>
      <c r="U90" s="229"/>
      <c r="V90" s="229"/>
      <c r="W90" s="382">
        <f>AD31VG!$S77</f>
        <v>0</v>
      </c>
      <c r="X90" s="229"/>
      <c r="Y90" s="229"/>
      <c r="Z90" s="229"/>
      <c r="AA90" s="229"/>
      <c r="AB90" s="229"/>
      <c r="AC90" s="229"/>
      <c r="AD90" s="236"/>
      <c r="AE90" s="229"/>
      <c r="AF90" s="229"/>
      <c r="AG90" s="229"/>
      <c r="AH90" s="229"/>
      <c r="AI90" s="236"/>
      <c r="AJ90" s="236"/>
      <c r="AK90" s="236"/>
      <c r="AL90" s="236"/>
      <c r="AM90" s="236"/>
      <c r="AN90" s="236"/>
      <c r="AO90" s="236"/>
      <c r="AP90" s="236"/>
      <c r="AQ90" s="236"/>
      <c r="AR90" s="229"/>
      <c r="AS90" s="229"/>
      <c r="AT90" s="229"/>
      <c r="AU90" s="229"/>
      <c r="AV90" s="229"/>
      <c r="AW90" s="229"/>
      <c r="AX90" s="229"/>
      <c r="AY90" s="229"/>
      <c r="AZ90" s="229"/>
      <c r="BA90" s="229"/>
      <c r="BB90" s="229"/>
      <c r="BC90" s="229"/>
      <c r="BD90" s="229"/>
      <c r="BE90" s="229"/>
      <c r="BF90" s="229"/>
      <c r="BG90" s="229"/>
      <c r="BH90" s="229"/>
      <c r="BI90" s="229"/>
      <c r="BJ90" s="229"/>
      <c r="BK90" s="229"/>
      <c r="BL90" s="229"/>
      <c r="BM90" s="229"/>
      <c r="BN90" s="229"/>
      <c r="BO90" s="229"/>
      <c r="BP90" s="229"/>
      <c r="BQ90" s="229"/>
      <c r="BR90" s="229"/>
      <c r="BS90" s="229"/>
      <c r="BT90" s="229"/>
      <c r="BU90" s="229"/>
      <c r="BV90" s="229"/>
      <c r="BW90" s="229"/>
      <c r="BX90" s="229"/>
      <c r="BY90" s="229"/>
      <c r="BZ90" s="236"/>
      <c r="CA90" s="229"/>
    </row>
    <row r="91" spans="2:79" x14ac:dyDescent="0.25">
      <c r="B91" s="237" t="str">
        <f>Cen!A260</f>
        <v>Zásuvný prvek D, 400mm, čiré sko</v>
      </c>
      <c r="C91" s="237" t="str">
        <f>Cen!B260</f>
        <v>Z37R367D</v>
      </c>
      <c r="D91" s="237" t="str">
        <f>Cen!C260</f>
        <v>KL</v>
      </c>
      <c r="E91" s="553">
        <f>Cen!D260</f>
        <v>0</v>
      </c>
      <c r="F91" s="208">
        <f t="shared" si="20"/>
        <v>0</v>
      </c>
      <c r="G91" s="233">
        <f>Cen!F260</f>
        <v>11.739190000000001</v>
      </c>
      <c r="H91" s="234">
        <f t="shared" si="27"/>
        <v>0</v>
      </c>
      <c r="I91" s="250"/>
      <c r="J91" s="235">
        <f>Cen!I260</f>
        <v>1224597</v>
      </c>
      <c r="K91" s="235">
        <f>Cen!J260</f>
        <v>222083</v>
      </c>
      <c r="L91" s="230">
        <f t="shared" si="28"/>
        <v>0</v>
      </c>
      <c r="M91" s="434">
        <f t="shared" si="29"/>
        <v>0</v>
      </c>
      <c r="N91" s="229"/>
      <c r="O91" s="229"/>
      <c r="P91" s="229"/>
      <c r="Q91" s="229"/>
      <c r="R91" s="229"/>
      <c r="S91" s="229"/>
      <c r="T91" s="382">
        <f>AD310G!$S78</f>
        <v>0</v>
      </c>
      <c r="U91" s="229"/>
      <c r="V91" s="229"/>
      <c r="W91" s="382">
        <f>AD31VG!$S78</f>
        <v>0</v>
      </c>
      <c r="X91" s="229"/>
      <c r="Y91" s="229"/>
      <c r="Z91" s="236"/>
      <c r="AA91" s="236"/>
      <c r="AB91" s="236"/>
      <c r="AC91" s="236"/>
      <c r="AD91" s="236"/>
      <c r="AE91" s="236"/>
      <c r="AF91" s="229"/>
      <c r="AG91" s="229"/>
      <c r="AH91" s="229"/>
      <c r="AI91" s="236"/>
      <c r="AJ91" s="236"/>
      <c r="AK91" s="236"/>
      <c r="AL91" s="236"/>
      <c r="AM91" s="236"/>
      <c r="AN91" s="236"/>
      <c r="AO91" s="236"/>
      <c r="AP91" s="236"/>
      <c r="AQ91" s="236"/>
      <c r="AR91" s="229"/>
      <c r="AS91" s="229"/>
      <c r="AT91" s="229"/>
      <c r="AU91" s="229"/>
      <c r="AV91" s="229"/>
      <c r="AW91" s="229"/>
      <c r="AX91" s="229"/>
      <c r="AY91" s="229"/>
      <c r="AZ91" s="229"/>
      <c r="BA91" s="229"/>
      <c r="BB91" s="229"/>
      <c r="BC91" s="229"/>
      <c r="BD91" s="229"/>
      <c r="BE91" s="229"/>
      <c r="BF91" s="229"/>
      <c r="BG91" s="229"/>
      <c r="BH91" s="229"/>
      <c r="BI91" s="229"/>
      <c r="BJ91" s="229"/>
      <c r="BK91" s="229"/>
      <c r="BL91" s="229"/>
      <c r="BM91" s="229"/>
      <c r="BN91" s="229"/>
      <c r="BO91" s="229"/>
      <c r="BP91" s="229"/>
      <c r="BQ91" s="229"/>
      <c r="BR91" s="229"/>
      <c r="BS91" s="229"/>
      <c r="BT91" s="229"/>
      <c r="BU91" s="229"/>
      <c r="BV91" s="229"/>
      <c r="BW91" s="229"/>
      <c r="BX91" s="229"/>
      <c r="BY91" s="229"/>
      <c r="BZ91" s="236"/>
      <c r="CA91" s="229"/>
    </row>
    <row r="92" spans="2:79" x14ac:dyDescent="0.25">
      <c r="B92" s="237" t="str">
        <f>Cen!A262</f>
        <v>Zásuvný prvek D, 450mm, čiré sko</v>
      </c>
      <c r="C92" s="237" t="str">
        <f>Cen!B262</f>
        <v>Z37R417D</v>
      </c>
      <c r="D92" s="237" t="str">
        <f>Cen!C262</f>
        <v>KL</v>
      </c>
      <c r="E92" s="553">
        <f>Cen!D262</f>
        <v>0</v>
      </c>
      <c r="F92" s="208">
        <f t="shared" si="20"/>
        <v>0</v>
      </c>
      <c r="G92" s="233">
        <f>Cen!F262</f>
        <v>14.23917</v>
      </c>
      <c r="H92" s="234">
        <f t="shared" si="27"/>
        <v>0</v>
      </c>
      <c r="I92" s="250"/>
      <c r="J92" s="235">
        <f>Cen!I262</f>
        <v>2294507</v>
      </c>
      <c r="K92" s="235">
        <f>Cen!J262</f>
        <v>222089</v>
      </c>
      <c r="L92" s="230">
        <f t="shared" si="28"/>
        <v>0</v>
      </c>
      <c r="M92" s="434">
        <f t="shared" si="29"/>
        <v>0</v>
      </c>
      <c r="N92" s="229"/>
      <c r="O92" s="229"/>
      <c r="P92" s="229"/>
      <c r="Q92" s="229"/>
      <c r="R92" s="229"/>
      <c r="S92" s="229"/>
      <c r="T92" s="382">
        <f>AD310G!$S79</f>
        <v>0</v>
      </c>
      <c r="U92" s="229"/>
      <c r="V92" s="229"/>
      <c r="W92" s="382">
        <f>AD31VG!$S79</f>
        <v>0</v>
      </c>
      <c r="X92" s="229"/>
      <c r="Y92" s="229"/>
      <c r="Z92" s="236"/>
      <c r="AA92" s="236"/>
      <c r="AB92" s="236"/>
      <c r="AC92" s="236"/>
      <c r="AD92" s="236"/>
      <c r="AE92" s="236"/>
      <c r="AF92" s="229"/>
      <c r="AG92" s="229"/>
      <c r="AH92" s="229"/>
      <c r="AI92" s="236"/>
      <c r="AJ92" s="236"/>
      <c r="AK92" s="236"/>
      <c r="AL92" s="236"/>
      <c r="AM92" s="236"/>
      <c r="AN92" s="236"/>
      <c r="AO92" s="236"/>
      <c r="AP92" s="236"/>
      <c r="AQ92" s="236"/>
      <c r="AR92" s="229"/>
      <c r="AS92" s="229"/>
      <c r="AT92" s="229"/>
      <c r="AU92" s="229"/>
      <c r="AV92" s="229"/>
      <c r="AW92" s="414">
        <f>ADD32G!$S79</f>
        <v>0</v>
      </c>
      <c r="AX92" s="229"/>
      <c r="AY92" s="229"/>
      <c r="AZ92" s="414">
        <f>ADM30G!$S79</f>
        <v>0</v>
      </c>
      <c r="BA92" s="229"/>
      <c r="BB92" s="229"/>
      <c r="BC92" s="229"/>
      <c r="BD92" s="415">
        <f>ADM45G!$S79</f>
        <v>0</v>
      </c>
      <c r="BE92" s="229"/>
      <c r="BF92" s="229"/>
      <c r="BG92" s="415">
        <f>ADD45G!$S79</f>
        <v>0</v>
      </c>
      <c r="BH92" s="229"/>
      <c r="BI92" s="229"/>
      <c r="BJ92" s="229"/>
      <c r="BK92" s="229"/>
      <c r="BL92" s="229"/>
      <c r="BM92" s="229"/>
      <c r="BN92" s="229"/>
      <c r="BO92" s="229"/>
      <c r="BP92" s="229"/>
      <c r="BQ92" s="229"/>
      <c r="BR92" s="229"/>
      <c r="BS92" s="229"/>
      <c r="BT92" s="229"/>
      <c r="BU92" s="229"/>
      <c r="BV92" s="229"/>
      <c r="BW92" s="229"/>
      <c r="BX92" s="229"/>
      <c r="BY92" s="229"/>
      <c r="BZ92" s="236"/>
      <c r="CA92" s="229"/>
    </row>
    <row r="93" spans="2:79" x14ac:dyDescent="0.25">
      <c r="B93" s="237" t="str">
        <f>Cen!A264</f>
        <v>Zásuvný prvek D, 500mm, čiré sko</v>
      </c>
      <c r="C93" s="237" t="str">
        <f>Cen!B264</f>
        <v>Z37R467D</v>
      </c>
      <c r="D93" s="237" t="str">
        <f>Cen!C264</f>
        <v>KL</v>
      </c>
      <c r="E93" s="553">
        <f>Cen!D264</f>
        <v>0</v>
      </c>
      <c r="F93" s="208">
        <f t="shared" si="20"/>
        <v>0</v>
      </c>
      <c r="G93" s="233">
        <f>Cen!F264</f>
        <v>11.697749999999999</v>
      </c>
      <c r="H93" s="234">
        <f>M93</f>
        <v>0</v>
      </c>
      <c r="I93" s="250"/>
      <c r="J93" s="235">
        <f>Cen!I264</f>
        <v>2291585</v>
      </c>
      <c r="K93" s="235">
        <f>Cen!J264</f>
        <v>222092</v>
      </c>
      <c r="L93" s="230">
        <f>IF(I93="x",0,IF(I93&gt;0,I93,F93))</f>
        <v>0</v>
      </c>
      <c r="M93" s="434">
        <f>PRODUCT(L93,G93)</f>
        <v>0</v>
      </c>
      <c r="N93" s="229"/>
      <c r="O93" s="229"/>
      <c r="P93" s="229"/>
      <c r="Q93" s="229"/>
      <c r="R93" s="229"/>
      <c r="S93" s="229"/>
      <c r="T93" s="382">
        <f>AD310G!$S80</f>
        <v>0</v>
      </c>
      <c r="U93" s="229"/>
      <c r="V93" s="229"/>
      <c r="W93" s="382">
        <f>AD31VG!$S80</f>
        <v>0</v>
      </c>
      <c r="X93" s="229"/>
      <c r="Y93" s="229"/>
      <c r="Z93" s="236"/>
      <c r="AA93" s="236">
        <f>AC310G!$J44</f>
        <v>0</v>
      </c>
      <c r="AB93" s="236"/>
      <c r="AC93" s="236"/>
      <c r="AD93" s="236">
        <f>AC31VG!J44</f>
        <v>0</v>
      </c>
      <c r="AE93" s="236"/>
      <c r="AF93" s="229"/>
      <c r="AG93" s="229"/>
      <c r="AH93" s="236"/>
      <c r="AI93" s="236"/>
      <c r="AJ93" s="236"/>
      <c r="AK93" s="236"/>
      <c r="AL93" s="236"/>
      <c r="AM93" s="236"/>
      <c r="AN93" s="236"/>
      <c r="AO93" s="236"/>
      <c r="AP93" s="236"/>
      <c r="AQ93" s="229"/>
      <c r="AR93" s="229"/>
      <c r="AS93" s="414">
        <f>AD342G!$S80</f>
        <v>0</v>
      </c>
      <c r="AT93" s="229"/>
      <c r="AU93" s="229"/>
      <c r="AV93" s="229"/>
      <c r="AW93" s="414">
        <f>ADD32G!$S80</f>
        <v>0</v>
      </c>
      <c r="AX93" s="229"/>
      <c r="AY93" s="229"/>
      <c r="AZ93" s="414">
        <f>ADM30G!$S80</f>
        <v>0</v>
      </c>
      <c r="BA93" s="229"/>
      <c r="BB93" s="229"/>
      <c r="BC93" s="229"/>
      <c r="BD93" s="415">
        <f>ADM45G!$S80</f>
        <v>0</v>
      </c>
      <c r="BE93" s="229"/>
      <c r="BF93" s="229"/>
      <c r="BG93" s="415">
        <f>ADD45G!$S80</f>
        <v>0</v>
      </c>
      <c r="BH93" s="229"/>
      <c r="BI93" s="229"/>
      <c r="BJ93" s="229"/>
      <c r="BK93" s="229"/>
      <c r="BL93" s="229"/>
      <c r="BM93" s="229"/>
      <c r="BN93" s="229"/>
      <c r="BO93" s="229"/>
      <c r="BP93" s="229"/>
      <c r="BQ93" s="229"/>
      <c r="BR93" s="229"/>
      <c r="BS93" s="229"/>
      <c r="BT93" s="229"/>
      <c r="BU93" s="229"/>
      <c r="BV93" s="229"/>
      <c r="BW93" s="229"/>
      <c r="BX93" s="229"/>
      <c r="BY93" s="229"/>
      <c r="BZ93" s="236"/>
      <c r="CA93" s="229"/>
    </row>
    <row r="94" spans="2:79" x14ac:dyDescent="0.25">
      <c r="B94" s="237" t="str">
        <f>Cen!A266</f>
        <v>Zásuvný prvek D, 550mm, čiré sko</v>
      </c>
      <c r="C94" s="237" t="str">
        <f>Cen!B266</f>
        <v>Z37R517D</v>
      </c>
      <c r="D94" s="237" t="str">
        <f>Cen!C266</f>
        <v>KL</v>
      </c>
      <c r="E94" s="553">
        <f>Cen!D266</f>
        <v>0</v>
      </c>
      <c r="F94" s="208">
        <f t="shared" si="20"/>
        <v>0</v>
      </c>
      <c r="G94" s="233">
        <f>Cen!F266</f>
        <v>13.304410000000001</v>
      </c>
      <c r="H94" s="234">
        <f>M94</f>
        <v>0</v>
      </c>
      <c r="I94" s="250"/>
      <c r="J94" s="235">
        <f>Cen!I266</f>
        <v>2557206</v>
      </c>
      <c r="K94" s="235">
        <f>Cen!J266</f>
        <v>222097</v>
      </c>
      <c r="L94" s="230">
        <f>IF(I94="x",0,IF(I94&gt;0,I94,F94))</f>
        <v>0</v>
      </c>
      <c r="M94" s="434">
        <f>PRODUCT(L94,G94)</f>
        <v>0</v>
      </c>
      <c r="N94" s="229"/>
      <c r="O94" s="229"/>
      <c r="P94" s="229"/>
      <c r="Q94" s="229"/>
      <c r="R94" s="229"/>
      <c r="S94" s="229"/>
      <c r="T94" s="382">
        <f>AD310G!$S81</f>
        <v>0</v>
      </c>
      <c r="U94" s="229"/>
      <c r="V94" s="229"/>
      <c r="W94" s="382">
        <f>AD31VG!$S81</f>
        <v>0</v>
      </c>
      <c r="X94" s="229"/>
      <c r="Y94" s="229"/>
      <c r="Z94" s="236"/>
      <c r="AA94" s="236"/>
      <c r="AB94" s="236"/>
      <c r="AC94" s="236"/>
      <c r="AD94" s="236"/>
      <c r="AE94" s="236"/>
      <c r="AF94" s="229"/>
      <c r="AG94" s="229"/>
      <c r="AH94" s="229"/>
      <c r="AI94" s="229"/>
      <c r="AJ94" s="229"/>
      <c r="AK94" s="229"/>
      <c r="AL94" s="229"/>
      <c r="AM94" s="229"/>
      <c r="AN94" s="229"/>
      <c r="AO94" s="229"/>
      <c r="AP94" s="229"/>
      <c r="AQ94" s="229"/>
      <c r="AR94" s="229"/>
      <c r="AS94" s="236"/>
      <c r="AT94" s="236"/>
      <c r="AU94" s="236"/>
      <c r="AV94" s="229"/>
      <c r="AW94" s="231">
        <f>ADD32G!$S81</f>
        <v>0</v>
      </c>
      <c r="AX94" s="229"/>
      <c r="AY94" s="229"/>
      <c r="AZ94" s="231">
        <f>ADM30G!$S81</f>
        <v>0</v>
      </c>
      <c r="BA94" s="229"/>
      <c r="BB94" s="229"/>
      <c r="BC94" s="229"/>
      <c r="BD94" s="415">
        <f>ADM45G!$S81</f>
        <v>0</v>
      </c>
      <c r="BE94" s="229"/>
      <c r="BF94" s="229"/>
      <c r="BG94" s="415">
        <f>ADD45G!$S81</f>
        <v>0</v>
      </c>
      <c r="BH94" s="229"/>
      <c r="BI94" s="229"/>
      <c r="BJ94" s="229"/>
      <c r="BK94" s="229"/>
      <c r="BL94" s="229"/>
      <c r="BM94" s="229"/>
      <c r="BN94" s="229"/>
      <c r="BO94" s="229"/>
      <c r="BP94" s="229"/>
      <c r="BQ94" s="229"/>
      <c r="BR94" s="229"/>
      <c r="BS94" s="229"/>
      <c r="BT94" s="229"/>
      <c r="BU94" s="229"/>
      <c r="BV94" s="229"/>
      <c r="BW94" s="229"/>
      <c r="BX94" s="229"/>
      <c r="BY94" s="229"/>
      <c r="BZ94" s="236"/>
      <c r="CA94" s="229"/>
    </row>
    <row r="95" spans="2:79" x14ac:dyDescent="0.25">
      <c r="B95" s="237" t="str">
        <f>Cen!A268</f>
        <v>Zásuvný prvek D, 600mm, čiré sko</v>
      </c>
      <c r="C95" s="237" t="str">
        <f>Cen!B268</f>
        <v>Z37R567D</v>
      </c>
      <c r="D95" s="237" t="str">
        <f>Cen!C268</f>
        <v>KL</v>
      </c>
      <c r="E95" s="553" t="str">
        <f>Cen!D268</f>
        <v>!</v>
      </c>
      <c r="F95" s="208">
        <f t="shared" si="20"/>
        <v>0</v>
      </c>
      <c r="G95" s="233">
        <f>Cen!F268</f>
        <v>14.08703</v>
      </c>
      <c r="H95" s="234">
        <f t="shared" ref="H95:H113" si="30">M95</f>
        <v>0</v>
      </c>
      <c r="I95" s="250"/>
      <c r="J95" s="235">
        <f>Cen!I268</f>
        <v>2317239</v>
      </c>
      <c r="K95" s="235">
        <f>Cen!J268</f>
        <v>222102</v>
      </c>
      <c r="L95" s="230">
        <f t="shared" ref="L95:L110" si="31">IF(I95="x",0,IF(I95&gt;0,I95,F95))</f>
        <v>0</v>
      </c>
      <c r="M95" s="434">
        <f t="shared" ref="M95:M110" si="32">PRODUCT(L95,G95)</f>
        <v>0</v>
      </c>
      <c r="N95" s="229"/>
      <c r="O95" s="229"/>
      <c r="P95" s="229"/>
      <c r="Q95" s="229"/>
      <c r="R95" s="229"/>
      <c r="S95" s="229"/>
      <c r="T95" s="382">
        <f>AD310G!$S82</f>
        <v>0</v>
      </c>
      <c r="U95" s="229"/>
      <c r="V95" s="229"/>
      <c r="W95" s="382">
        <f>AD31VG!$S82</f>
        <v>0</v>
      </c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404">
        <f>AD535SG!$S53</f>
        <v>0</v>
      </c>
      <c r="AJ95" s="229"/>
      <c r="AK95" s="229"/>
      <c r="AL95" s="229"/>
      <c r="AM95" s="229"/>
      <c r="AN95" s="404">
        <f>AD535G!$S53</f>
        <v>0</v>
      </c>
      <c r="AO95" s="229"/>
      <c r="AP95" s="229"/>
      <c r="AQ95" s="229"/>
      <c r="AR95" s="229"/>
      <c r="AS95" s="236"/>
      <c r="AT95" s="236"/>
      <c r="AU95" s="236"/>
      <c r="AV95" s="229"/>
      <c r="AW95" s="414">
        <f>ADD32G!$S82</f>
        <v>0</v>
      </c>
      <c r="AX95" s="229"/>
      <c r="AY95" s="229"/>
      <c r="AZ95" s="414">
        <f>ADM30G!$S82</f>
        <v>0</v>
      </c>
      <c r="BA95" s="229"/>
      <c r="BB95" s="229"/>
      <c r="BC95" s="229"/>
      <c r="BD95" s="236"/>
      <c r="BE95" s="236"/>
      <c r="BF95" s="236"/>
      <c r="BG95" s="236"/>
      <c r="BH95" s="229"/>
      <c r="BI95" s="229"/>
      <c r="BJ95" s="229"/>
      <c r="BK95" s="229"/>
      <c r="BL95" s="229"/>
      <c r="BM95" s="229"/>
      <c r="BN95" s="229"/>
      <c r="BO95" s="229"/>
      <c r="BP95" s="229"/>
      <c r="BQ95" s="229"/>
      <c r="BR95" s="229"/>
      <c r="BS95" s="229"/>
      <c r="BT95" s="229"/>
      <c r="BU95" s="229"/>
      <c r="BV95" s="229"/>
      <c r="BW95" s="229"/>
      <c r="BX95" s="229"/>
      <c r="BY95" s="229"/>
      <c r="BZ95" s="236"/>
      <c r="CA95" s="229"/>
    </row>
    <row r="96" spans="2:79" x14ac:dyDescent="0.25">
      <c r="B96" s="237" t="str">
        <f>Cen!A270</f>
        <v>Zásuvný prvek D, 650mm, čiré sko</v>
      </c>
      <c r="C96" s="237" t="str">
        <f>Cen!B270</f>
        <v>Z37R617D</v>
      </c>
      <c r="D96" s="237" t="str">
        <f>Cen!C270</f>
        <v>KL</v>
      </c>
      <c r="E96" s="553">
        <f>Cen!D270</f>
        <v>0</v>
      </c>
      <c r="F96" s="208">
        <f t="shared" si="20"/>
        <v>0</v>
      </c>
      <c r="G96" s="233">
        <f>Cen!F270</f>
        <v>13.988720000000001</v>
      </c>
      <c r="H96" s="234">
        <f t="shared" si="30"/>
        <v>0</v>
      </c>
      <c r="I96" s="250"/>
      <c r="J96" s="235">
        <f>Cen!I270</f>
        <v>5253385</v>
      </c>
      <c r="K96" s="235">
        <f>Cen!J270</f>
        <v>222106</v>
      </c>
      <c r="L96" s="230">
        <f t="shared" si="31"/>
        <v>0</v>
      </c>
      <c r="M96" s="434">
        <f t="shared" si="32"/>
        <v>0</v>
      </c>
      <c r="N96" s="229"/>
      <c r="O96" s="229"/>
      <c r="P96" s="229"/>
      <c r="Q96" s="229"/>
      <c r="R96" s="229"/>
      <c r="S96" s="229"/>
      <c r="T96" s="382">
        <f>AD310G!$S83</f>
        <v>0</v>
      </c>
      <c r="U96" s="229"/>
      <c r="V96" s="229"/>
      <c r="W96" s="382">
        <f>AD31VG!$S83</f>
        <v>0</v>
      </c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404">
        <f>AD535SG!$S54</f>
        <v>0</v>
      </c>
      <c r="AJ96" s="229"/>
      <c r="AK96" s="229"/>
      <c r="AL96" s="229"/>
      <c r="AM96" s="229"/>
      <c r="AN96" s="404">
        <f>AD535G!$S54</f>
        <v>0</v>
      </c>
      <c r="AO96" s="229"/>
      <c r="AP96" s="229"/>
      <c r="AQ96" s="229"/>
      <c r="AR96" s="229"/>
      <c r="AS96" s="236"/>
      <c r="AT96" s="236"/>
      <c r="AU96" s="236"/>
      <c r="AV96" s="229"/>
      <c r="AW96" s="414">
        <f>ADD32G!$S83</f>
        <v>0</v>
      </c>
      <c r="AX96" s="229"/>
      <c r="AY96" s="229"/>
      <c r="AZ96" s="414">
        <f>ADM30G!$S83</f>
        <v>0</v>
      </c>
      <c r="BA96" s="229"/>
      <c r="BB96" s="229"/>
      <c r="BC96" s="229"/>
      <c r="BD96" s="236"/>
      <c r="BE96" s="236"/>
      <c r="BF96" s="236"/>
      <c r="BG96" s="236"/>
      <c r="BH96" s="229"/>
      <c r="BI96" s="229"/>
      <c r="BJ96" s="229"/>
      <c r="BK96" s="229"/>
      <c r="BL96" s="229"/>
      <c r="BM96" s="229"/>
      <c r="BN96" s="229"/>
      <c r="BO96" s="229"/>
      <c r="BP96" s="229"/>
      <c r="BQ96" s="229"/>
      <c r="BR96" s="229"/>
      <c r="BS96" s="229"/>
      <c r="BT96" s="229"/>
      <c r="BU96" s="229"/>
      <c r="BV96" s="229"/>
      <c r="BW96" s="229"/>
      <c r="BX96" s="229"/>
      <c r="BY96" s="229"/>
      <c r="BZ96" s="236"/>
      <c r="CA96" s="229"/>
    </row>
    <row r="97" spans="2:79" x14ac:dyDescent="0.25">
      <c r="B97" s="237" t="str">
        <f>Cen!A273</f>
        <v>Zásuvný prvek C, 270mm, čiré sko</v>
      </c>
      <c r="C97" s="237" t="str">
        <f>Cen!B273</f>
        <v>Z37R237C</v>
      </c>
      <c r="D97" s="237" t="str">
        <f>Cen!C273</f>
        <v>KL</v>
      </c>
      <c r="E97" s="553" t="str">
        <f>Cen!D273</f>
        <v>!</v>
      </c>
      <c r="F97" s="208">
        <f t="shared" si="20"/>
        <v>0</v>
      </c>
      <c r="G97" s="233">
        <f>Cen!F273</f>
        <v>7.9598199999999997</v>
      </c>
      <c r="H97" s="234">
        <f t="shared" si="30"/>
        <v>0</v>
      </c>
      <c r="I97" s="250"/>
      <c r="J97" s="235">
        <f>Cen!I273</f>
        <v>3804408</v>
      </c>
      <c r="K97" s="235">
        <f>Cen!J273</f>
        <v>222067</v>
      </c>
      <c r="L97" s="230">
        <f t="shared" si="31"/>
        <v>0</v>
      </c>
      <c r="M97" s="434">
        <f t="shared" si="32"/>
        <v>0</v>
      </c>
      <c r="N97" s="229"/>
      <c r="O97" s="229"/>
      <c r="P97" s="229"/>
      <c r="Q97" s="229"/>
      <c r="R97" s="229"/>
      <c r="S97" s="229"/>
      <c r="T97" s="236"/>
      <c r="U97" s="236"/>
      <c r="V97" s="236"/>
      <c r="W97" s="236"/>
      <c r="X97" s="229"/>
      <c r="Y97" s="229"/>
      <c r="Z97" s="229"/>
      <c r="AA97" s="376">
        <f>AC310G!$S75</f>
        <v>0</v>
      </c>
      <c r="AB97" s="229"/>
      <c r="AC97" s="229"/>
      <c r="AD97" s="382">
        <f>AC31VG!$S75</f>
        <v>0</v>
      </c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  <c r="AP97" s="229"/>
      <c r="AQ97" s="229"/>
      <c r="AR97" s="229"/>
      <c r="AS97" s="236"/>
      <c r="AT97" s="236"/>
      <c r="AU97" s="236"/>
      <c r="AV97" s="229"/>
      <c r="AW97" s="236"/>
      <c r="AX97" s="229"/>
      <c r="AY97" s="229"/>
      <c r="AZ97" s="236"/>
      <c r="BA97" s="229"/>
      <c r="BB97" s="229"/>
      <c r="BC97" s="229"/>
      <c r="BD97" s="236"/>
      <c r="BE97" s="236"/>
      <c r="BF97" s="236"/>
      <c r="BG97" s="236"/>
      <c r="BH97" s="229"/>
      <c r="BI97" s="229"/>
      <c r="BJ97" s="229"/>
      <c r="BK97" s="229"/>
      <c r="BL97" s="229"/>
      <c r="BM97" s="229"/>
      <c r="BN97" s="229"/>
      <c r="BO97" s="229"/>
      <c r="BP97" s="229"/>
      <c r="BQ97" s="229"/>
      <c r="BR97" s="229"/>
      <c r="BS97" s="229"/>
      <c r="BT97" s="229"/>
      <c r="BU97" s="229"/>
      <c r="BV97" s="229"/>
      <c r="BW97" s="229"/>
      <c r="BX97" s="229"/>
      <c r="BY97" s="229"/>
      <c r="BZ97" s="236"/>
      <c r="CA97" s="229"/>
    </row>
    <row r="98" spans="2:79" x14ac:dyDescent="0.25">
      <c r="B98" s="237" t="str">
        <f>Cen!A275</f>
        <v>Zásuvný prvek C 300mm, čiré sko</v>
      </c>
      <c r="C98" s="237" t="str">
        <f>Cen!B275</f>
        <v>Z37R267C</v>
      </c>
      <c r="D98" s="237" t="str">
        <f>Cen!C275</f>
        <v>KL</v>
      </c>
      <c r="E98" s="553" t="str">
        <f>Cen!D275</f>
        <v>!</v>
      </c>
      <c r="F98" s="208">
        <f t="shared" si="20"/>
        <v>0</v>
      </c>
      <c r="G98" s="233">
        <f>Cen!F275</f>
        <v>8.3418399999999995</v>
      </c>
      <c r="H98" s="234">
        <f t="shared" si="30"/>
        <v>0</v>
      </c>
      <c r="I98" s="250"/>
      <c r="J98" s="235">
        <f>Cen!I275</f>
        <v>5859728</v>
      </c>
      <c r="K98" s="235">
        <f>Cen!J275</f>
        <v>222072</v>
      </c>
      <c r="L98" s="230">
        <f t="shared" si="31"/>
        <v>0</v>
      </c>
      <c r="M98" s="434">
        <f t="shared" si="32"/>
        <v>0</v>
      </c>
      <c r="N98" s="229"/>
      <c r="O98" s="229"/>
      <c r="P98" s="229"/>
      <c r="Q98" s="229"/>
      <c r="R98" s="229"/>
      <c r="S98" s="229"/>
      <c r="T98" s="236"/>
      <c r="U98" s="236"/>
      <c r="V98" s="236"/>
      <c r="W98" s="236"/>
      <c r="X98" s="229"/>
      <c r="Y98" s="229"/>
      <c r="Z98" s="229"/>
      <c r="AA98" s="382">
        <f>AC310G!$S76</f>
        <v>0</v>
      </c>
      <c r="AB98" s="229"/>
      <c r="AC98" s="229"/>
      <c r="AD98" s="382">
        <f>AC31VG!$S76</f>
        <v>0</v>
      </c>
      <c r="AE98" s="229"/>
      <c r="AF98" s="229"/>
      <c r="AG98" s="229"/>
      <c r="AH98" s="229"/>
      <c r="AI98" s="229"/>
      <c r="AJ98" s="229"/>
      <c r="AK98" s="229"/>
      <c r="AL98" s="229"/>
      <c r="AM98" s="229"/>
      <c r="AN98" s="229"/>
      <c r="AO98" s="229"/>
      <c r="AP98" s="229"/>
      <c r="AQ98" s="229"/>
      <c r="AR98" s="229"/>
      <c r="AS98" s="236"/>
      <c r="AT98" s="236"/>
      <c r="AU98" s="236"/>
      <c r="AV98" s="229"/>
      <c r="AW98" s="236"/>
      <c r="AX98" s="229"/>
      <c r="AY98" s="229"/>
      <c r="AZ98" s="236"/>
      <c r="BA98" s="229"/>
      <c r="BB98" s="229"/>
      <c r="BC98" s="229"/>
      <c r="BD98" s="236"/>
      <c r="BE98" s="236"/>
      <c r="BF98" s="236"/>
      <c r="BG98" s="236"/>
      <c r="BH98" s="229"/>
      <c r="BI98" s="229"/>
      <c r="BJ98" s="229"/>
      <c r="BK98" s="229"/>
      <c r="BL98" s="229"/>
      <c r="BM98" s="229"/>
      <c r="BN98" s="229"/>
      <c r="BO98" s="229"/>
      <c r="BP98" s="229"/>
      <c r="BQ98" s="229"/>
      <c r="BR98" s="229"/>
      <c r="BS98" s="229"/>
      <c r="BT98" s="229"/>
      <c r="BU98" s="229"/>
      <c r="BV98" s="229"/>
      <c r="BW98" s="229"/>
      <c r="BX98" s="229"/>
      <c r="BY98" s="229"/>
      <c r="BZ98" s="236"/>
      <c r="CA98" s="229"/>
    </row>
    <row r="99" spans="2:79" x14ac:dyDescent="0.25">
      <c r="B99" s="237" t="str">
        <f>Cen!A277</f>
        <v>Zásuvný prvek C, 350mm, čiré sko</v>
      </c>
      <c r="C99" s="237" t="str">
        <f>Cen!B277</f>
        <v>Z37R317C</v>
      </c>
      <c r="D99" s="237" t="str">
        <f>Cen!C277</f>
        <v>KL</v>
      </c>
      <c r="E99" s="553" t="str">
        <f>Cen!D277</f>
        <v>!</v>
      </c>
      <c r="F99" s="208">
        <f t="shared" si="20"/>
        <v>0</v>
      </c>
      <c r="G99" s="233">
        <f>Cen!F277</f>
        <v>8.7239199999999997</v>
      </c>
      <c r="H99" s="234">
        <f t="shared" si="30"/>
        <v>0</v>
      </c>
      <c r="I99" s="250"/>
      <c r="J99" s="235">
        <f>Cen!I277</f>
        <v>4171919</v>
      </c>
      <c r="K99" s="235">
        <f>Cen!J277</f>
        <v>222076</v>
      </c>
      <c r="L99" s="230">
        <f t="shared" si="31"/>
        <v>0</v>
      </c>
      <c r="M99" s="434">
        <f t="shared" si="32"/>
        <v>0</v>
      </c>
      <c r="N99" s="229"/>
      <c r="O99" s="229"/>
      <c r="P99" s="229"/>
      <c r="Q99" s="229"/>
      <c r="R99" s="229"/>
      <c r="S99" s="229"/>
      <c r="T99" s="236"/>
      <c r="U99" s="236"/>
      <c r="V99" s="236"/>
      <c r="W99" s="236"/>
      <c r="X99" s="229"/>
      <c r="Y99" s="229"/>
      <c r="Z99" s="229"/>
      <c r="AA99" s="382">
        <f>AC310G!$S77</f>
        <v>0</v>
      </c>
      <c r="AB99" s="229"/>
      <c r="AC99" s="229"/>
      <c r="AD99" s="382">
        <f>AC31VG!$S77</f>
        <v>0</v>
      </c>
      <c r="AE99" s="229"/>
      <c r="AF99" s="229"/>
      <c r="AG99" s="229"/>
      <c r="AH99" s="229"/>
      <c r="AI99" s="229"/>
      <c r="AJ99" s="229"/>
      <c r="AK99" s="229"/>
      <c r="AL99" s="229"/>
      <c r="AM99" s="229"/>
      <c r="AN99" s="229"/>
      <c r="AO99" s="229"/>
      <c r="AP99" s="229"/>
      <c r="AQ99" s="229"/>
      <c r="AR99" s="229"/>
      <c r="AS99" s="236"/>
      <c r="AT99" s="236"/>
      <c r="AU99" s="236"/>
      <c r="AV99" s="229"/>
      <c r="AW99" s="236"/>
      <c r="AX99" s="229"/>
      <c r="AY99" s="229"/>
      <c r="AZ99" s="236"/>
      <c r="BA99" s="229"/>
      <c r="BB99" s="229"/>
      <c r="BC99" s="229"/>
      <c r="BD99" s="236"/>
      <c r="BE99" s="236"/>
      <c r="BF99" s="236"/>
      <c r="BG99" s="236"/>
      <c r="BH99" s="229"/>
      <c r="BI99" s="229"/>
      <c r="BJ99" s="229"/>
      <c r="BK99" s="229"/>
      <c r="BL99" s="229"/>
      <c r="BM99" s="229"/>
      <c r="BN99" s="229"/>
      <c r="BO99" s="229"/>
      <c r="BP99" s="229"/>
      <c r="BQ99" s="229"/>
      <c r="BR99" s="229"/>
      <c r="BS99" s="229"/>
      <c r="BT99" s="229"/>
      <c r="BU99" s="229"/>
      <c r="BV99" s="229"/>
      <c r="BW99" s="229"/>
      <c r="BX99" s="229"/>
      <c r="BY99" s="229"/>
      <c r="BZ99" s="236"/>
      <c r="CA99" s="229"/>
    </row>
    <row r="100" spans="2:79" x14ac:dyDescent="0.25">
      <c r="B100" s="237" t="str">
        <f>Cen!A279</f>
        <v>Zásuvný prvek C, 400mm, čiré sko</v>
      </c>
      <c r="C100" s="237" t="str">
        <f>Cen!B279</f>
        <v>Z37R367C</v>
      </c>
      <c r="D100" s="237" t="str">
        <f>Cen!C279</f>
        <v>KL</v>
      </c>
      <c r="E100" s="553" t="str">
        <f>Cen!D279</f>
        <v>!</v>
      </c>
      <c r="F100" s="208">
        <f t="shared" si="20"/>
        <v>0</v>
      </c>
      <c r="G100" s="233">
        <f>Cen!F279</f>
        <v>9.1059199999999993</v>
      </c>
      <c r="H100" s="234">
        <f t="shared" si="30"/>
        <v>0</v>
      </c>
      <c r="I100" s="250"/>
      <c r="J100" s="235">
        <f>Cen!I279</f>
        <v>5254946</v>
      </c>
      <c r="K100" s="235">
        <f>Cen!J279</f>
        <v>222081</v>
      </c>
      <c r="L100" s="230">
        <f t="shared" si="31"/>
        <v>0</v>
      </c>
      <c r="M100" s="434">
        <f t="shared" si="32"/>
        <v>0</v>
      </c>
      <c r="N100" s="229"/>
      <c r="O100" s="229"/>
      <c r="P100" s="229"/>
      <c r="Q100" s="229"/>
      <c r="R100" s="229"/>
      <c r="S100" s="229"/>
      <c r="T100" s="236"/>
      <c r="U100" s="236"/>
      <c r="V100" s="236"/>
      <c r="W100" s="236"/>
      <c r="X100" s="229"/>
      <c r="Y100" s="229"/>
      <c r="Z100" s="229"/>
      <c r="AA100" s="382">
        <f>AC310G!$S78</f>
        <v>0</v>
      </c>
      <c r="AB100" s="229"/>
      <c r="AC100" s="229"/>
      <c r="AD100" s="382">
        <f>AC31VG!$S78</f>
        <v>0</v>
      </c>
      <c r="AE100" s="229"/>
      <c r="AF100" s="229"/>
      <c r="AG100" s="229"/>
      <c r="AH100" s="229"/>
      <c r="AI100" s="229"/>
      <c r="AJ100" s="229"/>
      <c r="AK100" s="229"/>
      <c r="AL100" s="229"/>
      <c r="AM100" s="229"/>
      <c r="AN100" s="229"/>
      <c r="AO100" s="229"/>
      <c r="AP100" s="229"/>
      <c r="AQ100" s="229"/>
      <c r="AR100" s="229"/>
      <c r="AS100" s="236"/>
      <c r="AT100" s="236"/>
      <c r="AU100" s="236"/>
      <c r="AV100" s="229"/>
      <c r="AW100" s="236"/>
      <c r="AX100" s="229"/>
      <c r="AY100" s="229"/>
      <c r="AZ100" s="236"/>
      <c r="BA100" s="229"/>
      <c r="BB100" s="229"/>
      <c r="BC100" s="229"/>
      <c r="BD100" s="236"/>
      <c r="BE100" s="236"/>
      <c r="BF100" s="236"/>
      <c r="BG100" s="236"/>
      <c r="BH100" s="229"/>
      <c r="BI100" s="229"/>
      <c r="BJ100" s="229"/>
      <c r="BK100" s="229"/>
      <c r="BL100" s="229"/>
      <c r="BM100" s="229"/>
      <c r="BN100" s="229"/>
      <c r="BO100" s="229"/>
      <c r="BP100" s="229"/>
      <c r="BQ100" s="229"/>
      <c r="BR100" s="229"/>
      <c r="BS100" s="229"/>
      <c r="BT100" s="229"/>
      <c r="BU100" s="229"/>
      <c r="BV100" s="229"/>
      <c r="BW100" s="229"/>
      <c r="BX100" s="229"/>
      <c r="BY100" s="229"/>
      <c r="BZ100" s="236"/>
      <c r="CA100" s="229"/>
    </row>
    <row r="101" spans="2:79" x14ac:dyDescent="0.25">
      <c r="B101" s="237" t="str">
        <f>Cen!A281</f>
        <v>Zásuvný prvek C, 450mm, čiré sko</v>
      </c>
      <c r="C101" s="237" t="str">
        <f>Cen!B281</f>
        <v>Z37R417C</v>
      </c>
      <c r="D101" s="237" t="str">
        <f>Cen!C281</f>
        <v>KL</v>
      </c>
      <c r="E101" s="553" t="str">
        <f>Cen!D281</f>
        <v>!</v>
      </c>
      <c r="F101" s="208">
        <f t="shared" si="20"/>
        <v>0</v>
      </c>
      <c r="G101" s="233">
        <f>Cen!F281</f>
        <v>9.4879499999999997</v>
      </c>
      <c r="H101" s="234">
        <f t="shared" si="30"/>
        <v>0</v>
      </c>
      <c r="I101" s="250"/>
      <c r="J101" s="235">
        <f>Cen!I281</f>
        <v>9507673</v>
      </c>
      <c r="K101" s="235">
        <f>Cen!J281</f>
        <v>222085</v>
      </c>
      <c r="L101" s="230">
        <f t="shared" si="31"/>
        <v>0</v>
      </c>
      <c r="M101" s="434">
        <f t="shared" si="32"/>
        <v>0</v>
      </c>
      <c r="N101" s="229"/>
      <c r="O101" s="229"/>
      <c r="P101" s="229"/>
      <c r="Q101" s="229"/>
      <c r="R101" s="229"/>
      <c r="S101" s="229"/>
      <c r="T101" s="236"/>
      <c r="U101" s="236"/>
      <c r="V101" s="236"/>
      <c r="W101" s="236"/>
      <c r="X101" s="229"/>
      <c r="Y101" s="229"/>
      <c r="Z101" s="229"/>
      <c r="AA101" s="382">
        <f>AC310G!$S79</f>
        <v>0</v>
      </c>
      <c r="AB101" s="229"/>
      <c r="AC101" s="229"/>
      <c r="AD101" s="382">
        <f>AC31VG!$S79</f>
        <v>0</v>
      </c>
      <c r="AE101" s="229"/>
      <c r="AF101" s="229"/>
      <c r="AG101" s="229"/>
      <c r="AH101" s="229"/>
      <c r="AI101" s="229"/>
      <c r="AJ101" s="229"/>
      <c r="AK101" s="229"/>
      <c r="AL101" s="229"/>
      <c r="AM101" s="229"/>
      <c r="AN101" s="229"/>
      <c r="AO101" s="229"/>
      <c r="AP101" s="229"/>
      <c r="AQ101" s="229"/>
      <c r="AR101" s="229"/>
      <c r="AS101" s="236"/>
      <c r="AT101" s="236"/>
      <c r="AU101" s="236"/>
      <c r="AV101" s="229"/>
      <c r="AW101" s="236"/>
      <c r="AX101" s="229"/>
      <c r="AY101" s="229"/>
      <c r="AZ101" s="236"/>
      <c r="BA101" s="229"/>
      <c r="BB101" s="229"/>
      <c r="BC101" s="229"/>
      <c r="BD101" s="236"/>
      <c r="BE101" s="236"/>
      <c r="BF101" s="236"/>
      <c r="BG101" s="236"/>
      <c r="BH101" s="229"/>
      <c r="BI101" s="229"/>
      <c r="BJ101" s="229"/>
      <c r="BK101" s="229"/>
      <c r="BL101" s="229"/>
      <c r="BM101" s="229"/>
      <c r="BN101" s="229"/>
      <c r="BO101" s="229"/>
      <c r="BP101" s="229"/>
      <c r="BQ101" s="229"/>
      <c r="BR101" s="229"/>
      <c r="BS101" s="229"/>
      <c r="BT101" s="229"/>
      <c r="BU101" s="229"/>
      <c r="BV101" s="229"/>
      <c r="BW101" s="229"/>
      <c r="BX101" s="229"/>
      <c r="BY101" s="229"/>
      <c r="BZ101" s="236"/>
      <c r="CA101" s="229"/>
    </row>
    <row r="102" spans="2:79" x14ac:dyDescent="0.25">
      <c r="B102" s="237" t="str">
        <f>Cen!A283</f>
        <v>Zásuvný prvek C, 500mm, čiré sko</v>
      </c>
      <c r="C102" s="237" t="str">
        <f>Cen!B283</f>
        <v>Z37R467C</v>
      </c>
      <c r="D102" s="237" t="str">
        <f>Cen!C283</f>
        <v>KL</v>
      </c>
      <c r="E102" s="553">
        <f>Cen!D283</f>
        <v>0</v>
      </c>
      <c r="F102" s="208">
        <f t="shared" si="20"/>
        <v>0</v>
      </c>
      <c r="G102" s="233">
        <f>Cen!F283</f>
        <v>10.56526</v>
      </c>
      <c r="H102" s="234">
        <f t="shared" si="30"/>
        <v>0</v>
      </c>
      <c r="I102" s="250"/>
      <c r="J102" s="235">
        <f>Cen!I283</f>
        <v>7291705</v>
      </c>
      <c r="K102" s="235">
        <f>Cen!J283</f>
        <v>222090</v>
      </c>
      <c r="L102" s="230">
        <f t="shared" si="31"/>
        <v>0</v>
      </c>
      <c r="M102" s="434">
        <f t="shared" si="32"/>
        <v>0</v>
      </c>
      <c r="N102" s="229"/>
      <c r="O102" s="229"/>
      <c r="P102" s="229"/>
      <c r="Q102" s="229"/>
      <c r="R102" s="229"/>
      <c r="S102" s="229"/>
      <c r="T102" s="236"/>
      <c r="U102" s="236"/>
      <c r="V102" s="236"/>
      <c r="W102" s="236"/>
      <c r="X102" s="229"/>
      <c r="Y102" s="229"/>
      <c r="Z102" s="229"/>
      <c r="AA102" s="382">
        <f>AC310G!$S80</f>
        <v>0</v>
      </c>
      <c r="AB102" s="229"/>
      <c r="AC102" s="229"/>
      <c r="AD102" s="382">
        <f>AC31VG!$S80</f>
        <v>0</v>
      </c>
      <c r="AE102" s="229"/>
      <c r="AF102" s="229"/>
      <c r="AG102" s="229"/>
      <c r="AH102" s="229"/>
      <c r="AI102" s="229"/>
      <c r="AJ102" s="229"/>
      <c r="AK102" s="229"/>
      <c r="AL102" s="229"/>
      <c r="AM102" s="229"/>
      <c r="AN102" s="229"/>
      <c r="AO102" s="229"/>
      <c r="AP102" s="229"/>
      <c r="AQ102" s="229"/>
      <c r="AR102" s="229"/>
      <c r="AS102" s="236"/>
      <c r="AT102" s="236"/>
      <c r="AU102" s="236"/>
      <c r="AV102" s="229"/>
      <c r="AW102" s="236"/>
      <c r="AX102" s="229"/>
      <c r="AY102" s="229"/>
      <c r="AZ102" s="236"/>
      <c r="BA102" s="229"/>
      <c r="BB102" s="229"/>
      <c r="BC102" s="229"/>
      <c r="BD102" s="236"/>
      <c r="BE102" s="236"/>
      <c r="BF102" s="236"/>
      <c r="BG102" s="236"/>
      <c r="BH102" s="229"/>
      <c r="BI102" s="229"/>
      <c r="BJ102" s="229"/>
      <c r="BK102" s="229"/>
      <c r="BL102" s="229"/>
      <c r="BM102" s="229"/>
      <c r="BN102" s="229"/>
      <c r="BO102" s="229"/>
      <c r="BP102" s="229"/>
      <c r="BQ102" s="229"/>
      <c r="BR102" s="229"/>
      <c r="BS102" s="229"/>
      <c r="BT102" s="229"/>
      <c r="BU102" s="229"/>
      <c r="BV102" s="229"/>
      <c r="BW102" s="229"/>
      <c r="BX102" s="229"/>
      <c r="BY102" s="229"/>
      <c r="BZ102" s="236"/>
      <c r="CA102" s="229"/>
    </row>
    <row r="103" spans="2:79" x14ac:dyDescent="0.25">
      <c r="B103" s="237" t="str">
        <f>Cen!A285</f>
        <v>Zásuvný prvek C, 550mm, čiré sko</v>
      </c>
      <c r="C103" s="237" t="str">
        <f>Cen!B285</f>
        <v>Z37R517C</v>
      </c>
      <c r="D103" s="237" t="str">
        <f>Cen!C285</f>
        <v>KL</v>
      </c>
      <c r="E103" s="553" t="str">
        <f>Cen!D285</f>
        <v>!</v>
      </c>
      <c r="F103" s="208">
        <f t="shared" si="20"/>
        <v>0</v>
      </c>
      <c r="G103" s="233">
        <f>Cen!F285</f>
        <v>10.63378</v>
      </c>
      <c r="H103" s="234">
        <f t="shared" si="30"/>
        <v>0</v>
      </c>
      <c r="I103" s="250"/>
      <c r="J103" s="235">
        <f>Cen!I285</f>
        <v>5688629</v>
      </c>
      <c r="K103" s="235">
        <f>Cen!J285</f>
        <v>222094</v>
      </c>
      <c r="L103" s="230">
        <f t="shared" si="31"/>
        <v>0</v>
      </c>
      <c r="M103" s="434">
        <f t="shared" si="32"/>
        <v>0</v>
      </c>
      <c r="N103" s="229"/>
      <c r="O103" s="229"/>
      <c r="P103" s="229"/>
      <c r="Q103" s="229"/>
      <c r="R103" s="229"/>
      <c r="S103" s="229"/>
      <c r="T103" s="236"/>
      <c r="U103" s="236"/>
      <c r="V103" s="236"/>
      <c r="W103" s="236"/>
      <c r="X103" s="229"/>
      <c r="Y103" s="229"/>
      <c r="Z103" s="229"/>
      <c r="AA103" s="382">
        <f>AC310G!$S81</f>
        <v>0</v>
      </c>
      <c r="AB103" s="229"/>
      <c r="AC103" s="229"/>
      <c r="AD103" s="382">
        <f>AC31VG!$S81</f>
        <v>0</v>
      </c>
      <c r="AE103" s="229"/>
      <c r="AF103" s="229"/>
      <c r="AG103" s="229"/>
      <c r="AH103" s="229"/>
      <c r="AI103" s="229"/>
      <c r="AJ103" s="229"/>
      <c r="AK103" s="229"/>
      <c r="AL103" s="229"/>
      <c r="AM103" s="229"/>
      <c r="AN103" s="229"/>
      <c r="AO103" s="229"/>
      <c r="AP103" s="229"/>
      <c r="AQ103" s="229"/>
      <c r="AR103" s="229"/>
      <c r="AS103" s="236"/>
      <c r="AT103" s="236"/>
      <c r="AU103" s="236"/>
      <c r="AV103" s="229"/>
      <c r="AW103" s="236"/>
      <c r="AX103" s="229"/>
      <c r="AY103" s="229"/>
      <c r="AZ103" s="236"/>
      <c r="BA103" s="229"/>
      <c r="BB103" s="229"/>
      <c r="BC103" s="229"/>
      <c r="BD103" s="236"/>
      <c r="BE103" s="236"/>
      <c r="BF103" s="236"/>
      <c r="BG103" s="236"/>
      <c r="BH103" s="229"/>
      <c r="BI103" s="229"/>
      <c r="BJ103" s="229"/>
      <c r="BK103" s="229"/>
      <c r="BL103" s="229"/>
      <c r="BM103" s="229"/>
      <c r="BN103" s="229"/>
      <c r="BO103" s="229"/>
      <c r="BP103" s="229"/>
      <c r="BQ103" s="229"/>
      <c r="BR103" s="229"/>
      <c r="BS103" s="229"/>
      <c r="BT103" s="229"/>
      <c r="BU103" s="229"/>
      <c r="BV103" s="229"/>
      <c r="BW103" s="229"/>
      <c r="BX103" s="229"/>
      <c r="BY103" s="229"/>
      <c r="BZ103" s="236"/>
      <c r="CA103" s="229"/>
    </row>
    <row r="104" spans="2:79" x14ac:dyDescent="0.25">
      <c r="B104" s="237" t="str">
        <f>Cen!A287</f>
        <v>Zásuvný prvek C, 600mm, čiré sko</v>
      </c>
      <c r="C104" s="237" t="str">
        <f>Cen!B287</f>
        <v>Z37R567C</v>
      </c>
      <c r="D104" s="237" t="str">
        <f>Cen!C287</f>
        <v>KL</v>
      </c>
      <c r="E104" s="553" t="str">
        <f>Cen!D287</f>
        <v>!</v>
      </c>
      <c r="F104" s="208">
        <f t="shared" si="20"/>
        <v>0</v>
      </c>
      <c r="G104" s="233">
        <f>Cen!F287</f>
        <v>11.39742</v>
      </c>
      <c r="H104" s="234">
        <f t="shared" si="30"/>
        <v>0</v>
      </c>
      <c r="I104" s="250"/>
      <c r="J104" s="235">
        <f>Cen!I287</f>
        <v>9544431</v>
      </c>
      <c r="K104" s="235">
        <f>Cen!J287</f>
        <v>222099</v>
      </c>
      <c r="L104" s="230">
        <f t="shared" si="31"/>
        <v>0</v>
      </c>
      <c r="M104" s="434">
        <f t="shared" si="32"/>
        <v>0</v>
      </c>
      <c r="N104" s="229"/>
      <c r="O104" s="229"/>
      <c r="P104" s="229"/>
      <c r="Q104" s="229"/>
      <c r="R104" s="229"/>
      <c r="S104" s="229"/>
      <c r="T104" s="236"/>
      <c r="U104" s="236"/>
      <c r="V104" s="236"/>
      <c r="W104" s="236"/>
      <c r="X104" s="229"/>
      <c r="Y104" s="229"/>
      <c r="Z104" s="229"/>
      <c r="AA104" s="382">
        <f>AC310G!$S82</f>
        <v>0</v>
      </c>
      <c r="AB104" s="229"/>
      <c r="AC104" s="229"/>
      <c r="AD104" s="382">
        <f>AC31VG!$S82</f>
        <v>0</v>
      </c>
      <c r="AE104" s="229"/>
      <c r="AF104" s="229"/>
      <c r="AG104" s="229"/>
      <c r="AH104" s="229"/>
      <c r="AI104" s="229"/>
      <c r="AJ104" s="229"/>
      <c r="AK104" s="229"/>
      <c r="AL104" s="229"/>
      <c r="AM104" s="229"/>
      <c r="AN104" s="229"/>
      <c r="AO104" s="229"/>
      <c r="AP104" s="229"/>
      <c r="AQ104" s="229"/>
      <c r="AR104" s="229"/>
      <c r="AS104" s="236"/>
      <c r="AT104" s="236"/>
      <c r="AU104" s="236"/>
      <c r="AV104" s="229"/>
      <c r="AW104" s="236"/>
      <c r="AX104" s="229"/>
      <c r="AY104" s="229"/>
      <c r="AZ104" s="236"/>
      <c r="BA104" s="229"/>
      <c r="BB104" s="229"/>
      <c r="BC104" s="229"/>
      <c r="BD104" s="236"/>
      <c r="BE104" s="236"/>
      <c r="BF104" s="236"/>
      <c r="BG104" s="236"/>
      <c r="BH104" s="229"/>
      <c r="BI104" s="229"/>
      <c r="BJ104" s="229"/>
      <c r="BK104" s="229"/>
      <c r="BL104" s="229"/>
      <c r="BM104" s="229"/>
      <c r="BN104" s="229"/>
      <c r="BO104" s="229"/>
      <c r="BP104" s="229"/>
      <c r="BQ104" s="229"/>
      <c r="BR104" s="229"/>
      <c r="BS104" s="229"/>
      <c r="BT104" s="229"/>
      <c r="BU104" s="229"/>
      <c r="BV104" s="229"/>
      <c r="BW104" s="229"/>
      <c r="BX104" s="229"/>
      <c r="BY104" s="229"/>
      <c r="BZ104" s="236"/>
      <c r="CA104" s="229"/>
    </row>
    <row r="105" spans="2:79" x14ac:dyDescent="0.25">
      <c r="B105" s="237" t="str">
        <f>Cen!A289</f>
        <v>Zásuvný prvek C, 650mm, čiré sko</v>
      </c>
      <c r="C105" s="237" t="str">
        <f>Cen!B289</f>
        <v>Z37R617C</v>
      </c>
      <c r="D105" s="237" t="str">
        <f>Cen!C289</f>
        <v>KL</v>
      </c>
      <c r="E105" s="553" t="str">
        <f>Cen!D289</f>
        <v>!</v>
      </c>
      <c r="F105" s="208">
        <f t="shared" si="20"/>
        <v>0</v>
      </c>
      <c r="G105" s="233">
        <f>Cen!F289</f>
        <v>12.16109</v>
      </c>
      <c r="H105" s="234">
        <f t="shared" si="30"/>
        <v>0</v>
      </c>
      <c r="I105" s="250"/>
      <c r="J105" s="235">
        <f>Cen!I289</f>
        <v>2152523</v>
      </c>
      <c r="K105" s="235">
        <f>Cen!J289</f>
        <v>222104</v>
      </c>
      <c r="L105" s="230">
        <f t="shared" si="31"/>
        <v>0</v>
      </c>
      <c r="M105" s="434">
        <f t="shared" si="32"/>
        <v>0</v>
      </c>
      <c r="N105" s="229"/>
      <c r="O105" s="229"/>
      <c r="P105" s="229"/>
      <c r="Q105" s="229"/>
      <c r="R105" s="229"/>
      <c r="S105" s="229"/>
      <c r="T105" s="236"/>
      <c r="U105" s="236"/>
      <c r="V105" s="236"/>
      <c r="W105" s="236"/>
      <c r="X105" s="229"/>
      <c r="Y105" s="229"/>
      <c r="Z105" s="229"/>
      <c r="AA105" s="382">
        <f>AC310G!$S83</f>
        <v>0</v>
      </c>
      <c r="AB105" s="229"/>
      <c r="AC105" s="229"/>
      <c r="AD105" s="382">
        <f>AC31VG!$S83</f>
        <v>0</v>
      </c>
      <c r="AE105" s="229"/>
      <c r="AF105" s="229"/>
      <c r="AG105" s="229"/>
      <c r="AH105" s="229"/>
      <c r="AI105" s="229"/>
      <c r="AJ105" s="229"/>
      <c r="AK105" s="229"/>
      <c r="AL105" s="229"/>
      <c r="AM105" s="229"/>
      <c r="AN105" s="229"/>
      <c r="AO105" s="229"/>
      <c r="AP105" s="229"/>
      <c r="AQ105" s="229"/>
      <c r="AR105" s="229"/>
      <c r="AS105" s="236"/>
      <c r="AT105" s="236"/>
      <c r="AU105" s="236"/>
      <c r="AV105" s="229"/>
      <c r="AW105" s="236"/>
      <c r="AX105" s="229"/>
      <c r="AY105" s="229"/>
      <c r="AZ105" s="236"/>
      <c r="BA105" s="229"/>
      <c r="BB105" s="229"/>
      <c r="BC105" s="229"/>
      <c r="BD105" s="236"/>
      <c r="BE105" s="236"/>
      <c r="BF105" s="236"/>
      <c r="BG105" s="236"/>
      <c r="BH105" s="229"/>
      <c r="BI105" s="229"/>
      <c r="BJ105" s="229"/>
      <c r="BK105" s="229"/>
      <c r="BL105" s="229"/>
      <c r="BM105" s="229"/>
      <c r="BN105" s="229"/>
      <c r="BO105" s="229"/>
      <c r="BP105" s="229"/>
      <c r="BQ105" s="229"/>
      <c r="BR105" s="229"/>
      <c r="BS105" s="229"/>
      <c r="BT105" s="229"/>
      <c r="BU105" s="229"/>
      <c r="BV105" s="229"/>
      <c r="BW105" s="229"/>
      <c r="BX105" s="229"/>
      <c r="BY105" s="229"/>
      <c r="BZ105" s="236"/>
      <c r="CA105" s="229"/>
    </row>
    <row r="106" spans="2:79" x14ac:dyDescent="0.25">
      <c r="B106" s="237" t="str">
        <f>Cen!A292</f>
        <v>Kovový zásuvný prvek D, 450mm, šedý</v>
      </c>
      <c r="C106" s="237" t="str">
        <f>Cen!B292</f>
        <v>Z37A417D</v>
      </c>
      <c r="D106" s="237" t="str">
        <f>Cen!C292</f>
        <v>R906</v>
      </c>
      <c r="E106" s="553">
        <f>Cen!D292</f>
        <v>0</v>
      </c>
      <c r="F106" s="208">
        <f t="shared" si="20"/>
        <v>0</v>
      </c>
      <c r="G106" s="233">
        <f>Cen!F292</f>
        <v>6.1435899999999997</v>
      </c>
      <c r="H106" s="234">
        <f t="shared" si="30"/>
        <v>0</v>
      </c>
      <c r="I106" s="250"/>
      <c r="J106" s="235">
        <f>Cen!I292</f>
        <v>7183333</v>
      </c>
      <c r="K106" s="235">
        <f>Cen!J292</f>
        <v>210781</v>
      </c>
      <c r="L106" s="230">
        <f t="shared" si="31"/>
        <v>0</v>
      </c>
      <c r="M106" s="434">
        <f t="shared" si="32"/>
        <v>0</v>
      </c>
      <c r="N106" s="229"/>
      <c r="O106" s="229"/>
      <c r="P106" s="229"/>
      <c r="Q106" s="229"/>
      <c r="R106" s="229"/>
      <c r="S106" s="229"/>
      <c r="T106" s="236"/>
      <c r="U106" s="376">
        <f>AD310M!$S79</f>
        <v>0</v>
      </c>
      <c r="V106" s="236"/>
      <c r="W106" s="236"/>
      <c r="X106" s="376">
        <f>AD31VM!$S79</f>
        <v>0</v>
      </c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  <c r="AJ106" s="229"/>
      <c r="AK106" s="229"/>
      <c r="AL106" s="229"/>
      <c r="AM106" s="229"/>
      <c r="AN106" s="229"/>
      <c r="AO106" s="229"/>
      <c r="AP106" s="229"/>
      <c r="AQ106" s="229"/>
      <c r="AR106" s="229"/>
      <c r="AS106" s="236"/>
      <c r="AT106" s="236"/>
      <c r="AU106" s="236"/>
      <c r="AV106" s="229"/>
      <c r="AW106" s="236"/>
      <c r="AX106" s="414">
        <f>ADD32M!$S79</f>
        <v>0</v>
      </c>
      <c r="AY106" s="229"/>
      <c r="AZ106" s="236"/>
      <c r="BA106" s="414">
        <f>ADM30M!$S79</f>
        <v>0</v>
      </c>
      <c r="BB106" s="229"/>
      <c r="BC106" s="229"/>
      <c r="BD106" s="236"/>
      <c r="BE106" s="415">
        <f>ADM45M!$S79</f>
        <v>0</v>
      </c>
      <c r="BF106" s="236"/>
      <c r="BG106" s="236"/>
      <c r="BH106" s="427">
        <f>ADD45M!S79</f>
        <v>0</v>
      </c>
      <c r="BI106" s="229"/>
      <c r="BJ106" s="229"/>
      <c r="BK106" s="229"/>
      <c r="BL106" s="229"/>
      <c r="BM106" s="229"/>
      <c r="BN106" s="229"/>
      <c r="BO106" s="229"/>
      <c r="BP106" s="229"/>
      <c r="BQ106" s="229"/>
      <c r="BR106" s="229"/>
      <c r="BS106" s="229"/>
      <c r="BT106" s="229"/>
      <c r="BU106" s="229"/>
      <c r="BV106" s="229"/>
      <c r="BW106" s="229"/>
      <c r="BX106" s="229"/>
      <c r="BY106" s="229"/>
      <c r="BZ106" s="236"/>
      <c r="CA106" s="229"/>
    </row>
    <row r="107" spans="2:79" x14ac:dyDescent="0.25">
      <c r="B107" s="237" t="str">
        <f>Cen!A295</f>
        <v>Kovový zásuvný prvek D, 500mm, šedý</v>
      </c>
      <c r="C107" s="237" t="str">
        <f>Cen!B295</f>
        <v>Z37A467D</v>
      </c>
      <c r="D107" s="237" t="str">
        <f>Cen!C295</f>
        <v>R906</v>
      </c>
      <c r="E107" s="553">
        <f>Cen!D295</f>
        <v>0</v>
      </c>
      <c r="F107" s="208">
        <f t="shared" si="20"/>
        <v>0</v>
      </c>
      <c r="G107" s="233">
        <f>Cen!F295</f>
        <v>6.4565700000000001</v>
      </c>
      <c r="H107" s="234">
        <f t="shared" si="30"/>
        <v>0</v>
      </c>
      <c r="I107" s="250"/>
      <c r="J107" s="235">
        <f>Cen!I295</f>
        <v>4222766</v>
      </c>
      <c r="K107" s="235">
        <f>Cen!J295</f>
        <v>210787</v>
      </c>
      <c r="L107" s="230">
        <f t="shared" si="31"/>
        <v>0</v>
      </c>
      <c r="M107" s="434">
        <f t="shared" si="32"/>
        <v>0</v>
      </c>
      <c r="N107" s="229"/>
      <c r="O107" s="229"/>
      <c r="P107" s="229"/>
      <c r="Q107" s="229"/>
      <c r="R107" s="229"/>
      <c r="S107" s="229"/>
      <c r="T107" s="236"/>
      <c r="U107" s="382">
        <f>AD310M!$S80</f>
        <v>0</v>
      </c>
      <c r="V107" s="236"/>
      <c r="W107" s="236"/>
      <c r="X107" s="382">
        <f>AD31VM!$S80</f>
        <v>0</v>
      </c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29"/>
      <c r="AN107" s="229"/>
      <c r="AO107" s="229"/>
      <c r="AP107" s="229"/>
      <c r="AQ107" s="229"/>
      <c r="AR107" s="229"/>
      <c r="AS107" s="236"/>
      <c r="AT107" s="414">
        <f>AD342M!$S80</f>
        <v>0</v>
      </c>
      <c r="AU107" s="236"/>
      <c r="AV107" s="229"/>
      <c r="AW107" s="236"/>
      <c r="AX107" s="414">
        <f>ADD32M!$S80</f>
        <v>0</v>
      </c>
      <c r="AY107" s="229"/>
      <c r="AZ107" s="236"/>
      <c r="BA107" s="414">
        <f>ADM30M!$S80</f>
        <v>0</v>
      </c>
      <c r="BB107" s="229"/>
      <c r="BC107" s="229"/>
      <c r="BD107" s="236"/>
      <c r="BE107" s="415">
        <f>ADM45M!$S80</f>
        <v>0</v>
      </c>
      <c r="BF107" s="236"/>
      <c r="BG107" s="236"/>
      <c r="BH107" s="427">
        <f>ADD45M!S80</f>
        <v>0</v>
      </c>
      <c r="BI107" s="229"/>
      <c r="BJ107" s="229"/>
      <c r="BK107" s="229"/>
      <c r="BL107" s="229"/>
      <c r="BM107" s="229"/>
      <c r="BN107" s="229"/>
      <c r="BO107" s="229"/>
      <c r="BP107" s="229"/>
      <c r="BQ107" s="229"/>
      <c r="BR107" s="229"/>
      <c r="BS107" s="229"/>
      <c r="BT107" s="229"/>
      <c r="BU107" s="229"/>
      <c r="BV107" s="229"/>
      <c r="BW107" s="229"/>
      <c r="BX107" s="229"/>
      <c r="BY107" s="229"/>
      <c r="BZ107" s="236"/>
      <c r="CA107" s="229"/>
    </row>
    <row r="108" spans="2:79" x14ac:dyDescent="0.25">
      <c r="B108" s="237" t="str">
        <f>Cen!A298</f>
        <v>Kovový zásuvný prvek D, 550mm, šedý</v>
      </c>
      <c r="C108" s="237" t="str">
        <f>Cen!B298</f>
        <v>Z37A517D</v>
      </c>
      <c r="D108" s="237" t="str">
        <f>Cen!C298</f>
        <v>R906</v>
      </c>
      <c r="E108" s="553">
        <f>Cen!D298</f>
        <v>0</v>
      </c>
      <c r="F108" s="208">
        <f t="shared" si="20"/>
        <v>0</v>
      </c>
      <c r="G108" s="233">
        <f>Cen!F298</f>
        <v>6.9749699999999999</v>
      </c>
      <c r="H108" s="234">
        <f t="shared" si="30"/>
        <v>0</v>
      </c>
      <c r="I108" s="250"/>
      <c r="J108" s="235">
        <f>Cen!I298</f>
        <v>4851238</v>
      </c>
      <c r="K108" s="235">
        <f>Cen!J298</f>
        <v>210793</v>
      </c>
      <c r="L108" s="230">
        <f t="shared" si="31"/>
        <v>0</v>
      </c>
      <c r="M108" s="434">
        <f t="shared" si="32"/>
        <v>0</v>
      </c>
      <c r="N108" s="229"/>
      <c r="O108" s="229"/>
      <c r="P108" s="229"/>
      <c r="Q108" s="229"/>
      <c r="R108" s="229"/>
      <c r="S108" s="229"/>
      <c r="T108" s="236"/>
      <c r="U108" s="382">
        <f>AD310M!$S81</f>
        <v>0</v>
      </c>
      <c r="V108" s="236"/>
      <c r="W108" s="236"/>
      <c r="X108" s="382">
        <f>AD31VM!$S81</f>
        <v>0</v>
      </c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  <c r="AJ108" s="229"/>
      <c r="AK108" s="229"/>
      <c r="AL108" s="229"/>
      <c r="AM108" s="229"/>
      <c r="AN108" s="229"/>
      <c r="AO108" s="229"/>
      <c r="AP108" s="229"/>
      <c r="AQ108" s="229"/>
      <c r="AR108" s="229"/>
      <c r="AS108" s="236"/>
      <c r="AT108" s="236"/>
      <c r="AU108" s="236"/>
      <c r="AV108" s="229"/>
      <c r="AW108" s="236"/>
      <c r="AX108" s="414">
        <f>ADD32M!$S81</f>
        <v>0</v>
      </c>
      <c r="AY108" s="229"/>
      <c r="AZ108" s="236"/>
      <c r="BA108" s="414">
        <f>ADM30M!$S81</f>
        <v>0</v>
      </c>
      <c r="BB108" s="229"/>
      <c r="BC108" s="229"/>
      <c r="BD108" s="236"/>
      <c r="BE108" s="415">
        <f>ADM45M!$S81</f>
        <v>0</v>
      </c>
      <c r="BF108" s="236"/>
      <c r="BG108" s="236"/>
      <c r="BH108" s="427">
        <f>ADD45M!S81</f>
        <v>0</v>
      </c>
      <c r="BI108" s="229"/>
      <c r="BJ108" s="229"/>
      <c r="BK108" s="229"/>
      <c r="BL108" s="229"/>
      <c r="BM108" s="229"/>
      <c r="BN108" s="229"/>
      <c r="BO108" s="229"/>
      <c r="BP108" s="229"/>
      <c r="BQ108" s="229"/>
      <c r="BR108" s="229"/>
      <c r="BS108" s="229"/>
      <c r="BT108" s="229"/>
      <c r="BU108" s="229"/>
      <c r="BV108" s="229"/>
      <c r="BW108" s="229"/>
      <c r="BX108" s="229"/>
      <c r="BY108" s="229"/>
      <c r="BZ108" s="236"/>
      <c r="CA108" s="229"/>
    </row>
    <row r="109" spans="2:79" x14ac:dyDescent="0.25">
      <c r="B109" s="237">
        <f>Cen!A301</f>
        <v>0</v>
      </c>
      <c r="C109" s="237">
        <f>Cen!B301</f>
        <v>0</v>
      </c>
      <c r="D109" s="237">
        <f>Cen!C301</f>
        <v>0</v>
      </c>
      <c r="E109" s="553">
        <f>Cen!D301</f>
        <v>0</v>
      </c>
      <c r="F109" s="208">
        <f t="shared" si="20"/>
        <v>0</v>
      </c>
      <c r="G109" s="233">
        <f>Cen!F301</f>
        <v>0</v>
      </c>
      <c r="H109" s="234">
        <f t="shared" si="30"/>
        <v>0</v>
      </c>
      <c r="I109" s="235"/>
      <c r="J109" s="235">
        <f>Cen!I301</f>
        <v>0</v>
      </c>
      <c r="K109" s="235">
        <f>Cen!J301</f>
        <v>0</v>
      </c>
      <c r="L109" s="230">
        <f t="shared" si="31"/>
        <v>0</v>
      </c>
      <c r="M109" s="434">
        <f t="shared" si="32"/>
        <v>0</v>
      </c>
      <c r="N109" s="229"/>
      <c r="O109" s="229"/>
      <c r="P109" s="229"/>
      <c r="Q109" s="229"/>
      <c r="R109" s="229"/>
      <c r="S109" s="229"/>
      <c r="T109" s="236"/>
      <c r="U109" s="382">
        <f>AD310M!$S82</f>
        <v>0</v>
      </c>
      <c r="V109" s="236"/>
      <c r="W109" s="236"/>
      <c r="X109" s="382">
        <f>AD31VM!$S82</f>
        <v>0</v>
      </c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  <c r="AJ109" s="229"/>
      <c r="AK109" s="229"/>
      <c r="AL109" s="229"/>
      <c r="AM109" s="229"/>
      <c r="AN109" s="229"/>
      <c r="AO109" s="229"/>
      <c r="AP109" s="229"/>
      <c r="AQ109" s="229"/>
      <c r="AR109" s="229"/>
      <c r="AS109" s="236"/>
      <c r="AT109" s="236"/>
      <c r="AU109" s="236"/>
      <c r="AV109" s="229"/>
      <c r="AW109" s="236"/>
      <c r="AX109" s="414">
        <f>ADD32M!$S82</f>
        <v>0</v>
      </c>
      <c r="AY109" s="229"/>
      <c r="AZ109" s="236"/>
      <c r="BA109" s="414">
        <f>ADM30M!$S82</f>
        <v>0</v>
      </c>
      <c r="BB109" s="229"/>
      <c r="BC109" s="229"/>
      <c r="BD109" s="236"/>
      <c r="BE109" s="236"/>
      <c r="BF109" s="236"/>
      <c r="BG109" s="236"/>
      <c r="BH109" s="229"/>
      <c r="BI109" s="229"/>
      <c r="BJ109" s="229"/>
      <c r="BK109" s="229"/>
      <c r="BL109" s="229"/>
      <c r="BM109" s="229"/>
      <c r="BN109" s="229"/>
      <c r="BO109" s="229"/>
      <c r="BP109" s="229"/>
      <c r="BQ109" s="229"/>
      <c r="BR109" s="229"/>
      <c r="BS109" s="229"/>
      <c r="BT109" s="229"/>
      <c r="BU109" s="229"/>
      <c r="BV109" s="229"/>
      <c r="BW109" s="229"/>
      <c r="BX109" s="229"/>
      <c r="BY109" s="229"/>
      <c r="BZ109" s="236"/>
      <c r="CA109" s="229"/>
    </row>
    <row r="110" spans="2:79" x14ac:dyDescent="0.25">
      <c r="B110" s="237" t="str">
        <f>Cen!A304</f>
        <v>Kovový zásuvný prvek D, 650mm, šedý</v>
      </c>
      <c r="C110" s="237" t="str">
        <f>Cen!B304</f>
        <v>Z37A617D</v>
      </c>
      <c r="D110" s="237" t="str">
        <f>Cen!C304</f>
        <v>R906</v>
      </c>
      <c r="E110" s="553">
        <f>Cen!D304</f>
        <v>0</v>
      </c>
      <c r="F110" s="208">
        <f t="shared" si="20"/>
        <v>0</v>
      </c>
      <c r="G110" s="233">
        <f>Cen!F304</f>
        <v>8.0120000000000005</v>
      </c>
      <c r="H110" s="234">
        <f t="shared" si="30"/>
        <v>0</v>
      </c>
      <c r="I110" s="250"/>
      <c r="J110" s="235">
        <f>Cen!I304</f>
        <v>7126828</v>
      </c>
      <c r="K110" s="235">
        <f>Cen!J304</f>
        <v>210799</v>
      </c>
      <c r="L110" s="230">
        <f t="shared" si="31"/>
        <v>0</v>
      </c>
      <c r="M110" s="434">
        <f t="shared" si="32"/>
        <v>0</v>
      </c>
      <c r="N110" s="229"/>
      <c r="O110" s="229"/>
      <c r="P110" s="229"/>
      <c r="Q110" s="229"/>
      <c r="R110" s="229"/>
      <c r="S110" s="229"/>
      <c r="T110" s="236"/>
      <c r="U110" s="382">
        <f>AD310M!$S83</f>
        <v>0</v>
      </c>
      <c r="V110" s="236"/>
      <c r="W110" s="236"/>
      <c r="X110" s="382">
        <f>AD31VM!$S83</f>
        <v>0</v>
      </c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  <c r="AJ110" s="404">
        <f>AD535SM!$S54</f>
        <v>0</v>
      </c>
      <c r="AK110" s="229"/>
      <c r="AL110" s="229"/>
      <c r="AM110" s="229"/>
      <c r="AN110" s="236"/>
      <c r="AO110" s="404">
        <f>AD535M!$S54</f>
        <v>0</v>
      </c>
      <c r="AP110" s="229"/>
      <c r="AQ110" s="229"/>
      <c r="AR110" s="229"/>
      <c r="AS110" s="236"/>
      <c r="AT110" s="236"/>
      <c r="AU110" s="236"/>
      <c r="AV110" s="229"/>
      <c r="AW110" s="236"/>
      <c r="AX110" s="414">
        <f>ADD32M!$S83</f>
        <v>0</v>
      </c>
      <c r="AY110" s="229"/>
      <c r="AZ110" s="236"/>
      <c r="BA110" s="414">
        <f>ADM30M!$S83</f>
        <v>0</v>
      </c>
      <c r="BB110" s="229"/>
      <c r="BC110" s="229"/>
      <c r="BD110" s="236"/>
      <c r="BE110" s="236"/>
      <c r="BF110" s="236"/>
      <c r="BG110" s="236"/>
      <c r="BH110" s="229"/>
      <c r="BI110" s="229"/>
      <c r="BJ110" s="229"/>
      <c r="BK110" s="229"/>
      <c r="BL110" s="229"/>
      <c r="BM110" s="229"/>
      <c r="BN110" s="229"/>
      <c r="BO110" s="229"/>
      <c r="BP110" s="229"/>
      <c r="BQ110" s="229"/>
      <c r="BR110" s="229"/>
      <c r="BS110" s="229"/>
      <c r="BT110" s="229"/>
      <c r="BU110" s="229"/>
      <c r="BV110" s="229"/>
      <c r="BW110" s="229"/>
      <c r="BX110" s="229"/>
      <c r="BY110" s="229"/>
      <c r="BZ110" s="236"/>
      <c r="CA110" s="229"/>
    </row>
    <row r="111" spans="2:79" x14ac:dyDescent="0.25">
      <c r="B111" s="237" t="str">
        <f>Cen!A308</f>
        <v>Kovový zásuvný prvek C, 450mm, šedý</v>
      </c>
      <c r="C111" s="237" t="str">
        <f>Cen!B308</f>
        <v>Z37A417C</v>
      </c>
      <c r="D111" s="237" t="str">
        <f>Cen!C308</f>
        <v>R906</v>
      </c>
      <c r="E111" s="553" t="str">
        <f>Cen!D308</f>
        <v>!</v>
      </c>
      <c r="F111" s="208">
        <f t="shared" si="20"/>
        <v>0</v>
      </c>
      <c r="G111" s="233">
        <f>Cen!F308</f>
        <v>5.6445800000000013</v>
      </c>
      <c r="H111" s="234">
        <f t="shared" si="30"/>
        <v>0</v>
      </c>
      <c r="I111" s="250"/>
      <c r="J111" s="235">
        <f>Cen!I308</f>
        <v>8168478</v>
      </c>
      <c r="K111" s="235">
        <f>Cen!J308</f>
        <v>210778</v>
      </c>
      <c r="L111" s="230">
        <f t="shared" ref="L111:L117" si="33">IF(I111="x",0,IF(I111&gt;0,I111,F111))</f>
        <v>0</v>
      </c>
      <c r="M111" s="434">
        <f t="shared" ref="M111:M117" si="34">PRODUCT(L111,G111)</f>
        <v>0</v>
      </c>
      <c r="N111" s="229"/>
      <c r="O111" s="229"/>
      <c r="P111" s="229"/>
      <c r="Q111" s="236"/>
      <c r="R111" s="236"/>
      <c r="S111" s="229"/>
      <c r="T111" s="229"/>
      <c r="U111" s="229"/>
      <c r="V111" s="229"/>
      <c r="W111" s="229"/>
      <c r="X111" s="229"/>
      <c r="Y111" s="229"/>
      <c r="Z111" s="229"/>
      <c r="AA111" s="229"/>
      <c r="AB111" s="382">
        <f>AC310M!$S79</f>
        <v>0</v>
      </c>
      <c r="AC111" s="229"/>
      <c r="AD111" s="236"/>
      <c r="AE111" s="382">
        <f>AC31VM!$S79</f>
        <v>0</v>
      </c>
      <c r="AF111" s="236"/>
      <c r="AG111" s="229"/>
      <c r="AH111" s="229"/>
      <c r="AI111" s="236"/>
      <c r="AJ111" s="229"/>
      <c r="AK111" s="229"/>
      <c r="AL111" s="229"/>
      <c r="AM111" s="229"/>
      <c r="AN111" s="236">
        <f>AD535G!$J37</f>
        <v>0</v>
      </c>
      <c r="AO111" s="229"/>
      <c r="AP111" s="229"/>
      <c r="AQ111" s="229"/>
      <c r="AR111" s="229"/>
      <c r="AS111" s="229"/>
      <c r="AT111" s="236"/>
      <c r="AU111" s="229"/>
      <c r="AV111" s="229"/>
      <c r="AW111" s="229"/>
      <c r="AX111" s="229"/>
      <c r="AY111" s="229"/>
      <c r="AZ111" s="229"/>
      <c r="BA111" s="229"/>
      <c r="BB111" s="229"/>
      <c r="BC111" s="229"/>
      <c r="BD111" s="229"/>
      <c r="BE111" s="229"/>
      <c r="BF111" s="229"/>
      <c r="BG111" s="229"/>
      <c r="BH111" s="229"/>
      <c r="BI111" s="229"/>
      <c r="BJ111" s="229"/>
      <c r="BK111" s="229"/>
      <c r="BL111" s="229"/>
      <c r="BM111" s="229"/>
      <c r="BN111" s="229"/>
      <c r="BO111" s="229"/>
      <c r="BP111" s="229"/>
      <c r="BQ111" s="229"/>
      <c r="BR111" s="229"/>
      <c r="BS111" s="229"/>
      <c r="BT111" s="229"/>
      <c r="BU111" s="229"/>
      <c r="BV111" s="229"/>
      <c r="BW111" s="229"/>
      <c r="BX111" s="229"/>
      <c r="BY111" s="229"/>
      <c r="BZ111" s="229"/>
      <c r="CA111" s="229"/>
    </row>
    <row r="112" spans="2:79" x14ac:dyDescent="0.25">
      <c r="B112" s="237" t="str">
        <f>Cen!A311</f>
        <v>Kovový zásuvný prvek C, 500mm, šedý</v>
      </c>
      <c r="C112" s="237" t="str">
        <f>Cen!B311</f>
        <v>Z37A467C</v>
      </c>
      <c r="D112" s="237" t="str">
        <f>Cen!C311</f>
        <v>R906</v>
      </c>
      <c r="E112" s="553">
        <f>Cen!D311</f>
        <v>0</v>
      </c>
      <c r="F112" s="208">
        <f t="shared" si="20"/>
        <v>0</v>
      </c>
      <c r="G112" s="233">
        <f>Cen!F311</f>
        <v>5.8695899999999996</v>
      </c>
      <c r="H112" s="234">
        <f t="shared" si="30"/>
        <v>0</v>
      </c>
      <c r="I112" s="250"/>
      <c r="J112" s="235">
        <f>Cen!I311</f>
        <v>2406463</v>
      </c>
      <c r="K112" s="235">
        <f>Cen!J311</f>
        <v>210784</v>
      </c>
      <c r="L112" s="230">
        <f t="shared" si="33"/>
        <v>0</v>
      </c>
      <c r="M112" s="434">
        <f t="shared" si="34"/>
        <v>0</v>
      </c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428">
        <f>AC310M!$S80</f>
        <v>0</v>
      </c>
      <c r="AC112" s="236"/>
      <c r="AD112" s="236"/>
      <c r="AE112" s="382">
        <f>AC31VM!$S80</f>
        <v>0</v>
      </c>
      <c r="AF112" s="236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  <c r="AQ112" s="229"/>
      <c r="AR112" s="229"/>
      <c r="AS112" s="229"/>
      <c r="AT112" s="236"/>
      <c r="AU112" s="229"/>
      <c r="AV112" s="229"/>
      <c r="AW112" s="229"/>
      <c r="AX112" s="229"/>
      <c r="AY112" s="229"/>
      <c r="AZ112" s="229"/>
      <c r="BA112" s="229"/>
      <c r="BB112" s="229"/>
      <c r="BC112" s="229"/>
      <c r="BD112" s="229"/>
      <c r="BE112" s="229"/>
      <c r="BF112" s="229"/>
      <c r="BG112" s="229"/>
      <c r="BH112" s="229"/>
      <c r="BI112" s="229"/>
      <c r="BJ112" s="229"/>
      <c r="BK112" s="229"/>
      <c r="BL112" s="229"/>
      <c r="BM112" s="229"/>
      <c r="BN112" s="229"/>
      <c r="BO112" s="229"/>
      <c r="BP112" s="229"/>
      <c r="BQ112" s="229"/>
      <c r="BR112" s="229"/>
      <c r="BS112" s="229"/>
      <c r="BT112" s="229"/>
      <c r="BU112" s="229"/>
      <c r="BV112" s="229"/>
      <c r="BW112" s="229"/>
      <c r="BX112" s="229"/>
      <c r="BY112" s="229"/>
      <c r="BZ112" s="229"/>
      <c r="CA112" s="229"/>
    </row>
    <row r="113" spans="2:79" x14ac:dyDescent="0.25">
      <c r="B113" s="237" t="str">
        <f>Cen!A314</f>
        <v>Kovový zásuvný prvek C, 550mm, šedý</v>
      </c>
      <c r="C113" s="237" t="str">
        <f>Cen!B314</f>
        <v>Z37A517C</v>
      </c>
      <c r="D113" s="237" t="str">
        <f>Cen!C314</f>
        <v>R906</v>
      </c>
      <c r="E113" s="553" t="str">
        <f>Cen!D314</f>
        <v>!</v>
      </c>
      <c r="F113" s="208">
        <f t="shared" si="20"/>
        <v>0</v>
      </c>
      <c r="G113" s="233">
        <f>Cen!F314</f>
        <v>5.9517800000000003</v>
      </c>
      <c r="H113" s="234">
        <f t="shared" si="30"/>
        <v>0</v>
      </c>
      <c r="I113" s="250"/>
      <c r="J113" s="235">
        <f>Cen!I314</f>
        <v>5511982</v>
      </c>
      <c r="K113" s="235">
        <f>Cen!J314</f>
        <v>210790</v>
      </c>
      <c r="L113" s="230">
        <f t="shared" si="33"/>
        <v>0</v>
      </c>
      <c r="M113" s="434">
        <f t="shared" si="34"/>
        <v>0</v>
      </c>
      <c r="N113" s="229"/>
      <c r="O113" s="229"/>
      <c r="P113" s="229"/>
      <c r="Q113" s="229"/>
      <c r="R113" s="229"/>
      <c r="S113" s="229"/>
      <c r="T113" s="229"/>
      <c r="U113" s="236">
        <f>AD310M!$J44</f>
        <v>0</v>
      </c>
      <c r="V113" s="236"/>
      <c r="W113" s="236"/>
      <c r="X113" s="236">
        <f>AD31VM!$J44</f>
        <v>0</v>
      </c>
      <c r="Y113" s="229"/>
      <c r="Z113" s="229"/>
      <c r="AA113" s="229"/>
      <c r="AB113" s="428">
        <f>AC310M!$S81</f>
        <v>0</v>
      </c>
      <c r="AC113" s="229"/>
      <c r="AD113" s="236"/>
      <c r="AE113" s="382">
        <f>AC31VM!$S81</f>
        <v>0</v>
      </c>
      <c r="AF113" s="229"/>
      <c r="AG113" s="229"/>
      <c r="AH113" s="229"/>
      <c r="AI113" s="229"/>
      <c r="AJ113" s="229"/>
      <c r="AK113" s="229"/>
      <c r="AL113" s="229"/>
      <c r="AM113" s="229"/>
      <c r="AN113" s="229"/>
      <c r="AO113" s="229"/>
      <c r="AP113" s="229"/>
      <c r="AQ113" s="229"/>
      <c r="AR113" s="229"/>
      <c r="AS113" s="229"/>
      <c r="AT113" s="236"/>
      <c r="AU113" s="229"/>
      <c r="AV113" s="229"/>
      <c r="AW113" s="229"/>
      <c r="AX113" s="236"/>
      <c r="AY113" s="229"/>
      <c r="AZ113" s="229"/>
      <c r="BA113" s="236"/>
      <c r="BB113" s="229"/>
      <c r="BC113" s="229"/>
      <c r="BD113" s="229"/>
      <c r="BE113" s="229"/>
      <c r="BF113" s="229"/>
      <c r="BG113" s="229"/>
      <c r="BH113" s="229"/>
      <c r="BI113" s="229"/>
      <c r="BJ113" s="229"/>
      <c r="BK113" s="229"/>
      <c r="BL113" s="229"/>
      <c r="BM113" s="229"/>
      <c r="BN113" s="229"/>
      <c r="BO113" s="229"/>
      <c r="BP113" s="229"/>
      <c r="BQ113" s="229"/>
      <c r="BR113" s="229"/>
      <c r="BS113" s="229"/>
      <c r="BT113" s="229"/>
      <c r="BU113" s="229"/>
      <c r="BV113" s="229"/>
      <c r="BW113" s="229"/>
      <c r="BX113" s="229"/>
      <c r="BY113" s="229"/>
      <c r="BZ113" s="229"/>
      <c r="CA113" s="229"/>
    </row>
    <row r="114" spans="2:79" x14ac:dyDescent="0.25">
      <c r="B114" s="237">
        <f>Cen!A317</f>
        <v>0</v>
      </c>
      <c r="C114" s="237">
        <f>Cen!B317</f>
        <v>0</v>
      </c>
      <c r="D114" s="237">
        <f>Cen!C317</f>
        <v>0</v>
      </c>
      <c r="E114" s="553">
        <f>Cen!D317</f>
        <v>0</v>
      </c>
      <c r="F114" s="208">
        <f t="shared" si="20"/>
        <v>0</v>
      </c>
      <c r="G114" s="233">
        <f>Cen!F317</f>
        <v>0</v>
      </c>
      <c r="H114" s="234"/>
      <c r="I114" s="235"/>
      <c r="J114" s="235">
        <f>Cen!I317</f>
        <v>0</v>
      </c>
      <c r="K114" s="235">
        <f>Cen!J317</f>
        <v>0</v>
      </c>
      <c r="L114" s="230">
        <f t="shared" si="33"/>
        <v>0</v>
      </c>
      <c r="M114" s="434">
        <f t="shared" si="34"/>
        <v>0</v>
      </c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428">
        <f>AC310M!$S82</f>
        <v>0</v>
      </c>
      <c r="AC114" s="229"/>
      <c r="AD114" s="236"/>
      <c r="AE114" s="382">
        <f>AC31VM!$S82</f>
        <v>0</v>
      </c>
      <c r="AF114" s="229"/>
      <c r="AG114" s="229"/>
      <c r="AH114" s="229"/>
      <c r="AI114" s="229"/>
      <c r="AJ114" s="413">
        <f>AD535SM!$J38</f>
        <v>0</v>
      </c>
      <c r="AK114" s="229"/>
      <c r="AL114" s="229"/>
      <c r="AM114" s="229"/>
      <c r="AN114" s="229"/>
      <c r="AO114" s="236">
        <f>AD535M!$J37</f>
        <v>0</v>
      </c>
      <c r="AP114" s="229"/>
      <c r="AQ114" s="229"/>
      <c r="AR114" s="229"/>
      <c r="AS114" s="229"/>
      <c r="AT114" s="229"/>
      <c r="AU114" s="229"/>
      <c r="AV114" s="229"/>
      <c r="AW114" s="229"/>
      <c r="AX114" s="229"/>
      <c r="AY114" s="229"/>
      <c r="AZ114" s="229"/>
      <c r="BA114" s="229"/>
      <c r="BB114" s="229"/>
      <c r="BC114" s="229"/>
      <c r="BD114" s="229"/>
      <c r="BE114" s="229"/>
      <c r="BF114" s="229"/>
      <c r="BG114" s="229"/>
      <c r="BH114" s="229"/>
      <c r="BI114" s="229"/>
      <c r="BJ114" s="229"/>
      <c r="BK114" s="229"/>
      <c r="BL114" s="229"/>
      <c r="BM114" s="229"/>
      <c r="BN114" s="229"/>
      <c r="BO114" s="229"/>
      <c r="BP114" s="229"/>
      <c r="BQ114" s="229"/>
      <c r="BR114" s="229"/>
      <c r="BS114" s="229"/>
      <c r="BT114" s="229"/>
      <c r="BU114" s="229"/>
      <c r="BV114" s="229"/>
      <c r="BW114" s="229"/>
      <c r="BX114" s="229"/>
      <c r="BY114" s="229"/>
      <c r="BZ114" s="229"/>
      <c r="CA114" s="229"/>
    </row>
    <row r="115" spans="2:79" x14ac:dyDescent="0.25">
      <c r="B115" s="237" t="str">
        <f>Cen!A320</f>
        <v>Kovový zásuvný prvek C, 650mm, šedý</v>
      </c>
      <c r="C115" s="237" t="str">
        <f>Cen!B320</f>
        <v>Z37A617C</v>
      </c>
      <c r="D115" s="237" t="str">
        <f>Cen!C320</f>
        <v>R906</v>
      </c>
      <c r="E115" s="553" t="str">
        <f>Cen!D320</f>
        <v>!</v>
      </c>
      <c r="F115" s="208">
        <f t="shared" si="20"/>
        <v>0</v>
      </c>
      <c r="G115" s="233">
        <f>Cen!F320</f>
        <v>6.8881800000000002</v>
      </c>
      <c r="H115" s="234">
        <f>M115</f>
        <v>0</v>
      </c>
      <c r="I115" s="250"/>
      <c r="J115" s="235">
        <f>Cen!I320</f>
        <v>4040898</v>
      </c>
      <c r="K115" s="235">
        <f>Cen!J320</f>
        <v>210796</v>
      </c>
      <c r="L115" s="230">
        <f t="shared" si="33"/>
        <v>0</v>
      </c>
      <c r="M115" s="434">
        <f t="shared" si="34"/>
        <v>0</v>
      </c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428">
        <f>AC310M!$S83</f>
        <v>0</v>
      </c>
      <c r="AC115" s="229"/>
      <c r="AD115" s="236"/>
      <c r="AE115" s="382">
        <f>AC31VM!$S83</f>
        <v>0</v>
      </c>
      <c r="AF115" s="229"/>
      <c r="AG115" s="229"/>
      <c r="AH115" s="229"/>
      <c r="AI115" s="229"/>
      <c r="AJ115" s="413"/>
      <c r="AK115" s="229"/>
      <c r="AL115" s="229"/>
      <c r="AM115" s="229"/>
      <c r="AN115" s="229"/>
      <c r="AO115" s="236"/>
      <c r="AP115" s="229"/>
      <c r="AQ115" s="229"/>
      <c r="AR115" s="229"/>
      <c r="AS115" s="229"/>
      <c r="AT115" s="229"/>
      <c r="AU115" s="229"/>
      <c r="AV115" s="229"/>
      <c r="AW115" s="229"/>
      <c r="AX115" s="229"/>
      <c r="AY115" s="229"/>
      <c r="AZ115" s="229"/>
      <c r="BA115" s="229"/>
      <c r="BB115" s="229"/>
      <c r="BC115" s="229"/>
      <c r="BD115" s="229"/>
      <c r="BE115" s="229"/>
      <c r="BF115" s="229"/>
      <c r="BG115" s="229"/>
      <c r="BH115" s="229"/>
      <c r="BI115" s="229"/>
      <c r="BJ115" s="229"/>
      <c r="BK115" s="229"/>
      <c r="BL115" s="229"/>
      <c r="BM115" s="229"/>
      <c r="BN115" s="229"/>
      <c r="BO115" s="229"/>
      <c r="BP115" s="229"/>
      <c r="BQ115" s="229"/>
      <c r="BR115" s="229"/>
      <c r="BS115" s="229"/>
      <c r="BT115" s="229"/>
      <c r="BU115" s="229"/>
      <c r="BV115" s="229"/>
      <c r="BW115" s="229"/>
      <c r="BX115" s="229"/>
      <c r="BY115" s="229"/>
      <c r="BZ115" s="229"/>
      <c r="CA115" s="229"/>
    </row>
    <row r="116" spans="2:79" x14ac:dyDescent="0.25">
      <c r="B116" s="237" t="str">
        <f>Cen!A324</f>
        <v>Sada držáků zásuvného prvku C, bílošedá</v>
      </c>
      <c r="C116" s="237" t="str">
        <f>Cen!B324</f>
        <v>Z36C0080</v>
      </c>
      <c r="D116" s="237" t="str">
        <f>Cen!C324</f>
        <v>WGR</v>
      </c>
      <c r="E116" s="553">
        <f>Cen!D324</f>
        <v>0</v>
      </c>
      <c r="F116" s="208">
        <f t="shared" si="20"/>
        <v>0</v>
      </c>
      <c r="G116" s="233">
        <f>Cen!F324</f>
        <v>2.3597199999999998</v>
      </c>
      <c r="H116" s="234">
        <f>M116</f>
        <v>0</v>
      </c>
      <c r="I116" s="250"/>
      <c r="J116" s="235">
        <f>Cen!I324</f>
        <v>7602540</v>
      </c>
      <c r="K116" s="235">
        <f>Cen!J324</f>
        <v>205991</v>
      </c>
      <c r="L116" s="230">
        <f t="shared" si="33"/>
        <v>0</v>
      </c>
      <c r="M116" s="434">
        <f t="shared" si="34"/>
        <v>0</v>
      </c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31">
        <f>AC310G!$S73</f>
        <v>0</v>
      </c>
      <c r="AB116" s="382">
        <f>AC310M!$S73</f>
        <v>0</v>
      </c>
      <c r="AC116" s="231">
        <f>AC310R!$S73</f>
        <v>0</v>
      </c>
      <c r="AD116" s="231">
        <f>AC31VG!$S73</f>
        <v>0</v>
      </c>
      <c r="AE116" s="231">
        <f>AC31VM!$S73</f>
        <v>0</v>
      </c>
      <c r="AF116" s="231">
        <f>AC31VR!$S73</f>
        <v>0</v>
      </c>
      <c r="AG116" s="229"/>
      <c r="AH116" s="229"/>
      <c r="AI116" s="229"/>
      <c r="AJ116" s="229"/>
      <c r="AK116" s="229"/>
      <c r="AL116" s="229"/>
      <c r="AM116" s="229"/>
      <c r="AN116" s="229"/>
      <c r="AO116" s="229"/>
      <c r="AP116" s="229"/>
      <c r="AQ116" s="229"/>
      <c r="AR116" s="229"/>
      <c r="AS116" s="229"/>
      <c r="AT116" s="229"/>
      <c r="AU116" s="229"/>
      <c r="AV116" s="229"/>
      <c r="AW116" s="229"/>
      <c r="AX116" s="229"/>
      <c r="AY116" s="229"/>
      <c r="AZ116" s="229"/>
      <c r="BA116" s="229"/>
      <c r="BB116" s="229"/>
      <c r="BC116" s="229"/>
      <c r="BD116" s="229"/>
      <c r="BE116" s="229"/>
      <c r="BF116" s="229"/>
      <c r="BG116" s="229"/>
      <c r="BH116" s="229"/>
      <c r="BI116" s="229"/>
      <c r="BJ116" s="229"/>
      <c r="BK116" s="229"/>
      <c r="BL116" s="229"/>
      <c r="BM116" s="229"/>
      <c r="BN116" s="229"/>
      <c r="BO116" s="229"/>
      <c r="BP116" s="229"/>
      <c r="BQ116" s="229"/>
      <c r="BR116" s="229"/>
      <c r="BS116" s="229"/>
      <c r="BT116" s="229"/>
      <c r="BU116" s="229"/>
      <c r="BV116" s="229"/>
      <c r="BW116" s="229"/>
      <c r="BX116" s="229"/>
      <c r="BY116" s="229"/>
      <c r="BZ116" s="229"/>
      <c r="CA116" s="229"/>
    </row>
    <row r="117" spans="2:79" x14ac:dyDescent="0.25">
      <c r="B117" s="237" t="str">
        <f>Cen!A328</f>
        <v>Sada držáků zásuvného prvku D, bílošedá</v>
      </c>
      <c r="C117" s="237" t="str">
        <f>Cen!B328</f>
        <v>Z36D0080</v>
      </c>
      <c r="D117" s="237" t="str">
        <f>Cen!C328</f>
        <v>WGR</v>
      </c>
      <c r="E117" s="553">
        <f>Cen!D328</f>
        <v>0</v>
      </c>
      <c r="F117" s="208">
        <f t="shared" si="20"/>
        <v>0</v>
      </c>
      <c r="G117" s="233">
        <f>Cen!F328</f>
        <v>2.4851200000000002</v>
      </c>
      <c r="H117" s="234">
        <f>M117</f>
        <v>0</v>
      </c>
      <c r="I117" s="250"/>
      <c r="J117" s="235">
        <f>Cen!I328</f>
        <v>1004836</v>
      </c>
      <c r="K117" s="235">
        <f>Cen!J328</f>
        <v>202570</v>
      </c>
      <c r="L117" s="230">
        <f t="shared" si="33"/>
        <v>0</v>
      </c>
      <c r="M117" s="434">
        <f t="shared" si="34"/>
        <v>0</v>
      </c>
      <c r="N117" s="229"/>
      <c r="O117" s="229"/>
      <c r="P117" s="229"/>
      <c r="Q117" s="229"/>
      <c r="R117" s="229"/>
      <c r="S117" s="229"/>
      <c r="T117" s="231">
        <f>AD310G!$S73</f>
        <v>0</v>
      </c>
      <c r="U117" s="231">
        <f>AD310M!$S73</f>
        <v>0</v>
      </c>
      <c r="V117" s="231">
        <f>AD310R!$S73</f>
        <v>0</v>
      </c>
      <c r="W117" s="231">
        <f>AD31VG!$S73</f>
        <v>0</v>
      </c>
      <c r="X117" s="231">
        <f>AD31VM!$S73</f>
        <v>0</v>
      </c>
      <c r="Y117" s="231">
        <f>AD31VR!$S73</f>
        <v>0</v>
      </c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404">
        <f>AD535SG!$S44</f>
        <v>0</v>
      </c>
      <c r="AJ117" s="404">
        <f>AD535SM!$S44</f>
        <v>0</v>
      </c>
      <c r="AK117" s="231">
        <f>AD535SR!$S44</f>
        <v>0</v>
      </c>
      <c r="AL117" s="229"/>
      <c r="AM117" s="229"/>
      <c r="AN117" s="231">
        <f>AD535G!$S44</f>
        <v>0</v>
      </c>
      <c r="AO117" s="231">
        <f>AD535M!$S44</f>
        <v>0</v>
      </c>
      <c r="AP117" s="231">
        <f>AD535R!$S44</f>
        <v>0</v>
      </c>
      <c r="AQ117" s="229"/>
      <c r="AR117" s="229"/>
      <c r="AS117" s="231">
        <f>AD342G!$S73</f>
        <v>0</v>
      </c>
      <c r="AT117" s="231">
        <f>AD342M!$S73</f>
        <v>0</v>
      </c>
      <c r="AU117" s="231">
        <f>AD342R!$S73</f>
        <v>0</v>
      </c>
      <c r="AV117" s="229"/>
      <c r="AW117" s="231">
        <f>ADD32G!$S73</f>
        <v>0</v>
      </c>
      <c r="AX117" s="231">
        <f>ADD32M!$S73</f>
        <v>0</v>
      </c>
      <c r="AY117" s="231">
        <f>ADD32R!$S69</f>
        <v>0</v>
      </c>
      <c r="AZ117" s="231">
        <f>ADM30G!$S73</f>
        <v>0</v>
      </c>
      <c r="BA117" s="231">
        <f>ADM30M!$S73</f>
        <v>0</v>
      </c>
      <c r="BB117" s="231">
        <f>ADM30R!$S75</f>
        <v>0</v>
      </c>
      <c r="BC117" s="229"/>
      <c r="BD117" s="231">
        <f>ADM45G!$S73</f>
        <v>0</v>
      </c>
      <c r="BE117" s="231">
        <f>ADM45M!$S73</f>
        <v>0</v>
      </c>
      <c r="BF117" s="231">
        <f>ADM45R!$S73</f>
        <v>0</v>
      </c>
      <c r="BG117" s="231">
        <f>ADD45G!$S73</f>
        <v>0</v>
      </c>
      <c r="BH117" s="231">
        <f>ADD45M!$S73</f>
        <v>0</v>
      </c>
      <c r="BI117" s="231">
        <f>ADD45R!$S73</f>
        <v>0</v>
      </c>
      <c r="BJ117" s="229"/>
      <c r="BK117" s="229"/>
      <c r="BL117" s="229"/>
      <c r="BM117" s="229"/>
      <c r="BN117" s="229"/>
      <c r="BO117" s="229"/>
      <c r="BP117" s="229"/>
      <c r="BQ117" s="229"/>
      <c r="BR117" s="229"/>
      <c r="BS117" s="229"/>
      <c r="BT117" s="229"/>
      <c r="BU117" s="229"/>
      <c r="BV117" s="229"/>
      <c r="BW117" s="229"/>
      <c r="BX117" s="229"/>
      <c r="BY117" s="229"/>
      <c r="BZ117" s="229"/>
      <c r="CA117" s="229"/>
    </row>
    <row r="118" spans="2:79" customFormat="1" ht="12.75" customHeight="1" x14ac:dyDescent="0.35">
      <c r="E118" s="552"/>
      <c r="F118" s="208">
        <f t="shared" si="20"/>
        <v>0</v>
      </c>
      <c r="I118" s="235"/>
      <c r="M118" s="435"/>
    </row>
    <row r="119" spans="2:79" x14ac:dyDescent="0.25">
      <c r="B119" s="237" t="str">
        <f>Cen!A334</f>
        <v>Sada kování SPACE CORNER, M, šedá</v>
      </c>
      <c r="C119" s="237" t="str">
        <f>Cen!B334</f>
        <v>ZSF.340E.M1</v>
      </c>
      <c r="D119" s="237" t="str">
        <f>Cen!C334</f>
        <v>ST/6</v>
      </c>
      <c r="E119" s="553">
        <f>Cen!D334</f>
        <v>0</v>
      </c>
      <c r="F119" s="208">
        <f t="shared" si="20"/>
        <v>0</v>
      </c>
      <c r="G119" s="233">
        <f>Cen!F334</f>
        <v>11.78777</v>
      </c>
      <c r="H119" s="234">
        <f t="shared" ref="H119:H126" si="35">M119</f>
        <v>0</v>
      </c>
      <c r="I119" s="250"/>
      <c r="J119" s="235">
        <f>Cen!I334</f>
        <v>8761550</v>
      </c>
      <c r="K119" s="235">
        <f>Cen!J334</f>
        <v>14296</v>
      </c>
      <c r="L119" s="230">
        <f t="shared" ref="L119:L126" si="36">IF(I119="x",0,IF(I119&gt;0,I119,F119))</f>
        <v>0</v>
      </c>
      <c r="M119" s="434">
        <f t="shared" ref="M119:M126" si="37">PRODUCT(L119,G119)</f>
        <v>0</v>
      </c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36"/>
      <c r="AE119" s="229"/>
      <c r="AF119" s="229"/>
      <c r="AG119" s="229"/>
      <c r="AH119" s="229"/>
      <c r="AI119" s="229"/>
      <c r="AJ119" s="229"/>
      <c r="AK119" s="229"/>
      <c r="AL119" s="229"/>
      <c r="AM119" s="231">
        <f>'AM530'!$S30</f>
        <v>0</v>
      </c>
      <c r="AN119" s="229"/>
      <c r="AO119" s="229"/>
      <c r="AP119" s="229"/>
      <c r="AQ119" s="229"/>
      <c r="AR119" s="229"/>
      <c r="AS119" s="229"/>
      <c r="AT119" s="229"/>
      <c r="AU119" s="229"/>
      <c r="AV119" s="229"/>
      <c r="AW119" s="229"/>
      <c r="AX119" s="229"/>
      <c r="AY119" s="229"/>
      <c r="AZ119" s="229"/>
      <c r="BA119" s="229"/>
      <c r="BB119" s="229"/>
      <c r="BC119" s="229"/>
      <c r="BD119" s="229"/>
      <c r="BE119" s="229"/>
      <c r="BF119" s="229"/>
      <c r="BG119" s="229"/>
      <c r="BH119" s="229"/>
      <c r="BI119" s="229"/>
      <c r="BJ119" s="229"/>
      <c r="BK119" s="229"/>
      <c r="BL119" s="229"/>
      <c r="BM119" s="229"/>
      <c r="BN119" s="229"/>
      <c r="BO119" s="229"/>
      <c r="BP119" s="229"/>
      <c r="BQ119" s="229"/>
      <c r="BR119" s="229"/>
      <c r="BS119" s="229"/>
      <c r="BT119" s="229"/>
      <c r="BU119" s="229"/>
      <c r="BV119" s="229"/>
      <c r="BW119" s="229"/>
      <c r="BX119" s="229"/>
      <c r="BY119" s="229"/>
      <c r="BZ119" s="229"/>
      <c r="CA119" s="229"/>
    </row>
    <row r="120" spans="2:79" x14ac:dyDescent="0.25">
      <c r="B120" s="237" t="str">
        <f>Cen!A338</f>
        <v>Sada kování SPACE CORNER, D, šedá</v>
      </c>
      <c r="C120" s="237" t="str">
        <f>Cen!B338</f>
        <v>ZSF.345E.D1</v>
      </c>
      <c r="D120" s="237" t="str">
        <f>Cen!C338</f>
        <v>ST/6</v>
      </c>
      <c r="E120" s="553">
        <f>Cen!D338</f>
        <v>0</v>
      </c>
      <c r="F120" s="208">
        <f t="shared" si="20"/>
        <v>0</v>
      </c>
      <c r="G120" s="233">
        <f>Cen!F338</f>
        <v>16.024339999999999</v>
      </c>
      <c r="H120" s="234">
        <f t="shared" si="35"/>
        <v>0</v>
      </c>
      <c r="I120" s="250"/>
      <c r="J120" s="235">
        <f>Cen!I338</f>
        <v>9149630</v>
      </c>
      <c r="K120" s="235">
        <f>Cen!J338</f>
        <v>14297</v>
      </c>
      <c r="L120" s="230">
        <f t="shared" si="36"/>
        <v>0</v>
      </c>
      <c r="M120" s="434">
        <f t="shared" si="37"/>
        <v>0</v>
      </c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36"/>
      <c r="AE120" s="229"/>
      <c r="AF120" s="229"/>
      <c r="AG120" s="229"/>
      <c r="AH120" s="229"/>
      <c r="AI120" s="229"/>
      <c r="AJ120" s="229"/>
      <c r="AK120" s="229"/>
      <c r="AL120" s="229"/>
      <c r="AM120" s="229"/>
      <c r="AN120" s="404">
        <f>AD535G!$S31</f>
        <v>0</v>
      </c>
      <c r="AO120" s="404">
        <f>AD535M!$S31</f>
        <v>0</v>
      </c>
      <c r="AP120" s="404">
        <f>AD535R!$S31</f>
        <v>0</v>
      </c>
      <c r="AQ120" s="229"/>
      <c r="AR120" s="229"/>
      <c r="AS120" s="229"/>
      <c r="AT120" s="229"/>
      <c r="AU120" s="229"/>
      <c r="AV120" s="229"/>
      <c r="AW120" s="229"/>
      <c r="AX120" s="229"/>
      <c r="AY120" s="229"/>
      <c r="AZ120" s="229"/>
      <c r="BA120" s="229"/>
      <c r="BB120" s="229"/>
      <c r="BC120" s="229"/>
      <c r="BD120" s="229"/>
      <c r="BE120" s="229"/>
      <c r="BF120" s="229"/>
      <c r="BG120" s="229"/>
      <c r="BH120" s="229"/>
      <c r="BI120" s="229"/>
      <c r="BJ120" s="229"/>
      <c r="BK120" s="229"/>
      <c r="BL120" s="229"/>
      <c r="BM120" s="229"/>
      <c r="BN120" s="229"/>
      <c r="BO120" s="229"/>
      <c r="BP120" s="229"/>
      <c r="BQ120" s="229"/>
      <c r="BR120" s="229"/>
      <c r="BS120" s="229"/>
      <c r="BT120" s="229"/>
      <c r="BU120" s="229"/>
      <c r="BV120" s="229"/>
      <c r="BW120" s="229"/>
      <c r="BX120" s="229"/>
      <c r="BY120" s="229"/>
      <c r="BZ120" s="229"/>
      <c r="CA120" s="229"/>
    </row>
    <row r="121" spans="2:79" x14ac:dyDescent="0.25">
      <c r="B121" s="237" t="str">
        <f>Cen!A343</f>
        <v>Sada kování SYNCROMOTION, M, šedá</v>
      </c>
      <c r="C121" s="237" t="str">
        <f>Cen!B343</f>
        <v>Z33M00E0A6</v>
      </c>
      <c r="D121" s="237" t="str">
        <f>Cen!C343</f>
        <v>R737</v>
      </c>
      <c r="E121" s="553">
        <f>Cen!D343</f>
        <v>0</v>
      </c>
      <c r="F121" s="208">
        <f t="shared" si="20"/>
        <v>0</v>
      </c>
      <c r="G121" s="233">
        <f>Cen!F343</f>
        <v>40.633789999999998</v>
      </c>
      <c r="H121" s="234">
        <f t="shared" si="35"/>
        <v>0</v>
      </c>
      <c r="I121" s="250"/>
      <c r="J121" s="235">
        <f>Cen!I343</f>
        <v>7144460</v>
      </c>
      <c r="K121" s="235">
        <f>Cen!J343</f>
        <v>13890</v>
      </c>
      <c r="L121" s="230">
        <f t="shared" si="36"/>
        <v>0</v>
      </c>
      <c r="M121" s="434">
        <f t="shared" si="37"/>
        <v>0</v>
      </c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36"/>
      <c r="AE121" s="229"/>
      <c r="AF121" s="229"/>
      <c r="AG121" s="229"/>
      <c r="AH121" s="231">
        <f>AM530S!$S30</f>
        <v>0</v>
      </c>
      <c r="AI121" s="236"/>
      <c r="AJ121" s="236"/>
      <c r="AK121" s="236"/>
      <c r="AL121" s="229"/>
      <c r="AM121" s="236"/>
      <c r="AN121" s="236"/>
      <c r="AO121" s="236"/>
      <c r="AP121" s="236"/>
      <c r="AQ121" s="229"/>
      <c r="AR121" s="229"/>
      <c r="AS121" s="229"/>
      <c r="AT121" s="229"/>
      <c r="AU121" s="229"/>
      <c r="AV121" s="229"/>
      <c r="AW121" s="236"/>
      <c r="AX121" s="236"/>
      <c r="AY121" s="236"/>
      <c r="AZ121" s="236"/>
      <c r="BA121" s="236"/>
      <c r="BB121" s="236"/>
      <c r="BC121" s="229"/>
      <c r="BD121" s="229"/>
      <c r="BE121" s="229"/>
      <c r="BF121" s="229"/>
      <c r="BG121" s="229"/>
      <c r="BH121" s="229"/>
      <c r="BI121" s="229"/>
      <c r="BJ121" s="229"/>
      <c r="BK121" s="229"/>
      <c r="BL121" s="229"/>
      <c r="BM121" s="229"/>
      <c r="BN121" s="229"/>
      <c r="BO121" s="229"/>
      <c r="BP121" s="229"/>
      <c r="BQ121" s="229"/>
      <c r="BR121" s="229"/>
      <c r="BS121" s="229"/>
      <c r="BT121" s="229"/>
      <c r="BU121" s="229"/>
      <c r="BV121" s="229"/>
      <c r="BW121" s="229"/>
      <c r="BX121" s="229"/>
      <c r="BY121" s="229"/>
      <c r="BZ121" s="229"/>
      <c r="CA121" s="229"/>
    </row>
    <row r="122" spans="2:79" x14ac:dyDescent="0.25">
      <c r="B122" s="237" t="str">
        <f>Cen!A346</f>
        <v>Sada kování SYNCROMOTION, D, šedá</v>
      </c>
      <c r="C122" s="237" t="str">
        <f>Cen!B346</f>
        <v>Z33D00E0A6</v>
      </c>
      <c r="D122" s="237" t="str">
        <f>Cen!C346</f>
        <v>R737</v>
      </c>
      <c r="E122" s="553">
        <f>Cen!D346</f>
        <v>0</v>
      </c>
      <c r="F122" s="208">
        <f t="shared" si="20"/>
        <v>0</v>
      </c>
      <c r="G122" s="233">
        <f>Cen!F346</f>
        <v>55.538930000000001</v>
      </c>
      <c r="H122" s="234">
        <f t="shared" si="35"/>
        <v>0</v>
      </c>
      <c r="I122" s="250"/>
      <c r="J122" s="235">
        <f>Cen!I346</f>
        <v>7144380</v>
      </c>
      <c r="K122" s="235">
        <f>Cen!J346</f>
        <v>13891</v>
      </c>
      <c r="L122" s="230">
        <f t="shared" si="36"/>
        <v>0</v>
      </c>
      <c r="M122" s="434">
        <f t="shared" si="37"/>
        <v>0</v>
      </c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36"/>
      <c r="AE122" s="229"/>
      <c r="AF122" s="229"/>
      <c r="AG122" s="229"/>
      <c r="AH122" s="229"/>
      <c r="AI122" s="404">
        <f>AD535SG!$S31</f>
        <v>0</v>
      </c>
      <c r="AJ122" s="404">
        <f>AD535SM!$S31</f>
        <v>0</v>
      </c>
      <c r="AK122" s="404">
        <f>AD535SR!$S31</f>
        <v>0</v>
      </c>
      <c r="AL122" s="229"/>
      <c r="AM122" s="229"/>
      <c r="AN122" s="229"/>
      <c r="AO122" s="229"/>
      <c r="AP122" s="229"/>
      <c r="AQ122" s="229"/>
      <c r="AR122" s="229"/>
      <c r="AS122" s="229"/>
      <c r="AT122" s="229"/>
      <c r="AU122" s="229"/>
      <c r="AV122" s="229"/>
      <c r="AW122" s="236"/>
      <c r="AX122" s="236"/>
      <c r="AY122" s="236"/>
      <c r="AZ122" s="236"/>
      <c r="BA122" s="236"/>
      <c r="BB122" s="236"/>
      <c r="BC122" s="229"/>
      <c r="BD122" s="229"/>
      <c r="BE122" s="229"/>
      <c r="BF122" s="229"/>
      <c r="BG122" s="229"/>
      <c r="BH122" s="229"/>
      <c r="BI122" s="229"/>
      <c r="BJ122" s="229"/>
      <c r="BK122" s="229"/>
      <c r="BL122" s="229"/>
      <c r="BM122" s="229"/>
      <c r="BN122" s="229"/>
      <c r="BO122" s="229"/>
      <c r="BP122" s="229"/>
      <c r="BQ122" s="229"/>
      <c r="BR122" s="229"/>
      <c r="BS122" s="229"/>
      <c r="BT122" s="229"/>
      <c r="BU122" s="229"/>
      <c r="BV122" s="229"/>
      <c r="BW122" s="229"/>
      <c r="BX122" s="229"/>
      <c r="BY122" s="229"/>
      <c r="BZ122" s="229"/>
      <c r="CA122" s="229"/>
    </row>
    <row r="123" spans="2:79" x14ac:dyDescent="0.25">
      <c r="B123" s="237" t="str">
        <f>Cen!A349</f>
        <v>Držáky zadní stěny M SPACE-CORNER, šedé</v>
      </c>
      <c r="C123" s="237" t="str">
        <f>Cen!B349</f>
        <v>Z30M000S.45</v>
      </c>
      <c r="D123" s="237" t="str">
        <f>Cen!C349</f>
        <v>R906</v>
      </c>
      <c r="E123" s="553">
        <f>Cen!D349</f>
        <v>0</v>
      </c>
      <c r="F123" s="208">
        <f t="shared" si="20"/>
        <v>0</v>
      </c>
      <c r="G123" s="233">
        <f>Cen!F349</f>
        <v>2.7293500000000002</v>
      </c>
      <c r="H123" s="234">
        <f t="shared" si="35"/>
        <v>0</v>
      </c>
      <c r="I123" s="250"/>
      <c r="J123" s="235">
        <f>Cen!I349</f>
        <v>8373549</v>
      </c>
      <c r="K123" s="235">
        <f>Cen!J349</f>
        <v>13892</v>
      </c>
      <c r="L123" s="230">
        <f t="shared" si="36"/>
        <v>0</v>
      </c>
      <c r="M123" s="434">
        <f t="shared" si="37"/>
        <v>0</v>
      </c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36"/>
      <c r="AB123" s="236"/>
      <c r="AC123" s="236"/>
      <c r="AD123" s="236"/>
      <c r="AE123" s="236"/>
      <c r="AF123" s="236"/>
      <c r="AG123" s="229"/>
      <c r="AH123" s="231">
        <f>AM530S!$S27</f>
        <v>0</v>
      </c>
      <c r="AI123" s="236"/>
      <c r="AJ123" s="229"/>
      <c r="AK123" s="229"/>
      <c r="AL123" s="229"/>
      <c r="AM123" s="229"/>
      <c r="AN123" s="236"/>
      <c r="AO123" s="229"/>
      <c r="AP123" s="229"/>
      <c r="AQ123" s="229"/>
      <c r="AR123" s="229"/>
      <c r="AS123" s="229"/>
      <c r="AT123" s="229"/>
      <c r="AU123" s="229"/>
      <c r="AV123" s="229"/>
      <c r="AW123" s="236"/>
      <c r="AX123" s="236"/>
      <c r="AY123" s="236"/>
      <c r="AZ123" s="236"/>
      <c r="BA123" s="236"/>
      <c r="BB123" s="236"/>
      <c r="BC123" s="229"/>
      <c r="BD123" s="229"/>
      <c r="BE123" s="229"/>
      <c r="BF123" s="229"/>
      <c r="BG123" s="229"/>
      <c r="BH123" s="229"/>
      <c r="BI123" s="229"/>
      <c r="BJ123" s="229"/>
      <c r="BK123" s="229"/>
      <c r="BL123" s="229"/>
      <c r="BM123" s="229"/>
      <c r="BN123" s="229"/>
      <c r="BO123" s="229"/>
      <c r="BP123" s="229"/>
      <c r="BQ123" s="229"/>
      <c r="BR123" s="229"/>
      <c r="BS123" s="229"/>
      <c r="BT123" s="229"/>
      <c r="BU123" s="229"/>
      <c r="BV123" s="229"/>
      <c r="BW123" s="229"/>
      <c r="BX123" s="229"/>
      <c r="BY123" s="229"/>
      <c r="BZ123" s="229"/>
      <c r="CA123" s="229"/>
    </row>
    <row r="124" spans="2:79" x14ac:dyDescent="0.25">
      <c r="B124" s="237" t="str">
        <f>Cen!A353</f>
        <v>Držáky zadní stěny D SPACE-CORNER, šedé</v>
      </c>
      <c r="C124" s="237" t="str">
        <f>Cen!B353</f>
        <v>Z30D000SL45</v>
      </c>
      <c r="D124" s="237" t="str">
        <f>Cen!C353</f>
        <v>R906</v>
      </c>
      <c r="E124" s="553">
        <f>Cen!D353</f>
        <v>0</v>
      </c>
      <c r="F124" s="208">
        <f t="shared" si="20"/>
        <v>0</v>
      </c>
      <c r="G124" s="233">
        <f>Cen!F353</f>
        <v>3.9593700000000003</v>
      </c>
      <c r="H124" s="234">
        <f t="shared" si="35"/>
        <v>0</v>
      </c>
      <c r="I124" s="250"/>
      <c r="J124" s="235">
        <f>Cen!I353</f>
        <v>4597273</v>
      </c>
      <c r="K124" s="235">
        <f>Cen!J353</f>
        <v>203293</v>
      </c>
      <c r="L124" s="230">
        <f t="shared" si="36"/>
        <v>0</v>
      </c>
      <c r="M124" s="434">
        <f t="shared" si="37"/>
        <v>0</v>
      </c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36"/>
      <c r="AB124" s="236"/>
      <c r="AC124" s="236"/>
      <c r="AD124" s="236"/>
      <c r="AE124" s="236"/>
      <c r="AF124" s="236"/>
      <c r="AG124" s="229"/>
      <c r="AH124" s="229"/>
      <c r="AI124" s="404">
        <f>AD535SG!$S28</f>
        <v>0</v>
      </c>
      <c r="AJ124" s="404">
        <f>AD535SM!$S28</f>
        <v>0</v>
      </c>
      <c r="AK124" s="404">
        <f>AD535SR!$S28</f>
        <v>0</v>
      </c>
      <c r="AL124" s="229"/>
      <c r="AM124" s="229"/>
      <c r="AN124" s="229"/>
      <c r="AO124" s="229"/>
      <c r="AP124" s="229"/>
      <c r="AQ124" s="229"/>
      <c r="AR124" s="229"/>
      <c r="AS124" s="229"/>
      <c r="AT124" s="229"/>
      <c r="AU124" s="229"/>
      <c r="AV124" s="229"/>
      <c r="AW124" s="236"/>
      <c r="AX124" s="236"/>
      <c r="AY124" s="236"/>
      <c r="AZ124" s="236"/>
      <c r="BA124" s="236"/>
      <c r="BB124" s="236"/>
      <c r="BC124" s="229"/>
      <c r="BD124" s="229"/>
      <c r="BE124" s="229"/>
      <c r="BF124" s="229"/>
      <c r="BG124" s="229"/>
      <c r="BH124" s="229"/>
      <c r="BI124" s="229"/>
      <c r="BJ124" s="229"/>
      <c r="BK124" s="229"/>
      <c r="BL124" s="229"/>
      <c r="BM124" s="229"/>
      <c r="BN124" s="229"/>
      <c r="BO124" s="229"/>
      <c r="BP124" s="229"/>
      <c r="BQ124" s="229"/>
      <c r="BR124" s="229"/>
      <c r="BS124" s="229"/>
      <c r="BT124" s="229"/>
      <c r="BU124" s="229"/>
      <c r="BV124" s="229"/>
      <c r="BW124" s="229"/>
      <c r="BX124" s="229"/>
      <c r="BY124" s="229"/>
      <c r="BZ124" s="229"/>
      <c r="CA124" s="229"/>
    </row>
    <row r="125" spans="2:79" x14ac:dyDescent="0.25">
      <c r="B125" s="237" t="str">
        <f>Cen!A359</f>
        <v>Bočnice dřezové, 500 mm, šedé</v>
      </c>
      <c r="C125" s="237" t="str">
        <f>Cen!B359</f>
        <v>378M5004SG</v>
      </c>
      <c r="D125" s="237" t="str">
        <f>Cen!C359</f>
        <v>WA/G</v>
      </c>
      <c r="E125" s="553">
        <f>Cen!D359</f>
        <v>0</v>
      </c>
      <c r="F125" s="208">
        <f t="shared" si="20"/>
        <v>0</v>
      </c>
      <c r="G125" s="233">
        <f>Cen!F359</f>
        <v>20.000679999999999</v>
      </c>
      <c r="H125" s="234">
        <f t="shared" si="35"/>
        <v>0</v>
      </c>
      <c r="I125" s="250"/>
      <c r="J125" s="235">
        <f>Cen!I359</f>
        <v>8734707</v>
      </c>
      <c r="K125" s="235">
        <f>Cen!J359</f>
        <v>14184</v>
      </c>
      <c r="L125" s="230">
        <f t="shared" si="36"/>
        <v>0</v>
      </c>
      <c r="M125" s="434">
        <f t="shared" si="37"/>
        <v>0</v>
      </c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  <c r="AJ125" s="229"/>
      <c r="AK125" s="229"/>
      <c r="AL125" s="229"/>
      <c r="AM125" s="229"/>
      <c r="AN125" s="229"/>
      <c r="AO125" s="229"/>
      <c r="AP125" s="229"/>
      <c r="AQ125" s="229"/>
      <c r="AR125" s="229"/>
      <c r="AS125" s="231">
        <f>AD342G!$S13</f>
        <v>0</v>
      </c>
      <c r="AT125" s="231">
        <f>AD342M!$S13</f>
        <v>0</v>
      </c>
      <c r="AU125" s="231">
        <f>AD342R!$S13</f>
        <v>0</v>
      </c>
      <c r="AV125" s="229"/>
      <c r="AW125" s="236"/>
      <c r="AX125" s="236"/>
      <c r="AY125" s="236"/>
      <c r="AZ125" s="236"/>
      <c r="BA125" s="236"/>
      <c r="BB125" s="236"/>
      <c r="BC125" s="229"/>
      <c r="BD125" s="229"/>
      <c r="BE125" s="229"/>
      <c r="BF125" s="229"/>
      <c r="BG125" s="229"/>
      <c r="BH125" s="229"/>
      <c r="BI125" s="229"/>
      <c r="BJ125" s="229"/>
      <c r="BK125" s="229"/>
      <c r="BL125" s="229"/>
      <c r="BM125" s="229"/>
      <c r="BN125" s="229"/>
      <c r="BO125" s="229"/>
      <c r="BP125" s="229"/>
      <c r="BQ125" s="229"/>
      <c r="BR125" s="229"/>
      <c r="BS125" s="229"/>
      <c r="BT125" s="229"/>
      <c r="BU125" s="229"/>
      <c r="BV125" s="229"/>
      <c r="BW125" s="229"/>
      <c r="BX125" s="229"/>
      <c r="BY125" s="229"/>
      <c r="BZ125" s="229"/>
      <c r="CA125" s="229"/>
    </row>
    <row r="126" spans="2:79" x14ac:dyDescent="0.25">
      <c r="B126" s="237" t="str">
        <f>Cen!A365</f>
        <v>Adaptér příčky dřezového výsuvu</v>
      </c>
      <c r="C126" s="237" t="str">
        <f>Cen!B365</f>
        <v>Z30N0002.6Z</v>
      </c>
      <c r="D126" s="237" t="str">
        <f>Cen!C365</f>
        <v>R737</v>
      </c>
      <c r="E126" s="553">
        <f>Cen!D365</f>
        <v>0</v>
      </c>
      <c r="F126" s="208">
        <f t="shared" si="20"/>
        <v>0</v>
      </c>
      <c r="G126" s="233">
        <f>Cen!F365</f>
        <v>2.1192299999999999</v>
      </c>
      <c r="H126" s="234">
        <f t="shared" si="35"/>
        <v>0</v>
      </c>
      <c r="I126" s="250"/>
      <c r="J126" s="235">
        <f>Cen!I365</f>
        <v>6689160</v>
      </c>
      <c r="K126" s="235">
        <f>Cen!J365</f>
        <v>14180</v>
      </c>
      <c r="L126" s="230">
        <f t="shared" si="36"/>
        <v>0</v>
      </c>
      <c r="M126" s="434">
        <f t="shared" si="37"/>
        <v>0</v>
      </c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36"/>
      <c r="AH126" s="236"/>
      <c r="AI126" s="236"/>
      <c r="AJ126" s="236"/>
      <c r="AK126" s="236"/>
      <c r="AL126" s="236"/>
      <c r="AM126" s="236"/>
      <c r="AN126" s="236"/>
      <c r="AO126" s="236"/>
      <c r="AP126" s="236"/>
      <c r="AQ126" s="229"/>
      <c r="AR126" s="229"/>
      <c r="AS126" s="231">
        <f>AD342G!$S61</f>
        <v>0</v>
      </c>
      <c r="AT126" s="231">
        <f>AD342M!$S61</f>
        <v>0</v>
      </c>
      <c r="AU126" s="231">
        <f>AD342R!$S61</f>
        <v>0</v>
      </c>
      <c r="AV126" s="229"/>
      <c r="AW126" s="229"/>
      <c r="AX126" s="229"/>
      <c r="AY126" s="229"/>
      <c r="AZ126" s="229"/>
      <c r="BA126" s="229"/>
      <c r="BB126" s="229"/>
      <c r="BC126" s="229"/>
      <c r="BD126" s="229"/>
      <c r="BE126" s="229"/>
      <c r="BF126" s="229"/>
      <c r="BG126" s="229"/>
      <c r="BH126" s="229"/>
      <c r="BI126" s="229"/>
      <c r="BJ126" s="229"/>
      <c r="BK126" s="229"/>
      <c r="BL126" s="229"/>
      <c r="BM126" s="229"/>
      <c r="BN126" s="229"/>
      <c r="BO126" s="229"/>
      <c r="BP126" s="229"/>
      <c r="BQ126" s="229"/>
      <c r="BR126" s="229"/>
      <c r="BS126" s="229"/>
      <c r="BT126" s="229"/>
      <c r="BU126" s="229"/>
      <c r="BV126" s="229"/>
      <c r="BW126" s="229"/>
      <c r="BX126" s="229"/>
      <c r="BY126" s="229"/>
      <c r="BZ126" s="229"/>
      <c r="CA126" s="229"/>
    </row>
    <row r="127" spans="2:79" x14ac:dyDescent="0.25">
      <c r="B127" s="237"/>
      <c r="C127" s="232"/>
      <c r="D127" s="232"/>
      <c r="E127" s="551"/>
      <c r="F127" s="208">
        <f t="shared" si="20"/>
        <v>0</v>
      </c>
      <c r="G127" s="232"/>
      <c r="H127" s="234"/>
      <c r="I127" s="260"/>
      <c r="J127" s="232"/>
      <c r="K127" s="232"/>
      <c r="L127" s="230">
        <f t="shared" ref="L127:L245" si="38">IF(I127="x",0,IF(I127&gt;0,I127,F127))</f>
        <v>0</v>
      </c>
      <c r="M127" s="434">
        <f t="shared" ref="M127:M245" si="39">PRODUCT(L127,G127)</f>
        <v>0</v>
      </c>
      <c r="N127" s="229"/>
      <c r="O127" s="229"/>
      <c r="P127" s="236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  <c r="AJ127" s="229"/>
      <c r="AK127" s="229"/>
      <c r="AL127" s="229"/>
      <c r="AM127" s="229"/>
      <c r="AN127" s="229"/>
      <c r="AO127" s="229"/>
      <c r="AP127" s="229"/>
      <c r="AQ127" s="229"/>
      <c r="AR127" s="229"/>
      <c r="AS127" s="229"/>
      <c r="AT127" s="229"/>
      <c r="AU127" s="229"/>
      <c r="AV127" s="229"/>
      <c r="AW127" s="229"/>
      <c r="AX127" s="229"/>
      <c r="AY127" s="229"/>
      <c r="AZ127" s="229"/>
      <c r="BA127" s="229"/>
      <c r="BB127" s="229"/>
      <c r="BC127" s="229"/>
      <c r="BD127" s="229"/>
      <c r="BE127" s="229"/>
      <c r="BF127" s="229"/>
      <c r="BG127" s="229"/>
      <c r="BH127" s="229"/>
      <c r="BI127" s="229"/>
      <c r="BJ127" s="229"/>
      <c r="BK127" s="229"/>
      <c r="BL127" s="229"/>
      <c r="BM127" s="229"/>
      <c r="BN127" s="229"/>
      <c r="BO127" s="229"/>
      <c r="BP127" s="229"/>
      <c r="BQ127" s="229"/>
      <c r="BR127" s="229"/>
      <c r="BS127" s="229"/>
      <c r="BT127" s="229"/>
      <c r="BU127" s="229"/>
      <c r="BV127" s="229"/>
      <c r="BW127" s="229"/>
      <c r="BX127" s="229"/>
      <c r="BY127" s="229"/>
      <c r="BZ127" s="229"/>
      <c r="CA127" s="229"/>
    </row>
    <row r="128" spans="2:79" x14ac:dyDescent="0.25">
      <c r="B128" s="237" t="str">
        <f>Cen!A381</f>
        <v>Sada BI1, 450 mm</v>
      </c>
      <c r="C128" s="237" t="str">
        <f>Cen!B381</f>
        <v>ZSI.450BI1N</v>
      </c>
      <c r="D128" s="237" t="str">
        <f>Cen!C381</f>
        <v>IG/G</v>
      </c>
      <c r="E128" s="553">
        <f>Cen!D381</f>
        <v>0</v>
      </c>
      <c r="F128" s="208">
        <f t="shared" si="20"/>
        <v>0</v>
      </c>
      <c r="G128" s="233">
        <f>Cen!F381</f>
        <v>27.854489999999995</v>
      </c>
      <c r="H128" s="234">
        <f>M128</f>
        <v>0</v>
      </c>
      <c r="I128" s="250"/>
      <c r="J128" s="235">
        <f>Cen!I381</f>
        <v>6700230</v>
      </c>
      <c r="K128" s="235">
        <f>Cen!J381</f>
        <v>176760</v>
      </c>
      <c r="L128" s="230">
        <f t="shared" ref="L128" si="40">IF(I128="x",0,IF(I128&gt;0,I128,F128))</f>
        <v>0</v>
      </c>
      <c r="M128" s="434">
        <f t="shared" ref="M128" si="41">PRODUCT(L128,G128)</f>
        <v>0</v>
      </c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  <c r="AJ128" s="229"/>
      <c r="AK128" s="229"/>
      <c r="AL128" s="229"/>
      <c r="AM128" s="229"/>
      <c r="AN128" s="229"/>
      <c r="AO128" s="229"/>
      <c r="AP128" s="229"/>
      <c r="AQ128" s="229"/>
      <c r="AR128" s="229"/>
      <c r="AS128" s="229"/>
      <c r="AT128" s="229"/>
      <c r="AU128" s="229"/>
      <c r="AV128" s="229"/>
      <c r="AW128" s="229"/>
      <c r="AX128" s="229"/>
      <c r="AY128" s="229"/>
      <c r="AZ128" s="229"/>
      <c r="BA128" s="229"/>
      <c r="BB128" s="229"/>
      <c r="BC128" s="229"/>
      <c r="BD128" s="229"/>
      <c r="BE128" s="229"/>
      <c r="BF128" s="229"/>
      <c r="BG128" s="229"/>
      <c r="BH128" s="229"/>
      <c r="BI128" s="229"/>
      <c r="BJ128" s="229"/>
      <c r="BK128" s="444">
        <f>OLMi!P2</f>
        <v>0</v>
      </c>
      <c r="BL128" s="444">
        <f>OLRo!P2</f>
        <v>0</v>
      </c>
      <c r="BM128" s="229"/>
      <c r="BN128" s="229"/>
      <c r="BO128" s="229"/>
      <c r="BP128" s="229"/>
      <c r="BQ128" s="229"/>
      <c r="BR128" s="229"/>
      <c r="BS128" s="229"/>
      <c r="BT128" s="229"/>
      <c r="BU128" s="229"/>
      <c r="BV128" s="229"/>
      <c r="BW128" s="444">
        <f>OLOst!P2</f>
        <v>0</v>
      </c>
      <c r="BX128" s="229"/>
      <c r="BY128" s="229"/>
      <c r="BZ128" s="229"/>
      <c r="CA128" s="229"/>
    </row>
    <row r="129" spans="2:79" x14ac:dyDescent="0.25">
      <c r="B129" s="237" t="str">
        <f>Cen!A382</f>
        <v>Sada BI1, 500 mm</v>
      </c>
      <c r="C129" s="237" t="str">
        <f>Cen!B382</f>
        <v>ZSI.500BI1N</v>
      </c>
      <c r="D129" s="237" t="str">
        <f>Cen!C382</f>
        <v>IG/G</v>
      </c>
      <c r="E129" s="553">
        <f>Cen!D382</f>
        <v>0</v>
      </c>
      <c r="F129" s="208">
        <f t="shared" si="20"/>
        <v>0</v>
      </c>
      <c r="G129" s="233">
        <f>Cen!F382</f>
        <v>33.880009999999999</v>
      </c>
      <c r="H129" s="234">
        <f>M129</f>
        <v>0</v>
      </c>
      <c r="I129" s="250"/>
      <c r="J129" s="235">
        <f>Cen!I382</f>
        <v>6700070</v>
      </c>
      <c r="K129" s="235">
        <f>Cen!J382</f>
        <v>12989</v>
      </c>
      <c r="L129" s="230">
        <f t="shared" si="38"/>
        <v>0</v>
      </c>
      <c r="M129" s="434">
        <f t="shared" si="39"/>
        <v>0</v>
      </c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  <c r="AJ129" s="229"/>
      <c r="AK129" s="229"/>
      <c r="AL129" s="229"/>
      <c r="AM129" s="229"/>
      <c r="AN129" s="229"/>
      <c r="AO129" s="229"/>
      <c r="AP129" s="229"/>
      <c r="AQ129" s="229"/>
      <c r="AR129" s="229"/>
      <c r="AS129" s="229"/>
      <c r="AT129" s="229"/>
      <c r="AU129" s="229"/>
      <c r="AV129" s="229"/>
      <c r="AW129" s="229"/>
      <c r="AX129" s="229"/>
      <c r="AY129" s="229"/>
      <c r="AZ129" s="229"/>
      <c r="BA129" s="229"/>
      <c r="BB129" s="229"/>
      <c r="BC129" s="229"/>
      <c r="BD129" s="229"/>
      <c r="BE129" s="229"/>
      <c r="BF129" s="229"/>
      <c r="BG129" s="229"/>
      <c r="BH129" s="229"/>
      <c r="BI129" s="229"/>
      <c r="BJ129" s="229"/>
      <c r="BK129" s="445">
        <f>OLMi!P3</f>
        <v>0</v>
      </c>
      <c r="BL129" s="445">
        <f>OLRo!P3</f>
        <v>0</v>
      </c>
      <c r="BM129" s="229"/>
      <c r="BN129" s="229"/>
      <c r="BO129" s="229"/>
      <c r="BP129" s="229"/>
      <c r="BQ129" s="229"/>
      <c r="BR129" s="229"/>
      <c r="BS129" s="229"/>
      <c r="BT129" s="229"/>
      <c r="BU129" s="229"/>
      <c r="BV129" s="229"/>
      <c r="BW129" s="445">
        <f>OLOst!P3</f>
        <v>0</v>
      </c>
      <c r="BX129" s="229"/>
      <c r="BY129" s="229"/>
      <c r="BZ129" s="229"/>
      <c r="CA129" s="229"/>
    </row>
    <row r="130" spans="2:79" x14ac:dyDescent="0.25">
      <c r="B130" s="237" t="str">
        <f>Cen!A383</f>
        <v>Sada BI1, 550 mm</v>
      </c>
      <c r="C130" s="237" t="str">
        <f>Cen!B383</f>
        <v>ZSI.550BI1N</v>
      </c>
      <c r="D130" s="237" t="str">
        <f>Cen!C383</f>
        <v>IG/G</v>
      </c>
      <c r="E130" s="553">
        <f>Cen!D383</f>
        <v>0</v>
      </c>
      <c r="F130" s="208">
        <f t="shared" si="20"/>
        <v>0</v>
      </c>
      <c r="G130" s="233">
        <f>Cen!F383</f>
        <v>36.572949999999999</v>
      </c>
      <c r="H130" s="234">
        <f t="shared" ref="H130:H133" si="42">M130</f>
        <v>0</v>
      </c>
      <c r="I130" s="250"/>
      <c r="J130" s="235">
        <f>Cen!I383</f>
        <v>6698800</v>
      </c>
      <c r="K130" s="235">
        <f>Cen!J383</f>
        <v>176773</v>
      </c>
      <c r="L130" s="230">
        <f t="shared" ref="L130:L133" si="43">IF(I130="x",0,IF(I130&gt;0,I130,F130))</f>
        <v>0</v>
      </c>
      <c r="M130" s="434">
        <f t="shared" ref="M130:M133" si="44">PRODUCT(L130,G130)</f>
        <v>0</v>
      </c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  <c r="AJ130" s="229"/>
      <c r="AK130" s="229"/>
      <c r="AL130" s="229"/>
      <c r="AM130" s="229"/>
      <c r="AN130" s="229"/>
      <c r="AO130" s="229"/>
      <c r="AP130" s="229"/>
      <c r="AQ130" s="229"/>
      <c r="AR130" s="229"/>
      <c r="AS130" s="229"/>
      <c r="AT130" s="229"/>
      <c r="AU130" s="229"/>
      <c r="AV130" s="229"/>
      <c r="AW130" s="229"/>
      <c r="AX130" s="229"/>
      <c r="AY130" s="229"/>
      <c r="AZ130" s="229"/>
      <c r="BA130" s="229"/>
      <c r="BB130" s="229"/>
      <c r="BC130" s="229"/>
      <c r="BD130" s="229"/>
      <c r="BE130" s="229"/>
      <c r="BF130" s="229"/>
      <c r="BG130" s="229"/>
      <c r="BH130" s="229"/>
      <c r="BI130" s="229"/>
      <c r="BJ130" s="229"/>
      <c r="BK130" s="445">
        <f>OLMi!P4</f>
        <v>0</v>
      </c>
      <c r="BL130" s="445">
        <f>OLRo!P4</f>
        <v>0</v>
      </c>
      <c r="BM130" s="229"/>
      <c r="BN130" s="229"/>
      <c r="BO130" s="229"/>
      <c r="BP130" s="229"/>
      <c r="BQ130" s="229"/>
      <c r="BR130" s="229"/>
      <c r="BS130" s="229"/>
      <c r="BT130" s="229"/>
      <c r="BU130" s="229"/>
      <c r="BV130" s="229"/>
      <c r="BW130" s="445">
        <f>OLOst!P4</f>
        <v>0</v>
      </c>
      <c r="BX130" s="229"/>
      <c r="BY130" s="229"/>
      <c r="BZ130" s="229"/>
      <c r="CA130" s="229"/>
    </row>
    <row r="131" spans="2:79" x14ac:dyDescent="0.25">
      <c r="B131" s="237" t="str">
        <f>Cen!A384</f>
        <v>Sada BI1, 600 mm</v>
      </c>
      <c r="C131" s="237" t="str">
        <f>Cen!B384</f>
        <v>ZSI.600BI1N</v>
      </c>
      <c r="D131" s="237" t="str">
        <f>Cen!C384</f>
        <v>IG/G</v>
      </c>
      <c r="E131" s="553">
        <f>Cen!D384</f>
        <v>0</v>
      </c>
      <c r="F131" s="208">
        <f t="shared" si="20"/>
        <v>0</v>
      </c>
      <c r="G131" s="233">
        <f>Cen!F384</f>
        <v>42.864629999999998</v>
      </c>
      <c r="H131" s="234">
        <f t="shared" si="42"/>
        <v>0</v>
      </c>
      <c r="I131" s="250"/>
      <c r="J131" s="235">
        <f>Cen!I384</f>
        <v>6699100</v>
      </c>
      <c r="K131" s="235">
        <f>Cen!J384</f>
        <v>176778</v>
      </c>
      <c r="L131" s="230">
        <f t="shared" si="43"/>
        <v>0</v>
      </c>
      <c r="M131" s="434">
        <f t="shared" si="44"/>
        <v>0</v>
      </c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  <c r="AJ131" s="229"/>
      <c r="AK131" s="229"/>
      <c r="AL131" s="229"/>
      <c r="AM131" s="229"/>
      <c r="AN131" s="229"/>
      <c r="AO131" s="229"/>
      <c r="AP131" s="229"/>
      <c r="AQ131" s="229"/>
      <c r="AR131" s="229"/>
      <c r="AS131" s="229"/>
      <c r="AT131" s="229"/>
      <c r="AU131" s="229"/>
      <c r="AV131" s="229"/>
      <c r="AW131" s="229"/>
      <c r="AX131" s="229"/>
      <c r="AY131" s="229"/>
      <c r="AZ131" s="229"/>
      <c r="BA131" s="229"/>
      <c r="BB131" s="229"/>
      <c r="BC131" s="229"/>
      <c r="BD131" s="229"/>
      <c r="BE131" s="229"/>
      <c r="BF131" s="229"/>
      <c r="BG131" s="229"/>
      <c r="BH131" s="229"/>
      <c r="BI131" s="229"/>
      <c r="BJ131" s="229"/>
      <c r="BK131" s="445">
        <f>OLMi!P5</f>
        <v>0</v>
      </c>
      <c r="BL131" s="445">
        <f>OLRo!P5</f>
        <v>0</v>
      </c>
      <c r="BM131" s="229"/>
      <c r="BN131" s="229"/>
      <c r="BO131" s="229"/>
      <c r="BP131" s="229"/>
      <c r="BQ131" s="229"/>
      <c r="BR131" s="229"/>
      <c r="BS131" s="229"/>
      <c r="BT131" s="229"/>
      <c r="BU131" s="229"/>
      <c r="BV131" s="229"/>
      <c r="BW131" s="445">
        <f>OLOst!P5</f>
        <v>0</v>
      </c>
      <c r="BX131" s="229"/>
      <c r="BY131" s="229"/>
      <c r="BZ131" s="229"/>
      <c r="CA131" s="229"/>
    </row>
    <row r="132" spans="2:79" x14ac:dyDescent="0.25">
      <c r="B132" s="237" t="str">
        <f>Cen!A385</f>
        <v>Sada BI1, 650 mm</v>
      </c>
      <c r="C132" s="237" t="str">
        <f>Cen!B385</f>
        <v>ZSI.650BI1N</v>
      </c>
      <c r="D132" s="237" t="str">
        <f>Cen!C385</f>
        <v>IG/G</v>
      </c>
      <c r="E132" s="553">
        <f>Cen!D385</f>
        <v>0</v>
      </c>
      <c r="F132" s="208">
        <f t="shared" si="20"/>
        <v>0</v>
      </c>
      <c r="G132" s="233">
        <f>Cen!F385</f>
        <v>49.022210000000001</v>
      </c>
      <c r="H132" s="234">
        <f t="shared" si="42"/>
        <v>0</v>
      </c>
      <c r="I132" s="250"/>
      <c r="J132" s="235">
        <f>Cen!I385</f>
        <v>6698230</v>
      </c>
      <c r="K132" s="235">
        <f>Cen!J385</f>
        <v>176787</v>
      </c>
      <c r="L132" s="230">
        <f t="shared" si="43"/>
        <v>0</v>
      </c>
      <c r="M132" s="434">
        <f t="shared" si="44"/>
        <v>0</v>
      </c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  <c r="AJ132" s="229"/>
      <c r="AK132" s="229"/>
      <c r="AL132" s="229"/>
      <c r="AM132" s="229"/>
      <c r="AN132" s="229"/>
      <c r="AO132" s="229"/>
      <c r="AP132" s="229"/>
      <c r="AQ132" s="229"/>
      <c r="AR132" s="229"/>
      <c r="AS132" s="229"/>
      <c r="AT132" s="229"/>
      <c r="AU132" s="229"/>
      <c r="AV132" s="229"/>
      <c r="AW132" s="229"/>
      <c r="AX132" s="229"/>
      <c r="AY132" s="229"/>
      <c r="AZ132" s="229"/>
      <c r="BA132" s="229"/>
      <c r="BB132" s="229"/>
      <c r="BC132" s="229"/>
      <c r="BD132" s="229"/>
      <c r="BE132" s="229"/>
      <c r="BF132" s="229"/>
      <c r="BG132" s="229"/>
      <c r="BH132" s="229"/>
      <c r="BI132" s="229"/>
      <c r="BJ132" s="229"/>
      <c r="BK132" s="445">
        <f>OLMi!P6</f>
        <v>0</v>
      </c>
      <c r="BL132" s="445">
        <f>OLRo!P6</f>
        <v>0</v>
      </c>
      <c r="BM132" s="229"/>
      <c r="BN132" s="229"/>
      <c r="BO132" s="229"/>
      <c r="BP132" s="229"/>
      <c r="BQ132" s="229"/>
      <c r="BR132" s="229"/>
      <c r="BS132" s="229"/>
      <c r="BT132" s="229"/>
      <c r="BU132" s="229"/>
      <c r="BV132" s="229"/>
      <c r="BW132" s="445">
        <f>OLOst!P6</f>
        <v>0</v>
      </c>
      <c r="BX132" s="229"/>
      <c r="BY132" s="229"/>
      <c r="BZ132" s="229"/>
      <c r="CA132" s="229"/>
    </row>
    <row r="133" spans="2:79" x14ac:dyDescent="0.25">
      <c r="B133" s="237" t="str">
        <f>Cen!A386</f>
        <v>Sada BI2, 450 mm</v>
      </c>
      <c r="C133" s="237" t="str">
        <f>Cen!B386</f>
        <v>ZSI.450BI2N</v>
      </c>
      <c r="D133" s="237" t="str">
        <f>Cen!C386</f>
        <v>IG/G</v>
      </c>
      <c r="E133" s="553">
        <f>Cen!D386</f>
        <v>0</v>
      </c>
      <c r="F133" s="208">
        <f t="shared" si="20"/>
        <v>0</v>
      </c>
      <c r="G133" s="233">
        <f>Cen!F386</f>
        <v>32.756999999999998</v>
      </c>
      <c r="H133" s="234">
        <f t="shared" si="42"/>
        <v>0</v>
      </c>
      <c r="I133" s="250"/>
      <c r="J133" s="235">
        <f>Cen!I386</f>
        <v>6699800</v>
      </c>
      <c r="K133" s="235">
        <f>Cen!J386</f>
        <v>176761</v>
      </c>
      <c r="L133" s="230">
        <f t="shared" si="43"/>
        <v>0</v>
      </c>
      <c r="M133" s="434">
        <f t="shared" si="44"/>
        <v>0</v>
      </c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  <c r="AJ133" s="229"/>
      <c r="AK133" s="229"/>
      <c r="AL133" s="229"/>
      <c r="AM133" s="229"/>
      <c r="AN133" s="229"/>
      <c r="AO133" s="229"/>
      <c r="AP133" s="229"/>
      <c r="AQ133" s="229"/>
      <c r="AR133" s="229"/>
      <c r="AS133" s="229"/>
      <c r="AT133" s="229"/>
      <c r="AU133" s="229"/>
      <c r="AV133" s="229"/>
      <c r="AW133" s="229"/>
      <c r="AX133" s="229"/>
      <c r="AY133" s="229"/>
      <c r="AZ133" s="229"/>
      <c r="BA133" s="229"/>
      <c r="BB133" s="229"/>
      <c r="BC133" s="229"/>
      <c r="BD133" s="229"/>
      <c r="BE133" s="229"/>
      <c r="BF133" s="229"/>
      <c r="BG133" s="229"/>
      <c r="BH133" s="229"/>
      <c r="BI133" s="229"/>
      <c r="BJ133" s="229"/>
      <c r="BK133" s="445">
        <f>OLMi!P7</f>
        <v>0</v>
      </c>
      <c r="BL133" s="229"/>
      <c r="BM133" s="229"/>
      <c r="BN133" s="229"/>
      <c r="BO133" s="229"/>
      <c r="BP133" s="229"/>
      <c r="BQ133" s="229"/>
      <c r="BR133" s="229"/>
      <c r="BS133" s="229"/>
      <c r="BT133" s="229"/>
      <c r="BU133" s="229"/>
      <c r="BV133" s="229"/>
      <c r="BW133" s="445">
        <f>OLOst!P7</f>
        <v>0</v>
      </c>
      <c r="BX133" s="229"/>
      <c r="BY133" s="229"/>
      <c r="BZ133" s="229"/>
      <c r="CA133" s="229"/>
    </row>
    <row r="134" spans="2:79" x14ac:dyDescent="0.25">
      <c r="B134" s="237" t="str">
        <f>Cen!A387</f>
        <v>Sada BI2, 500 mm</v>
      </c>
      <c r="C134" s="237" t="str">
        <f>Cen!B387</f>
        <v>ZSI.500BI2N</v>
      </c>
      <c r="D134" s="237" t="str">
        <f>Cen!C387</f>
        <v>IG/G</v>
      </c>
      <c r="E134" s="553">
        <f>Cen!D387</f>
        <v>0</v>
      </c>
      <c r="F134" s="208">
        <f t="shared" si="20"/>
        <v>0</v>
      </c>
      <c r="G134" s="233">
        <f>Cen!F387</f>
        <v>38.677849999999999</v>
      </c>
      <c r="H134" s="234">
        <f t="shared" ref="H134:H155" si="45">M134</f>
        <v>0</v>
      </c>
      <c r="I134" s="250"/>
      <c r="J134" s="235">
        <f>Cen!I387</f>
        <v>6698580</v>
      </c>
      <c r="K134" s="235">
        <f>Cen!J387</f>
        <v>176768</v>
      </c>
      <c r="L134" s="230">
        <f t="shared" ref="L134:L165" si="46">IF(I134="x",0,IF(I134&gt;0,I134,F134))</f>
        <v>0</v>
      </c>
      <c r="M134" s="434">
        <f t="shared" ref="M134:M165" si="47">PRODUCT(L134,G134)</f>
        <v>0</v>
      </c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  <c r="AJ134" s="229"/>
      <c r="AK134" s="229"/>
      <c r="AL134" s="229"/>
      <c r="AM134" s="229"/>
      <c r="AN134" s="229"/>
      <c r="AO134" s="229"/>
      <c r="AP134" s="229"/>
      <c r="AQ134" s="229"/>
      <c r="AR134" s="229"/>
      <c r="AS134" s="229"/>
      <c r="AT134" s="229"/>
      <c r="AU134" s="229"/>
      <c r="AV134" s="229"/>
      <c r="AW134" s="229"/>
      <c r="AX134" s="229"/>
      <c r="AY134" s="229"/>
      <c r="AZ134" s="229"/>
      <c r="BA134" s="229"/>
      <c r="BB134" s="229"/>
      <c r="BC134" s="229"/>
      <c r="BD134" s="229"/>
      <c r="BE134" s="229"/>
      <c r="BF134" s="229"/>
      <c r="BG134" s="229"/>
      <c r="BH134" s="229"/>
      <c r="BI134" s="229"/>
      <c r="BJ134" s="229"/>
      <c r="BK134" s="445">
        <f>OLMi!P8</f>
        <v>0</v>
      </c>
      <c r="BL134" s="229"/>
      <c r="BM134" s="229"/>
      <c r="BN134" s="229"/>
      <c r="BO134" s="229"/>
      <c r="BP134" s="229"/>
      <c r="BQ134" s="229"/>
      <c r="BR134" s="229"/>
      <c r="BS134" s="229"/>
      <c r="BT134" s="229"/>
      <c r="BU134" s="229"/>
      <c r="BV134" s="229"/>
      <c r="BW134" s="445">
        <f>OLOst!P8</f>
        <v>0</v>
      </c>
      <c r="BX134" s="229"/>
      <c r="BY134" s="229"/>
      <c r="BZ134" s="229"/>
      <c r="CA134" s="229"/>
    </row>
    <row r="135" spans="2:79" x14ac:dyDescent="0.25">
      <c r="B135" s="237" t="str">
        <f>Cen!A388</f>
        <v>Sada BI2, 550 mm</v>
      </c>
      <c r="C135" s="237" t="str">
        <f>Cen!B388</f>
        <v>ZSI.550BI2N</v>
      </c>
      <c r="D135" s="237" t="str">
        <f>Cen!C388</f>
        <v>IG/G</v>
      </c>
      <c r="E135" s="553">
        <f>Cen!D388</f>
        <v>0</v>
      </c>
      <c r="F135" s="208">
        <f t="shared" si="20"/>
        <v>0</v>
      </c>
      <c r="G135" s="233">
        <f>Cen!F388</f>
        <v>45.077739999999991</v>
      </c>
      <c r="H135" s="234">
        <f t="shared" ref="H135:H138" si="48">M135</f>
        <v>0</v>
      </c>
      <c r="I135" s="250"/>
      <c r="J135" s="235">
        <f>Cen!I388</f>
        <v>6698400</v>
      </c>
      <c r="K135" s="235">
        <f>Cen!J388</f>
        <v>176774</v>
      </c>
      <c r="L135" s="230">
        <f t="shared" ref="L135:L138" si="49">IF(I135="x",0,IF(I135&gt;0,I135,F135))</f>
        <v>0</v>
      </c>
      <c r="M135" s="434">
        <f t="shared" ref="M135:M138" si="50">PRODUCT(L135,G135)</f>
        <v>0</v>
      </c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  <c r="AJ135" s="229"/>
      <c r="AK135" s="229"/>
      <c r="AL135" s="229"/>
      <c r="AM135" s="229"/>
      <c r="AN135" s="229"/>
      <c r="AO135" s="229"/>
      <c r="AP135" s="229"/>
      <c r="AQ135" s="229"/>
      <c r="AR135" s="229"/>
      <c r="AS135" s="229"/>
      <c r="AT135" s="229"/>
      <c r="AU135" s="229"/>
      <c r="AV135" s="229"/>
      <c r="AW135" s="229"/>
      <c r="AX135" s="229"/>
      <c r="AY135" s="229"/>
      <c r="AZ135" s="229"/>
      <c r="BA135" s="229"/>
      <c r="BB135" s="229"/>
      <c r="BC135" s="229"/>
      <c r="BD135" s="229"/>
      <c r="BE135" s="229"/>
      <c r="BF135" s="229"/>
      <c r="BG135" s="229"/>
      <c r="BH135" s="229"/>
      <c r="BI135" s="229"/>
      <c r="BJ135" s="229"/>
      <c r="BK135" s="445">
        <f>OLMi!P9</f>
        <v>0</v>
      </c>
      <c r="BL135" s="229"/>
      <c r="BM135" s="229"/>
      <c r="BN135" s="229"/>
      <c r="BO135" s="229"/>
      <c r="BP135" s="229"/>
      <c r="BQ135" s="229"/>
      <c r="BR135" s="229"/>
      <c r="BS135" s="229"/>
      <c r="BT135" s="229"/>
      <c r="BU135" s="229"/>
      <c r="BV135" s="229"/>
      <c r="BW135" s="445">
        <f>OLOst!P9</f>
        <v>0</v>
      </c>
      <c r="BX135" s="229"/>
      <c r="BY135" s="229"/>
      <c r="BZ135" s="229"/>
      <c r="CA135" s="229"/>
    </row>
    <row r="136" spans="2:79" x14ac:dyDescent="0.25">
      <c r="B136" s="237" t="str">
        <f>Cen!A389</f>
        <v>Sada BI2, 600 mm</v>
      </c>
      <c r="C136" s="237" t="str">
        <f>Cen!B389</f>
        <v>ZSI.600BI2N</v>
      </c>
      <c r="D136" s="237" t="str">
        <f>Cen!C389</f>
        <v>IG/G</v>
      </c>
      <c r="E136" s="553">
        <f>Cen!D389</f>
        <v>0</v>
      </c>
      <c r="F136" s="208">
        <f t="shared" si="20"/>
        <v>0</v>
      </c>
      <c r="G136" s="233">
        <f>Cen!F389</f>
        <v>51.383819999999993</v>
      </c>
      <c r="H136" s="234">
        <f t="shared" si="48"/>
        <v>0</v>
      </c>
      <c r="I136" s="250"/>
      <c r="J136" s="235">
        <f>Cen!I389</f>
        <v>6699550</v>
      </c>
      <c r="K136" s="235">
        <f>Cen!J389</f>
        <v>176779</v>
      </c>
      <c r="L136" s="230">
        <f t="shared" si="49"/>
        <v>0</v>
      </c>
      <c r="M136" s="434">
        <f t="shared" si="50"/>
        <v>0</v>
      </c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  <c r="AJ136" s="229"/>
      <c r="AK136" s="229"/>
      <c r="AL136" s="229"/>
      <c r="AM136" s="229"/>
      <c r="AN136" s="229"/>
      <c r="AO136" s="229"/>
      <c r="AP136" s="229"/>
      <c r="AQ136" s="229"/>
      <c r="AR136" s="229"/>
      <c r="AS136" s="229"/>
      <c r="AT136" s="229"/>
      <c r="AU136" s="229"/>
      <c r="AV136" s="229"/>
      <c r="AW136" s="229"/>
      <c r="AX136" s="229"/>
      <c r="AY136" s="229"/>
      <c r="AZ136" s="229"/>
      <c r="BA136" s="229"/>
      <c r="BB136" s="229"/>
      <c r="BC136" s="229"/>
      <c r="BD136" s="229"/>
      <c r="BE136" s="229"/>
      <c r="BF136" s="229"/>
      <c r="BG136" s="229"/>
      <c r="BH136" s="229"/>
      <c r="BI136" s="229"/>
      <c r="BJ136" s="229"/>
      <c r="BK136" s="445">
        <f>OLMi!P10</f>
        <v>0</v>
      </c>
      <c r="BL136" s="229"/>
      <c r="BM136" s="229"/>
      <c r="BN136" s="229"/>
      <c r="BO136" s="229"/>
      <c r="BP136" s="229"/>
      <c r="BQ136" s="229"/>
      <c r="BR136" s="229"/>
      <c r="BS136" s="229"/>
      <c r="BT136" s="229"/>
      <c r="BU136" s="229"/>
      <c r="BV136" s="229"/>
      <c r="BW136" s="445">
        <f>OLOst!P10</f>
        <v>0</v>
      </c>
      <c r="BX136" s="229"/>
      <c r="BY136" s="229"/>
      <c r="BZ136" s="229"/>
      <c r="CA136" s="229"/>
    </row>
    <row r="137" spans="2:79" x14ac:dyDescent="0.25">
      <c r="B137" s="237" t="str">
        <f>Cen!A390</f>
        <v>Sada BI2, 650 mm</v>
      </c>
      <c r="C137" s="237" t="str">
        <f>Cen!B390</f>
        <v>ZSI.650BI2N</v>
      </c>
      <c r="D137" s="237" t="str">
        <f>Cen!C390</f>
        <v>IG/G</v>
      </c>
      <c r="E137" s="553">
        <f>Cen!D390</f>
        <v>0</v>
      </c>
      <c r="F137" s="208">
        <f t="shared" si="20"/>
        <v>0</v>
      </c>
      <c r="G137" s="233">
        <f>Cen!F390</f>
        <v>58.345699999999994</v>
      </c>
      <c r="H137" s="234">
        <f t="shared" si="48"/>
        <v>0</v>
      </c>
      <c r="I137" s="250"/>
      <c r="J137" s="235">
        <f>Cen!I390</f>
        <v>6699470</v>
      </c>
      <c r="K137" s="235">
        <f>Cen!J390</f>
        <v>176788</v>
      </c>
      <c r="L137" s="230">
        <f t="shared" si="49"/>
        <v>0</v>
      </c>
      <c r="M137" s="434">
        <f t="shared" si="50"/>
        <v>0</v>
      </c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  <c r="AJ137" s="229"/>
      <c r="AK137" s="229"/>
      <c r="AL137" s="229"/>
      <c r="AM137" s="229"/>
      <c r="AN137" s="229"/>
      <c r="AO137" s="229"/>
      <c r="AP137" s="229"/>
      <c r="AQ137" s="229"/>
      <c r="AR137" s="229"/>
      <c r="AS137" s="229"/>
      <c r="AT137" s="229"/>
      <c r="AU137" s="229"/>
      <c r="AV137" s="229"/>
      <c r="AW137" s="229"/>
      <c r="AX137" s="229"/>
      <c r="AY137" s="229"/>
      <c r="AZ137" s="229"/>
      <c r="BA137" s="229"/>
      <c r="BB137" s="229"/>
      <c r="BC137" s="229"/>
      <c r="BD137" s="229"/>
      <c r="BE137" s="229"/>
      <c r="BF137" s="229"/>
      <c r="BG137" s="229"/>
      <c r="BH137" s="229"/>
      <c r="BI137" s="229"/>
      <c r="BJ137" s="229"/>
      <c r="BK137" s="445">
        <f>OLMi!P11</f>
        <v>0</v>
      </c>
      <c r="BL137" s="229"/>
      <c r="BM137" s="229"/>
      <c r="BN137" s="229"/>
      <c r="BO137" s="229"/>
      <c r="BP137" s="229"/>
      <c r="BQ137" s="229"/>
      <c r="BR137" s="229"/>
      <c r="BS137" s="229"/>
      <c r="BT137" s="229"/>
      <c r="BU137" s="229"/>
      <c r="BV137" s="229"/>
      <c r="BW137" s="445">
        <f>OLOst!P11</f>
        <v>0</v>
      </c>
      <c r="BX137" s="229"/>
      <c r="BY137" s="229"/>
      <c r="BZ137" s="229"/>
      <c r="CA137" s="229"/>
    </row>
    <row r="138" spans="2:79" x14ac:dyDescent="0.25">
      <c r="B138" s="237" t="str">
        <f>Cen!A391</f>
        <v>Sada BI3, 450 mm</v>
      </c>
      <c r="C138" s="237" t="str">
        <f>Cen!B391</f>
        <v>ZSI.450BI3N</v>
      </c>
      <c r="D138" s="237" t="str">
        <f>Cen!C391</f>
        <v>IG/G</v>
      </c>
      <c r="E138" s="553">
        <f>Cen!D391</f>
        <v>0</v>
      </c>
      <c r="F138" s="208">
        <f t="shared" si="20"/>
        <v>0</v>
      </c>
      <c r="G138" s="233">
        <f>Cen!F391</f>
        <v>43.159669999999998</v>
      </c>
      <c r="H138" s="234">
        <f t="shared" si="48"/>
        <v>0</v>
      </c>
      <c r="I138" s="250"/>
      <c r="J138" s="235">
        <f>Cen!I391</f>
        <v>6908650</v>
      </c>
      <c r="K138" s="235">
        <f>Cen!J391</f>
        <v>12983</v>
      </c>
      <c r="L138" s="230">
        <f t="shared" si="49"/>
        <v>0</v>
      </c>
      <c r="M138" s="434">
        <f t="shared" si="50"/>
        <v>0</v>
      </c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  <c r="AJ138" s="229"/>
      <c r="AK138" s="229"/>
      <c r="AL138" s="229"/>
      <c r="AM138" s="229"/>
      <c r="AN138" s="229"/>
      <c r="AO138" s="229"/>
      <c r="AP138" s="229"/>
      <c r="AQ138" s="229"/>
      <c r="AR138" s="229"/>
      <c r="AS138" s="229"/>
      <c r="AT138" s="229"/>
      <c r="AU138" s="229"/>
      <c r="AV138" s="229"/>
      <c r="AW138" s="229"/>
      <c r="AX138" s="229"/>
      <c r="AY138" s="229"/>
      <c r="AZ138" s="229"/>
      <c r="BA138" s="229"/>
      <c r="BB138" s="229"/>
      <c r="BC138" s="229"/>
      <c r="BD138" s="229"/>
      <c r="BE138" s="229"/>
      <c r="BF138" s="229"/>
      <c r="BG138" s="229"/>
      <c r="BH138" s="229"/>
      <c r="BI138" s="229"/>
      <c r="BJ138" s="229"/>
      <c r="BK138" s="445">
        <f>OLMi!P12</f>
        <v>0</v>
      </c>
      <c r="BL138" s="229"/>
      <c r="BM138" s="229"/>
      <c r="BN138" s="229"/>
      <c r="BO138" s="229"/>
      <c r="BP138" s="229"/>
      <c r="BQ138" s="229"/>
      <c r="BR138" s="229"/>
      <c r="BS138" s="229"/>
      <c r="BT138" s="229"/>
      <c r="BU138" s="229"/>
      <c r="BV138" s="229"/>
      <c r="BW138" s="445">
        <f>OLOst!P12</f>
        <v>0</v>
      </c>
      <c r="BX138" s="229"/>
      <c r="BY138" s="229"/>
      <c r="BZ138" s="229"/>
      <c r="CA138" s="229"/>
    </row>
    <row r="139" spans="2:79" x14ac:dyDescent="0.25">
      <c r="B139" s="237" t="str">
        <f>Cen!A392</f>
        <v>Sada BI3, 500 mm</v>
      </c>
      <c r="C139" s="237" t="str">
        <f>Cen!B392</f>
        <v>ZSI.500BI3</v>
      </c>
      <c r="D139" s="237" t="str">
        <f>Cen!C392</f>
        <v>IG/G</v>
      </c>
      <c r="E139" s="553">
        <f>Cen!D392</f>
        <v>0</v>
      </c>
      <c r="F139" s="208">
        <f t="shared" ref="F139:F202" si="51">IF(I139&gt;0,I139,SUM(N139:BZ139))</f>
        <v>0</v>
      </c>
      <c r="G139" s="233">
        <f>Cen!F392</f>
        <v>53.315179999999998</v>
      </c>
      <c r="H139" s="234">
        <f t="shared" si="45"/>
        <v>0</v>
      </c>
      <c r="I139" s="250"/>
      <c r="J139" s="235">
        <f>Cen!I392</f>
        <v>3695280</v>
      </c>
      <c r="K139" s="235">
        <f>Cen!J392</f>
        <v>12984</v>
      </c>
      <c r="L139" s="230">
        <f t="shared" si="46"/>
        <v>0</v>
      </c>
      <c r="M139" s="434">
        <f t="shared" si="47"/>
        <v>0</v>
      </c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  <c r="AJ139" s="229"/>
      <c r="AK139" s="229"/>
      <c r="AL139" s="229"/>
      <c r="AM139" s="229"/>
      <c r="AN139" s="229"/>
      <c r="AO139" s="229"/>
      <c r="AP139" s="229"/>
      <c r="AQ139" s="229"/>
      <c r="AR139" s="229"/>
      <c r="AS139" s="229"/>
      <c r="AT139" s="229"/>
      <c r="AU139" s="229"/>
      <c r="AV139" s="229"/>
      <c r="AW139" s="229"/>
      <c r="AX139" s="229"/>
      <c r="AY139" s="229"/>
      <c r="AZ139" s="229"/>
      <c r="BA139" s="229"/>
      <c r="BB139" s="229"/>
      <c r="BC139" s="229"/>
      <c r="BD139" s="229"/>
      <c r="BE139" s="229"/>
      <c r="BF139" s="229"/>
      <c r="BG139" s="229"/>
      <c r="BH139" s="229"/>
      <c r="BI139" s="229"/>
      <c r="BJ139" s="229"/>
      <c r="BK139" s="445">
        <f>OLMi!P13</f>
        <v>0</v>
      </c>
      <c r="BL139" s="229"/>
      <c r="BM139" s="229"/>
      <c r="BN139" s="229"/>
      <c r="BO139" s="229"/>
      <c r="BP139" s="229"/>
      <c r="BQ139" s="229"/>
      <c r="BR139" s="229"/>
      <c r="BS139" s="229"/>
      <c r="BT139" s="229"/>
      <c r="BU139" s="229"/>
      <c r="BV139" s="229"/>
      <c r="BW139" s="445">
        <f>OLOst!P13</f>
        <v>0</v>
      </c>
      <c r="BX139" s="229"/>
      <c r="BY139" s="229"/>
      <c r="BZ139" s="229"/>
      <c r="CA139" s="229"/>
    </row>
    <row r="140" spans="2:79" x14ac:dyDescent="0.25">
      <c r="B140" s="237" t="str">
        <f>Cen!A393</f>
        <v>Sada BI3, 550 mm</v>
      </c>
      <c r="C140" s="237" t="str">
        <f>Cen!B393</f>
        <v>ZSI.550BI3</v>
      </c>
      <c r="D140" s="237" t="str">
        <f>Cen!C393</f>
        <v>IG/G</v>
      </c>
      <c r="E140" s="553">
        <f>Cen!D393</f>
        <v>0</v>
      </c>
      <c r="F140" s="208">
        <f t="shared" si="51"/>
        <v>0</v>
      </c>
      <c r="G140" s="233">
        <f>Cen!F393</f>
        <v>60.554529999999993</v>
      </c>
      <c r="H140" s="234">
        <f t="shared" ref="H140:H143" si="52">M140</f>
        <v>0</v>
      </c>
      <c r="I140" s="250"/>
      <c r="J140" s="235">
        <f>Cen!I393</f>
        <v>3695360</v>
      </c>
      <c r="K140" s="235">
        <f>Cen!J393</f>
        <v>12985</v>
      </c>
      <c r="L140" s="230">
        <f t="shared" ref="L140:L143" si="53">IF(I140="x",0,IF(I140&gt;0,I140,F140))</f>
        <v>0</v>
      </c>
      <c r="M140" s="434">
        <f t="shared" ref="M140:M143" si="54">PRODUCT(L140,G140)</f>
        <v>0</v>
      </c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  <c r="AJ140" s="229"/>
      <c r="AK140" s="229"/>
      <c r="AL140" s="229"/>
      <c r="AM140" s="229"/>
      <c r="AN140" s="229"/>
      <c r="AO140" s="229"/>
      <c r="AP140" s="229"/>
      <c r="AQ140" s="229"/>
      <c r="AR140" s="229"/>
      <c r="AS140" s="229"/>
      <c r="AT140" s="229"/>
      <c r="AU140" s="229"/>
      <c r="AV140" s="229"/>
      <c r="AW140" s="229"/>
      <c r="AX140" s="229"/>
      <c r="AY140" s="229"/>
      <c r="AZ140" s="229"/>
      <c r="BA140" s="229"/>
      <c r="BB140" s="229"/>
      <c r="BC140" s="229"/>
      <c r="BD140" s="229"/>
      <c r="BE140" s="229"/>
      <c r="BF140" s="229"/>
      <c r="BG140" s="229"/>
      <c r="BH140" s="229"/>
      <c r="BI140" s="229"/>
      <c r="BJ140" s="229"/>
      <c r="BK140" s="445">
        <f>OLMi!P14</f>
        <v>0</v>
      </c>
      <c r="BL140" s="229"/>
      <c r="BM140" s="229"/>
      <c r="BN140" s="229"/>
      <c r="BO140" s="229"/>
      <c r="BP140" s="229"/>
      <c r="BQ140" s="229"/>
      <c r="BR140" s="229"/>
      <c r="BS140" s="229"/>
      <c r="BT140" s="229"/>
      <c r="BU140" s="229"/>
      <c r="BV140" s="229"/>
      <c r="BW140" s="445">
        <f>OLOst!P14</f>
        <v>0</v>
      </c>
      <c r="BX140" s="229"/>
      <c r="BY140" s="229"/>
      <c r="BZ140" s="229"/>
      <c r="CA140" s="229"/>
    </row>
    <row r="141" spans="2:79" x14ac:dyDescent="0.25">
      <c r="B141" s="237" t="str">
        <f>Cen!A394</f>
        <v>Sada BI3, 600 mm</v>
      </c>
      <c r="C141" s="237" t="str">
        <f>Cen!B394</f>
        <v>ZSI.600BI3</v>
      </c>
      <c r="D141" s="237" t="str">
        <f>Cen!C394</f>
        <v>IG/G</v>
      </c>
      <c r="E141" s="553">
        <f>Cen!D394</f>
        <v>0</v>
      </c>
      <c r="F141" s="208">
        <f t="shared" si="51"/>
        <v>0</v>
      </c>
      <c r="G141" s="233">
        <f>Cen!F394</f>
        <v>64.283320000000003</v>
      </c>
      <c r="H141" s="234">
        <f t="shared" si="52"/>
        <v>0</v>
      </c>
      <c r="I141" s="250"/>
      <c r="J141" s="235">
        <f>Cen!I394</f>
        <v>3700600</v>
      </c>
      <c r="K141" s="235">
        <f>Cen!J394</f>
        <v>176780</v>
      </c>
      <c r="L141" s="230">
        <f t="shared" si="53"/>
        <v>0</v>
      </c>
      <c r="M141" s="434">
        <f t="shared" si="54"/>
        <v>0</v>
      </c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  <c r="AJ141" s="229"/>
      <c r="AK141" s="229"/>
      <c r="AL141" s="229"/>
      <c r="AM141" s="229"/>
      <c r="AN141" s="229"/>
      <c r="AO141" s="229"/>
      <c r="AP141" s="229"/>
      <c r="AQ141" s="229"/>
      <c r="AR141" s="229"/>
      <c r="AS141" s="229"/>
      <c r="AT141" s="229"/>
      <c r="AU141" s="229"/>
      <c r="AV141" s="229"/>
      <c r="AW141" s="229"/>
      <c r="AX141" s="229"/>
      <c r="AY141" s="229"/>
      <c r="AZ141" s="229"/>
      <c r="BA141" s="229"/>
      <c r="BB141" s="229"/>
      <c r="BC141" s="229"/>
      <c r="BD141" s="229"/>
      <c r="BE141" s="229"/>
      <c r="BF141" s="229"/>
      <c r="BG141" s="229"/>
      <c r="BH141" s="229"/>
      <c r="BI141" s="229"/>
      <c r="BJ141" s="229"/>
      <c r="BK141" s="445">
        <f>OLMi!P15</f>
        <v>0</v>
      </c>
      <c r="BL141" s="229"/>
      <c r="BM141" s="229"/>
      <c r="BN141" s="229"/>
      <c r="BO141" s="229"/>
      <c r="BP141" s="229"/>
      <c r="BQ141" s="229"/>
      <c r="BR141" s="229"/>
      <c r="BS141" s="229"/>
      <c r="BT141" s="229"/>
      <c r="BU141" s="229"/>
      <c r="BV141" s="229"/>
      <c r="BW141" s="445">
        <f>OLOst!P15</f>
        <v>0</v>
      </c>
      <c r="BX141" s="229"/>
      <c r="BY141" s="229"/>
      <c r="BZ141" s="229"/>
      <c r="CA141" s="229"/>
    </row>
    <row r="142" spans="2:79" x14ac:dyDescent="0.25">
      <c r="B142" s="237" t="str">
        <f>Cen!A395</f>
        <v>Sada BI3, 650 mm</v>
      </c>
      <c r="C142" s="237" t="str">
        <f>Cen!B395</f>
        <v>ZSI.650BI3</v>
      </c>
      <c r="D142" s="237" t="str">
        <f>Cen!C395</f>
        <v>IG/G</v>
      </c>
      <c r="E142" s="553">
        <f>Cen!D395</f>
        <v>0</v>
      </c>
      <c r="F142" s="208">
        <f t="shared" si="51"/>
        <v>0</v>
      </c>
      <c r="G142" s="233">
        <f>Cen!F395</f>
        <v>78.98603</v>
      </c>
      <c r="H142" s="234">
        <f t="shared" si="52"/>
        <v>0</v>
      </c>
      <c r="I142" s="250"/>
      <c r="J142" s="235">
        <f>Cen!I395</f>
        <v>3695500</v>
      </c>
      <c r="K142" s="235">
        <f>Cen!J395</f>
        <v>12986</v>
      </c>
      <c r="L142" s="230">
        <f t="shared" si="53"/>
        <v>0</v>
      </c>
      <c r="M142" s="434">
        <f t="shared" si="54"/>
        <v>0</v>
      </c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  <c r="AJ142" s="229"/>
      <c r="AK142" s="229"/>
      <c r="AL142" s="229"/>
      <c r="AM142" s="229"/>
      <c r="AN142" s="229"/>
      <c r="AO142" s="229"/>
      <c r="AP142" s="229"/>
      <c r="AQ142" s="229"/>
      <c r="AR142" s="229"/>
      <c r="AS142" s="229"/>
      <c r="AT142" s="229"/>
      <c r="AU142" s="229"/>
      <c r="AV142" s="229"/>
      <c r="AW142" s="229"/>
      <c r="AX142" s="229"/>
      <c r="AY142" s="229"/>
      <c r="AZ142" s="229"/>
      <c r="BA142" s="229"/>
      <c r="BB142" s="229"/>
      <c r="BC142" s="229"/>
      <c r="BD142" s="229"/>
      <c r="BE142" s="229"/>
      <c r="BF142" s="229"/>
      <c r="BG142" s="229"/>
      <c r="BH142" s="229"/>
      <c r="BI142" s="229"/>
      <c r="BJ142" s="229"/>
      <c r="BK142" s="445">
        <f>OLMi!P16</f>
        <v>0</v>
      </c>
      <c r="BL142" s="229"/>
      <c r="BM142" s="229"/>
      <c r="BN142" s="229"/>
      <c r="BO142" s="229"/>
      <c r="BP142" s="229"/>
      <c r="BQ142" s="229"/>
      <c r="BR142" s="229"/>
      <c r="BS142" s="229"/>
      <c r="BT142" s="229"/>
      <c r="BU142" s="229"/>
      <c r="BV142" s="229"/>
      <c r="BW142" s="445">
        <f>OLOst!P16</f>
        <v>0</v>
      </c>
      <c r="BX142" s="229"/>
      <c r="BY142" s="229"/>
      <c r="BZ142" s="229"/>
      <c r="CA142" s="229"/>
    </row>
    <row r="143" spans="2:79" x14ac:dyDescent="0.25">
      <c r="B143" s="237" t="str">
        <f>Cen!A396</f>
        <v>Sada pro SPACE CORNER, NL 600mm</v>
      </c>
      <c r="C143" s="237" t="str">
        <f>Cen!B396</f>
        <v>ZSI.450BI3E</v>
      </c>
      <c r="D143" s="237" t="str">
        <f>Cen!C396</f>
        <v>IG/G</v>
      </c>
      <c r="E143" s="553" t="str">
        <f>Cen!D396</f>
        <v>!</v>
      </c>
      <c r="F143" s="208">
        <f t="shared" si="51"/>
        <v>0</v>
      </c>
      <c r="G143" s="233">
        <f>Cen!F396</f>
        <v>47.621290000000002</v>
      </c>
      <c r="H143" s="234">
        <f t="shared" si="52"/>
        <v>0</v>
      </c>
      <c r="I143" s="250"/>
      <c r="J143" s="235">
        <f>Cen!I396</f>
        <v>6700660</v>
      </c>
      <c r="K143" s="235">
        <f>Cen!J396</f>
        <v>12967</v>
      </c>
      <c r="L143" s="230">
        <f t="shared" si="53"/>
        <v>0</v>
      </c>
      <c r="M143" s="434">
        <f t="shared" si="54"/>
        <v>0</v>
      </c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  <c r="AJ143" s="229"/>
      <c r="AK143" s="229"/>
      <c r="AL143" s="229"/>
      <c r="AM143" s="229"/>
      <c r="AN143" s="229"/>
      <c r="AO143" s="229"/>
      <c r="AP143" s="229"/>
      <c r="AQ143" s="229"/>
      <c r="AR143" s="229"/>
      <c r="AS143" s="229"/>
      <c r="AT143" s="229"/>
      <c r="AU143" s="229"/>
      <c r="AV143" s="229"/>
      <c r="AW143" s="229"/>
      <c r="AX143" s="229"/>
      <c r="AY143" s="229"/>
      <c r="AZ143" s="229"/>
      <c r="BA143" s="229"/>
      <c r="BB143" s="229"/>
      <c r="BC143" s="229"/>
      <c r="BD143" s="229"/>
      <c r="BE143" s="229"/>
      <c r="BF143" s="229"/>
      <c r="BG143" s="229"/>
      <c r="BH143" s="229"/>
      <c r="BI143" s="229"/>
      <c r="BJ143" s="229"/>
      <c r="BK143" s="444">
        <f>OLMi!P31</f>
        <v>0</v>
      </c>
      <c r="BL143" s="229"/>
      <c r="BM143" s="229"/>
      <c r="BN143" s="229"/>
      <c r="BO143" s="229"/>
      <c r="BP143" s="229"/>
      <c r="BQ143" s="229"/>
      <c r="BR143" s="229"/>
      <c r="BS143" s="229"/>
      <c r="BT143" s="229"/>
      <c r="BU143" s="229"/>
      <c r="BV143" s="229"/>
      <c r="BW143" s="479">
        <f>OLOst!P17</f>
        <v>0</v>
      </c>
      <c r="BX143" s="229"/>
      <c r="BY143" s="229"/>
      <c r="BZ143" s="229"/>
      <c r="CA143" s="229"/>
    </row>
    <row r="144" spans="2:79" x14ac:dyDescent="0.25">
      <c r="B144" s="237" t="str">
        <f>Cen!A397</f>
        <v>Sada pro SPACE CORNER, NL 650mm</v>
      </c>
      <c r="C144" s="237" t="str">
        <f>Cen!B397</f>
        <v>ZSI.500BI3E</v>
      </c>
      <c r="D144" s="237" t="str">
        <f>Cen!C397</f>
        <v>IG/G</v>
      </c>
      <c r="E144" s="553">
        <f>Cen!D397</f>
        <v>0</v>
      </c>
      <c r="F144" s="208">
        <f t="shared" si="51"/>
        <v>0</v>
      </c>
      <c r="G144" s="233">
        <f>Cen!F397</f>
        <v>57.387929999999997</v>
      </c>
      <c r="H144" s="234">
        <f t="shared" si="45"/>
        <v>0</v>
      </c>
      <c r="I144" s="250"/>
      <c r="J144" s="235">
        <f>Cen!I397</f>
        <v>6700740</v>
      </c>
      <c r="K144" s="235">
        <f>Cen!J397</f>
        <v>12993</v>
      </c>
      <c r="L144" s="230">
        <f t="shared" si="46"/>
        <v>0</v>
      </c>
      <c r="M144" s="434">
        <f t="shared" si="47"/>
        <v>0</v>
      </c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  <c r="AJ144" s="229"/>
      <c r="AK144" s="229"/>
      <c r="AL144" s="229"/>
      <c r="AM144" s="229"/>
      <c r="AN144" s="229"/>
      <c r="AO144" s="229"/>
      <c r="AP144" s="229"/>
      <c r="AQ144" s="229"/>
      <c r="AR144" s="229"/>
      <c r="AS144" s="229"/>
      <c r="AT144" s="229"/>
      <c r="AU144" s="229"/>
      <c r="AV144" s="229"/>
      <c r="AW144" s="229"/>
      <c r="AX144" s="229"/>
      <c r="AY144" s="229"/>
      <c r="AZ144" s="229"/>
      <c r="BA144" s="229"/>
      <c r="BB144" s="229"/>
      <c r="BC144" s="229"/>
      <c r="BD144" s="229"/>
      <c r="BE144" s="229"/>
      <c r="BF144" s="229"/>
      <c r="BG144" s="229"/>
      <c r="BH144" s="229"/>
      <c r="BI144" s="229"/>
      <c r="BJ144" s="229"/>
      <c r="BK144" s="445">
        <f>OLMi!P32</f>
        <v>0</v>
      </c>
      <c r="BL144" s="229"/>
      <c r="BM144" s="229"/>
      <c r="BN144" s="229"/>
      <c r="BO144" s="229"/>
      <c r="BP144" s="229"/>
      <c r="BQ144" s="229"/>
      <c r="BR144" s="229"/>
      <c r="BS144" s="229"/>
      <c r="BT144" s="229"/>
      <c r="BU144" s="229"/>
      <c r="BV144" s="229"/>
      <c r="BW144" s="479">
        <f>OLOst!P18</f>
        <v>0</v>
      </c>
      <c r="BX144" s="229"/>
      <c r="BY144" s="229"/>
      <c r="BZ144" s="229"/>
      <c r="CA144" s="229"/>
    </row>
    <row r="145" spans="2:79" x14ac:dyDescent="0.25">
      <c r="B145" s="237" t="str">
        <f>Cen!A398</f>
        <v>Sada pro korpus KB 600mm, NL 450mm</v>
      </c>
      <c r="C145" s="237" t="str">
        <f>Cen!B398</f>
        <v>ZSI.60VEI4</v>
      </c>
      <c r="D145" s="237" t="str">
        <f>Cen!C398</f>
        <v>IG/G</v>
      </c>
      <c r="E145" s="553">
        <f>Cen!D398</f>
        <v>0</v>
      </c>
      <c r="F145" s="208">
        <f t="shared" si="51"/>
        <v>0</v>
      </c>
      <c r="G145" s="233">
        <f>Cen!F398</f>
        <v>73.077280000000002</v>
      </c>
      <c r="H145" s="234">
        <f t="shared" ref="H145" si="55">M145</f>
        <v>0</v>
      </c>
      <c r="I145" s="250"/>
      <c r="J145" s="235">
        <f>Cen!I398</f>
        <v>6742800</v>
      </c>
      <c r="K145" s="235">
        <f>Cen!J398</f>
        <v>12962</v>
      </c>
      <c r="L145" s="230">
        <f t="shared" ref="L145" si="56">IF(I145="x",0,IF(I145&gt;0,I145,F145))</f>
        <v>0</v>
      </c>
      <c r="M145" s="434">
        <f t="shared" ref="M145" si="57">PRODUCT(L145,G145)</f>
        <v>0</v>
      </c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  <c r="AJ145" s="229"/>
      <c r="AK145" s="229"/>
      <c r="AL145" s="229"/>
      <c r="AM145" s="229"/>
      <c r="AN145" s="229"/>
      <c r="AO145" s="229"/>
      <c r="AP145" s="229"/>
      <c r="AQ145" s="229"/>
      <c r="AR145" s="229"/>
      <c r="AS145" s="229"/>
      <c r="AT145" s="229"/>
      <c r="AU145" s="229"/>
      <c r="AV145" s="229"/>
      <c r="AW145" s="229"/>
      <c r="AX145" s="229"/>
      <c r="AY145" s="229"/>
      <c r="AZ145" s="229"/>
      <c r="BA145" s="229"/>
      <c r="BB145" s="229"/>
      <c r="BC145" s="229"/>
      <c r="BD145" s="229"/>
      <c r="BE145" s="229"/>
      <c r="BF145" s="229"/>
      <c r="BG145" s="229"/>
      <c r="BH145" s="229"/>
      <c r="BI145" s="229"/>
      <c r="BJ145" s="229"/>
      <c r="BK145" s="444">
        <f>OLMi!P22</f>
        <v>0</v>
      </c>
      <c r="BL145" s="229"/>
      <c r="BM145" s="229"/>
      <c r="BN145" s="229"/>
      <c r="BO145" s="229"/>
      <c r="BP145" s="229"/>
      <c r="BQ145" s="229"/>
      <c r="BR145" s="229"/>
      <c r="BS145" s="229"/>
      <c r="BT145" s="229"/>
      <c r="BU145" s="229"/>
      <c r="BV145" s="229"/>
      <c r="BW145" s="229"/>
      <c r="BX145" s="229"/>
      <c r="BY145" s="229"/>
      <c r="BZ145" s="229"/>
      <c r="CA145" s="229"/>
    </row>
    <row r="146" spans="2:79" x14ac:dyDescent="0.25">
      <c r="B146" s="237" t="str">
        <f>Cen!A399</f>
        <v>Sada pro korpus KB 600mm, NL 500mm</v>
      </c>
      <c r="C146" s="237" t="str">
        <f>Cen!B399</f>
        <v>ZSI.60VEI6</v>
      </c>
      <c r="D146" s="237" t="str">
        <f>Cen!C399</f>
        <v>IG/G</v>
      </c>
      <c r="E146" s="553">
        <f>Cen!D399</f>
        <v>0</v>
      </c>
      <c r="F146" s="208">
        <f t="shared" si="51"/>
        <v>0</v>
      </c>
      <c r="G146" s="233">
        <f>Cen!F399</f>
        <v>89.258300000000006</v>
      </c>
      <c r="H146" s="234">
        <f t="shared" si="45"/>
        <v>0</v>
      </c>
      <c r="I146" s="250"/>
      <c r="J146" s="235">
        <f>Cen!I399</f>
        <v>6715400</v>
      </c>
      <c r="K146" s="235">
        <f>Cen!J399</f>
        <v>12976</v>
      </c>
      <c r="L146" s="230">
        <f t="shared" si="46"/>
        <v>0</v>
      </c>
      <c r="M146" s="434">
        <f t="shared" si="47"/>
        <v>0</v>
      </c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  <c r="AJ146" s="229"/>
      <c r="AK146" s="229"/>
      <c r="AL146" s="229"/>
      <c r="AM146" s="229"/>
      <c r="AN146" s="229"/>
      <c r="AO146" s="229"/>
      <c r="AP146" s="229"/>
      <c r="AQ146" s="229"/>
      <c r="AR146" s="229"/>
      <c r="AS146" s="229"/>
      <c r="AT146" s="229"/>
      <c r="AU146" s="229"/>
      <c r="AV146" s="229"/>
      <c r="AW146" s="229"/>
      <c r="AX146" s="229"/>
      <c r="AY146" s="229"/>
      <c r="AZ146" s="229"/>
      <c r="BA146" s="229"/>
      <c r="BB146" s="229"/>
      <c r="BC146" s="229"/>
      <c r="BD146" s="229"/>
      <c r="BE146" s="229"/>
      <c r="BF146" s="229"/>
      <c r="BG146" s="229"/>
      <c r="BH146" s="229"/>
      <c r="BI146" s="229"/>
      <c r="BJ146" s="229"/>
      <c r="BK146" s="445">
        <f>OLMi!P23</f>
        <v>0</v>
      </c>
      <c r="BL146" s="229"/>
      <c r="BM146" s="229"/>
      <c r="BN146" s="229"/>
      <c r="BO146" s="229"/>
      <c r="BP146" s="229"/>
      <c r="BQ146" s="229"/>
      <c r="BR146" s="229"/>
      <c r="BS146" s="229"/>
      <c r="BT146" s="229"/>
      <c r="BU146" s="229"/>
      <c r="BV146" s="229"/>
      <c r="BW146" s="229"/>
      <c r="BX146" s="229"/>
      <c r="BY146" s="229"/>
      <c r="BZ146" s="229"/>
      <c r="CA146" s="229"/>
    </row>
    <row r="147" spans="2:79" x14ac:dyDescent="0.25">
      <c r="B147" s="237" t="str">
        <f>Cen!A400</f>
        <v>Sada pro korpus KB 600mm, NL 550mm</v>
      </c>
      <c r="C147" s="237" t="str">
        <f>Cen!B400</f>
        <v>ZSI.60VEI7</v>
      </c>
      <c r="D147" s="237" t="str">
        <f>Cen!C400</f>
        <v>IG/G</v>
      </c>
      <c r="E147" s="553">
        <f>Cen!D400</f>
        <v>0</v>
      </c>
      <c r="F147" s="208">
        <f t="shared" si="51"/>
        <v>0</v>
      </c>
      <c r="G147" s="233">
        <f>Cen!F400</f>
        <v>103.2907</v>
      </c>
      <c r="H147" s="234">
        <f t="shared" ref="H147:H148" si="58">M147</f>
        <v>0</v>
      </c>
      <c r="I147" s="250"/>
      <c r="J147" s="235">
        <f>Cen!I400</f>
        <v>6746140</v>
      </c>
      <c r="K147" s="235">
        <f>Cen!J400</f>
        <v>12973</v>
      </c>
      <c r="L147" s="230">
        <f t="shared" ref="L147:L148" si="59">IF(I147="x",0,IF(I147&gt;0,I147,F147))</f>
        <v>0</v>
      </c>
      <c r="M147" s="434">
        <f t="shared" ref="M147:M148" si="60">PRODUCT(L147,G147)</f>
        <v>0</v>
      </c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  <c r="AJ147" s="229"/>
      <c r="AK147" s="229"/>
      <c r="AL147" s="229"/>
      <c r="AM147" s="229"/>
      <c r="AN147" s="229"/>
      <c r="AO147" s="229"/>
      <c r="AP147" s="229"/>
      <c r="AQ147" s="229"/>
      <c r="AR147" s="229"/>
      <c r="AS147" s="229"/>
      <c r="AT147" s="229"/>
      <c r="AU147" s="229"/>
      <c r="AV147" s="229"/>
      <c r="AW147" s="229"/>
      <c r="AX147" s="229"/>
      <c r="AY147" s="229"/>
      <c r="AZ147" s="229"/>
      <c r="BA147" s="229"/>
      <c r="BB147" s="229"/>
      <c r="BC147" s="229"/>
      <c r="BD147" s="229"/>
      <c r="BE147" s="229"/>
      <c r="BF147" s="229"/>
      <c r="BG147" s="229"/>
      <c r="BH147" s="229"/>
      <c r="BI147" s="229"/>
      <c r="BJ147" s="229"/>
      <c r="BK147" s="445">
        <f>OLMi!P24</f>
        <v>0</v>
      </c>
      <c r="BL147" s="229"/>
      <c r="BM147" s="229"/>
      <c r="BN147" s="229"/>
      <c r="BO147" s="229"/>
      <c r="BP147" s="229"/>
      <c r="BQ147" s="229"/>
      <c r="BR147" s="229"/>
      <c r="BS147" s="229"/>
      <c r="BT147" s="229"/>
      <c r="BU147" s="229"/>
      <c r="BV147" s="229"/>
      <c r="BW147" s="229"/>
      <c r="BX147" s="229"/>
      <c r="BY147" s="229"/>
      <c r="BZ147" s="229"/>
      <c r="CA147" s="229"/>
    </row>
    <row r="148" spans="2:79" x14ac:dyDescent="0.25">
      <c r="B148" s="237" t="str">
        <f>Cen!A401</f>
        <v>Sada pro korpus KB 900mm, NL 450mm</v>
      </c>
      <c r="C148" s="237" t="str">
        <f>Cen!B401</f>
        <v>ZSI.90VEI4</v>
      </c>
      <c r="D148" s="237" t="str">
        <f>Cen!C401</f>
        <v>IG/G</v>
      </c>
      <c r="E148" s="553">
        <f>Cen!D401</f>
        <v>0</v>
      </c>
      <c r="F148" s="208">
        <f t="shared" si="51"/>
        <v>0</v>
      </c>
      <c r="G148" s="233">
        <f>Cen!F401</f>
        <v>100.48037000000001</v>
      </c>
      <c r="H148" s="234">
        <f t="shared" si="58"/>
        <v>0</v>
      </c>
      <c r="I148" s="250"/>
      <c r="J148" s="235">
        <f>Cen!I401</f>
        <v>6745760</v>
      </c>
      <c r="K148" s="235">
        <f>Cen!J401</f>
        <v>13013</v>
      </c>
      <c r="L148" s="230">
        <f t="shared" si="59"/>
        <v>0</v>
      </c>
      <c r="M148" s="434">
        <f t="shared" si="60"/>
        <v>0</v>
      </c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  <c r="AJ148" s="229"/>
      <c r="AK148" s="229"/>
      <c r="AL148" s="229"/>
      <c r="AM148" s="229"/>
      <c r="AN148" s="229"/>
      <c r="AO148" s="229"/>
      <c r="AP148" s="229"/>
      <c r="AQ148" s="229"/>
      <c r="AR148" s="229"/>
      <c r="AS148" s="229"/>
      <c r="AT148" s="229"/>
      <c r="AU148" s="229"/>
      <c r="AV148" s="229"/>
      <c r="AW148" s="229"/>
      <c r="AX148" s="229"/>
      <c r="AY148" s="229"/>
      <c r="AZ148" s="229"/>
      <c r="BA148" s="229"/>
      <c r="BB148" s="229"/>
      <c r="BC148" s="229"/>
      <c r="BD148" s="229"/>
      <c r="BE148" s="229"/>
      <c r="BF148" s="229"/>
      <c r="BG148" s="229"/>
      <c r="BH148" s="229"/>
      <c r="BI148" s="229"/>
      <c r="BJ148" s="229"/>
      <c r="BK148" s="445">
        <f>OLMi!P25</f>
        <v>0</v>
      </c>
      <c r="BL148" s="229"/>
      <c r="BM148" s="229"/>
      <c r="BN148" s="229"/>
      <c r="BO148" s="229"/>
      <c r="BP148" s="229"/>
      <c r="BQ148" s="229"/>
      <c r="BR148" s="229"/>
      <c r="BS148" s="229"/>
      <c r="BT148" s="229"/>
      <c r="BU148" s="229"/>
      <c r="BV148" s="229"/>
      <c r="BW148" s="229"/>
      <c r="BX148" s="229"/>
      <c r="BY148" s="229"/>
      <c r="BZ148" s="229"/>
      <c r="CA148" s="229"/>
    </row>
    <row r="149" spans="2:79" x14ac:dyDescent="0.25">
      <c r="B149" s="237" t="str">
        <f>Cen!A402</f>
        <v>Sada pro korpus KB 900mm, NL 500mm</v>
      </c>
      <c r="C149" s="237" t="str">
        <f>Cen!B402</f>
        <v>ZSI.90VEI6</v>
      </c>
      <c r="D149" s="237" t="str">
        <f>Cen!C402</f>
        <v>IG/G</v>
      </c>
      <c r="E149" s="553">
        <f>Cen!D402</f>
        <v>0</v>
      </c>
      <c r="F149" s="208">
        <f t="shared" si="51"/>
        <v>0</v>
      </c>
      <c r="G149" s="233">
        <f>Cen!F402</f>
        <v>121.89036</v>
      </c>
      <c r="H149" s="234">
        <f t="shared" si="45"/>
        <v>0</v>
      </c>
      <c r="I149" s="250"/>
      <c r="J149" s="235">
        <f>Cen!I402</f>
        <v>6720400</v>
      </c>
      <c r="K149" s="235">
        <f>Cen!J402</f>
        <v>14231</v>
      </c>
      <c r="L149" s="230">
        <f t="shared" si="46"/>
        <v>0</v>
      </c>
      <c r="M149" s="434">
        <f t="shared" si="47"/>
        <v>0</v>
      </c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  <c r="AJ149" s="229"/>
      <c r="AK149" s="229"/>
      <c r="AL149" s="229"/>
      <c r="AM149" s="229"/>
      <c r="AN149" s="229"/>
      <c r="AO149" s="229"/>
      <c r="AP149" s="229"/>
      <c r="AQ149" s="229"/>
      <c r="AR149" s="229"/>
      <c r="AS149" s="229"/>
      <c r="AT149" s="229"/>
      <c r="AU149" s="229"/>
      <c r="AV149" s="229"/>
      <c r="AW149" s="229"/>
      <c r="AX149" s="229"/>
      <c r="AY149" s="229"/>
      <c r="AZ149" s="229"/>
      <c r="BA149" s="229"/>
      <c r="BB149" s="229"/>
      <c r="BC149" s="229"/>
      <c r="BD149" s="229"/>
      <c r="BE149" s="229"/>
      <c r="BF149" s="229"/>
      <c r="BG149" s="229"/>
      <c r="BH149" s="229"/>
      <c r="BI149" s="229"/>
      <c r="BJ149" s="229"/>
      <c r="BK149" s="445">
        <f>OLMi!P26</f>
        <v>0</v>
      </c>
      <c r="BL149" s="229"/>
      <c r="BM149" s="229"/>
      <c r="BN149" s="229"/>
      <c r="BO149" s="229"/>
      <c r="BP149" s="229"/>
      <c r="BQ149" s="229"/>
      <c r="BR149" s="229"/>
      <c r="BS149" s="229"/>
      <c r="BT149" s="229"/>
      <c r="BU149" s="229"/>
      <c r="BV149" s="229"/>
      <c r="BW149" s="229"/>
      <c r="BX149" s="229"/>
      <c r="BY149" s="229"/>
      <c r="BZ149" s="229"/>
      <c r="CA149" s="229"/>
    </row>
    <row r="150" spans="2:79" x14ac:dyDescent="0.25">
      <c r="B150" s="237" t="str">
        <f>Cen!A403</f>
        <v>Sada pro korpus KB 900mm, NL 550mm</v>
      </c>
      <c r="C150" s="237" t="str">
        <f>Cen!B403</f>
        <v>ZSI.90VEI7</v>
      </c>
      <c r="D150" s="237" t="str">
        <f>Cen!C403</f>
        <v>IG/G</v>
      </c>
      <c r="E150" s="553">
        <f>Cen!D403</f>
        <v>0</v>
      </c>
      <c r="F150" s="208">
        <f t="shared" si="51"/>
        <v>0</v>
      </c>
      <c r="G150" s="233">
        <f>Cen!F403</f>
        <v>139.80625000000001</v>
      </c>
      <c r="H150" s="234">
        <f t="shared" ref="H150:H151" si="61">M150</f>
        <v>0</v>
      </c>
      <c r="I150" s="250"/>
      <c r="J150" s="235">
        <f>Cen!I403</f>
        <v>6745170</v>
      </c>
      <c r="K150" s="235">
        <f>Cen!J403</f>
        <v>12987</v>
      </c>
      <c r="L150" s="230">
        <f t="shared" ref="L150:L151" si="62">IF(I150="x",0,IF(I150&gt;0,I150,F150))</f>
        <v>0</v>
      </c>
      <c r="M150" s="434">
        <f t="shared" ref="M150:M151" si="63">PRODUCT(L150,G150)</f>
        <v>0</v>
      </c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  <c r="AJ150" s="229"/>
      <c r="AK150" s="229"/>
      <c r="AL150" s="229"/>
      <c r="AM150" s="229"/>
      <c r="AN150" s="229"/>
      <c r="AO150" s="229"/>
      <c r="AP150" s="229"/>
      <c r="AQ150" s="229"/>
      <c r="AR150" s="229"/>
      <c r="AS150" s="229"/>
      <c r="AT150" s="229"/>
      <c r="AU150" s="229"/>
      <c r="AV150" s="229"/>
      <c r="AW150" s="229"/>
      <c r="AX150" s="229"/>
      <c r="AY150" s="229"/>
      <c r="AZ150" s="229"/>
      <c r="BA150" s="229"/>
      <c r="BB150" s="229"/>
      <c r="BC150" s="229"/>
      <c r="BD150" s="229"/>
      <c r="BE150" s="229"/>
      <c r="BF150" s="229"/>
      <c r="BG150" s="229"/>
      <c r="BH150" s="229"/>
      <c r="BI150" s="229"/>
      <c r="BJ150" s="229"/>
      <c r="BK150" s="445">
        <f>OLMi!P27</f>
        <v>0</v>
      </c>
      <c r="BL150" s="229"/>
      <c r="BM150" s="229"/>
      <c r="BN150" s="229"/>
      <c r="BO150" s="229"/>
      <c r="BP150" s="229"/>
      <c r="BQ150" s="229"/>
      <c r="BR150" s="229"/>
      <c r="BS150" s="229"/>
      <c r="BT150" s="229"/>
      <c r="BU150" s="229"/>
      <c r="BV150" s="229"/>
      <c r="BW150" s="229"/>
      <c r="BX150" s="229"/>
      <c r="BY150" s="229"/>
      <c r="BZ150" s="229"/>
      <c r="CA150" s="229"/>
    </row>
    <row r="151" spans="2:79" x14ac:dyDescent="0.25">
      <c r="B151" s="237" t="str">
        <f>Cen!A404</f>
        <v>Sada pro korpus KB 1200mm, NL 450mm</v>
      </c>
      <c r="C151" s="237" t="str">
        <f>Cen!B404</f>
        <v>ZSI.12VEI4</v>
      </c>
      <c r="D151" s="237" t="str">
        <f>Cen!C404</f>
        <v>IG/G</v>
      </c>
      <c r="E151" s="553">
        <f>Cen!D404</f>
        <v>0</v>
      </c>
      <c r="F151" s="208">
        <f t="shared" si="51"/>
        <v>0</v>
      </c>
      <c r="G151" s="233">
        <f>Cen!F404</f>
        <v>126.084</v>
      </c>
      <c r="H151" s="234">
        <f t="shared" si="61"/>
        <v>0</v>
      </c>
      <c r="I151" s="250"/>
      <c r="J151" s="235">
        <f>Cen!I404</f>
        <v>6746200</v>
      </c>
      <c r="K151" s="235">
        <f>Cen!J404</f>
        <v>134147</v>
      </c>
      <c r="L151" s="230">
        <f t="shared" si="62"/>
        <v>0</v>
      </c>
      <c r="M151" s="434">
        <f t="shared" si="63"/>
        <v>0</v>
      </c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  <c r="AJ151" s="229"/>
      <c r="AK151" s="229"/>
      <c r="AL151" s="229"/>
      <c r="AM151" s="229"/>
      <c r="AN151" s="229"/>
      <c r="AO151" s="229"/>
      <c r="AP151" s="229"/>
      <c r="AQ151" s="229"/>
      <c r="AR151" s="229"/>
      <c r="AS151" s="229"/>
      <c r="AT151" s="229"/>
      <c r="AU151" s="229"/>
      <c r="AV151" s="229"/>
      <c r="AW151" s="229"/>
      <c r="AX151" s="229"/>
      <c r="AY151" s="229"/>
      <c r="AZ151" s="229"/>
      <c r="BA151" s="229"/>
      <c r="BB151" s="229"/>
      <c r="BC151" s="229"/>
      <c r="BD151" s="229"/>
      <c r="BE151" s="229"/>
      <c r="BF151" s="229"/>
      <c r="BG151" s="229"/>
      <c r="BH151" s="229"/>
      <c r="BI151" s="229"/>
      <c r="BJ151" s="229"/>
      <c r="BK151" s="445">
        <f>OLMi!P28</f>
        <v>0</v>
      </c>
      <c r="BL151" s="229"/>
      <c r="BM151" s="229"/>
      <c r="BN151" s="229"/>
      <c r="BO151" s="229"/>
      <c r="BP151" s="229"/>
      <c r="BQ151" s="229"/>
      <c r="BR151" s="229"/>
      <c r="BS151" s="229"/>
      <c r="BT151" s="229"/>
      <c r="BU151" s="229"/>
      <c r="BV151" s="229"/>
      <c r="BW151" s="229"/>
      <c r="BX151" s="229"/>
      <c r="BY151" s="229"/>
      <c r="BZ151" s="229"/>
      <c r="CA151" s="229"/>
    </row>
    <row r="152" spans="2:79" x14ac:dyDescent="0.25">
      <c r="B152" s="237" t="str">
        <f>Cen!A405</f>
        <v>Sada pro korpus KB 1200mm, NL 500mm</v>
      </c>
      <c r="C152" s="237" t="str">
        <f>Cen!B405</f>
        <v>ZSI.12VEI6</v>
      </c>
      <c r="D152" s="237" t="str">
        <f>Cen!C405</f>
        <v>IG/G</v>
      </c>
      <c r="E152" s="553">
        <f>Cen!D405</f>
        <v>0</v>
      </c>
      <c r="F152" s="208">
        <f t="shared" si="51"/>
        <v>0</v>
      </c>
      <c r="G152" s="233">
        <f>Cen!F405</f>
        <v>149.69191000000001</v>
      </c>
      <c r="H152" s="234">
        <f t="shared" si="45"/>
        <v>0</v>
      </c>
      <c r="I152" s="250"/>
      <c r="J152" s="235">
        <f>Cen!I405</f>
        <v>6715770</v>
      </c>
      <c r="K152" s="235">
        <f>Cen!J405</f>
        <v>12982</v>
      </c>
      <c r="L152" s="230">
        <f t="shared" si="46"/>
        <v>0</v>
      </c>
      <c r="M152" s="434">
        <f t="shared" si="47"/>
        <v>0</v>
      </c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  <c r="AJ152" s="229"/>
      <c r="AK152" s="229"/>
      <c r="AL152" s="229"/>
      <c r="AM152" s="229"/>
      <c r="AN152" s="229"/>
      <c r="AO152" s="229"/>
      <c r="AP152" s="229"/>
      <c r="AQ152" s="229"/>
      <c r="AR152" s="229"/>
      <c r="AS152" s="229"/>
      <c r="AT152" s="229"/>
      <c r="AU152" s="229"/>
      <c r="AV152" s="229"/>
      <c r="AW152" s="229"/>
      <c r="AX152" s="229"/>
      <c r="AY152" s="229"/>
      <c r="AZ152" s="229"/>
      <c r="BA152" s="229"/>
      <c r="BB152" s="229"/>
      <c r="BC152" s="229"/>
      <c r="BD152" s="229"/>
      <c r="BE152" s="229"/>
      <c r="BF152" s="229"/>
      <c r="BG152" s="229"/>
      <c r="BH152" s="229"/>
      <c r="BI152" s="229"/>
      <c r="BJ152" s="229"/>
      <c r="BK152" s="445">
        <f>OLMi!P29</f>
        <v>0</v>
      </c>
      <c r="BL152" s="229"/>
      <c r="BM152" s="229"/>
      <c r="BN152" s="229"/>
      <c r="BO152" s="229"/>
      <c r="BP152" s="229"/>
      <c r="BQ152" s="229"/>
      <c r="BR152" s="229"/>
      <c r="BS152" s="229"/>
      <c r="BT152" s="229"/>
      <c r="BU152" s="229"/>
      <c r="BV152" s="229"/>
      <c r="BW152" s="229"/>
      <c r="BX152" s="229"/>
      <c r="BY152" s="229"/>
      <c r="BZ152" s="229"/>
      <c r="CA152" s="229"/>
    </row>
    <row r="153" spans="2:79" x14ac:dyDescent="0.25">
      <c r="B153" s="237" t="str">
        <f>Cen!A406</f>
        <v>Sada pro korpus KB 1200mm, NL 550mm</v>
      </c>
      <c r="C153" s="237" t="str">
        <f>Cen!B406</f>
        <v>ZSI.12VEI7</v>
      </c>
      <c r="D153" s="237" t="str">
        <f>Cen!C406</f>
        <v>IG/G</v>
      </c>
      <c r="E153" s="553">
        <f>Cen!D406</f>
        <v>0</v>
      </c>
      <c r="F153" s="208">
        <f t="shared" si="51"/>
        <v>0</v>
      </c>
      <c r="G153" s="233">
        <f>Cen!F406</f>
        <v>174.48204999999999</v>
      </c>
      <c r="H153" s="234">
        <f t="shared" ref="H153:H154" si="64">M153</f>
        <v>0</v>
      </c>
      <c r="I153" s="250"/>
      <c r="J153" s="235">
        <f>Cen!I406</f>
        <v>6742660</v>
      </c>
      <c r="K153" s="235">
        <f>Cen!J406</f>
        <v>14230</v>
      </c>
      <c r="L153" s="230">
        <f t="shared" ref="L153:L154" si="65">IF(I153="x",0,IF(I153&gt;0,I153,F153))</f>
        <v>0</v>
      </c>
      <c r="M153" s="434">
        <f t="shared" ref="M153:M154" si="66">PRODUCT(L153,G153)</f>
        <v>0</v>
      </c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  <c r="AJ153" s="229"/>
      <c r="AK153" s="229"/>
      <c r="AL153" s="229"/>
      <c r="AM153" s="229"/>
      <c r="AN153" s="229"/>
      <c r="AO153" s="229"/>
      <c r="AP153" s="229"/>
      <c r="AQ153" s="229"/>
      <c r="AR153" s="229"/>
      <c r="AS153" s="229"/>
      <c r="AT153" s="229"/>
      <c r="AU153" s="229"/>
      <c r="AV153" s="229"/>
      <c r="AW153" s="229"/>
      <c r="AX153" s="229"/>
      <c r="AY153" s="229"/>
      <c r="AZ153" s="229"/>
      <c r="BA153" s="229"/>
      <c r="BB153" s="229"/>
      <c r="BC153" s="229"/>
      <c r="BD153" s="229"/>
      <c r="BE153" s="229"/>
      <c r="BF153" s="229"/>
      <c r="BG153" s="229"/>
      <c r="BH153" s="229"/>
      <c r="BI153" s="229"/>
      <c r="BJ153" s="229"/>
      <c r="BK153" s="445">
        <f>OLMi!P30</f>
        <v>0</v>
      </c>
      <c r="BL153" s="229"/>
      <c r="BM153" s="229"/>
      <c r="BN153" s="229"/>
      <c r="BO153" s="229"/>
      <c r="BP153" s="229"/>
      <c r="BQ153" s="229"/>
      <c r="BR153" s="229"/>
      <c r="BS153" s="229"/>
      <c r="BT153" s="229"/>
      <c r="BU153" s="229"/>
      <c r="BV153" s="229"/>
      <c r="BW153" s="229"/>
      <c r="BX153" s="229"/>
      <c r="BY153" s="229"/>
      <c r="BZ153" s="229"/>
      <c r="CA153" s="229"/>
    </row>
    <row r="154" spans="2:79" x14ac:dyDescent="0.25">
      <c r="B154" s="237" t="str">
        <f>Cen!A409</f>
        <v>Sada FI1, 450mm</v>
      </c>
      <c r="C154" s="237" t="str">
        <f>Cen!B409</f>
        <v>ZSI.450FI1</v>
      </c>
      <c r="D154" s="237" t="str">
        <f>Cen!C409</f>
        <v>IG/G</v>
      </c>
      <c r="E154" s="553">
        <f>Cen!D409</f>
        <v>0</v>
      </c>
      <c r="F154" s="208">
        <f t="shared" si="51"/>
        <v>0</v>
      </c>
      <c r="G154" s="233">
        <f>Cen!F409</f>
        <v>24.164940000000001</v>
      </c>
      <c r="H154" s="234">
        <f t="shared" si="64"/>
        <v>0</v>
      </c>
      <c r="I154" s="250"/>
      <c r="J154" s="235">
        <f>Cen!I409</f>
        <v>3696900</v>
      </c>
      <c r="K154" s="235">
        <f>Cen!J409</f>
        <v>12994</v>
      </c>
      <c r="L154" s="230">
        <f t="shared" si="65"/>
        <v>0</v>
      </c>
      <c r="M154" s="434">
        <f t="shared" si="66"/>
        <v>0</v>
      </c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  <c r="AJ154" s="229"/>
      <c r="AK154" s="229"/>
      <c r="AL154" s="229"/>
      <c r="AM154" s="229"/>
      <c r="AN154" s="229"/>
      <c r="AO154" s="229"/>
      <c r="AP154" s="229"/>
      <c r="AQ154" s="229"/>
      <c r="AR154" s="229"/>
      <c r="AS154" s="229"/>
      <c r="AT154" s="229"/>
      <c r="AU154" s="229"/>
      <c r="AV154" s="229"/>
      <c r="AW154" s="229"/>
      <c r="AX154" s="229"/>
      <c r="AY154" s="229"/>
      <c r="AZ154" s="229"/>
      <c r="BA154" s="229"/>
      <c r="BB154" s="229"/>
      <c r="BC154" s="229"/>
      <c r="BD154" s="229"/>
      <c r="BE154" s="229"/>
      <c r="BF154" s="229"/>
      <c r="BG154" s="229"/>
      <c r="BH154" s="229"/>
      <c r="BI154" s="229"/>
      <c r="BJ154" s="229"/>
      <c r="BL154" s="444">
        <f>OLRo!P7</f>
        <v>0</v>
      </c>
      <c r="BM154" s="229"/>
      <c r="BN154" s="229"/>
      <c r="BO154" s="229"/>
      <c r="BP154" s="229"/>
      <c r="BQ154" s="229"/>
      <c r="BR154" s="229"/>
      <c r="BS154" s="229"/>
      <c r="BT154" s="229"/>
      <c r="BU154" s="229"/>
      <c r="BV154" s="229"/>
      <c r="BW154" s="445">
        <f>OLOst!P19</f>
        <v>0</v>
      </c>
      <c r="BX154" s="229"/>
      <c r="BY154" s="229"/>
      <c r="BZ154" s="229"/>
      <c r="CA154" s="229"/>
    </row>
    <row r="155" spans="2:79" x14ac:dyDescent="0.25">
      <c r="B155" s="237" t="str">
        <f>Cen!A410</f>
        <v>Sada FI1, 500mm</v>
      </c>
      <c r="C155" s="237" t="str">
        <f>Cen!B410</f>
        <v>ZSI.500FI1</v>
      </c>
      <c r="D155" s="237" t="str">
        <f>Cen!C410</f>
        <v>IG/G</v>
      </c>
      <c r="E155" s="553">
        <f>Cen!D410</f>
        <v>0</v>
      </c>
      <c r="F155" s="208">
        <f t="shared" si="51"/>
        <v>0</v>
      </c>
      <c r="G155" s="233">
        <f>Cen!F410</f>
        <v>26.362890000000004</v>
      </c>
      <c r="H155" s="234">
        <f t="shared" si="45"/>
        <v>0</v>
      </c>
      <c r="I155" s="250"/>
      <c r="J155" s="235">
        <f>Cen!I410</f>
        <v>3866780</v>
      </c>
      <c r="K155" s="235">
        <f>Cen!J410</f>
        <v>279167</v>
      </c>
      <c r="L155" s="230">
        <f t="shared" si="46"/>
        <v>0</v>
      </c>
      <c r="M155" s="434">
        <f t="shared" si="47"/>
        <v>0</v>
      </c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  <c r="AJ155" s="229"/>
      <c r="AK155" s="229"/>
      <c r="AL155" s="229"/>
      <c r="AM155" s="229"/>
      <c r="AN155" s="229"/>
      <c r="AO155" s="229"/>
      <c r="AP155" s="229"/>
      <c r="AQ155" s="229"/>
      <c r="AR155" s="229"/>
      <c r="AS155" s="229"/>
      <c r="AT155" s="229"/>
      <c r="AU155" s="229"/>
      <c r="AV155" s="229"/>
      <c r="AW155" s="229"/>
      <c r="AX155" s="229"/>
      <c r="AY155" s="229"/>
      <c r="AZ155" s="229"/>
      <c r="BA155" s="229"/>
      <c r="BB155" s="229"/>
      <c r="BC155" s="229"/>
      <c r="BD155" s="229"/>
      <c r="BE155" s="229"/>
      <c r="BF155" s="229"/>
      <c r="BG155" s="229"/>
      <c r="BH155" s="229"/>
      <c r="BI155" s="229"/>
      <c r="BJ155" s="229"/>
      <c r="BL155" s="445">
        <f>OLRo!P8</f>
        <v>0</v>
      </c>
      <c r="BM155" s="229"/>
      <c r="BN155" s="229"/>
      <c r="BO155" s="229"/>
      <c r="BP155" s="229"/>
      <c r="BQ155" s="229"/>
      <c r="BR155" s="229"/>
      <c r="BS155" s="229"/>
      <c r="BT155" s="229"/>
      <c r="BU155" s="229"/>
      <c r="BV155" s="229"/>
      <c r="BW155" s="445">
        <f>OLOst!P20</f>
        <v>0</v>
      </c>
      <c r="BX155" s="229"/>
      <c r="BY155" s="229"/>
      <c r="BZ155" s="229"/>
      <c r="CA155" s="229"/>
    </row>
    <row r="156" spans="2:79" x14ac:dyDescent="0.25">
      <c r="B156" s="237" t="str">
        <f>Cen!A411</f>
        <v>Sada FI1, 550mm</v>
      </c>
      <c r="C156" s="237" t="str">
        <f>Cen!B411</f>
        <v>ZSI.550FI1</v>
      </c>
      <c r="D156" s="237" t="str">
        <f>Cen!C411</f>
        <v>IG/G</v>
      </c>
      <c r="E156" s="553">
        <f>Cen!D411</f>
        <v>0</v>
      </c>
      <c r="F156" s="208">
        <f t="shared" si="51"/>
        <v>0</v>
      </c>
      <c r="G156" s="233">
        <f>Cen!F411</f>
        <v>33.237119999999997</v>
      </c>
      <c r="H156" s="234">
        <f t="shared" ref="H156:H159" si="67">M156</f>
        <v>0</v>
      </c>
      <c r="I156" s="250"/>
      <c r="J156" s="235">
        <f>Cen!I411</f>
        <v>3697200</v>
      </c>
      <c r="K156" s="235">
        <f>Cen!J411</f>
        <v>309263</v>
      </c>
      <c r="L156" s="230">
        <f t="shared" ref="L156:L159" si="68">IF(I156="x",0,IF(I156&gt;0,I156,F156))</f>
        <v>0</v>
      </c>
      <c r="M156" s="434">
        <f t="shared" ref="M156:M159" si="69">PRODUCT(L156,G156)</f>
        <v>0</v>
      </c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  <c r="AJ156" s="229"/>
      <c r="AK156" s="229"/>
      <c r="AL156" s="229"/>
      <c r="AM156" s="229"/>
      <c r="AN156" s="229"/>
      <c r="AO156" s="229"/>
      <c r="AP156" s="229"/>
      <c r="AQ156" s="229"/>
      <c r="AR156" s="229"/>
      <c r="AS156" s="229"/>
      <c r="AT156" s="229"/>
      <c r="AU156" s="229"/>
      <c r="AV156" s="229"/>
      <c r="AW156" s="229"/>
      <c r="AX156" s="229"/>
      <c r="AY156" s="229"/>
      <c r="AZ156" s="229"/>
      <c r="BA156" s="229"/>
      <c r="BB156" s="229"/>
      <c r="BC156" s="229"/>
      <c r="BD156" s="229"/>
      <c r="BE156" s="229"/>
      <c r="BF156" s="229"/>
      <c r="BG156" s="229"/>
      <c r="BH156" s="229"/>
      <c r="BI156" s="229"/>
      <c r="BJ156" s="229"/>
      <c r="BL156" s="445">
        <f>OLRo!P9</f>
        <v>0</v>
      </c>
      <c r="BM156" s="229"/>
      <c r="BN156" s="229"/>
      <c r="BO156" s="229"/>
      <c r="BP156" s="229"/>
      <c r="BQ156" s="229"/>
      <c r="BR156" s="229"/>
      <c r="BS156" s="229"/>
      <c r="BT156" s="229"/>
      <c r="BU156" s="229"/>
      <c r="BV156" s="229"/>
      <c r="BW156" s="445">
        <f>OLOst!P21</f>
        <v>0</v>
      </c>
      <c r="BX156" s="229"/>
      <c r="BY156" s="229"/>
      <c r="BZ156" s="229"/>
      <c r="CA156" s="229"/>
    </row>
    <row r="157" spans="2:79" x14ac:dyDescent="0.25">
      <c r="B157" s="237" t="str">
        <f>Cen!A412</f>
        <v>Sada FI1, 600mm</v>
      </c>
      <c r="C157" s="237" t="str">
        <f>Cen!B412</f>
        <v>ZSI.600FI1</v>
      </c>
      <c r="D157" s="237" t="str">
        <f>Cen!C412</f>
        <v>IG/G</v>
      </c>
      <c r="E157" s="553">
        <f>Cen!D412</f>
        <v>0</v>
      </c>
      <c r="F157" s="208">
        <f t="shared" si="51"/>
        <v>0</v>
      </c>
      <c r="G157" s="233">
        <f>Cen!F412</f>
        <v>0</v>
      </c>
      <c r="H157" s="234">
        <f t="shared" si="67"/>
        <v>0</v>
      </c>
      <c r="I157" s="250"/>
      <c r="J157" s="235">
        <f>Cen!I412</f>
        <v>3867300</v>
      </c>
      <c r="K157" s="235" t="str">
        <f>Cen!J412</f>
        <v>-</v>
      </c>
      <c r="L157" s="230">
        <f t="shared" si="68"/>
        <v>0</v>
      </c>
      <c r="M157" s="434">
        <f t="shared" si="69"/>
        <v>0</v>
      </c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29"/>
      <c r="AP157" s="229"/>
      <c r="AQ157" s="229"/>
      <c r="AR157" s="229"/>
      <c r="AS157" s="229"/>
      <c r="AT157" s="229"/>
      <c r="AU157" s="229"/>
      <c r="AV157" s="229"/>
      <c r="AW157" s="229"/>
      <c r="AX157" s="229"/>
      <c r="AY157" s="229"/>
      <c r="AZ157" s="229"/>
      <c r="BA157" s="229"/>
      <c r="BB157" s="229"/>
      <c r="BC157" s="229"/>
      <c r="BD157" s="229"/>
      <c r="BE157" s="229"/>
      <c r="BF157" s="229"/>
      <c r="BG157" s="229"/>
      <c r="BH157" s="229"/>
      <c r="BI157" s="229"/>
      <c r="BJ157" s="229"/>
      <c r="BL157" s="445">
        <f>OLRo!P10</f>
        <v>0</v>
      </c>
      <c r="BM157" s="229"/>
      <c r="BN157" s="229"/>
      <c r="BO157" s="229"/>
      <c r="BP157" s="229"/>
      <c r="BQ157" s="229"/>
      <c r="BR157" s="229"/>
      <c r="BS157" s="229"/>
      <c r="BT157" s="229"/>
      <c r="BU157" s="229"/>
      <c r="BV157" s="229"/>
      <c r="BW157" s="445">
        <f>OLOst!P22</f>
        <v>0</v>
      </c>
      <c r="BX157" s="229"/>
      <c r="BY157" s="229"/>
      <c r="BZ157" s="229"/>
      <c r="CA157" s="229"/>
    </row>
    <row r="158" spans="2:79" x14ac:dyDescent="0.25">
      <c r="B158" s="237" t="str">
        <f>Cen!A413</f>
        <v>Sada FI1, 650mm</v>
      </c>
      <c r="C158" s="237" t="str">
        <f>Cen!B413</f>
        <v>ZSI.650FI1</v>
      </c>
      <c r="D158" s="237" t="str">
        <f>Cen!C413</f>
        <v>IG/G</v>
      </c>
      <c r="E158" s="553">
        <f>Cen!D413</f>
        <v>0</v>
      </c>
      <c r="F158" s="208">
        <f t="shared" si="51"/>
        <v>0</v>
      </c>
      <c r="G158" s="233">
        <f>Cen!F413</f>
        <v>48.270380000000003</v>
      </c>
      <c r="H158" s="234">
        <f t="shared" si="67"/>
        <v>0</v>
      </c>
      <c r="I158" s="250"/>
      <c r="J158" s="235">
        <f>Cen!I413</f>
        <v>3867080</v>
      </c>
      <c r="K158" s="235">
        <f>Cen!J413</f>
        <v>309266</v>
      </c>
      <c r="L158" s="230">
        <f t="shared" si="68"/>
        <v>0</v>
      </c>
      <c r="M158" s="434">
        <f t="shared" si="69"/>
        <v>0</v>
      </c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  <c r="AJ158" s="229"/>
      <c r="AK158" s="229"/>
      <c r="AL158" s="229"/>
      <c r="AM158" s="229"/>
      <c r="AN158" s="229"/>
      <c r="AO158" s="229"/>
      <c r="AP158" s="229"/>
      <c r="AQ158" s="229"/>
      <c r="AR158" s="229"/>
      <c r="AS158" s="229"/>
      <c r="AT158" s="229"/>
      <c r="AU158" s="229"/>
      <c r="AV158" s="229"/>
      <c r="AW158" s="229"/>
      <c r="AX158" s="229"/>
      <c r="AY158" s="229"/>
      <c r="AZ158" s="229"/>
      <c r="BA158" s="229"/>
      <c r="BB158" s="229"/>
      <c r="BC158" s="229"/>
      <c r="BD158" s="229"/>
      <c r="BE158" s="229"/>
      <c r="BF158" s="229"/>
      <c r="BG158" s="229"/>
      <c r="BH158" s="229"/>
      <c r="BI158" s="229"/>
      <c r="BJ158" s="229"/>
      <c r="BL158" s="445">
        <f>OLRo!P11</f>
        <v>0</v>
      </c>
      <c r="BM158" s="229"/>
      <c r="BN158" s="229"/>
      <c r="BO158" s="229"/>
      <c r="BP158" s="229"/>
      <c r="BQ158" s="229"/>
      <c r="BR158" s="229"/>
      <c r="BS158" s="229"/>
      <c r="BT158" s="229"/>
      <c r="BU158" s="229"/>
      <c r="BV158" s="229"/>
      <c r="BW158" s="445">
        <f>OLOst!P23</f>
        <v>0</v>
      </c>
      <c r="BX158" s="229"/>
      <c r="BY158" s="229"/>
      <c r="BZ158" s="229"/>
      <c r="CA158" s="229"/>
    </row>
    <row r="159" spans="2:79" x14ac:dyDescent="0.25">
      <c r="B159" s="237" t="str">
        <f>Cen!A414</f>
        <v>Sada FI2, 450mm</v>
      </c>
      <c r="C159" s="237" t="str">
        <f>Cen!B414</f>
        <v>ZSI.450FI2N</v>
      </c>
      <c r="D159" s="237" t="str">
        <f>Cen!C414</f>
        <v>IG/G</v>
      </c>
      <c r="E159" s="553">
        <f>Cen!D414</f>
        <v>0</v>
      </c>
      <c r="F159" s="208">
        <f t="shared" si="51"/>
        <v>0</v>
      </c>
      <c r="G159" s="233">
        <f>Cen!F414</f>
        <v>25.19913</v>
      </c>
      <c r="H159" s="234">
        <f t="shared" si="67"/>
        <v>0</v>
      </c>
      <c r="I159" s="250"/>
      <c r="J159" s="235">
        <f>Cen!I414</f>
        <v>6702360</v>
      </c>
      <c r="K159" s="235">
        <f>Cen!J414</f>
        <v>13038</v>
      </c>
      <c r="L159" s="230">
        <f t="shared" si="68"/>
        <v>0</v>
      </c>
      <c r="M159" s="434">
        <f t="shared" si="69"/>
        <v>0</v>
      </c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  <c r="AJ159" s="229"/>
      <c r="AK159" s="229"/>
      <c r="AL159" s="229"/>
      <c r="AM159" s="229"/>
      <c r="AN159" s="229"/>
      <c r="AO159" s="229"/>
      <c r="AP159" s="229"/>
      <c r="AQ159" s="229"/>
      <c r="AR159" s="229"/>
      <c r="AS159" s="229"/>
      <c r="AT159" s="229"/>
      <c r="AU159" s="229"/>
      <c r="AV159" s="229"/>
      <c r="AW159" s="229"/>
      <c r="AX159" s="229"/>
      <c r="AY159" s="229"/>
      <c r="AZ159" s="229"/>
      <c r="BA159" s="229"/>
      <c r="BB159" s="229"/>
      <c r="BC159" s="229"/>
      <c r="BD159" s="229"/>
      <c r="BE159" s="229"/>
      <c r="BF159" s="229"/>
      <c r="BG159" s="229"/>
      <c r="BH159" s="229"/>
      <c r="BI159" s="229"/>
      <c r="BJ159" s="229"/>
      <c r="BL159" s="445">
        <f>OLRo!P12</f>
        <v>0</v>
      </c>
      <c r="BM159" s="229"/>
      <c r="BN159" s="229"/>
      <c r="BO159" s="229"/>
      <c r="BP159" s="229"/>
      <c r="BQ159" s="229"/>
      <c r="BR159" s="229"/>
      <c r="BS159" s="229"/>
      <c r="BT159" s="229"/>
      <c r="BU159" s="229"/>
      <c r="BV159" s="229"/>
      <c r="BW159" s="445">
        <f>OLOst!P24</f>
        <v>0</v>
      </c>
      <c r="BX159" s="229"/>
      <c r="BY159" s="229"/>
      <c r="BZ159" s="229"/>
      <c r="CA159" s="229"/>
    </row>
    <row r="160" spans="2:79" x14ac:dyDescent="0.25">
      <c r="B160" s="237" t="str">
        <f>Cen!A415</f>
        <v>Sada FI2, 500mm</v>
      </c>
      <c r="C160" s="237" t="str">
        <f>Cen!B415</f>
        <v>ZSI.500FI2N</v>
      </c>
      <c r="D160" s="237" t="str">
        <f>Cen!C415</f>
        <v>IG/G</v>
      </c>
      <c r="E160" s="553">
        <f>Cen!D415</f>
        <v>0</v>
      </c>
      <c r="F160" s="208">
        <f t="shared" si="51"/>
        <v>0</v>
      </c>
      <c r="G160" s="233">
        <f>Cen!F415</f>
        <v>27.397280000000002</v>
      </c>
      <c r="H160" s="234">
        <f t="shared" ref="H160:H224" si="70">M160</f>
        <v>0</v>
      </c>
      <c r="I160" s="250"/>
      <c r="J160" s="235">
        <f>Cen!I415</f>
        <v>6702440</v>
      </c>
      <c r="K160" s="235">
        <f>Cen!J415</f>
        <v>12992</v>
      </c>
      <c r="L160" s="230">
        <f t="shared" si="46"/>
        <v>0</v>
      </c>
      <c r="M160" s="434">
        <f t="shared" si="47"/>
        <v>0</v>
      </c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  <c r="AJ160" s="229"/>
      <c r="AK160" s="229"/>
      <c r="AL160" s="229"/>
      <c r="AM160" s="229"/>
      <c r="AN160" s="229"/>
      <c r="AO160" s="229"/>
      <c r="AP160" s="229"/>
      <c r="AQ160" s="229"/>
      <c r="AR160" s="229"/>
      <c r="AS160" s="229"/>
      <c r="AT160" s="229"/>
      <c r="AU160" s="229"/>
      <c r="AV160" s="229"/>
      <c r="AW160" s="229"/>
      <c r="AX160" s="229"/>
      <c r="AY160" s="229"/>
      <c r="AZ160" s="229"/>
      <c r="BA160" s="229"/>
      <c r="BB160" s="229"/>
      <c r="BC160" s="229"/>
      <c r="BD160" s="229"/>
      <c r="BE160" s="229"/>
      <c r="BF160" s="229"/>
      <c r="BG160" s="229"/>
      <c r="BH160" s="229"/>
      <c r="BI160" s="229"/>
      <c r="BJ160" s="229"/>
      <c r="BL160" s="445">
        <f>OLRo!P13</f>
        <v>0</v>
      </c>
      <c r="BM160" s="229"/>
      <c r="BN160" s="229"/>
      <c r="BO160" s="229"/>
      <c r="BP160" s="229"/>
      <c r="BQ160" s="229"/>
      <c r="BR160" s="229"/>
      <c r="BS160" s="229"/>
      <c r="BT160" s="229"/>
      <c r="BU160" s="229"/>
      <c r="BV160" s="229"/>
      <c r="BW160" s="445">
        <f>OLOst!P25</f>
        <v>0</v>
      </c>
      <c r="BX160" s="229"/>
      <c r="BY160" s="229"/>
      <c r="BZ160" s="229"/>
      <c r="CA160" s="229"/>
    </row>
    <row r="161" spans="2:79" x14ac:dyDescent="0.25">
      <c r="B161" s="237" t="str">
        <f>Cen!A416</f>
        <v>Sada FI2, 550mm</v>
      </c>
      <c r="C161" s="237" t="str">
        <f>Cen!B416</f>
        <v>ZSI.550FI2N</v>
      </c>
      <c r="D161" s="237" t="str">
        <f>Cen!C416</f>
        <v>IG/G</v>
      </c>
      <c r="E161" s="553">
        <f>Cen!D416</f>
        <v>0</v>
      </c>
      <c r="F161" s="208">
        <f t="shared" si="51"/>
        <v>0</v>
      </c>
      <c r="G161" s="233">
        <f>Cen!F416</f>
        <v>34.27149</v>
      </c>
      <c r="H161" s="234">
        <f t="shared" ref="H161:H164" si="71">M161</f>
        <v>0</v>
      </c>
      <c r="I161" s="250"/>
      <c r="J161" s="235">
        <f>Cen!I416</f>
        <v>6702280</v>
      </c>
      <c r="K161" s="235">
        <f>Cen!J416</f>
        <v>13695</v>
      </c>
      <c r="L161" s="230">
        <f t="shared" ref="L161:L164" si="72">IF(I161="x",0,IF(I161&gt;0,I161,F161))</f>
        <v>0</v>
      </c>
      <c r="M161" s="434">
        <f t="shared" ref="M161:M164" si="73">PRODUCT(L161,G161)</f>
        <v>0</v>
      </c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  <c r="AJ161" s="229"/>
      <c r="AK161" s="229"/>
      <c r="AL161" s="229"/>
      <c r="AM161" s="229"/>
      <c r="AN161" s="229"/>
      <c r="AO161" s="229"/>
      <c r="AP161" s="229"/>
      <c r="AQ161" s="229"/>
      <c r="AR161" s="229"/>
      <c r="AS161" s="229"/>
      <c r="AT161" s="229"/>
      <c r="AU161" s="229"/>
      <c r="AV161" s="229"/>
      <c r="AW161" s="229"/>
      <c r="AX161" s="229"/>
      <c r="AY161" s="229"/>
      <c r="AZ161" s="229"/>
      <c r="BA161" s="229"/>
      <c r="BB161" s="229"/>
      <c r="BC161" s="229"/>
      <c r="BD161" s="229"/>
      <c r="BE161" s="229"/>
      <c r="BF161" s="229"/>
      <c r="BG161" s="229"/>
      <c r="BH161" s="229"/>
      <c r="BI161" s="229"/>
      <c r="BJ161" s="229"/>
      <c r="BL161" s="445">
        <f>OLRo!P14</f>
        <v>0</v>
      </c>
      <c r="BM161" s="229"/>
      <c r="BN161" s="229"/>
      <c r="BO161" s="229"/>
      <c r="BP161" s="229"/>
      <c r="BQ161" s="229"/>
      <c r="BR161" s="229"/>
      <c r="BS161" s="229"/>
      <c r="BT161" s="229"/>
      <c r="BU161" s="229"/>
      <c r="BV161" s="229"/>
      <c r="BW161" s="445">
        <f>OLOst!P26</f>
        <v>0</v>
      </c>
      <c r="BX161" s="229"/>
      <c r="BY161" s="229"/>
      <c r="BZ161" s="229"/>
      <c r="CA161" s="229"/>
    </row>
    <row r="162" spans="2:79" x14ac:dyDescent="0.25">
      <c r="B162" s="237" t="str">
        <f>Cen!A417</f>
        <v>Sada FI2, 600mm</v>
      </c>
      <c r="C162" s="237" t="str">
        <f>Cen!B417</f>
        <v>ZSI.600FI2N</v>
      </c>
      <c r="D162" s="237" t="str">
        <f>Cen!C417</f>
        <v>IG/G</v>
      </c>
      <c r="E162" s="553">
        <f>Cen!D417</f>
        <v>0</v>
      </c>
      <c r="F162" s="208">
        <f t="shared" si="51"/>
        <v>0</v>
      </c>
      <c r="G162" s="233">
        <f>Cen!F417</f>
        <v>41.475479999999997</v>
      </c>
      <c r="H162" s="234">
        <f t="shared" si="71"/>
        <v>0</v>
      </c>
      <c r="I162" s="250"/>
      <c r="J162" s="235">
        <f>Cen!I417</f>
        <v>6701470</v>
      </c>
      <c r="K162" s="235">
        <f>Cen!J417</f>
        <v>176781</v>
      </c>
      <c r="L162" s="230">
        <f t="shared" si="72"/>
        <v>0</v>
      </c>
      <c r="M162" s="434">
        <f t="shared" si="73"/>
        <v>0</v>
      </c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  <c r="AJ162" s="229"/>
      <c r="AK162" s="229"/>
      <c r="AL162" s="229"/>
      <c r="AM162" s="229"/>
      <c r="AN162" s="229"/>
      <c r="AO162" s="229"/>
      <c r="AP162" s="229"/>
      <c r="AQ162" s="229"/>
      <c r="AR162" s="229"/>
      <c r="AS162" s="229"/>
      <c r="AT162" s="229"/>
      <c r="AU162" s="229"/>
      <c r="AV162" s="229"/>
      <c r="AW162" s="229"/>
      <c r="AX162" s="229"/>
      <c r="AY162" s="229"/>
      <c r="AZ162" s="229"/>
      <c r="BA162" s="229"/>
      <c r="BB162" s="229"/>
      <c r="BC162" s="229"/>
      <c r="BD162" s="229"/>
      <c r="BE162" s="229"/>
      <c r="BF162" s="229"/>
      <c r="BG162" s="229"/>
      <c r="BH162" s="229"/>
      <c r="BI162" s="229"/>
      <c r="BJ162" s="229"/>
      <c r="BL162" s="445">
        <f>OLRo!P15</f>
        <v>0</v>
      </c>
      <c r="BM162" s="229"/>
      <c r="BN162" s="229"/>
      <c r="BO162" s="229"/>
      <c r="BP162" s="229"/>
      <c r="BQ162" s="229"/>
      <c r="BR162" s="229"/>
      <c r="BS162" s="229"/>
      <c r="BT162" s="229"/>
      <c r="BU162" s="229"/>
      <c r="BV162" s="229"/>
      <c r="BW162" s="445">
        <f>OLOst!P27</f>
        <v>0</v>
      </c>
      <c r="BX162" s="229"/>
      <c r="BY162" s="229"/>
      <c r="BZ162" s="229"/>
      <c r="CA162" s="229"/>
    </row>
    <row r="163" spans="2:79" x14ac:dyDescent="0.25">
      <c r="B163" s="237" t="str">
        <f>Cen!A418</f>
        <v>Sada FI2, 650mm</v>
      </c>
      <c r="C163" s="237" t="str">
        <f>Cen!B418</f>
        <v>ZSI.650FI2N</v>
      </c>
      <c r="D163" s="237" t="str">
        <f>Cen!C418</f>
        <v>IG/G</v>
      </c>
      <c r="E163" s="553">
        <f>Cen!D418</f>
        <v>0</v>
      </c>
      <c r="F163" s="208">
        <f t="shared" si="51"/>
        <v>0</v>
      </c>
      <c r="G163" s="233">
        <f>Cen!F418</f>
        <v>43.17924</v>
      </c>
      <c r="H163" s="234">
        <f t="shared" si="71"/>
        <v>0</v>
      </c>
      <c r="I163" s="250"/>
      <c r="J163" s="235">
        <f>Cen!I418</f>
        <v>6702100</v>
      </c>
      <c r="K163" s="235">
        <f>Cen!J418</f>
        <v>176789</v>
      </c>
      <c r="L163" s="230">
        <f t="shared" si="72"/>
        <v>0</v>
      </c>
      <c r="M163" s="434">
        <f t="shared" si="73"/>
        <v>0</v>
      </c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  <c r="AJ163" s="229"/>
      <c r="AK163" s="229"/>
      <c r="AL163" s="229"/>
      <c r="AM163" s="229"/>
      <c r="AN163" s="229"/>
      <c r="AO163" s="229"/>
      <c r="AP163" s="229"/>
      <c r="AQ163" s="229"/>
      <c r="AR163" s="229"/>
      <c r="AS163" s="229"/>
      <c r="AT163" s="229"/>
      <c r="AU163" s="229"/>
      <c r="AV163" s="229"/>
      <c r="AW163" s="229"/>
      <c r="AX163" s="229"/>
      <c r="AY163" s="229"/>
      <c r="AZ163" s="229"/>
      <c r="BA163" s="229"/>
      <c r="BB163" s="229"/>
      <c r="BC163" s="229"/>
      <c r="BD163" s="229"/>
      <c r="BE163" s="229"/>
      <c r="BF163" s="229"/>
      <c r="BG163" s="229"/>
      <c r="BH163" s="229"/>
      <c r="BI163" s="229"/>
      <c r="BJ163" s="229"/>
      <c r="BL163" s="445">
        <f>OLRo!P16</f>
        <v>0</v>
      </c>
      <c r="BM163" s="229"/>
      <c r="BN163" s="229"/>
      <c r="BO163" s="229"/>
      <c r="BP163" s="229"/>
      <c r="BQ163" s="229"/>
      <c r="BR163" s="229"/>
      <c r="BS163" s="229"/>
      <c r="BT163" s="229"/>
      <c r="BU163" s="229"/>
      <c r="BV163" s="229"/>
      <c r="BW163" s="445">
        <f>OLOst!P28</f>
        <v>0</v>
      </c>
      <c r="BX163" s="229"/>
      <c r="BY163" s="229"/>
      <c r="BZ163" s="229"/>
      <c r="CA163" s="229"/>
    </row>
    <row r="164" spans="2:79" x14ac:dyDescent="0.25">
      <c r="B164" s="237" t="str">
        <f>Cen!A419</f>
        <v>Sada FI3, 450mm</v>
      </c>
      <c r="C164" s="237" t="str">
        <f>Cen!B419</f>
        <v>ZSI.450FI3</v>
      </c>
      <c r="D164" s="237" t="str">
        <f>Cen!C419</f>
        <v>IG/G</v>
      </c>
      <c r="E164" s="553">
        <f>Cen!D419</f>
        <v>0</v>
      </c>
      <c r="F164" s="208">
        <f t="shared" si="51"/>
        <v>0</v>
      </c>
      <c r="G164" s="233">
        <f>Cen!F419</f>
        <v>36.719320000000003</v>
      </c>
      <c r="H164" s="234">
        <f t="shared" si="71"/>
        <v>0</v>
      </c>
      <c r="I164" s="250"/>
      <c r="J164" s="235">
        <f>Cen!I419</f>
        <v>3696680</v>
      </c>
      <c r="K164" s="235">
        <f>Cen!J419</f>
        <v>12995</v>
      </c>
      <c r="L164" s="230">
        <f t="shared" si="72"/>
        <v>0</v>
      </c>
      <c r="M164" s="434">
        <f t="shared" si="73"/>
        <v>0</v>
      </c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  <c r="AJ164" s="229"/>
      <c r="AK164" s="229"/>
      <c r="AL164" s="229"/>
      <c r="AM164" s="229"/>
      <c r="AN164" s="229"/>
      <c r="AO164" s="229"/>
      <c r="AP164" s="229"/>
      <c r="AQ164" s="229"/>
      <c r="AR164" s="229"/>
      <c r="AS164" s="229"/>
      <c r="AT164" s="229"/>
      <c r="AU164" s="229"/>
      <c r="AV164" s="229"/>
      <c r="AW164" s="229"/>
      <c r="AX164" s="229"/>
      <c r="AY164" s="229"/>
      <c r="AZ164" s="229"/>
      <c r="BA164" s="229"/>
      <c r="BB164" s="229"/>
      <c r="BC164" s="229"/>
      <c r="BD164" s="229"/>
      <c r="BE164" s="229"/>
      <c r="BF164" s="229"/>
      <c r="BG164" s="229"/>
      <c r="BH164" s="229"/>
      <c r="BI164" s="229"/>
      <c r="BJ164" s="229"/>
      <c r="BL164" s="445">
        <f>OLRo!P17</f>
        <v>0</v>
      </c>
      <c r="BM164" s="229"/>
      <c r="BN164" s="229"/>
      <c r="BO164" s="229"/>
      <c r="BP164" s="229"/>
      <c r="BQ164" s="229"/>
      <c r="BR164" s="229"/>
      <c r="BS164" s="229"/>
      <c r="BT164" s="229"/>
      <c r="BU164" s="229"/>
      <c r="BV164" s="229"/>
      <c r="BW164" s="445">
        <f>OLOst!P29</f>
        <v>0</v>
      </c>
      <c r="BX164" s="229"/>
      <c r="BY164" s="229"/>
      <c r="BZ164" s="229"/>
      <c r="CA164" s="229"/>
    </row>
    <row r="165" spans="2:79" x14ac:dyDescent="0.25">
      <c r="B165" s="237" t="str">
        <f>Cen!A420</f>
        <v>Sada FI3, 500mm</v>
      </c>
      <c r="C165" s="237" t="str">
        <f>Cen!B420</f>
        <v>ZSI.500FI3</v>
      </c>
      <c r="D165" s="237" t="str">
        <f>Cen!C420</f>
        <v>IG/G</v>
      </c>
      <c r="E165" s="553">
        <f>Cen!D420</f>
        <v>0</v>
      </c>
      <c r="F165" s="208">
        <f t="shared" si="51"/>
        <v>0</v>
      </c>
      <c r="G165" s="233">
        <f>Cen!F420</f>
        <v>40.01641</v>
      </c>
      <c r="H165" s="234">
        <f t="shared" si="70"/>
        <v>0</v>
      </c>
      <c r="I165" s="250"/>
      <c r="J165" s="235">
        <f>Cen!I420</f>
        <v>3866940</v>
      </c>
      <c r="K165" s="235">
        <f>Cen!J420</f>
        <v>12996</v>
      </c>
      <c r="L165" s="230">
        <f t="shared" si="46"/>
        <v>0</v>
      </c>
      <c r="M165" s="434">
        <f t="shared" si="47"/>
        <v>0</v>
      </c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  <c r="AJ165" s="229"/>
      <c r="AK165" s="229"/>
      <c r="AL165" s="229"/>
      <c r="AM165" s="229"/>
      <c r="AN165" s="229"/>
      <c r="AO165" s="229"/>
      <c r="AP165" s="229"/>
      <c r="AQ165" s="229"/>
      <c r="AR165" s="229"/>
      <c r="AS165" s="229"/>
      <c r="AT165" s="229"/>
      <c r="AU165" s="229"/>
      <c r="AV165" s="229"/>
      <c r="AW165" s="229"/>
      <c r="AX165" s="229"/>
      <c r="AY165" s="229"/>
      <c r="AZ165" s="229"/>
      <c r="BA165" s="229"/>
      <c r="BB165" s="229"/>
      <c r="BC165" s="229"/>
      <c r="BD165" s="229"/>
      <c r="BE165" s="229"/>
      <c r="BF165" s="229"/>
      <c r="BG165" s="229"/>
      <c r="BH165" s="229"/>
      <c r="BI165" s="229"/>
      <c r="BJ165" s="229"/>
      <c r="BL165" s="445">
        <f>OLRo!P18</f>
        <v>0</v>
      </c>
      <c r="BM165" s="229"/>
      <c r="BN165" s="229"/>
      <c r="BO165" s="229"/>
      <c r="BP165" s="229"/>
      <c r="BQ165" s="229"/>
      <c r="BR165" s="229"/>
      <c r="BS165" s="229"/>
      <c r="BT165" s="229"/>
      <c r="BU165" s="229"/>
      <c r="BV165" s="229"/>
      <c r="BW165" s="445">
        <f>OLOst!P30</f>
        <v>0</v>
      </c>
      <c r="BX165" s="229"/>
      <c r="BY165" s="229"/>
      <c r="BZ165" s="229"/>
      <c r="CA165" s="229"/>
    </row>
    <row r="166" spans="2:79" x14ac:dyDescent="0.25">
      <c r="B166" s="237" t="str">
        <f>Cen!A421</f>
        <v>Sada FI3, 550mm</v>
      </c>
      <c r="C166" s="237" t="str">
        <f>Cen!B421</f>
        <v>ZSI.550FI3</v>
      </c>
      <c r="D166" s="237" t="str">
        <f>Cen!C421</f>
        <v>IG/G</v>
      </c>
      <c r="E166" s="553">
        <f>Cen!D421</f>
        <v>0</v>
      </c>
      <c r="F166" s="208">
        <f t="shared" si="51"/>
        <v>0</v>
      </c>
      <c r="G166" s="233">
        <f>Cen!F421</f>
        <v>50.327669999999998</v>
      </c>
      <c r="H166" s="234">
        <f t="shared" ref="H166:H169" si="74">M166</f>
        <v>0</v>
      </c>
      <c r="I166" s="250"/>
      <c r="J166" s="235">
        <f>Cen!I421</f>
        <v>3696840</v>
      </c>
      <c r="K166" s="235">
        <f>Cen!J421</f>
        <v>12997</v>
      </c>
      <c r="L166" s="230">
        <f t="shared" ref="L166:L169" si="75">IF(I166="x",0,IF(I166&gt;0,I166,F166))</f>
        <v>0</v>
      </c>
      <c r="M166" s="434">
        <f t="shared" ref="M166:M169" si="76">PRODUCT(L166,G166)</f>
        <v>0</v>
      </c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  <c r="AJ166" s="229"/>
      <c r="AK166" s="229"/>
      <c r="AL166" s="229"/>
      <c r="AM166" s="229"/>
      <c r="AN166" s="229"/>
      <c r="AO166" s="229"/>
      <c r="AP166" s="229"/>
      <c r="AQ166" s="229"/>
      <c r="AR166" s="229"/>
      <c r="AS166" s="229"/>
      <c r="AT166" s="229"/>
      <c r="AU166" s="229"/>
      <c r="AV166" s="229"/>
      <c r="AW166" s="229"/>
      <c r="AX166" s="229"/>
      <c r="AY166" s="229"/>
      <c r="AZ166" s="229"/>
      <c r="BA166" s="229"/>
      <c r="BB166" s="229"/>
      <c r="BC166" s="229"/>
      <c r="BD166" s="229"/>
      <c r="BE166" s="229"/>
      <c r="BF166" s="229"/>
      <c r="BG166" s="229"/>
      <c r="BH166" s="229"/>
      <c r="BI166" s="229"/>
      <c r="BJ166" s="229"/>
      <c r="BL166" s="445">
        <f>OLRo!P19</f>
        <v>0</v>
      </c>
      <c r="BM166" s="229"/>
      <c r="BN166" s="229"/>
      <c r="BO166" s="229"/>
      <c r="BP166" s="229"/>
      <c r="BQ166" s="229"/>
      <c r="BR166" s="229"/>
      <c r="BS166" s="229"/>
      <c r="BT166" s="229"/>
      <c r="BU166" s="229"/>
      <c r="BV166" s="229"/>
      <c r="BW166" s="445">
        <f>OLOst!P31</f>
        <v>0</v>
      </c>
      <c r="BX166" s="229"/>
      <c r="BY166" s="229"/>
      <c r="BZ166" s="229"/>
      <c r="CA166" s="229"/>
    </row>
    <row r="167" spans="2:79" x14ac:dyDescent="0.25">
      <c r="B167" s="237" t="str">
        <f>Cen!A422</f>
        <v>Sada FI3, 600mm</v>
      </c>
      <c r="C167" s="237" t="str">
        <f>Cen!B422</f>
        <v>ZSI.600FI3</v>
      </c>
      <c r="D167" s="237" t="str">
        <f>Cen!C422</f>
        <v>IG/G</v>
      </c>
      <c r="E167" s="553">
        <f>Cen!D422</f>
        <v>0</v>
      </c>
      <c r="F167" s="208">
        <f t="shared" si="51"/>
        <v>0</v>
      </c>
      <c r="G167" s="233">
        <f>Cen!F422</f>
        <v>57.414740000000002</v>
      </c>
      <c r="H167" s="234">
        <f t="shared" si="74"/>
        <v>0</v>
      </c>
      <c r="I167" s="250"/>
      <c r="J167" s="235">
        <f>Cen!I422</f>
        <v>3700890</v>
      </c>
      <c r="K167" s="235">
        <f>Cen!J422</f>
        <v>176782</v>
      </c>
      <c r="L167" s="230">
        <f t="shared" si="75"/>
        <v>0</v>
      </c>
      <c r="M167" s="434">
        <f t="shared" si="76"/>
        <v>0</v>
      </c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  <c r="AJ167" s="229"/>
      <c r="AK167" s="229"/>
      <c r="AL167" s="229"/>
      <c r="AM167" s="229"/>
      <c r="AN167" s="229"/>
      <c r="AO167" s="229"/>
      <c r="AP167" s="229"/>
      <c r="AQ167" s="229"/>
      <c r="AR167" s="229"/>
      <c r="AS167" s="229"/>
      <c r="AT167" s="229"/>
      <c r="AU167" s="229"/>
      <c r="AV167" s="229"/>
      <c r="AW167" s="229"/>
      <c r="AX167" s="229"/>
      <c r="AY167" s="229"/>
      <c r="AZ167" s="229"/>
      <c r="BA167" s="229"/>
      <c r="BB167" s="229"/>
      <c r="BC167" s="229"/>
      <c r="BD167" s="229"/>
      <c r="BE167" s="229"/>
      <c r="BF167" s="229"/>
      <c r="BG167" s="229"/>
      <c r="BH167" s="229"/>
      <c r="BI167" s="229"/>
      <c r="BJ167" s="229"/>
      <c r="BL167" s="445">
        <f>OLRo!P20</f>
        <v>0</v>
      </c>
      <c r="BM167" s="229"/>
      <c r="BN167" s="229"/>
      <c r="BO167" s="229"/>
      <c r="BP167" s="229"/>
      <c r="BQ167" s="229"/>
      <c r="BR167" s="229"/>
      <c r="BS167" s="229"/>
      <c r="BT167" s="229"/>
      <c r="BU167" s="229"/>
      <c r="BV167" s="229"/>
      <c r="BW167" s="445">
        <f>OLOst!P32</f>
        <v>0</v>
      </c>
      <c r="BX167" s="229"/>
      <c r="BY167" s="229"/>
      <c r="BZ167" s="229"/>
      <c r="CA167" s="229"/>
    </row>
    <row r="168" spans="2:79" x14ac:dyDescent="0.25">
      <c r="B168" s="237" t="str">
        <f>Cen!A423</f>
        <v>Sada FI3, 650mm</v>
      </c>
      <c r="C168" s="237" t="str">
        <f>Cen!B423</f>
        <v>ZSI.650FI3</v>
      </c>
      <c r="D168" s="237" t="str">
        <f>Cen!C423</f>
        <v>IG/G</v>
      </c>
      <c r="E168" s="553">
        <f>Cen!D423</f>
        <v>0</v>
      </c>
      <c r="F168" s="208">
        <f t="shared" si="51"/>
        <v>0</v>
      </c>
      <c r="G168" s="233">
        <f>Cen!F423</f>
        <v>74.162480000000002</v>
      </c>
      <c r="H168" s="234">
        <f t="shared" si="74"/>
        <v>0</v>
      </c>
      <c r="I168" s="250"/>
      <c r="J168" s="235">
        <f>Cen!I423</f>
        <v>3867240</v>
      </c>
      <c r="K168" s="235">
        <f>Cen!J423</f>
        <v>12998</v>
      </c>
      <c r="L168" s="230">
        <f t="shared" si="75"/>
        <v>0</v>
      </c>
      <c r="M168" s="434">
        <f t="shared" si="76"/>
        <v>0</v>
      </c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  <c r="AJ168" s="229"/>
      <c r="AK168" s="229"/>
      <c r="AL168" s="229"/>
      <c r="AM168" s="229"/>
      <c r="AN168" s="229"/>
      <c r="AO168" s="229"/>
      <c r="AP168" s="229"/>
      <c r="AQ168" s="229"/>
      <c r="AR168" s="229"/>
      <c r="AS168" s="229"/>
      <c r="AT168" s="229"/>
      <c r="AU168" s="229"/>
      <c r="AV168" s="229"/>
      <c r="AW168" s="229"/>
      <c r="AX168" s="229"/>
      <c r="AY168" s="229"/>
      <c r="AZ168" s="229"/>
      <c r="BA168" s="229"/>
      <c r="BB168" s="229"/>
      <c r="BC168" s="229"/>
      <c r="BD168" s="229"/>
      <c r="BE168" s="229"/>
      <c r="BF168" s="229"/>
      <c r="BG168" s="229"/>
      <c r="BH168" s="229"/>
      <c r="BI168" s="229"/>
      <c r="BJ168" s="229"/>
      <c r="BL168" s="445">
        <f>OLRo!P21</f>
        <v>0</v>
      </c>
      <c r="BM168" s="229"/>
      <c r="BN168" s="229"/>
      <c r="BO168" s="229"/>
      <c r="BP168" s="229"/>
      <c r="BQ168" s="229"/>
      <c r="BR168" s="229"/>
      <c r="BS168" s="229"/>
      <c r="BT168" s="229"/>
      <c r="BU168" s="229"/>
      <c r="BV168" s="229"/>
      <c r="BW168" s="445">
        <f>OLOst!P33</f>
        <v>0</v>
      </c>
      <c r="BX168" s="229"/>
      <c r="BY168" s="229"/>
      <c r="BZ168" s="229"/>
      <c r="CA168" s="229"/>
    </row>
    <row r="169" spans="2:79" x14ac:dyDescent="0.25">
      <c r="B169" s="237" t="str">
        <f>Cen!A424</f>
        <v>Sada pro korpus KB 600mm, NL 450mm</v>
      </c>
      <c r="C169" s="237" t="str">
        <f>Cen!B424</f>
        <v>ZSI.60VUI4</v>
      </c>
      <c r="D169" s="237" t="str">
        <f>Cen!C424</f>
        <v>IG/G</v>
      </c>
      <c r="E169" s="553">
        <f>Cen!D424</f>
        <v>0</v>
      </c>
      <c r="F169" s="208">
        <f t="shared" si="51"/>
        <v>0</v>
      </c>
      <c r="G169" s="233">
        <f>Cen!F424</f>
        <v>71.217339999999993</v>
      </c>
      <c r="H169" s="234">
        <f t="shared" si="74"/>
        <v>0</v>
      </c>
      <c r="I169" s="250"/>
      <c r="J169" s="235">
        <f>Cen!I424</f>
        <v>6748430</v>
      </c>
      <c r="K169" s="235">
        <f>Cen!J424</f>
        <v>12963</v>
      </c>
      <c r="L169" s="230">
        <f t="shared" si="75"/>
        <v>0</v>
      </c>
      <c r="M169" s="434">
        <f t="shared" si="76"/>
        <v>0</v>
      </c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  <c r="AJ169" s="229"/>
      <c r="AK169" s="229"/>
      <c r="AL169" s="229"/>
      <c r="AM169" s="229"/>
      <c r="AN169" s="229"/>
      <c r="AO169" s="229"/>
      <c r="AP169" s="229"/>
      <c r="AQ169" s="229"/>
      <c r="AR169" s="229"/>
      <c r="AS169" s="229"/>
      <c r="AT169" s="229"/>
      <c r="AU169" s="229"/>
      <c r="AV169" s="229"/>
      <c r="AW169" s="229"/>
      <c r="AX169" s="229"/>
      <c r="AY169" s="229"/>
      <c r="AZ169" s="229"/>
      <c r="BA169" s="229"/>
      <c r="BB169" s="229"/>
      <c r="BC169" s="229"/>
      <c r="BD169" s="229"/>
      <c r="BE169" s="229"/>
      <c r="BF169" s="229"/>
      <c r="BG169" s="229"/>
      <c r="BH169" s="229"/>
      <c r="BI169" s="229"/>
      <c r="BJ169" s="229"/>
      <c r="BL169" s="445">
        <f>OLRo!P22</f>
        <v>0</v>
      </c>
      <c r="BM169" s="229"/>
      <c r="BN169" s="229"/>
      <c r="BO169" s="229"/>
      <c r="BP169" s="229"/>
      <c r="BQ169" s="229"/>
      <c r="BR169" s="229"/>
      <c r="BS169" s="229"/>
      <c r="BT169" s="229"/>
      <c r="BU169" s="229"/>
      <c r="BV169" s="229"/>
      <c r="BW169" s="229"/>
      <c r="BX169" s="229"/>
      <c r="BY169" s="229"/>
      <c r="BZ169" s="229"/>
      <c r="CA169" s="229"/>
    </row>
    <row r="170" spans="2:79" x14ac:dyDescent="0.25">
      <c r="B170" s="237" t="str">
        <f>Cen!A425</f>
        <v>Sada pro korpus KB 600mm, NL 500mm</v>
      </c>
      <c r="C170" s="237" t="str">
        <f>Cen!B425</f>
        <v>ZSI.60VUI6</v>
      </c>
      <c r="D170" s="237" t="str">
        <f>Cen!C425</f>
        <v>IG/G</v>
      </c>
      <c r="E170" s="553">
        <f>Cen!D425</f>
        <v>0</v>
      </c>
      <c r="F170" s="208">
        <f t="shared" si="51"/>
        <v>0</v>
      </c>
      <c r="G170" s="233">
        <f>Cen!F425</f>
        <v>84.367519999999999</v>
      </c>
      <c r="H170" s="234">
        <f t="shared" si="70"/>
        <v>0</v>
      </c>
      <c r="I170" s="250"/>
      <c r="J170" s="235">
        <f>Cen!I425</f>
        <v>6747970</v>
      </c>
      <c r="K170" s="235">
        <f>Cen!J425</f>
        <v>92078</v>
      </c>
      <c r="L170" s="230">
        <f t="shared" si="38"/>
        <v>0</v>
      </c>
      <c r="M170" s="434">
        <f t="shared" si="39"/>
        <v>0</v>
      </c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  <c r="AJ170" s="229"/>
      <c r="AK170" s="229"/>
      <c r="AL170" s="229"/>
      <c r="AM170" s="229"/>
      <c r="AN170" s="229"/>
      <c r="AO170" s="229"/>
      <c r="AP170" s="229"/>
      <c r="AQ170" s="229"/>
      <c r="AR170" s="229"/>
      <c r="AS170" s="229"/>
      <c r="AT170" s="229"/>
      <c r="AU170" s="229"/>
      <c r="AV170" s="229"/>
      <c r="AW170" s="229"/>
      <c r="AX170" s="229"/>
      <c r="AY170" s="229"/>
      <c r="AZ170" s="229"/>
      <c r="BA170" s="229"/>
      <c r="BB170" s="229"/>
      <c r="BC170" s="229"/>
      <c r="BD170" s="229"/>
      <c r="BE170" s="229"/>
      <c r="BF170" s="229"/>
      <c r="BG170" s="229"/>
      <c r="BH170" s="229"/>
      <c r="BI170" s="229"/>
      <c r="BJ170" s="229"/>
      <c r="BL170" s="445">
        <f>OLRo!P23</f>
        <v>0</v>
      </c>
      <c r="BM170" s="229"/>
      <c r="BN170" s="229"/>
      <c r="BO170" s="229"/>
      <c r="BP170" s="229"/>
      <c r="BQ170" s="229"/>
      <c r="BR170" s="229"/>
      <c r="BS170" s="229"/>
      <c r="BT170" s="229"/>
      <c r="BU170" s="229"/>
      <c r="BV170" s="229"/>
      <c r="BX170" s="229"/>
      <c r="BY170" s="229"/>
      <c r="BZ170" s="229"/>
      <c r="CA170" s="229"/>
    </row>
    <row r="171" spans="2:79" x14ac:dyDescent="0.25">
      <c r="B171" s="237" t="str">
        <f>Cen!A426</f>
        <v>Sada pro korpus KB 600mm, NL 550mm</v>
      </c>
      <c r="C171" s="237" t="str">
        <f>Cen!B426</f>
        <v>ZSI.60VUI7</v>
      </c>
      <c r="D171" s="237" t="str">
        <f>Cen!C426</f>
        <v>IG/G</v>
      </c>
      <c r="E171" s="553">
        <f>Cen!D426</f>
        <v>0</v>
      </c>
      <c r="F171" s="208">
        <f t="shared" si="51"/>
        <v>0</v>
      </c>
      <c r="G171" s="233">
        <f>Cen!F426</f>
        <v>101.39028</v>
      </c>
      <c r="H171" s="234">
        <f t="shared" ref="H171:H172" si="77">M171</f>
        <v>0</v>
      </c>
      <c r="I171" s="250"/>
      <c r="J171" s="235">
        <f>Cen!I426</f>
        <v>6747890</v>
      </c>
      <c r="K171" s="235">
        <f>Cen!J426</f>
        <v>14097</v>
      </c>
      <c r="L171" s="230">
        <f t="shared" ref="L171:L172" si="78">IF(I171="x",0,IF(I171&gt;0,I171,F171))</f>
        <v>0</v>
      </c>
      <c r="M171" s="434">
        <f t="shared" ref="M171:M172" si="79">PRODUCT(L171,G171)</f>
        <v>0</v>
      </c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  <c r="AJ171" s="229"/>
      <c r="AK171" s="229"/>
      <c r="AL171" s="229"/>
      <c r="AM171" s="229"/>
      <c r="AN171" s="229"/>
      <c r="AO171" s="229"/>
      <c r="AP171" s="229"/>
      <c r="AQ171" s="229"/>
      <c r="AR171" s="229"/>
      <c r="AS171" s="229"/>
      <c r="AT171" s="229"/>
      <c r="AU171" s="229"/>
      <c r="AV171" s="229"/>
      <c r="AW171" s="229"/>
      <c r="AX171" s="229"/>
      <c r="AY171" s="229"/>
      <c r="AZ171" s="229"/>
      <c r="BA171" s="229"/>
      <c r="BB171" s="229"/>
      <c r="BC171" s="229"/>
      <c r="BD171" s="229"/>
      <c r="BE171" s="229"/>
      <c r="BF171" s="229"/>
      <c r="BG171" s="229"/>
      <c r="BH171" s="229"/>
      <c r="BI171" s="229"/>
      <c r="BJ171" s="229"/>
      <c r="BL171" s="445">
        <f>OLRo!P24</f>
        <v>0</v>
      </c>
      <c r="BM171" s="229"/>
      <c r="BN171" s="229"/>
      <c r="BO171" s="229"/>
      <c r="BP171" s="229"/>
      <c r="BQ171" s="229"/>
      <c r="BR171" s="229"/>
      <c r="BS171" s="229"/>
      <c r="BT171" s="229"/>
      <c r="BU171" s="229"/>
      <c r="BV171" s="229"/>
      <c r="BX171" s="229"/>
      <c r="BY171" s="229"/>
      <c r="BZ171" s="229"/>
      <c r="CA171" s="229"/>
    </row>
    <row r="172" spans="2:79" x14ac:dyDescent="0.25">
      <c r="B172" s="237" t="str">
        <f>Cen!A427</f>
        <v>Sada pro korpus KB 900mm, NL 450 mm</v>
      </c>
      <c r="C172" s="237" t="str">
        <f>Cen!B427</f>
        <v>ZSI.90VUI4</v>
      </c>
      <c r="D172" s="237" t="str">
        <f>Cen!C427</f>
        <v>IG/G</v>
      </c>
      <c r="E172" s="553">
        <f>Cen!D427</f>
        <v>0</v>
      </c>
      <c r="F172" s="208">
        <f t="shared" si="51"/>
        <v>0</v>
      </c>
      <c r="G172" s="233">
        <f>Cen!F427</f>
        <v>100.48037000000001</v>
      </c>
      <c r="H172" s="234">
        <f t="shared" si="77"/>
        <v>0</v>
      </c>
      <c r="I172" s="250"/>
      <c r="J172" s="235">
        <f>Cen!I427</f>
        <v>6745760</v>
      </c>
      <c r="K172" s="235">
        <f>Cen!J427</f>
        <v>13013</v>
      </c>
      <c r="L172" s="230">
        <f t="shared" si="78"/>
        <v>0</v>
      </c>
      <c r="M172" s="434">
        <f t="shared" si="79"/>
        <v>0</v>
      </c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  <c r="AJ172" s="229"/>
      <c r="AK172" s="229"/>
      <c r="AL172" s="229"/>
      <c r="AM172" s="229"/>
      <c r="AN172" s="229"/>
      <c r="AO172" s="229"/>
      <c r="AP172" s="229"/>
      <c r="AQ172" s="229"/>
      <c r="AR172" s="229"/>
      <c r="AS172" s="229"/>
      <c r="AT172" s="229"/>
      <c r="AU172" s="229"/>
      <c r="AV172" s="229"/>
      <c r="AW172" s="229"/>
      <c r="AX172" s="229"/>
      <c r="AY172" s="229"/>
      <c r="AZ172" s="229"/>
      <c r="BA172" s="229"/>
      <c r="BB172" s="229"/>
      <c r="BC172" s="229"/>
      <c r="BD172" s="229"/>
      <c r="BE172" s="229"/>
      <c r="BF172" s="229"/>
      <c r="BG172" s="229"/>
      <c r="BH172" s="229"/>
      <c r="BI172" s="229"/>
      <c r="BJ172" s="229"/>
      <c r="BL172" s="445">
        <f>OLRo!P25</f>
        <v>0</v>
      </c>
      <c r="BM172" s="229"/>
      <c r="BN172" s="229"/>
      <c r="BO172" s="229"/>
      <c r="BP172" s="229"/>
      <c r="BQ172" s="229"/>
      <c r="BR172" s="229"/>
      <c r="BS172" s="229"/>
      <c r="BT172" s="229"/>
      <c r="BU172" s="229"/>
      <c r="BV172" s="229"/>
      <c r="BX172" s="229"/>
      <c r="BY172" s="229"/>
      <c r="BZ172" s="229"/>
      <c r="CA172" s="229"/>
    </row>
    <row r="173" spans="2:79" x14ac:dyDescent="0.25">
      <c r="B173" s="237" t="str">
        <f>Cen!A428</f>
        <v>Sada pro korpus KB 900mm, NL 500 mm</v>
      </c>
      <c r="C173" s="237" t="str">
        <f>Cen!B428</f>
        <v>ZSI.90VUI6</v>
      </c>
      <c r="D173" s="237" t="str">
        <f>Cen!C428</f>
        <v>IG/G</v>
      </c>
      <c r="E173" s="553">
        <f>Cen!D428</f>
        <v>0</v>
      </c>
      <c r="F173" s="208">
        <f t="shared" si="51"/>
        <v>0</v>
      </c>
      <c r="G173" s="233">
        <f>Cen!F428</f>
        <v>98.289760000000001</v>
      </c>
      <c r="H173" s="234">
        <f t="shared" si="70"/>
        <v>0</v>
      </c>
      <c r="I173" s="250"/>
      <c r="J173" s="235">
        <f>Cen!I428</f>
        <v>6751140</v>
      </c>
      <c r="K173" s="235">
        <f>Cen!J428</f>
        <v>12910</v>
      </c>
      <c r="L173" s="230">
        <f t="shared" si="38"/>
        <v>0</v>
      </c>
      <c r="M173" s="434">
        <f t="shared" si="39"/>
        <v>0</v>
      </c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  <c r="AJ173" s="229"/>
      <c r="AK173" s="229"/>
      <c r="AL173" s="229"/>
      <c r="AM173" s="229"/>
      <c r="AN173" s="229"/>
      <c r="AO173" s="229"/>
      <c r="AP173" s="229"/>
      <c r="AQ173" s="229"/>
      <c r="AR173" s="229"/>
      <c r="AS173" s="229"/>
      <c r="AT173" s="229"/>
      <c r="AU173" s="229"/>
      <c r="AV173" s="229"/>
      <c r="AW173" s="229"/>
      <c r="AX173" s="229"/>
      <c r="AY173" s="229"/>
      <c r="AZ173" s="229"/>
      <c r="BA173" s="229"/>
      <c r="BB173" s="229"/>
      <c r="BC173" s="229"/>
      <c r="BD173" s="229"/>
      <c r="BE173" s="229"/>
      <c r="BF173" s="229"/>
      <c r="BG173" s="229"/>
      <c r="BH173" s="229"/>
      <c r="BI173" s="229"/>
      <c r="BJ173" s="229"/>
      <c r="BK173" s="229"/>
      <c r="BL173" s="445">
        <f>OLRo!P26</f>
        <v>0</v>
      </c>
      <c r="BM173" s="229"/>
      <c r="BN173" s="229"/>
      <c r="BO173" s="229"/>
      <c r="BP173" s="229"/>
      <c r="BQ173" s="229"/>
      <c r="BR173" s="229"/>
      <c r="BS173" s="229"/>
      <c r="BT173" s="229"/>
      <c r="BU173" s="229"/>
      <c r="BV173" s="229"/>
      <c r="BX173" s="229"/>
      <c r="BY173" s="229"/>
      <c r="BZ173" s="229"/>
      <c r="CA173" s="229"/>
    </row>
    <row r="174" spans="2:79" x14ac:dyDescent="0.25">
      <c r="B174" s="237" t="str">
        <f>Cen!A429</f>
        <v>Sada pro korpus KB 900mm, NL 550 mm</v>
      </c>
      <c r="C174" s="237" t="str">
        <f>Cen!B429</f>
        <v>ZSI.90VUI7</v>
      </c>
      <c r="D174" s="237" t="str">
        <f>Cen!C429</f>
        <v>IG/G</v>
      </c>
      <c r="E174" s="553">
        <f>Cen!D429</f>
        <v>0</v>
      </c>
      <c r="F174" s="208">
        <f t="shared" si="51"/>
        <v>0</v>
      </c>
      <c r="G174" s="233">
        <f>Cen!F429</f>
        <v>113.6379</v>
      </c>
      <c r="H174" s="234">
        <f t="shared" ref="H174:H175" si="80">M174</f>
        <v>0</v>
      </c>
      <c r="I174" s="250"/>
      <c r="J174" s="235">
        <f>Cen!I429</f>
        <v>6751060</v>
      </c>
      <c r="K174" s="235">
        <f>Cen!J429</f>
        <v>12978</v>
      </c>
      <c r="L174" s="230">
        <f t="shared" ref="L174:L175" si="81">IF(I174="x",0,IF(I174&gt;0,I174,F174))</f>
        <v>0</v>
      </c>
      <c r="M174" s="434">
        <f t="shared" ref="M174:M175" si="82">PRODUCT(L174,G174)</f>
        <v>0</v>
      </c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  <c r="AJ174" s="229"/>
      <c r="AK174" s="229"/>
      <c r="AL174" s="229"/>
      <c r="AM174" s="229"/>
      <c r="AN174" s="229"/>
      <c r="AO174" s="229"/>
      <c r="AP174" s="229"/>
      <c r="AQ174" s="229"/>
      <c r="AR174" s="229"/>
      <c r="AS174" s="229"/>
      <c r="AT174" s="229"/>
      <c r="AU174" s="229"/>
      <c r="AV174" s="229"/>
      <c r="AW174" s="229"/>
      <c r="AX174" s="229"/>
      <c r="AY174" s="229"/>
      <c r="AZ174" s="229"/>
      <c r="BA174" s="229"/>
      <c r="BB174" s="229"/>
      <c r="BC174" s="229"/>
      <c r="BD174" s="229"/>
      <c r="BE174" s="229"/>
      <c r="BF174" s="229"/>
      <c r="BG174" s="229"/>
      <c r="BH174" s="229"/>
      <c r="BI174" s="229"/>
      <c r="BJ174" s="229"/>
      <c r="BK174" s="229"/>
      <c r="BL174" s="445">
        <f>OLRo!P27</f>
        <v>0</v>
      </c>
      <c r="BM174" s="229"/>
      <c r="BN174" s="229"/>
      <c r="BO174" s="229"/>
      <c r="BP174" s="229"/>
      <c r="BQ174" s="229"/>
      <c r="BR174" s="229"/>
      <c r="BS174" s="229"/>
      <c r="BT174" s="229"/>
      <c r="BU174" s="229"/>
      <c r="BV174" s="229"/>
      <c r="BX174" s="229"/>
      <c r="BY174" s="229"/>
      <c r="BZ174" s="229"/>
      <c r="CA174" s="229"/>
    </row>
    <row r="175" spans="2:79" x14ac:dyDescent="0.25">
      <c r="B175" s="237" t="str">
        <f>Cen!A430</f>
        <v>Sada pro korpus KB 1200mm, NL 450mm</v>
      </c>
      <c r="C175" s="237" t="str">
        <f>Cen!B430</f>
        <v>ZSI.12VUI4</v>
      </c>
      <c r="D175" s="237" t="str">
        <f>Cen!C430</f>
        <v>IG/G</v>
      </c>
      <c r="E175" s="553">
        <f>Cen!D430</f>
        <v>0</v>
      </c>
      <c r="F175" s="208">
        <f t="shared" si="51"/>
        <v>0</v>
      </c>
      <c r="G175" s="233">
        <f>Cen!F430</f>
        <v>137.53487000000001</v>
      </c>
      <c r="H175" s="234">
        <f t="shared" si="80"/>
        <v>0</v>
      </c>
      <c r="I175" s="250"/>
      <c r="J175" s="235">
        <f>Cen!I430</f>
        <v>6749300</v>
      </c>
      <c r="K175" s="235">
        <f>Cen!J430</f>
        <v>12917</v>
      </c>
      <c r="L175" s="230">
        <f t="shared" si="81"/>
        <v>0</v>
      </c>
      <c r="M175" s="434">
        <f t="shared" si="82"/>
        <v>0</v>
      </c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  <c r="AJ175" s="229"/>
      <c r="AK175" s="229"/>
      <c r="AL175" s="229"/>
      <c r="AM175" s="229"/>
      <c r="AN175" s="229"/>
      <c r="AO175" s="229"/>
      <c r="AP175" s="229"/>
      <c r="AQ175" s="229"/>
      <c r="AR175" s="229"/>
      <c r="AS175" s="229"/>
      <c r="AT175" s="229"/>
      <c r="AU175" s="229"/>
      <c r="AV175" s="229"/>
      <c r="AW175" s="229"/>
      <c r="AX175" s="229"/>
      <c r="AY175" s="229"/>
      <c r="AZ175" s="229"/>
      <c r="BA175" s="229"/>
      <c r="BB175" s="229"/>
      <c r="BC175" s="229"/>
      <c r="BD175" s="229"/>
      <c r="BE175" s="229"/>
      <c r="BF175" s="229"/>
      <c r="BG175" s="229"/>
      <c r="BH175" s="229"/>
      <c r="BI175" s="229"/>
      <c r="BJ175" s="229"/>
      <c r="BK175" s="229"/>
      <c r="BL175" s="445">
        <f>OLRo!P28</f>
        <v>0</v>
      </c>
      <c r="BM175" s="229"/>
      <c r="BN175" s="229"/>
      <c r="BO175" s="229"/>
      <c r="BP175" s="229"/>
      <c r="BQ175" s="229"/>
      <c r="BR175" s="229"/>
      <c r="BS175" s="229"/>
      <c r="BT175" s="229"/>
      <c r="BU175" s="229"/>
      <c r="BV175" s="229"/>
      <c r="BX175" s="229"/>
      <c r="BY175" s="229"/>
      <c r="BZ175" s="229"/>
      <c r="CA175" s="229"/>
    </row>
    <row r="176" spans="2:79" x14ac:dyDescent="0.25">
      <c r="B176" s="237" t="str">
        <f>Cen!A431</f>
        <v>Sada pro korpus KB 1200mm, NL 500mm</v>
      </c>
      <c r="C176" s="237" t="str">
        <f>Cen!B431</f>
        <v>ZSI.12VUI6</v>
      </c>
      <c r="D176" s="237" t="str">
        <f>Cen!C431</f>
        <v>IG/G</v>
      </c>
      <c r="E176" s="553">
        <f>Cen!D431</f>
        <v>0</v>
      </c>
      <c r="F176" s="208">
        <f t="shared" si="51"/>
        <v>0</v>
      </c>
      <c r="G176" s="233">
        <f>Cen!F431</f>
        <v>139.91039000000001</v>
      </c>
      <c r="H176" s="234">
        <f t="shared" si="70"/>
        <v>0</v>
      </c>
      <c r="I176" s="250"/>
      <c r="J176" s="235">
        <f>Cen!I431</f>
        <v>6749830</v>
      </c>
      <c r="K176" s="235">
        <f>Cen!J431</f>
        <v>92079</v>
      </c>
      <c r="L176" s="230">
        <f t="shared" si="38"/>
        <v>0</v>
      </c>
      <c r="M176" s="434">
        <f t="shared" si="39"/>
        <v>0</v>
      </c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  <c r="AJ176" s="229"/>
      <c r="AK176" s="229"/>
      <c r="AL176" s="229"/>
      <c r="AM176" s="229"/>
      <c r="AN176" s="229"/>
      <c r="AO176" s="229"/>
      <c r="AP176" s="229"/>
      <c r="AQ176" s="229"/>
      <c r="AR176" s="229"/>
      <c r="AS176" s="229"/>
      <c r="AT176" s="229"/>
      <c r="AU176" s="229"/>
      <c r="AV176" s="229"/>
      <c r="AW176" s="229"/>
      <c r="AX176" s="229"/>
      <c r="AY176" s="229"/>
      <c r="AZ176" s="229"/>
      <c r="BA176" s="229"/>
      <c r="BB176" s="229"/>
      <c r="BC176" s="229"/>
      <c r="BD176" s="229"/>
      <c r="BE176" s="229"/>
      <c r="BF176" s="229"/>
      <c r="BG176" s="229"/>
      <c r="BH176" s="229"/>
      <c r="BI176" s="229"/>
      <c r="BJ176" s="229"/>
      <c r="BK176" s="229"/>
      <c r="BL176" s="445">
        <f>OLRo!P29</f>
        <v>0</v>
      </c>
      <c r="BM176" s="229"/>
      <c r="BN176" s="229"/>
      <c r="BO176" s="229"/>
      <c r="BP176" s="229"/>
      <c r="BQ176" s="229"/>
      <c r="BR176" s="229"/>
      <c r="BS176" s="229"/>
      <c r="BT176" s="229"/>
      <c r="BU176" s="229"/>
      <c r="BV176" s="229"/>
      <c r="BX176" s="229"/>
      <c r="BY176" s="229"/>
      <c r="BZ176" s="229"/>
      <c r="CA176" s="229"/>
    </row>
    <row r="177" spans="2:79" x14ac:dyDescent="0.25">
      <c r="B177" s="237" t="str">
        <f>Cen!A432</f>
        <v>Sada pro korpus KB 1200mm, NL 550mm</v>
      </c>
      <c r="C177" s="237" t="str">
        <f>Cen!B432</f>
        <v>ZSI.12VUI7</v>
      </c>
      <c r="D177" s="237" t="str">
        <f>Cen!C432</f>
        <v>IG/G</v>
      </c>
      <c r="E177" s="553">
        <f>Cen!D432</f>
        <v>0</v>
      </c>
      <c r="F177" s="208">
        <f t="shared" si="51"/>
        <v>0</v>
      </c>
      <c r="G177" s="233">
        <f>Cen!F432</f>
        <v>170.68159</v>
      </c>
      <c r="H177" s="234">
        <f t="shared" ref="H177:H178" si="83">M177</f>
        <v>0</v>
      </c>
      <c r="I177" s="250"/>
      <c r="J177" s="235">
        <f>Cen!I432</f>
        <v>6750900</v>
      </c>
      <c r="K177" s="235">
        <f>Cen!J432</f>
        <v>225197</v>
      </c>
      <c r="L177" s="230">
        <f t="shared" ref="L177:L178" si="84">IF(I177="x",0,IF(I177&gt;0,I177,F177))</f>
        <v>0</v>
      </c>
      <c r="M177" s="434">
        <f t="shared" ref="M177:M178" si="85">PRODUCT(L177,G177)</f>
        <v>0</v>
      </c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  <c r="AJ177" s="229"/>
      <c r="AK177" s="229"/>
      <c r="AL177" s="229"/>
      <c r="AM177" s="229"/>
      <c r="AN177" s="229"/>
      <c r="AO177" s="229"/>
      <c r="AP177" s="229"/>
      <c r="AQ177" s="229"/>
      <c r="AR177" s="229"/>
      <c r="AS177" s="229"/>
      <c r="AT177" s="229"/>
      <c r="AU177" s="229"/>
      <c r="AV177" s="229"/>
      <c r="AW177" s="229"/>
      <c r="AX177" s="229"/>
      <c r="AY177" s="229"/>
      <c r="AZ177" s="229"/>
      <c r="BA177" s="229"/>
      <c r="BB177" s="229"/>
      <c r="BC177" s="229"/>
      <c r="BD177" s="229"/>
      <c r="BE177" s="229"/>
      <c r="BF177" s="229"/>
      <c r="BG177" s="229"/>
      <c r="BH177" s="229"/>
      <c r="BI177" s="229"/>
      <c r="BJ177" s="229"/>
      <c r="BK177" s="229"/>
      <c r="BL177" s="445">
        <f>OLRo!P30</f>
        <v>0</v>
      </c>
      <c r="BM177" s="229"/>
      <c r="BN177" s="229"/>
      <c r="BO177" s="229"/>
      <c r="BP177" s="229"/>
      <c r="BQ177" s="229"/>
      <c r="BR177" s="229"/>
      <c r="BS177" s="229"/>
      <c r="BT177" s="229"/>
      <c r="BU177" s="229"/>
      <c r="BV177" s="229"/>
      <c r="BX177" s="229"/>
      <c r="BY177" s="229"/>
      <c r="BZ177" s="229"/>
      <c r="CA177" s="229"/>
    </row>
    <row r="178" spans="2:79" x14ac:dyDescent="0.25">
      <c r="B178" s="237" t="str">
        <f>Cen!A435</f>
        <v>Sada KI2, 450mm</v>
      </c>
      <c r="C178" s="237" t="str">
        <f>Cen!B435</f>
        <v>ZSI.450KI2N</v>
      </c>
      <c r="D178" s="237" t="str">
        <f>Cen!C435</f>
        <v>IG/G</v>
      </c>
      <c r="E178" s="553">
        <f>Cen!D435</f>
        <v>0</v>
      </c>
      <c r="F178" s="208">
        <f t="shared" si="51"/>
        <v>0</v>
      </c>
      <c r="G178" s="233">
        <f>Cen!F435</f>
        <v>40.821069999999999</v>
      </c>
      <c r="H178" s="234">
        <f t="shared" si="83"/>
        <v>0</v>
      </c>
      <c r="I178" s="250"/>
      <c r="J178" s="235">
        <f>Cen!I435</f>
        <v>6698150</v>
      </c>
      <c r="K178" s="235">
        <f>Cen!J435</f>
        <v>12999</v>
      </c>
      <c r="L178" s="230">
        <f t="shared" si="84"/>
        <v>0</v>
      </c>
      <c r="M178" s="434">
        <f t="shared" si="85"/>
        <v>0</v>
      </c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  <c r="AJ178" s="229"/>
      <c r="AK178" s="229"/>
      <c r="AL178" s="229"/>
      <c r="AM178" s="229"/>
      <c r="AN178" s="229"/>
      <c r="AO178" s="229"/>
      <c r="AP178" s="229"/>
      <c r="AQ178" s="229"/>
      <c r="AR178" s="229"/>
      <c r="AS178" s="229"/>
      <c r="AT178" s="229"/>
      <c r="AU178" s="229"/>
      <c r="AV178" s="229"/>
      <c r="AW178" s="229"/>
      <c r="AX178" s="229"/>
      <c r="AY178" s="229"/>
      <c r="AZ178" s="229"/>
      <c r="BA178" s="229"/>
      <c r="BB178" s="229"/>
      <c r="BC178" s="229"/>
      <c r="BD178" s="229"/>
      <c r="BE178" s="229"/>
      <c r="BF178" s="229"/>
      <c r="BG178" s="229"/>
      <c r="BH178" s="229"/>
      <c r="BI178" s="229"/>
      <c r="BJ178" s="229"/>
      <c r="BK178" s="229"/>
      <c r="BL178" s="445">
        <f>OLRo!P31</f>
        <v>0</v>
      </c>
      <c r="BM178" s="229"/>
      <c r="BN178" s="229"/>
      <c r="BO178" s="229"/>
      <c r="BP178" s="229"/>
      <c r="BQ178" s="229"/>
      <c r="BR178" s="229"/>
      <c r="BS178" s="229"/>
      <c r="BT178" s="229"/>
      <c r="BU178" s="229"/>
      <c r="BV178" s="229"/>
      <c r="BW178" s="445">
        <f>OLOst!P34</f>
        <v>0</v>
      </c>
      <c r="BX178" s="229"/>
      <c r="BY178" s="229"/>
      <c r="BZ178" s="229"/>
      <c r="CA178" s="229"/>
    </row>
    <row r="179" spans="2:79" x14ac:dyDescent="0.25">
      <c r="B179" s="237" t="str">
        <f>Cen!A436</f>
        <v>Sada KI2, 500mm</v>
      </c>
      <c r="C179" s="237" t="str">
        <f>Cen!B436</f>
        <v>ZSI.500KI2N</v>
      </c>
      <c r="D179" s="237" t="str">
        <f>Cen!C436</f>
        <v>IG/G</v>
      </c>
      <c r="E179" s="553">
        <f>Cen!D436</f>
        <v>0</v>
      </c>
      <c r="F179" s="208">
        <f t="shared" si="51"/>
        <v>0</v>
      </c>
      <c r="G179" s="233">
        <f>Cen!F436</f>
        <v>47.945549999999997</v>
      </c>
      <c r="H179" s="234">
        <f t="shared" si="70"/>
        <v>0</v>
      </c>
      <c r="I179" s="250"/>
      <c r="J179" s="235">
        <f>Cen!I436</f>
        <v>6700580</v>
      </c>
      <c r="K179" s="235">
        <f>Cen!J436</f>
        <v>13000</v>
      </c>
      <c r="L179" s="230">
        <f t="shared" si="38"/>
        <v>0</v>
      </c>
      <c r="M179" s="434">
        <f t="shared" si="39"/>
        <v>0</v>
      </c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  <c r="AJ179" s="229"/>
      <c r="AK179" s="229"/>
      <c r="AL179" s="229"/>
      <c r="AM179" s="229"/>
      <c r="AN179" s="229"/>
      <c r="AO179" s="229"/>
      <c r="AP179" s="229"/>
      <c r="AQ179" s="229"/>
      <c r="AR179" s="229"/>
      <c r="AS179" s="229"/>
      <c r="AT179" s="229"/>
      <c r="AU179" s="229"/>
      <c r="AV179" s="229"/>
      <c r="AW179" s="229"/>
      <c r="AX179" s="229"/>
      <c r="AY179" s="229"/>
      <c r="AZ179" s="229"/>
      <c r="BA179" s="229"/>
      <c r="BB179" s="229"/>
      <c r="BC179" s="229"/>
      <c r="BD179" s="229"/>
      <c r="BE179" s="229"/>
      <c r="BF179" s="229"/>
      <c r="BG179" s="229"/>
      <c r="BH179" s="229"/>
      <c r="BI179" s="229"/>
      <c r="BJ179" s="229"/>
      <c r="BK179" s="229"/>
      <c r="BL179" s="445">
        <f>OLRo!P32</f>
        <v>0</v>
      </c>
      <c r="BM179" s="229"/>
      <c r="BN179" s="229"/>
      <c r="BO179" s="229"/>
      <c r="BP179" s="229"/>
      <c r="BQ179" s="229"/>
      <c r="BR179" s="229"/>
      <c r="BS179" s="229"/>
      <c r="BT179" s="229"/>
      <c r="BU179" s="229"/>
      <c r="BV179" s="229"/>
      <c r="BW179" s="445">
        <f>OLOst!P35</f>
        <v>0</v>
      </c>
      <c r="BX179" s="229"/>
      <c r="BY179" s="229"/>
      <c r="BZ179" s="229"/>
      <c r="CA179" s="229"/>
    </row>
    <row r="180" spans="2:79" x14ac:dyDescent="0.25">
      <c r="B180" s="237" t="str">
        <f>Cen!A437</f>
        <v>Sada KI2, 550mm</v>
      </c>
      <c r="C180" s="237" t="str">
        <f>Cen!B437</f>
        <v>ZSI.550KI2N</v>
      </c>
      <c r="D180" s="237" t="str">
        <f>Cen!C437</f>
        <v>IG/G</v>
      </c>
      <c r="E180" s="553">
        <f>Cen!D437</f>
        <v>0</v>
      </c>
      <c r="F180" s="208">
        <f t="shared" si="51"/>
        <v>0</v>
      </c>
      <c r="G180" s="233">
        <f>Cen!F437</f>
        <v>58.175440000000002</v>
      </c>
      <c r="H180" s="234">
        <f t="shared" ref="H180:H183" si="86">M180</f>
        <v>0</v>
      </c>
      <c r="I180" s="250"/>
      <c r="J180" s="235">
        <f>Cen!I437</f>
        <v>6700150</v>
      </c>
      <c r="K180" s="235">
        <f>Cen!J437</f>
        <v>13001</v>
      </c>
      <c r="L180" s="230">
        <f t="shared" ref="L180:L183" si="87">IF(I180="x",0,IF(I180&gt;0,I180,F180))</f>
        <v>0</v>
      </c>
      <c r="M180" s="434">
        <f t="shared" ref="M180:M183" si="88">PRODUCT(L180,G180)</f>
        <v>0</v>
      </c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  <c r="AJ180" s="229"/>
      <c r="AK180" s="229"/>
      <c r="AL180" s="229"/>
      <c r="AM180" s="229"/>
      <c r="AN180" s="229"/>
      <c r="AO180" s="229"/>
      <c r="AP180" s="229"/>
      <c r="AQ180" s="229"/>
      <c r="AR180" s="229"/>
      <c r="AS180" s="229"/>
      <c r="AT180" s="229"/>
      <c r="AU180" s="229"/>
      <c r="AV180" s="229"/>
      <c r="AW180" s="229"/>
      <c r="AX180" s="229"/>
      <c r="AY180" s="229"/>
      <c r="AZ180" s="229"/>
      <c r="BA180" s="229"/>
      <c r="BB180" s="229"/>
      <c r="BC180" s="229"/>
      <c r="BD180" s="229"/>
      <c r="BE180" s="229"/>
      <c r="BF180" s="229"/>
      <c r="BG180" s="229"/>
      <c r="BH180" s="229"/>
      <c r="BI180" s="229"/>
      <c r="BJ180" s="229"/>
      <c r="BK180" s="229"/>
      <c r="BL180" s="445">
        <f>OLRo!P33</f>
        <v>0</v>
      </c>
      <c r="BM180" s="229"/>
      <c r="BN180" s="229"/>
      <c r="BO180" s="229"/>
      <c r="BP180" s="229"/>
      <c r="BQ180" s="229"/>
      <c r="BR180" s="229"/>
      <c r="BS180" s="229"/>
      <c r="BT180" s="229"/>
      <c r="BU180" s="229"/>
      <c r="BV180" s="229"/>
      <c r="BW180" s="445">
        <f>OLOst!P36</f>
        <v>0</v>
      </c>
      <c r="BX180" s="229"/>
      <c r="BY180" s="229"/>
      <c r="BZ180" s="229"/>
      <c r="CA180" s="229"/>
    </row>
    <row r="181" spans="2:79" x14ac:dyDescent="0.25">
      <c r="B181" s="237" t="str">
        <f>Cen!A438</f>
        <v>Sada KI2, 600mm</v>
      </c>
      <c r="C181" s="237" t="str">
        <f>Cen!B438</f>
        <v>ZSI.600KI2N</v>
      </c>
      <c r="D181" s="237" t="str">
        <f>Cen!C438</f>
        <v>IG/G</v>
      </c>
      <c r="E181" s="553">
        <f>Cen!D438</f>
        <v>0</v>
      </c>
      <c r="F181" s="208">
        <f t="shared" si="51"/>
        <v>0</v>
      </c>
      <c r="G181" s="233">
        <f>Cen!F438</f>
        <v>62.848950000000002</v>
      </c>
      <c r="H181" s="234">
        <f t="shared" si="86"/>
        <v>0</v>
      </c>
      <c r="I181" s="250"/>
      <c r="J181" s="235">
        <f>Cen!I438</f>
        <v>6699390</v>
      </c>
      <c r="K181" s="235">
        <f>Cen!J438</f>
        <v>176783</v>
      </c>
      <c r="L181" s="230">
        <f t="shared" si="87"/>
        <v>0</v>
      </c>
      <c r="M181" s="434">
        <f t="shared" si="88"/>
        <v>0</v>
      </c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  <c r="AJ181" s="229"/>
      <c r="AK181" s="229"/>
      <c r="AL181" s="229"/>
      <c r="AM181" s="229"/>
      <c r="AN181" s="229"/>
      <c r="AO181" s="229"/>
      <c r="AP181" s="229"/>
      <c r="AQ181" s="229"/>
      <c r="AR181" s="229"/>
      <c r="AS181" s="229"/>
      <c r="AT181" s="229"/>
      <c r="AU181" s="229"/>
      <c r="AV181" s="229"/>
      <c r="AW181" s="229"/>
      <c r="AX181" s="229"/>
      <c r="AY181" s="229"/>
      <c r="AZ181" s="229"/>
      <c r="BA181" s="229"/>
      <c r="BB181" s="229"/>
      <c r="BC181" s="229"/>
      <c r="BD181" s="229"/>
      <c r="BE181" s="229"/>
      <c r="BF181" s="229"/>
      <c r="BG181" s="229"/>
      <c r="BH181" s="229"/>
      <c r="BI181" s="229"/>
      <c r="BJ181" s="229"/>
      <c r="BK181" s="229"/>
      <c r="BL181" s="445">
        <f>OLRo!P34</f>
        <v>0</v>
      </c>
      <c r="BM181" s="229"/>
      <c r="BN181" s="229"/>
      <c r="BO181" s="229"/>
      <c r="BP181" s="229"/>
      <c r="BQ181" s="229"/>
      <c r="BR181" s="229"/>
      <c r="BS181" s="229"/>
      <c r="BT181" s="229"/>
      <c r="BU181" s="229"/>
      <c r="BV181" s="229"/>
      <c r="BW181" s="445">
        <f>OLOst!P37</f>
        <v>0</v>
      </c>
      <c r="BX181" s="229"/>
      <c r="BY181" s="229"/>
      <c r="BZ181" s="229"/>
      <c r="CA181" s="229"/>
    </row>
    <row r="182" spans="2:79" x14ac:dyDescent="0.25">
      <c r="B182" s="237" t="str">
        <f>Cen!A439</f>
        <v>Sada KI2, 650mm</v>
      </c>
      <c r="C182" s="237" t="str">
        <f>Cen!B439</f>
        <v>ZSI.650KI2N</v>
      </c>
      <c r="D182" s="237" t="str">
        <f>Cen!C439</f>
        <v>IG/G</v>
      </c>
      <c r="E182" s="553">
        <f>Cen!D439</f>
        <v>0</v>
      </c>
      <c r="F182" s="208">
        <f t="shared" si="51"/>
        <v>0</v>
      </c>
      <c r="G182" s="233">
        <f>Cen!F439</f>
        <v>72.097089999999994</v>
      </c>
      <c r="H182" s="234">
        <f t="shared" si="86"/>
        <v>0</v>
      </c>
      <c r="I182" s="250"/>
      <c r="J182" s="235">
        <f>Cen!I439</f>
        <v>6701100</v>
      </c>
      <c r="K182" s="235">
        <f>Cen!J439</f>
        <v>176790</v>
      </c>
      <c r="L182" s="230">
        <f t="shared" si="87"/>
        <v>0</v>
      </c>
      <c r="M182" s="434">
        <f t="shared" si="88"/>
        <v>0</v>
      </c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  <c r="AJ182" s="229"/>
      <c r="AK182" s="229"/>
      <c r="AL182" s="229"/>
      <c r="AM182" s="229"/>
      <c r="AN182" s="229"/>
      <c r="AO182" s="229"/>
      <c r="AP182" s="229"/>
      <c r="AQ182" s="229"/>
      <c r="AR182" s="229"/>
      <c r="AS182" s="229"/>
      <c r="AT182" s="229"/>
      <c r="AU182" s="229"/>
      <c r="AV182" s="229"/>
      <c r="AW182" s="229"/>
      <c r="AX182" s="229"/>
      <c r="AY182" s="229"/>
      <c r="AZ182" s="229"/>
      <c r="BA182" s="229"/>
      <c r="BB182" s="229"/>
      <c r="BC182" s="229"/>
      <c r="BD182" s="229"/>
      <c r="BE182" s="229"/>
      <c r="BF182" s="229"/>
      <c r="BG182" s="229"/>
      <c r="BH182" s="229"/>
      <c r="BI182" s="229"/>
      <c r="BJ182" s="229"/>
      <c r="BK182" s="229"/>
      <c r="BL182" s="445">
        <f>OLRo!P35</f>
        <v>0</v>
      </c>
      <c r="BM182" s="229"/>
      <c r="BN182" s="229"/>
      <c r="BO182" s="229"/>
      <c r="BP182" s="229"/>
      <c r="BQ182" s="229"/>
      <c r="BR182" s="229"/>
      <c r="BS182" s="229"/>
      <c r="BT182" s="229"/>
      <c r="BU182" s="229"/>
      <c r="BV182" s="229"/>
      <c r="BW182" s="445">
        <f>OLOst!P38</f>
        <v>0</v>
      </c>
      <c r="BX182" s="229"/>
      <c r="BY182" s="229"/>
      <c r="BZ182" s="229"/>
      <c r="CA182" s="229"/>
    </row>
    <row r="183" spans="2:79" x14ac:dyDescent="0.25">
      <c r="B183" s="237" t="str">
        <f>Cen!A440</f>
        <v>Sada KI3, 450mm</v>
      </c>
      <c r="C183" s="237" t="str">
        <f>Cen!B440</f>
        <v>ZSI.450KI3N</v>
      </c>
      <c r="D183" s="237" t="str">
        <f>Cen!C440</f>
        <v>IG/G</v>
      </c>
      <c r="E183" s="553">
        <f>Cen!D440</f>
        <v>0</v>
      </c>
      <c r="F183" s="208">
        <f t="shared" si="51"/>
        <v>0</v>
      </c>
      <c r="G183" s="233">
        <f>Cen!F440</f>
        <v>37.636150000000001</v>
      </c>
      <c r="H183" s="234">
        <f t="shared" si="86"/>
        <v>0</v>
      </c>
      <c r="I183" s="250"/>
      <c r="J183" s="235">
        <f>Cen!I440</f>
        <v>6700800</v>
      </c>
      <c r="K183" s="235">
        <f>Cen!J440</f>
        <v>176762</v>
      </c>
      <c r="L183" s="230">
        <f t="shared" si="87"/>
        <v>0</v>
      </c>
      <c r="M183" s="434">
        <f t="shared" si="88"/>
        <v>0</v>
      </c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  <c r="AJ183" s="229"/>
      <c r="AK183" s="229"/>
      <c r="AL183" s="229"/>
      <c r="AM183" s="229"/>
      <c r="AN183" s="229"/>
      <c r="AO183" s="229"/>
      <c r="AP183" s="229"/>
      <c r="AQ183" s="229"/>
      <c r="AR183" s="229"/>
      <c r="AS183" s="229"/>
      <c r="AT183" s="229"/>
      <c r="AU183" s="229"/>
      <c r="AV183" s="229"/>
      <c r="AW183" s="229"/>
      <c r="AX183" s="229"/>
      <c r="AY183" s="229"/>
      <c r="AZ183" s="229"/>
      <c r="BA183" s="229"/>
      <c r="BB183" s="229"/>
      <c r="BC183" s="229"/>
      <c r="BD183" s="229"/>
      <c r="BE183" s="229"/>
      <c r="BF183" s="229"/>
      <c r="BG183" s="229"/>
      <c r="BH183" s="229"/>
      <c r="BI183" s="229"/>
      <c r="BJ183" s="229"/>
      <c r="BK183" s="229"/>
      <c r="BL183" s="445">
        <f>OLRo!P36</f>
        <v>0</v>
      </c>
      <c r="BM183" s="229"/>
      <c r="BN183" s="229"/>
      <c r="BO183" s="229"/>
      <c r="BP183" s="229"/>
      <c r="BQ183" s="229"/>
      <c r="BR183" s="229"/>
      <c r="BS183" s="229"/>
      <c r="BT183" s="229"/>
      <c r="BU183" s="229"/>
      <c r="BV183" s="229"/>
      <c r="BW183" s="445">
        <f>OLOst!P39</f>
        <v>0</v>
      </c>
      <c r="BX183" s="229"/>
      <c r="BY183" s="229"/>
      <c r="BZ183" s="229"/>
      <c r="CA183" s="229"/>
    </row>
    <row r="184" spans="2:79" x14ac:dyDescent="0.25">
      <c r="B184" s="237" t="str">
        <f>Cen!A441</f>
        <v>Sada KI3, 500mm</v>
      </c>
      <c r="C184" s="237" t="str">
        <f>Cen!B441</f>
        <v>ZSI.500KI3N</v>
      </c>
      <c r="D184" s="237" t="str">
        <f>Cen!C441</f>
        <v>IG/G</v>
      </c>
      <c r="E184" s="553">
        <f>Cen!D441</f>
        <v>0</v>
      </c>
      <c r="F184" s="208">
        <f t="shared" si="51"/>
        <v>0</v>
      </c>
      <c r="G184" s="233">
        <f>Cen!F441</f>
        <v>44.042470000000002</v>
      </c>
      <c r="H184" s="234">
        <f t="shared" si="70"/>
        <v>0</v>
      </c>
      <c r="I184" s="250"/>
      <c r="J184" s="235">
        <f>Cen!I441</f>
        <v>6701390</v>
      </c>
      <c r="K184" s="235">
        <f>Cen!J441</f>
        <v>176769</v>
      </c>
      <c r="L184" s="230">
        <f t="shared" si="38"/>
        <v>0</v>
      </c>
      <c r="M184" s="434">
        <f t="shared" si="39"/>
        <v>0</v>
      </c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  <c r="AJ184" s="229"/>
      <c r="AK184" s="229"/>
      <c r="AL184" s="229"/>
      <c r="AM184" s="229"/>
      <c r="AN184" s="229"/>
      <c r="AO184" s="229"/>
      <c r="AP184" s="229"/>
      <c r="AQ184" s="229"/>
      <c r="AR184" s="229"/>
      <c r="AS184" s="229"/>
      <c r="AT184" s="229"/>
      <c r="AU184" s="229"/>
      <c r="AV184" s="229"/>
      <c r="AW184" s="229"/>
      <c r="AX184" s="229"/>
      <c r="AY184" s="229"/>
      <c r="AZ184" s="229"/>
      <c r="BA184" s="229"/>
      <c r="BB184" s="229"/>
      <c r="BC184" s="229"/>
      <c r="BD184" s="229"/>
      <c r="BE184" s="229"/>
      <c r="BF184" s="229"/>
      <c r="BG184" s="229"/>
      <c r="BH184" s="229"/>
      <c r="BI184" s="229"/>
      <c r="BJ184" s="229"/>
      <c r="BK184" s="229"/>
      <c r="BL184" s="445">
        <f>OLRo!P37</f>
        <v>0</v>
      </c>
      <c r="BM184" s="229"/>
      <c r="BN184" s="229"/>
      <c r="BO184" s="229"/>
      <c r="BP184" s="229"/>
      <c r="BQ184" s="229"/>
      <c r="BR184" s="229"/>
      <c r="BS184" s="229"/>
      <c r="BT184" s="229"/>
      <c r="BU184" s="229"/>
      <c r="BV184" s="229"/>
      <c r="BW184" s="445">
        <f>OLOst!P40</f>
        <v>0</v>
      </c>
      <c r="BX184" s="229"/>
      <c r="BY184" s="229"/>
      <c r="BZ184" s="229"/>
      <c r="CA184" s="229"/>
    </row>
    <row r="185" spans="2:79" x14ac:dyDescent="0.25">
      <c r="B185" s="237" t="str">
        <f>Cen!A442</f>
        <v>Sada KI3, 550mm</v>
      </c>
      <c r="C185" s="237" t="str">
        <f>Cen!B442</f>
        <v>ZSI.550KI3N</v>
      </c>
      <c r="D185" s="237" t="str">
        <f>Cen!C442</f>
        <v>IG/G</v>
      </c>
      <c r="E185" s="553">
        <f>Cen!D442</f>
        <v>0</v>
      </c>
      <c r="F185" s="208">
        <f t="shared" si="51"/>
        <v>0</v>
      </c>
      <c r="G185" s="233">
        <f>Cen!F442</f>
        <v>53.241340000000001</v>
      </c>
      <c r="H185" s="234">
        <f t="shared" ref="H185:H188" si="89">M185</f>
        <v>0</v>
      </c>
      <c r="I185" s="250"/>
      <c r="J185" s="235">
        <f>Cen!I442</f>
        <v>6701980</v>
      </c>
      <c r="K185" s="235">
        <f>Cen!J442</f>
        <v>176775</v>
      </c>
      <c r="L185" s="230">
        <f t="shared" ref="L185:L188" si="90">IF(I185="x",0,IF(I185&gt;0,I185,F185))</f>
        <v>0</v>
      </c>
      <c r="M185" s="434">
        <f t="shared" ref="M185:M188" si="91">PRODUCT(L185,G185)</f>
        <v>0</v>
      </c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  <c r="AJ185" s="229"/>
      <c r="AK185" s="229"/>
      <c r="AL185" s="229"/>
      <c r="AM185" s="229"/>
      <c r="AN185" s="229"/>
      <c r="AO185" s="229"/>
      <c r="AP185" s="229"/>
      <c r="AQ185" s="229"/>
      <c r="AR185" s="229"/>
      <c r="AS185" s="229"/>
      <c r="AT185" s="229"/>
      <c r="AU185" s="229"/>
      <c r="AV185" s="229"/>
      <c r="AW185" s="229"/>
      <c r="AX185" s="229"/>
      <c r="AY185" s="229"/>
      <c r="AZ185" s="229"/>
      <c r="BA185" s="229"/>
      <c r="BB185" s="229"/>
      <c r="BC185" s="229"/>
      <c r="BD185" s="229"/>
      <c r="BE185" s="229"/>
      <c r="BF185" s="229"/>
      <c r="BG185" s="229"/>
      <c r="BH185" s="229"/>
      <c r="BI185" s="229"/>
      <c r="BJ185" s="229"/>
      <c r="BK185" s="229"/>
      <c r="BL185" s="445">
        <f>OLRo!P38</f>
        <v>0</v>
      </c>
      <c r="BM185" s="229"/>
      <c r="BN185" s="229"/>
      <c r="BO185" s="229"/>
      <c r="BP185" s="229"/>
      <c r="BQ185" s="229"/>
      <c r="BR185" s="229"/>
      <c r="BS185" s="229"/>
      <c r="BT185" s="229"/>
      <c r="BU185" s="229"/>
      <c r="BV185" s="229"/>
      <c r="BW185" s="445">
        <f>OLOst!P41</f>
        <v>0</v>
      </c>
      <c r="BX185" s="229"/>
      <c r="BY185" s="229"/>
      <c r="BZ185" s="229"/>
      <c r="CA185" s="229"/>
    </row>
    <row r="186" spans="2:79" x14ac:dyDescent="0.25">
      <c r="B186" s="237" t="str">
        <f>Cen!A443</f>
        <v>Sada KI3, 600mm</v>
      </c>
      <c r="C186" s="237" t="str">
        <f>Cen!B443</f>
        <v>ZSI.600KI3N</v>
      </c>
      <c r="D186" s="237" t="str">
        <f>Cen!C443</f>
        <v>IG/G</v>
      </c>
      <c r="E186" s="553">
        <f>Cen!D443</f>
        <v>0</v>
      </c>
      <c r="F186" s="208">
        <f t="shared" si="51"/>
        <v>0</v>
      </c>
      <c r="G186" s="233">
        <f>Cen!F443</f>
        <v>62.62357999999999</v>
      </c>
      <c r="H186" s="234">
        <f t="shared" si="89"/>
        <v>0</v>
      </c>
      <c r="I186" s="250"/>
      <c r="J186" s="235">
        <f>Cen!I443</f>
        <v>6701800</v>
      </c>
      <c r="K186" s="235">
        <f>Cen!J443</f>
        <v>176784</v>
      </c>
      <c r="L186" s="230">
        <f t="shared" si="90"/>
        <v>0</v>
      </c>
      <c r="M186" s="434">
        <f t="shared" si="91"/>
        <v>0</v>
      </c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  <c r="AJ186" s="229"/>
      <c r="AK186" s="229"/>
      <c r="AL186" s="229"/>
      <c r="AM186" s="229"/>
      <c r="AN186" s="229"/>
      <c r="AO186" s="229"/>
      <c r="AP186" s="229"/>
      <c r="AQ186" s="229"/>
      <c r="AR186" s="229"/>
      <c r="AS186" s="229"/>
      <c r="AT186" s="229"/>
      <c r="AU186" s="229"/>
      <c r="AV186" s="229"/>
      <c r="AW186" s="229"/>
      <c r="AX186" s="229"/>
      <c r="AY186" s="229"/>
      <c r="AZ186" s="229"/>
      <c r="BA186" s="229"/>
      <c r="BB186" s="229"/>
      <c r="BC186" s="229"/>
      <c r="BD186" s="229"/>
      <c r="BE186" s="229"/>
      <c r="BF186" s="229"/>
      <c r="BG186" s="229"/>
      <c r="BH186" s="229"/>
      <c r="BI186" s="229"/>
      <c r="BJ186" s="229"/>
      <c r="BK186" s="229"/>
      <c r="BL186" s="445">
        <f>OLRo!P39</f>
        <v>0</v>
      </c>
      <c r="BM186" s="229"/>
      <c r="BN186" s="229"/>
      <c r="BO186" s="229"/>
      <c r="BP186" s="229"/>
      <c r="BQ186" s="229"/>
      <c r="BR186" s="229"/>
      <c r="BS186" s="229"/>
      <c r="BT186" s="229"/>
      <c r="BU186" s="229"/>
      <c r="BV186" s="229"/>
      <c r="BW186" s="445">
        <f>OLOst!P42</f>
        <v>0</v>
      </c>
      <c r="BX186" s="229"/>
      <c r="BY186" s="229"/>
      <c r="BZ186" s="229"/>
      <c r="CA186" s="229"/>
    </row>
    <row r="187" spans="2:79" x14ac:dyDescent="0.25">
      <c r="B187" s="237" t="str">
        <f>Cen!A444</f>
        <v>Sada KI3, 650mm</v>
      </c>
      <c r="C187" s="237" t="str">
        <f>Cen!B444</f>
        <v>ZSI.650KI3N</v>
      </c>
      <c r="D187" s="237" t="str">
        <f>Cen!C444</f>
        <v>IG/G</v>
      </c>
      <c r="E187" s="553">
        <f>Cen!D444</f>
        <v>0</v>
      </c>
      <c r="F187" s="208">
        <f t="shared" si="51"/>
        <v>0</v>
      </c>
      <c r="G187" s="233">
        <f>Cen!F444</f>
        <v>71.871709999999993</v>
      </c>
      <c r="H187" s="234">
        <f t="shared" si="89"/>
        <v>0</v>
      </c>
      <c r="I187" s="250"/>
      <c r="J187" s="235">
        <f>Cen!I444</f>
        <v>6702790</v>
      </c>
      <c r="K187" s="235">
        <f>Cen!J444</f>
        <v>176791</v>
      </c>
      <c r="L187" s="230">
        <f t="shared" si="90"/>
        <v>0</v>
      </c>
      <c r="M187" s="434">
        <f t="shared" si="91"/>
        <v>0</v>
      </c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  <c r="AJ187" s="229"/>
      <c r="AK187" s="229"/>
      <c r="AL187" s="229"/>
      <c r="AM187" s="229"/>
      <c r="AN187" s="229"/>
      <c r="AO187" s="229"/>
      <c r="AP187" s="229"/>
      <c r="AQ187" s="229"/>
      <c r="AR187" s="229"/>
      <c r="AS187" s="229"/>
      <c r="AT187" s="229"/>
      <c r="AU187" s="229"/>
      <c r="AV187" s="229"/>
      <c r="AW187" s="229"/>
      <c r="AX187" s="229"/>
      <c r="AY187" s="229"/>
      <c r="AZ187" s="229"/>
      <c r="BA187" s="229"/>
      <c r="BB187" s="229"/>
      <c r="BC187" s="229"/>
      <c r="BD187" s="229"/>
      <c r="BE187" s="229"/>
      <c r="BF187" s="229"/>
      <c r="BG187" s="229"/>
      <c r="BH187" s="229"/>
      <c r="BI187" s="229"/>
      <c r="BJ187" s="229"/>
      <c r="BK187" s="229"/>
      <c r="BL187" s="445">
        <f>OLRo!P40</f>
        <v>0</v>
      </c>
      <c r="BM187" s="229"/>
      <c r="BN187" s="229"/>
      <c r="BO187" s="229"/>
      <c r="BP187" s="229"/>
      <c r="BQ187" s="229"/>
      <c r="BR187" s="229"/>
      <c r="BS187" s="229"/>
      <c r="BT187" s="229"/>
      <c r="BU187" s="229"/>
      <c r="BV187" s="229"/>
      <c r="BW187" s="445">
        <f>OLOst!P43</f>
        <v>0</v>
      </c>
      <c r="BX187" s="229"/>
      <c r="BY187" s="229"/>
      <c r="BZ187" s="229"/>
      <c r="CA187" s="229"/>
    </row>
    <row r="188" spans="2:79" x14ac:dyDescent="0.25">
      <c r="B188" s="237" t="str">
        <f>Cen!A445</f>
        <v>Sada KI4, 450mm</v>
      </c>
      <c r="C188" s="237" t="str">
        <f>Cen!B445</f>
        <v>ZSI.450KI4N</v>
      </c>
      <c r="D188" s="237" t="str">
        <f>Cen!C445</f>
        <v>IG/G</v>
      </c>
      <c r="E188" s="553">
        <f>Cen!D445</f>
        <v>0</v>
      </c>
      <c r="F188" s="208">
        <f t="shared" si="51"/>
        <v>0</v>
      </c>
      <c r="G188" s="233">
        <f>Cen!F445</f>
        <v>51.256480000000003</v>
      </c>
      <c r="H188" s="234">
        <f t="shared" si="89"/>
        <v>0</v>
      </c>
      <c r="I188" s="250"/>
      <c r="J188" s="235">
        <f>Cen!I445</f>
        <v>6701630</v>
      </c>
      <c r="K188" s="235">
        <f>Cen!J445</f>
        <v>176763</v>
      </c>
      <c r="L188" s="230">
        <f t="shared" si="90"/>
        <v>0</v>
      </c>
      <c r="M188" s="434">
        <f t="shared" si="91"/>
        <v>0</v>
      </c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  <c r="AJ188" s="229"/>
      <c r="AK188" s="229"/>
      <c r="AL188" s="229"/>
      <c r="AM188" s="229"/>
      <c r="AN188" s="229"/>
      <c r="AO188" s="229"/>
      <c r="AP188" s="229"/>
      <c r="AQ188" s="229"/>
      <c r="AR188" s="229"/>
      <c r="AS188" s="229"/>
      <c r="AT188" s="229"/>
      <c r="AU188" s="229"/>
      <c r="AV188" s="229"/>
      <c r="AW188" s="229"/>
      <c r="AX188" s="229"/>
      <c r="AY188" s="229"/>
      <c r="AZ188" s="229"/>
      <c r="BA188" s="229"/>
      <c r="BB188" s="229"/>
      <c r="BC188" s="229"/>
      <c r="BD188" s="229"/>
      <c r="BE188" s="229"/>
      <c r="BF188" s="229"/>
      <c r="BG188" s="229"/>
      <c r="BH188" s="229"/>
      <c r="BI188" s="229"/>
      <c r="BJ188" s="229"/>
      <c r="BK188" s="444">
        <f>OLMi!P17</f>
        <v>0</v>
      </c>
      <c r="BL188" s="236"/>
      <c r="BM188" s="229"/>
      <c r="BN188" s="229"/>
      <c r="BO188" s="229"/>
      <c r="BP188" s="229"/>
      <c r="BQ188" s="229"/>
      <c r="BR188" s="229"/>
      <c r="BS188" s="229"/>
      <c r="BT188" s="229"/>
      <c r="BU188" s="229"/>
      <c r="BV188" s="229"/>
      <c r="BW188" s="445">
        <f>OLOst!P44</f>
        <v>0</v>
      </c>
      <c r="BX188" s="229"/>
      <c r="BY188" s="229"/>
      <c r="BZ188" s="229"/>
      <c r="CA188" s="229"/>
    </row>
    <row r="189" spans="2:79" x14ac:dyDescent="0.25">
      <c r="B189" s="237" t="str">
        <f>Cen!A446</f>
        <v>Sada KI4, 500mm</v>
      </c>
      <c r="C189" s="237" t="str">
        <f>Cen!B446</f>
        <v>ZSI.500KI4</v>
      </c>
      <c r="D189" s="237" t="str">
        <f>Cen!C446</f>
        <v>IG/G</v>
      </c>
      <c r="E189" s="553">
        <f>Cen!D446</f>
        <v>0</v>
      </c>
      <c r="F189" s="208">
        <f t="shared" si="51"/>
        <v>0</v>
      </c>
      <c r="G189" s="233">
        <f>Cen!F446</f>
        <v>68.25694</v>
      </c>
      <c r="H189" s="234">
        <f t="shared" si="70"/>
        <v>0</v>
      </c>
      <c r="I189" s="250"/>
      <c r="J189" s="235">
        <f>Cen!I446</f>
        <v>3777170</v>
      </c>
      <c r="K189" s="235">
        <f>Cen!J446</f>
        <v>13003</v>
      </c>
      <c r="L189" s="230">
        <f t="shared" si="38"/>
        <v>0</v>
      </c>
      <c r="M189" s="434">
        <f t="shared" si="39"/>
        <v>0</v>
      </c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  <c r="AJ189" s="229"/>
      <c r="AK189" s="229"/>
      <c r="AL189" s="229"/>
      <c r="AM189" s="229"/>
      <c r="AN189" s="229"/>
      <c r="AO189" s="229"/>
      <c r="AP189" s="229"/>
      <c r="AQ189" s="229"/>
      <c r="AR189" s="229"/>
      <c r="AS189" s="229"/>
      <c r="AT189" s="229"/>
      <c r="AU189" s="229"/>
      <c r="AV189" s="229"/>
      <c r="AW189" s="229"/>
      <c r="AX189" s="229"/>
      <c r="AY189" s="229"/>
      <c r="AZ189" s="229"/>
      <c r="BA189" s="229"/>
      <c r="BB189" s="229"/>
      <c r="BC189" s="229"/>
      <c r="BD189" s="229"/>
      <c r="BE189" s="229"/>
      <c r="BF189" s="229"/>
      <c r="BG189" s="229"/>
      <c r="BH189" s="229"/>
      <c r="BI189" s="229"/>
      <c r="BJ189" s="229"/>
      <c r="BK189" s="445">
        <f>OLMi!P18</f>
        <v>0</v>
      </c>
      <c r="BL189" s="236"/>
      <c r="BM189" s="229"/>
      <c r="BN189" s="229"/>
      <c r="BO189" s="229"/>
      <c r="BP189" s="229"/>
      <c r="BQ189" s="229"/>
      <c r="BR189" s="229"/>
      <c r="BS189" s="229"/>
      <c r="BT189" s="229"/>
      <c r="BU189" s="229"/>
      <c r="BV189" s="229"/>
      <c r="BW189" s="445">
        <f>OLOst!P45</f>
        <v>0</v>
      </c>
      <c r="BX189" s="229"/>
      <c r="BY189" s="229"/>
      <c r="BZ189" s="229"/>
      <c r="CA189" s="229"/>
    </row>
    <row r="190" spans="2:79" x14ac:dyDescent="0.25">
      <c r="B190" s="237" t="str">
        <f>Cen!A447</f>
        <v>Sada KI4, 550mm</v>
      </c>
      <c r="C190" s="237" t="str">
        <f>Cen!B447</f>
        <v>ZSI.550KI4</v>
      </c>
      <c r="D190" s="237" t="str">
        <f>Cen!C447</f>
        <v>IG/G</v>
      </c>
      <c r="E190" s="553">
        <f>Cen!D447</f>
        <v>0</v>
      </c>
      <c r="F190" s="208">
        <f t="shared" si="51"/>
        <v>0</v>
      </c>
      <c r="G190" s="233">
        <f>Cen!F447</f>
        <v>70.976650000000006</v>
      </c>
      <c r="H190" s="234">
        <f t="shared" ref="H190:H193" si="92">M190</f>
        <v>0</v>
      </c>
      <c r="I190" s="250"/>
      <c r="J190" s="235">
        <f>Cen!I447</f>
        <v>3777680</v>
      </c>
      <c r="K190" s="235">
        <f>Cen!J447</f>
        <v>176776</v>
      </c>
      <c r="L190" s="230">
        <f t="shared" ref="L190:L193" si="93">IF(I190="x",0,IF(I190&gt;0,I190,F190))</f>
        <v>0</v>
      </c>
      <c r="M190" s="434">
        <f t="shared" ref="M190:M193" si="94">PRODUCT(L190,G190)</f>
        <v>0</v>
      </c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  <c r="AJ190" s="229"/>
      <c r="AK190" s="229"/>
      <c r="AL190" s="229"/>
      <c r="AM190" s="229"/>
      <c r="AN190" s="229"/>
      <c r="AO190" s="229"/>
      <c r="AP190" s="229"/>
      <c r="AQ190" s="229"/>
      <c r="AR190" s="229"/>
      <c r="AS190" s="229"/>
      <c r="AT190" s="229"/>
      <c r="AU190" s="229"/>
      <c r="AV190" s="229"/>
      <c r="AW190" s="229"/>
      <c r="AX190" s="229"/>
      <c r="AY190" s="229"/>
      <c r="AZ190" s="229"/>
      <c r="BA190" s="229"/>
      <c r="BB190" s="229"/>
      <c r="BC190" s="229"/>
      <c r="BD190" s="229"/>
      <c r="BE190" s="229"/>
      <c r="BF190" s="229"/>
      <c r="BG190" s="229"/>
      <c r="BH190" s="229"/>
      <c r="BI190" s="229"/>
      <c r="BJ190" s="229"/>
      <c r="BK190" s="445">
        <f>OLMi!P19</f>
        <v>0</v>
      </c>
      <c r="BL190" s="236"/>
      <c r="BM190" s="229"/>
      <c r="BN190" s="229"/>
      <c r="BO190" s="229"/>
      <c r="BP190" s="229"/>
      <c r="BQ190" s="229"/>
      <c r="BR190" s="229"/>
      <c r="BS190" s="229"/>
      <c r="BT190" s="229"/>
      <c r="BU190" s="229"/>
      <c r="BV190" s="229"/>
      <c r="BW190" s="445">
        <f>OLOst!P46</f>
        <v>0</v>
      </c>
      <c r="BX190" s="229"/>
      <c r="BY190" s="229"/>
      <c r="BZ190" s="229"/>
      <c r="CA190" s="229"/>
    </row>
    <row r="191" spans="2:79" x14ac:dyDescent="0.25">
      <c r="B191" s="237" t="str">
        <f>Cen!A448</f>
        <v>Sada KI4, 600mm</v>
      </c>
      <c r="C191" s="237" t="str">
        <f>Cen!B448</f>
        <v>ZSI.600KI4</v>
      </c>
      <c r="D191" s="237" t="str">
        <f>Cen!C448</f>
        <v>IG/G</v>
      </c>
      <c r="E191" s="553">
        <f>Cen!D448</f>
        <v>0</v>
      </c>
      <c r="F191" s="208">
        <f t="shared" si="51"/>
        <v>0</v>
      </c>
      <c r="G191" s="233">
        <f>Cen!F448</f>
        <v>85.055520000000001</v>
      </c>
      <c r="H191" s="234">
        <f t="shared" si="92"/>
        <v>0</v>
      </c>
      <c r="I191" s="250"/>
      <c r="J191" s="235">
        <f>Cen!I448</f>
        <v>3890730</v>
      </c>
      <c r="K191" s="235">
        <f>Cen!J448</f>
        <v>176785</v>
      </c>
      <c r="L191" s="230">
        <f t="shared" si="93"/>
        <v>0</v>
      </c>
      <c r="M191" s="434">
        <f t="shared" si="94"/>
        <v>0</v>
      </c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  <c r="AJ191" s="229"/>
      <c r="AK191" s="229"/>
      <c r="AL191" s="229"/>
      <c r="AM191" s="229"/>
      <c r="AN191" s="229"/>
      <c r="AO191" s="229"/>
      <c r="AP191" s="229"/>
      <c r="AQ191" s="229"/>
      <c r="AR191" s="229"/>
      <c r="AS191" s="229"/>
      <c r="AT191" s="229"/>
      <c r="AU191" s="229"/>
      <c r="AV191" s="229"/>
      <c r="AW191" s="229"/>
      <c r="AX191" s="229"/>
      <c r="AY191" s="229"/>
      <c r="AZ191" s="229"/>
      <c r="BA191" s="229"/>
      <c r="BB191" s="229"/>
      <c r="BC191" s="229"/>
      <c r="BD191" s="229"/>
      <c r="BE191" s="229"/>
      <c r="BF191" s="229"/>
      <c r="BG191" s="229"/>
      <c r="BH191" s="229"/>
      <c r="BI191" s="229"/>
      <c r="BJ191" s="229"/>
      <c r="BK191" s="445">
        <f>OLMi!P20</f>
        <v>0</v>
      </c>
      <c r="BL191" s="236"/>
      <c r="BM191" s="229"/>
      <c r="BN191" s="229"/>
      <c r="BO191" s="229"/>
      <c r="BP191" s="229"/>
      <c r="BQ191" s="229"/>
      <c r="BR191" s="229"/>
      <c r="BS191" s="229"/>
      <c r="BT191" s="229"/>
      <c r="BU191" s="229"/>
      <c r="BV191" s="229"/>
      <c r="BW191" s="445">
        <f>OLOst!P47</f>
        <v>0</v>
      </c>
      <c r="BX191" s="229"/>
      <c r="BY191" s="229"/>
      <c r="BZ191" s="229"/>
      <c r="CA191" s="229"/>
    </row>
    <row r="192" spans="2:79" x14ac:dyDescent="0.25">
      <c r="B192" s="237" t="str">
        <f>Cen!A449</f>
        <v>Sada KI4, 650mm</v>
      </c>
      <c r="C192" s="237" t="str">
        <f>Cen!B449</f>
        <v>ZSI.650KI4</v>
      </c>
      <c r="D192" s="237" t="str">
        <f>Cen!C449</f>
        <v>IG/G</v>
      </c>
      <c r="E192" s="553">
        <f>Cen!D449</f>
        <v>0</v>
      </c>
      <c r="F192" s="208">
        <f t="shared" si="51"/>
        <v>0</v>
      </c>
      <c r="G192" s="233">
        <f>Cen!F449</f>
        <v>94.886810000000011</v>
      </c>
      <c r="H192" s="234">
        <f t="shared" si="92"/>
        <v>0</v>
      </c>
      <c r="I192" s="250"/>
      <c r="J192" s="235">
        <f>Cen!I449</f>
        <v>3865890</v>
      </c>
      <c r="K192" s="235">
        <f>Cen!J449</f>
        <v>176792</v>
      </c>
      <c r="L192" s="230">
        <f t="shared" si="93"/>
        <v>0</v>
      </c>
      <c r="M192" s="434">
        <f t="shared" si="94"/>
        <v>0</v>
      </c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  <c r="AJ192" s="229"/>
      <c r="AK192" s="229"/>
      <c r="AL192" s="229"/>
      <c r="AM192" s="229"/>
      <c r="AN192" s="229"/>
      <c r="AO192" s="229"/>
      <c r="AP192" s="229"/>
      <c r="AQ192" s="229"/>
      <c r="AR192" s="229"/>
      <c r="AS192" s="229"/>
      <c r="AT192" s="229"/>
      <c r="AU192" s="229"/>
      <c r="AV192" s="229"/>
      <c r="AW192" s="229"/>
      <c r="AX192" s="229"/>
      <c r="AY192" s="229"/>
      <c r="AZ192" s="229"/>
      <c r="BA192" s="229"/>
      <c r="BB192" s="229"/>
      <c r="BC192" s="229"/>
      <c r="BD192" s="229"/>
      <c r="BE192" s="229"/>
      <c r="BF192" s="229"/>
      <c r="BG192" s="229"/>
      <c r="BH192" s="229"/>
      <c r="BI192" s="229"/>
      <c r="BJ192" s="229"/>
      <c r="BK192" s="445">
        <f>OLMi!P21</f>
        <v>0</v>
      </c>
      <c r="BL192" s="236"/>
      <c r="BM192" s="229"/>
      <c r="BN192" s="229"/>
      <c r="BO192" s="229"/>
      <c r="BP192" s="229"/>
      <c r="BQ192" s="229"/>
      <c r="BR192" s="229"/>
      <c r="BS192" s="229"/>
      <c r="BT192" s="229"/>
      <c r="BU192" s="229"/>
      <c r="BV192" s="229"/>
      <c r="BW192" s="445">
        <f>OLOst!P48</f>
        <v>0</v>
      </c>
      <c r="BX192" s="229"/>
      <c r="BY192" s="229"/>
      <c r="BZ192" s="229"/>
      <c r="CA192" s="229"/>
    </row>
    <row r="193" spans="2:79" x14ac:dyDescent="0.25">
      <c r="B193" s="237" t="str">
        <f>Cen!A450</f>
        <v>Sada MI3, 450mm</v>
      </c>
      <c r="C193" s="237" t="str">
        <f>Cen!B450</f>
        <v>ZSI.450MI2</v>
      </c>
      <c r="D193" s="237" t="str">
        <f>Cen!C450</f>
        <v>IG/G</v>
      </c>
      <c r="E193" s="553">
        <f>Cen!D450</f>
        <v>0</v>
      </c>
      <c r="F193" s="208">
        <f t="shared" si="51"/>
        <v>0</v>
      </c>
      <c r="G193" s="233">
        <f>Cen!F450</f>
        <v>65.108220000000003</v>
      </c>
      <c r="H193" s="234">
        <f t="shared" si="92"/>
        <v>0</v>
      </c>
      <c r="I193" s="250"/>
      <c r="J193" s="235">
        <f>Cen!I450</f>
        <v>3776500</v>
      </c>
      <c r="K193" s="235">
        <f>Cen!J450</f>
        <v>176764</v>
      </c>
      <c r="L193" s="230">
        <f t="shared" si="93"/>
        <v>0</v>
      </c>
      <c r="M193" s="434">
        <f t="shared" si="94"/>
        <v>0</v>
      </c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  <c r="AJ193" s="229"/>
      <c r="AK193" s="229"/>
      <c r="AL193" s="229"/>
      <c r="AM193" s="229"/>
      <c r="AN193" s="229"/>
      <c r="AO193" s="229"/>
      <c r="AP193" s="229"/>
      <c r="AQ193" s="229"/>
      <c r="AR193" s="229"/>
      <c r="AS193" s="229"/>
      <c r="AT193" s="229"/>
      <c r="AU193" s="229"/>
      <c r="AV193" s="229"/>
      <c r="AW193" s="229"/>
      <c r="AX193" s="229"/>
      <c r="AY193" s="229"/>
      <c r="AZ193" s="229"/>
      <c r="BA193" s="229"/>
      <c r="BB193" s="229"/>
      <c r="BC193" s="229"/>
      <c r="BD193" s="229"/>
      <c r="BE193" s="229"/>
      <c r="BF193" s="229"/>
      <c r="BG193" s="229"/>
      <c r="BH193" s="229"/>
      <c r="BI193" s="229"/>
      <c r="BJ193" s="229"/>
      <c r="BK193" s="229"/>
      <c r="BL193" s="444">
        <f>OLRo!P41</f>
        <v>0</v>
      </c>
      <c r="BM193" s="229"/>
      <c r="BN193" s="229"/>
      <c r="BO193" s="229"/>
      <c r="BP193" s="229"/>
      <c r="BQ193" s="229"/>
      <c r="BR193" s="229"/>
      <c r="BS193" s="229"/>
      <c r="BT193" s="229"/>
      <c r="BU193" s="229"/>
      <c r="BV193" s="229"/>
      <c r="BW193" s="445">
        <f>OLOst!P49</f>
        <v>0</v>
      </c>
      <c r="BX193" s="229"/>
      <c r="BY193" s="229"/>
      <c r="BZ193" s="229"/>
      <c r="CA193" s="229"/>
    </row>
    <row r="194" spans="2:79" x14ac:dyDescent="0.25">
      <c r="B194" s="237" t="str">
        <f>Cen!A451</f>
        <v>Sada MI3, 500mm</v>
      </c>
      <c r="C194" s="237" t="str">
        <f>Cen!B451</f>
        <v>ZSI.500MI3</v>
      </c>
      <c r="D194" s="237" t="str">
        <f>Cen!C451</f>
        <v>IG/G</v>
      </c>
      <c r="E194" s="553">
        <f>Cen!D451</f>
        <v>0</v>
      </c>
      <c r="F194" s="208">
        <f t="shared" si="51"/>
        <v>0</v>
      </c>
      <c r="G194" s="233">
        <f>Cen!F451</f>
        <v>73.331860000000006</v>
      </c>
      <c r="H194" s="234">
        <f t="shared" si="70"/>
        <v>0</v>
      </c>
      <c r="I194" s="250"/>
      <c r="J194" s="235">
        <f>Cen!I451</f>
        <v>3777090</v>
      </c>
      <c r="K194" s="235">
        <f>Cen!J451</f>
        <v>13005</v>
      </c>
      <c r="L194" s="230">
        <f t="shared" si="38"/>
        <v>0</v>
      </c>
      <c r="M194" s="434">
        <f t="shared" si="39"/>
        <v>0</v>
      </c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  <c r="AJ194" s="229"/>
      <c r="AK194" s="229"/>
      <c r="AL194" s="229"/>
      <c r="AM194" s="229"/>
      <c r="AN194" s="229"/>
      <c r="AO194" s="229"/>
      <c r="AP194" s="229"/>
      <c r="AQ194" s="229"/>
      <c r="AR194" s="229"/>
      <c r="AS194" s="229"/>
      <c r="AT194" s="229"/>
      <c r="AU194" s="229"/>
      <c r="AV194" s="229"/>
      <c r="AW194" s="229"/>
      <c r="AX194" s="229"/>
      <c r="AY194" s="229"/>
      <c r="AZ194" s="229"/>
      <c r="BA194" s="229"/>
      <c r="BB194" s="229"/>
      <c r="BC194" s="229"/>
      <c r="BD194" s="229"/>
      <c r="BE194" s="229"/>
      <c r="BF194" s="229"/>
      <c r="BG194" s="229"/>
      <c r="BH194" s="229"/>
      <c r="BI194" s="229"/>
      <c r="BJ194" s="229"/>
      <c r="BK194" s="229"/>
      <c r="BL194" s="445">
        <f>OLRo!P42</f>
        <v>0</v>
      </c>
      <c r="BM194" s="229"/>
      <c r="BN194" s="229"/>
      <c r="BO194" s="229"/>
      <c r="BP194" s="229"/>
      <c r="BQ194" s="229"/>
      <c r="BR194" s="229"/>
      <c r="BS194" s="229"/>
      <c r="BT194" s="229"/>
      <c r="BU194" s="229"/>
      <c r="BV194" s="229"/>
      <c r="BW194" s="445">
        <f>OLOst!P50</f>
        <v>0</v>
      </c>
      <c r="BX194" s="229"/>
      <c r="BY194" s="229"/>
      <c r="BZ194" s="229"/>
      <c r="CA194" s="229"/>
    </row>
    <row r="195" spans="2:79" x14ac:dyDescent="0.25">
      <c r="B195" s="237" t="str">
        <f>Cen!A452</f>
        <v>Sada MI3, 550mm</v>
      </c>
      <c r="C195" s="237" t="str">
        <f>Cen!B452</f>
        <v>ZSI.550MI3</v>
      </c>
      <c r="D195" s="237" t="str">
        <f>Cen!C452</f>
        <v>IG/G</v>
      </c>
      <c r="E195" s="553">
        <f>Cen!D452</f>
        <v>0</v>
      </c>
      <c r="F195" s="208">
        <f t="shared" si="51"/>
        <v>0</v>
      </c>
      <c r="G195" s="233">
        <f>Cen!F452</f>
        <v>78.229100000000003</v>
      </c>
      <c r="H195" s="234">
        <f t="shared" ref="H195:H197" si="95">M195</f>
        <v>0</v>
      </c>
      <c r="I195" s="250"/>
      <c r="J195" s="235">
        <f>Cen!I452</f>
        <v>3777500</v>
      </c>
      <c r="K195" s="235">
        <f>Cen!J452</f>
        <v>176777</v>
      </c>
      <c r="L195" s="230">
        <f t="shared" ref="L195:L197" si="96">IF(I195="x",0,IF(I195&gt;0,I195,F195))</f>
        <v>0</v>
      </c>
      <c r="M195" s="434">
        <f t="shared" ref="M195:M197" si="97">PRODUCT(L195,G195)</f>
        <v>0</v>
      </c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  <c r="AJ195" s="229"/>
      <c r="AK195" s="229"/>
      <c r="AL195" s="229"/>
      <c r="AM195" s="229"/>
      <c r="AN195" s="229"/>
      <c r="AO195" s="229"/>
      <c r="AP195" s="229"/>
      <c r="AQ195" s="229"/>
      <c r="AR195" s="229"/>
      <c r="AS195" s="229"/>
      <c r="AT195" s="229"/>
      <c r="AU195" s="229"/>
      <c r="AV195" s="229"/>
      <c r="AW195" s="229"/>
      <c r="AX195" s="229"/>
      <c r="AY195" s="229"/>
      <c r="AZ195" s="229"/>
      <c r="BA195" s="229"/>
      <c r="BB195" s="229"/>
      <c r="BC195" s="229"/>
      <c r="BD195" s="229"/>
      <c r="BE195" s="229"/>
      <c r="BF195" s="229"/>
      <c r="BG195" s="229"/>
      <c r="BH195" s="229"/>
      <c r="BI195" s="229"/>
      <c r="BJ195" s="229"/>
      <c r="BK195" s="229"/>
      <c r="BL195" s="445">
        <f>OLRo!P43</f>
        <v>0</v>
      </c>
      <c r="BM195" s="229"/>
      <c r="BN195" s="229"/>
      <c r="BO195" s="229"/>
      <c r="BP195" s="229"/>
      <c r="BQ195" s="229"/>
      <c r="BR195" s="229"/>
      <c r="BS195" s="229"/>
      <c r="BT195" s="229"/>
      <c r="BU195" s="229"/>
      <c r="BV195" s="229"/>
      <c r="BW195" s="445">
        <f>OLOst!P51</f>
        <v>0</v>
      </c>
      <c r="BX195" s="229"/>
      <c r="BY195" s="229"/>
      <c r="BZ195" s="229"/>
      <c r="CA195" s="229"/>
    </row>
    <row r="196" spans="2:79" x14ac:dyDescent="0.25">
      <c r="B196" s="237" t="str">
        <f>Cen!A453</f>
        <v>Sada MI3, 600mm</v>
      </c>
      <c r="C196" s="237" t="str">
        <f>Cen!B453</f>
        <v>ZSI.600MI3</v>
      </c>
      <c r="D196" s="237" t="str">
        <f>Cen!C453</f>
        <v>IG/G</v>
      </c>
      <c r="E196" s="553">
        <f>Cen!D453</f>
        <v>0</v>
      </c>
      <c r="F196" s="208">
        <f t="shared" si="51"/>
        <v>0</v>
      </c>
      <c r="G196" s="233">
        <f>Cen!F453</f>
        <v>90.702070000000006</v>
      </c>
      <c r="H196" s="234">
        <f t="shared" si="95"/>
        <v>0</v>
      </c>
      <c r="I196" s="250"/>
      <c r="J196" s="235">
        <f>Cen!I453</f>
        <v>3890650</v>
      </c>
      <c r="K196" s="235">
        <f>Cen!J453</f>
        <v>176786</v>
      </c>
      <c r="L196" s="230">
        <f t="shared" si="96"/>
        <v>0</v>
      </c>
      <c r="M196" s="434">
        <f t="shared" si="97"/>
        <v>0</v>
      </c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  <c r="AJ196" s="229"/>
      <c r="AK196" s="229"/>
      <c r="AL196" s="229"/>
      <c r="AM196" s="229"/>
      <c r="AN196" s="229"/>
      <c r="AO196" s="229"/>
      <c r="AP196" s="229"/>
      <c r="AQ196" s="229"/>
      <c r="AR196" s="229"/>
      <c r="AS196" s="229"/>
      <c r="AT196" s="229"/>
      <c r="AU196" s="229"/>
      <c r="AV196" s="229"/>
      <c r="AW196" s="229"/>
      <c r="AX196" s="229"/>
      <c r="AY196" s="229"/>
      <c r="AZ196" s="229"/>
      <c r="BA196" s="229"/>
      <c r="BB196" s="229"/>
      <c r="BC196" s="229"/>
      <c r="BD196" s="229"/>
      <c r="BE196" s="229"/>
      <c r="BF196" s="229"/>
      <c r="BG196" s="229"/>
      <c r="BH196" s="229"/>
      <c r="BI196" s="229"/>
      <c r="BJ196" s="229"/>
      <c r="BK196" s="229"/>
      <c r="BL196" s="445">
        <f>OLRo!P44</f>
        <v>0</v>
      </c>
      <c r="BM196" s="229"/>
      <c r="BN196" s="229"/>
      <c r="BO196" s="229"/>
      <c r="BP196" s="229"/>
      <c r="BQ196" s="229"/>
      <c r="BR196" s="229"/>
      <c r="BS196" s="229"/>
      <c r="BT196" s="229"/>
      <c r="BU196" s="229"/>
      <c r="BV196" s="229"/>
      <c r="BW196" s="445">
        <f>OLOst!P52</f>
        <v>0</v>
      </c>
      <c r="BX196" s="229"/>
      <c r="BY196" s="229"/>
      <c r="BZ196" s="229"/>
      <c r="CA196" s="229"/>
    </row>
    <row r="197" spans="2:79" x14ac:dyDescent="0.25">
      <c r="B197" s="237" t="str">
        <f>Cen!A454</f>
        <v>Sada MI3, 650mm</v>
      </c>
      <c r="C197" s="237" t="str">
        <f>Cen!B454</f>
        <v>ZSI.650MI3</v>
      </c>
      <c r="D197" s="237" t="str">
        <f>Cen!C454</f>
        <v>IG/G</v>
      </c>
      <c r="E197" s="553">
        <f>Cen!D454</f>
        <v>0</v>
      </c>
      <c r="F197" s="208">
        <f t="shared" si="51"/>
        <v>0</v>
      </c>
      <c r="G197" s="233">
        <f>Cen!F454</f>
        <v>103.04093</v>
      </c>
      <c r="H197" s="234">
        <f t="shared" si="95"/>
        <v>0</v>
      </c>
      <c r="I197" s="250"/>
      <c r="J197" s="235">
        <f>Cen!I454</f>
        <v>3865600</v>
      </c>
      <c r="K197" s="235">
        <f>Cen!J454</f>
        <v>176793</v>
      </c>
      <c r="L197" s="230">
        <f t="shared" si="96"/>
        <v>0</v>
      </c>
      <c r="M197" s="434">
        <f t="shared" si="97"/>
        <v>0</v>
      </c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  <c r="AJ197" s="229"/>
      <c r="AK197" s="229"/>
      <c r="AL197" s="229"/>
      <c r="AM197" s="229"/>
      <c r="AN197" s="229"/>
      <c r="AO197" s="229"/>
      <c r="AP197" s="229"/>
      <c r="AQ197" s="229"/>
      <c r="AR197" s="229"/>
      <c r="AS197" s="229"/>
      <c r="AT197" s="229"/>
      <c r="AU197" s="229"/>
      <c r="AV197" s="229"/>
      <c r="AW197" s="229"/>
      <c r="AX197" s="229"/>
      <c r="AY197" s="229"/>
      <c r="AZ197" s="229"/>
      <c r="BA197" s="229"/>
      <c r="BB197" s="229"/>
      <c r="BC197" s="229"/>
      <c r="BD197" s="229"/>
      <c r="BE197" s="229"/>
      <c r="BF197" s="229"/>
      <c r="BG197" s="229"/>
      <c r="BH197" s="229"/>
      <c r="BI197" s="229"/>
      <c r="BJ197" s="229"/>
      <c r="BK197" s="229"/>
      <c r="BL197" s="445">
        <f>OLRo!P45</f>
        <v>0</v>
      </c>
      <c r="BM197" s="229"/>
      <c r="BN197" s="229"/>
      <c r="BO197" s="229"/>
      <c r="BP197" s="229"/>
      <c r="BQ197" s="229"/>
      <c r="BR197" s="229"/>
      <c r="BS197" s="229"/>
      <c r="BT197" s="229"/>
      <c r="BU197" s="229"/>
      <c r="BV197" s="229"/>
      <c r="BW197" s="445">
        <f>OLOst!P53</f>
        <v>0</v>
      </c>
      <c r="BX197" s="229"/>
      <c r="BY197" s="229"/>
      <c r="BZ197" s="229"/>
      <c r="CA197" s="229"/>
    </row>
    <row r="198" spans="2:79" x14ac:dyDescent="0.25">
      <c r="B198" s="237" t="str">
        <f>Cen!A457</f>
        <v>Miska 88x88mm</v>
      </c>
      <c r="C198" s="237" t="str">
        <f>Cen!B457</f>
        <v>ZSI.010SI</v>
      </c>
      <c r="D198" s="237" t="str">
        <f>Cen!C457</f>
        <v>IG/G</v>
      </c>
      <c r="E198" s="553">
        <f>Cen!D457</f>
        <v>0</v>
      </c>
      <c r="F198" s="208">
        <f t="shared" si="51"/>
        <v>0</v>
      </c>
      <c r="G198" s="233">
        <f>Cen!F457</f>
        <v>3.6650700000000001</v>
      </c>
      <c r="H198" s="234">
        <f t="shared" si="70"/>
        <v>0</v>
      </c>
      <c r="I198" s="250"/>
      <c r="J198" s="235">
        <f>Cen!I457</f>
        <v>5726900</v>
      </c>
      <c r="K198" s="235">
        <f>Cen!J457</f>
        <v>13011</v>
      </c>
      <c r="L198" s="230">
        <f t="shared" si="38"/>
        <v>0</v>
      </c>
      <c r="M198" s="434">
        <f t="shared" si="39"/>
        <v>0</v>
      </c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  <c r="AJ198" s="229"/>
      <c r="AK198" s="229"/>
      <c r="AL198" s="229"/>
      <c r="AM198" s="229"/>
      <c r="AN198" s="229"/>
      <c r="AO198" s="229"/>
      <c r="AP198" s="229"/>
      <c r="AQ198" s="229"/>
      <c r="AR198" s="229"/>
      <c r="AS198" s="229"/>
      <c r="AT198" s="229"/>
      <c r="AU198" s="229"/>
      <c r="AV198" s="229"/>
      <c r="AW198" s="229"/>
      <c r="AX198" s="229"/>
      <c r="AY198" s="229"/>
      <c r="AZ198" s="229"/>
      <c r="BA198" s="229"/>
      <c r="BB198" s="229"/>
      <c r="BC198" s="229"/>
      <c r="BD198" s="229"/>
      <c r="BE198" s="229"/>
      <c r="BF198" s="229"/>
      <c r="BG198" s="229"/>
      <c r="BH198" s="229"/>
      <c r="BI198" s="229"/>
      <c r="BJ198" s="229"/>
      <c r="BK198" s="229"/>
      <c r="BL198" s="229"/>
      <c r="BM198" s="229"/>
      <c r="BN198" s="229"/>
      <c r="BO198" s="229"/>
      <c r="BP198" s="229"/>
      <c r="BQ198" s="229"/>
      <c r="BR198" s="229"/>
      <c r="BS198" s="229"/>
      <c r="BT198" s="229"/>
      <c r="BU198" s="229"/>
      <c r="BV198" s="229"/>
      <c r="BW198" s="445">
        <f>OLOst!P56</f>
        <v>0</v>
      </c>
      <c r="BX198" s="229"/>
      <c r="BY198" s="229"/>
      <c r="BZ198" s="229"/>
      <c r="CA198" s="229"/>
    </row>
    <row r="199" spans="2:79" x14ac:dyDescent="0.25">
      <c r="B199" s="237" t="str">
        <f>Cen!A458</f>
        <v>Miska 88x176mm</v>
      </c>
      <c r="C199" s="237" t="str">
        <f>Cen!B458</f>
        <v>ZSI.020SI</v>
      </c>
      <c r="D199" s="237" t="str">
        <f>Cen!C458</f>
        <v>IG/G</v>
      </c>
      <c r="E199" s="553">
        <f>Cen!D458</f>
        <v>0</v>
      </c>
      <c r="F199" s="208">
        <f t="shared" si="51"/>
        <v>0</v>
      </c>
      <c r="G199" s="233">
        <f>Cen!F458</f>
        <v>4.4506899999999998</v>
      </c>
      <c r="H199" s="234">
        <f t="shared" si="70"/>
        <v>0</v>
      </c>
      <c r="I199" s="250"/>
      <c r="J199" s="235">
        <f>Cen!I458</f>
        <v>5728380</v>
      </c>
      <c r="K199" s="235">
        <f>Cen!J458</f>
        <v>13012</v>
      </c>
      <c r="L199" s="230">
        <f t="shared" si="38"/>
        <v>0</v>
      </c>
      <c r="M199" s="434">
        <f t="shared" si="39"/>
        <v>0</v>
      </c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  <c r="AJ199" s="229"/>
      <c r="AK199" s="229"/>
      <c r="AL199" s="229"/>
      <c r="AM199" s="229"/>
      <c r="AN199" s="229"/>
      <c r="AO199" s="229"/>
      <c r="AP199" s="229"/>
      <c r="AQ199" s="229"/>
      <c r="AR199" s="229"/>
      <c r="AS199" s="229"/>
      <c r="AT199" s="229"/>
      <c r="AU199" s="229"/>
      <c r="AV199" s="229"/>
      <c r="AW199" s="229"/>
      <c r="AX199" s="229"/>
      <c r="AY199" s="229"/>
      <c r="AZ199" s="229"/>
      <c r="BA199" s="229"/>
      <c r="BB199" s="229"/>
      <c r="BC199" s="229"/>
      <c r="BD199" s="229"/>
      <c r="BE199" s="229"/>
      <c r="BF199" s="229"/>
      <c r="BG199" s="229"/>
      <c r="BH199" s="229"/>
      <c r="BI199" s="229"/>
      <c r="BJ199" s="229"/>
      <c r="BK199" s="229"/>
      <c r="BL199" s="229"/>
      <c r="BM199" s="229"/>
      <c r="BN199" s="229"/>
      <c r="BO199" s="229"/>
      <c r="BP199" s="229"/>
      <c r="BQ199" s="229"/>
      <c r="BR199" s="229"/>
      <c r="BS199" s="229"/>
      <c r="BT199" s="229"/>
      <c r="BU199" s="229"/>
      <c r="BV199" s="229"/>
      <c r="BW199" s="445">
        <f>OLOst!P57</f>
        <v>0</v>
      </c>
      <c r="BX199" s="229"/>
      <c r="BY199" s="229"/>
      <c r="BZ199" s="229"/>
      <c r="CA199" s="229"/>
    </row>
    <row r="200" spans="2:79" x14ac:dyDescent="0.25">
      <c r="B200" s="237" t="str">
        <f>Cen!A459</f>
        <v>Miska 88x264mm</v>
      </c>
      <c r="C200" s="237" t="str">
        <f>Cen!B459</f>
        <v>ZSI.030SI</v>
      </c>
      <c r="D200" s="237" t="str">
        <f>Cen!C459</f>
        <v>IG/G</v>
      </c>
      <c r="E200" s="553">
        <f>Cen!D459</f>
        <v>0</v>
      </c>
      <c r="F200" s="208">
        <f t="shared" si="51"/>
        <v>0</v>
      </c>
      <c r="G200" s="233">
        <f>Cen!F459</f>
        <v>5.2376300000000002</v>
      </c>
      <c r="H200" s="234">
        <f t="shared" si="70"/>
        <v>0</v>
      </c>
      <c r="I200" s="250"/>
      <c r="J200" s="235">
        <f>Cen!I459</f>
        <v>5729510</v>
      </c>
      <c r="K200" s="235">
        <f>Cen!J459</f>
        <v>13072</v>
      </c>
      <c r="L200" s="230">
        <f t="shared" si="38"/>
        <v>0</v>
      </c>
      <c r="M200" s="434">
        <f t="shared" si="39"/>
        <v>0</v>
      </c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  <c r="AJ200" s="229"/>
      <c r="AK200" s="229"/>
      <c r="AL200" s="229"/>
      <c r="AM200" s="229"/>
      <c r="AN200" s="229"/>
      <c r="AO200" s="229"/>
      <c r="AP200" s="229"/>
      <c r="AQ200" s="229"/>
      <c r="AR200" s="229"/>
      <c r="AS200" s="229"/>
      <c r="AT200" s="229"/>
      <c r="AU200" s="229"/>
      <c r="AV200" s="229"/>
      <c r="AW200" s="229"/>
      <c r="AX200" s="229"/>
      <c r="AY200" s="229"/>
      <c r="AZ200" s="229"/>
      <c r="BA200" s="229"/>
      <c r="BB200" s="229"/>
      <c r="BC200" s="229"/>
      <c r="BD200" s="229"/>
      <c r="BE200" s="229"/>
      <c r="BF200" s="229"/>
      <c r="BG200" s="229"/>
      <c r="BH200" s="229"/>
      <c r="BI200" s="229"/>
      <c r="BJ200" s="229"/>
      <c r="BK200" s="229"/>
      <c r="BL200" s="229"/>
      <c r="BM200" s="229"/>
      <c r="BN200" s="229"/>
      <c r="BO200" s="229"/>
      <c r="BP200" s="229"/>
      <c r="BQ200" s="229"/>
      <c r="BR200" s="229"/>
      <c r="BS200" s="229"/>
      <c r="BT200" s="229"/>
      <c r="BU200" s="229"/>
      <c r="BV200" s="229"/>
      <c r="BW200" s="445">
        <f>OLOst!P58</f>
        <v>0</v>
      </c>
      <c r="BX200" s="229"/>
      <c r="BY200" s="229"/>
      <c r="BZ200" s="229"/>
      <c r="CA200" s="229"/>
    </row>
    <row r="201" spans="2:79" x14ac:dyDescent="0.25">
      <c r="B201" s="237" t="str">
        <f>Cen!A460</f>
        <v>Miska 88x352mm</v>
      </c>
      <c r="C201" s="237" t="str">
        <f>Cen!B460</f>
        <v>ZSI.040SI</v>
      </c>
      <c r="D201" s="237" t="str">
        <f>Cen!C460</f>
        <v>IG/G</v>
      </c>
      <c r="E201" s="553">
        <f>Cen!D460</f>
        <v>0</v>
      </c>
      <c r="F201" s="208">
        <f t="shared" si="51"/>
        <v>0</v>
      </c>
      <c r="G201" s="233">
        <f>Cen!F460</f>
        <v>8.2490600000000001</v>
      </c>
      <c r="H201" s="234">
        <f t="shared" si="70"/>
        <v>0</v>
      </c>
      <c r="I201" s="250"/>
      <c r="J201" s="235">
        <f>Cen!I460</f>
        <v>5729780</v>
      </c>
      <c r="K201" s="235">
        <f>Cen!J460</f>
        <v>99012</v>
      </c>
      <c r="L201" s="230">
        <f t="shared" si="38"/>
        <v>0</v>
      </c>
      <c r="M201" s="434">
        <f t="shared" si="39"/>
        <v>0</v>
      </c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  <c r="AJ201" s="229"/>
      <c r="AK201" s="229"/>
      <c r="AL201" s="229"/>
      <c r="AM201" s="229"/>
      <c r="AN201" s="229"/>
      <c r="AO201" s="229"/>
      <c r="AP201" s="229"/>
      <c r="AQ201" s="229"/>
      <c r="AR201" s="229"/>
      <c r="AS201" s="229"/>
      <c r="AT201" s="229"/>
      <c r="AU201" s="229"/>
      <c r="AV201" s="229"/>
      <c r="AW201" s="229"/>
      <c r="AX201" s="229"/>
      <c r="AY201" s="229"/>
      <c r="AZ201" s="229"/>
      <c r="BA201" s="229"/>
      <c r="BB201" s="229"/>
      <c r="BC201" s="229"/>
      <c r="BD201" s="229"/>
      <c r="BE201" s="229"/>
      <c r="BF201" s="229"/>
      <c r="BG201" s="229"/>
      <c r="BH201" s="229"/>
      <c r="BI201" s="229"/>
      <c r="BJ201" s="229"/>
      <c r="BK201" s="229"/>
      <c r="BL201" s="229"/>
      <c r="BM201" s="229"/>
      <c r="BN201" s="229"/>
      <c r="BO201" s="229"/>
      <c r="BP201" s="229"/>
      <c r="BQ201" s="229"/>
      <c r="BR201" s="229"/>
      <c r="BS201" s="229"/>
      <c r="BT201" s="229"/>
      <c r="BU201" s="229"/>
      <c r="BV201" s="229"/>
      <c r="BW201" s="445">
        <f>OLOst!P59</f>
        <v>0</v>
      </c>
      <c r="BX201" s="229"/>
      <c r="BY201" s="229"/>
      <c r="BZ201" s="229"/>
      <c r="CA201" s="229"/>
    </row>
    <row r="202" spans="2:79" x14ac:dyDescent="0.25">
      <c r="B202" s="237" t="str">
        <f>Cen!A461</f>
        <v>Příčný dělící prvek 88mm</v>
      </c>
      <c r="C202" s="237" t="str">
        <f>Cen!B461</f>
        <v>ZSI.010Q</v>
      </c>
      <c r="D202" s="237" t="str">
        <f>Cen!C461</f>
        <v>R737</v>
      </c>
      <c r="E202" s="553">
        <f>Cen!D461</f>
        <v>0</v>
      </c>
      <c r="F202" s="208">
        <f t="shared" si="51"/>
        <v>0</v>
      </c>
      <c r="G202" s="233">
        <f>Cen!F461</f>
        <v>0</v>
      </c>
      <c r="H202" s="234">
        <f t="shared" si="70"/>
        <v>0</v>
      </c>
      <c r="I202" s="250"/>
      <c r="J202" s="235">
        <f>Cen!I461</f>
        <v>6070030</v>
      </c>
      <c r="K202" s="235" t="str">
        <f>Cen!J461</f>
        <v>-</v>
      </c>
      <c r="L202" s="230">
        <f t="shared" si="38"/>
        <v>0</v>
      </c>
      <c r="M202" s="434">
        <f t="shared" si="39"/>
        <v>0</v>
      </c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  <c r="AJ202" s="229"/>
      <c r="AK202" s="229"/>
      <c r="AL202" s="229"/>
      <c r="AM202" s="229"/>
      <c r="AN202" s="229"/>
      <c r="AO202" s="229"/>
      <c r="AP202" s="229"/>
      <c r="AQ202" s="229"/>
      <c r="AR202" s="229"/>
      <c r="AS202" s="229"/>
      <c r="AT202" s="229"/>
      <c r="AU202" s="229"/>
      <c r="AV202" s="229"/>
      <c r="AW202" s="229"/>
      <c r="AX202" s="229"/>
      <c r="AY202" s="229"/>
      <c r="AZ202" s="229"/>
      <c r="BA202" s="229"/>
      <c r="BB202" s="229"/>
      <c r="BC202" s="229"/>
      <c r="BD202" s="229"/>
      <c r="BE202" s="229"/>
      <c r="BF202" s="229"/>
      <c r="BG202" s="229"/>
      <c r="BH202" s="229"/>
      <c r="BI202" s="229"/>
      <c r="BJ202" s="229"/>
      <c r="BK202" s="229"/>
      <c r="BL202" s="229"/>
      <c r="BM202" s="229"/>
      <c r="BN202" s="229"/>
      <c r="BO202" s="229"/>
      <c r="BP202" s="229"/>
      <c r="BQ202" s="229"/>
      <c r="BR202" s="229"/>
      <c r="BS202" s="229"/>
      <c r="BT202" s="229"/>
      <c r="BU202" s="229"/>
      <c r="BV202" s="229"/>
      <c r="BW202" s="445">
        <f>OLOst!P60</f>
        <v>0</v>
      </c>
      <c r="BX202" s="229"/>
      <c r="BY202" s="229"/>
      <c r="BZ202" s="229"/>
      <c r="CA202" s="229"/>
    </row>
    <row r="203" spans="2:79" x14ac:dyDescent="0.25">
      <c r="B203" s="237" t="str">
        <f>Cen!A462</f>
        <v>Příčný dělící prvek 176mm</v>
      </c>
      <c r="C203" s="237" t="str">
        <f>Cen!B462</f>
        <v>ZSI.020Q</v>
      </c>
      <c r="D203" s="237" t="str">
        <f>Cen!C462</f>
        <v>R737</v>
      </c>
      <c r="E203" s="553">
        <f>Cen!D462</f>
        <v>0</v>
      </c>
      <c r="F203" s="208">
        <f t="shared" ref="F203:F266" si="98">IF(I203&gt;0,I203,SUM(N203:BZ203))</f>
        <v>0</v>
      </c>
      <c r="G203" s="233">
        <f>Cen!F462</f>
        <v>1.9273499999999999</v>
      </c>
      <c r="H203" s="234">
        <f t="shared" si="70"/>
        <v>0</v>
      </c>
      <c r="I203" s="250"/>
      <c r="J203" s="235">
        <f>Cen!I462</f>
        <v>6070200</v>
      </c>
      <c r="K203" s="235">
        <f>Cen!J462</f>
        <v>13015</v>
      </c>
      <c r="L203" s="230">
        <f t="shared" si="38"/>
        <v>0</v>
      </c>
      <c r="M203" s="434">
        <f t="shared" si="39"/>
        <v>0</v>
      </c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  <c r="AJ203" s="229"/>
      <c r="AK203" s="229"/>
      <c r="AL203" s="229"/>
      <c r="AM203" s="229"/>
      <c r="AN203" s="229"/>
      <c r="AO203" s="229"/>
      <c r="AP203" s="229"/>
      <c r="AQ203" s="229"/>
      <c r="AR203" s="229"/>
      <c r="AS203" s="229"/>
      <c r="AT203" s="229"/>
      <c r="AU203" s="229"/>
      <c r="AV203" s="229"/>
      <c r="AW203" s="229"/>
      <c r="AX203" s="229"/>
      <c r="AY203" s="229"/>
      <c r="AZ203" s="229"/>
      <c r="BA203" s="229"/>
      <c r="BB203" s="229"/>
      <c r="BC203" s="229"/>
      <c r="BD203" s="229"/>
      <c r="BE203" s="229"/>
      <c r="BF203" s="229"/>
      <c r="BG203" s="229"/>
      <c r="BH203" s="229"/>
      <c r="BI203" s="229"/>
      <c r="BJ203" s="229"/>
      <c r="BK203" s="229"/>
      <c r="BL203" s="229"/>
      <c r="BM203" s="229"/>
      <c r="BN203" s="229"/>
      <c r="BO203" s="229"/>
      <c r="BP203" s="229"/>
      <c r="BQ203" s="229"/>
      <c r="BR203" s="229"/>
      <c r="BS203" s="229"/>
      <c r="BT203" s="229"/>
      <c r="BU203" s="229"/>
      <c r="BV203" s="229"/>
      <c r="BW203" s="445">
        <f>OLOst!P61</f>
        <v>0</v>
      </c>
      <c r="BX203" s="229"/>
      <c r="BY203" s="229"/>
      <c r="BZ203" s="229"/>
      <c r="CA203" s="229"/>
    </row>
    <row r="204" spans="2:79" x14ac:dyDescent="0.25">
      <c r="B204" s="237" t="str">
        <f>Cen!A466</f>
        <v>Příčka ke zkrácení, KB 300mm, šedá</v>
      </c>
      <c r="C204" s="237" t="str">
        <f>Cen!B466</f>
        <v>Z40L177A</v>
      </c>
      <c r="D204" s="237" t="str">
        <f>Cen!C466</f>
        <v>R906</v>
      </c>
      <c r="E204" s="553">
        <f>Cen!D466</f>
        <v>0</v>
      </c>
      <c r="F204" s="208">
        <f t="shared" si="98"/>
        <v>0</v>
      </c>
      <c r="G204" s="233">
        <f>Cen!F466</f>
        <v>5.7865700000000002</v>
      </c>
      <c r="H204" s="234">
        <f t="shared" si="70"/>
        <v>0</v>
      </c>
      <c r="I204" s="250"/>
      <c r="J204" s="235">
        <f>Cen!I466</f>
        <v>8860753</v>
      </c>
      <c r="K204" s="235">
        <f>Cen!J466</f>
        <v>210837</v>
      </c>
      <c r="L204" s="230">
        <f t="shared" si="38"/>
        <v>0</v>
      </c>
      <c r="M204" s="434">
        <f t="shared" si="39"/>
        <v>0</v>
      </c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  <c r="AJ204" s="229"/>
      <c r="AK204" s="229"/>
      <c r="AL204" s="229"/>
      <c r="AM204" s="229"/>
      <c r="AN204" s="229"/>
      <c r="AO204" s="229"/>
      <c r="AP204" s="229"/>
      <c r="AQ204" s="229"/>
      <c r="AR204" s="229"/>
      <c r="AS204" s="229"/>
      <c r="AT204" s="229"/>
      <c r="AU204" s="229"/>
      <c r="AV204" s="229"/>
      <c r="AW204" s="229"/>
      <c r="AX204" s="229"/>
      <c r="AY204" s="229"/>
      <c r="AZ204" s="229"/>
      <c r="BA204" s="229"/>
      <c r="BB204" s="229"/>
      <c r="BC204" s="229"/>
      <c r="BD204" s="229"/>
      <c r="BE204" s="229"/>
      <c r="BF204" s="229"/>
      <c r="BG204" s="229"/>
      <c r="BH204" s="229"/>
      <c r="BI204" s="229"/>
      <c r="BJ204" s="229"/>
      <c r="BK204" s="229"/>
      <c r="BL204" s="229"/>
      <c r="BM204" s="231">
        <f>'OLP1'!P2</f>
        <v>0</v>
      </c>
      <c r="BN204" s="231">
        <f>'OLP2'!P2</f>
        <v>0</v>
      </c>
      <c r="BO204" s="229"/>
      <c r="BP204" s="231">
        <f>OLVMP!P2</f>
        <v>0</v>
      </c>
      <c r="BQ204" s="231">
        <f>OLKMP!P2</f>
        <v>0</v>
      </c>
      <c r="BR204" s="231">
        <f>OLKo!P2</f>
        <v>0</v>
      </c>
      <c r="BS204" s="231">
        <f>OLVM!P2</f>
        <v>0</v>
      </c>
      <c r="BT204" s="231">
        <f>OLVa!P2</f>
        <v>0</v>
      </c>
      <c r="BU204" s="229"/>
      <c r="BV204" s="229"/>
      <c r="BW204" s="229"/>
      <c r="BX204" s="229"/>
      <c r="BY204" s="229"/>
      <c r="BZ204" s="229"/>
      <c r="CA204" s="229"/>
    </row>
    <row r="205" spans="2:79" x14ac:dyDescent="0.25">
      <c r="B205" s="237" t="str">
        <f>Cen!A470</f>
        <v>Příčka ke zkrácení, KB 600mm, šedá</v>
      </c>
      <c r="C205" s="237" t="str">
        <f>Cen!B470</f>
        <v>Z40L477A</v>
      </c>
      <c r="D205" s="237" t="str">
        <f>Cen!C470</f>
        <v>R906</v>
      </c>
      <c r="E205" s="553">
        <f>Cen!D470</f>
        <v>0</v>
      </c>
      <c r="F205" s="208">
        <f t="shared" si="98"/>
        <v>0</v>
      </c>
      <c r="G205" s="233">
        <f>Cen!F470</f>
        <v>7.2901999999999996</v>
      </c>
      <c r="H205" s="234">
        <f t="shared" si="70"/>
        <v>0</v>
      </c>
      <c r="I205" s="250"/>
      <c r="J205" s="235">
        <f>Cen!I470</f>
        <v>1652924</v>
      </c>
      <c r="K205" s="235">
        <f>Cen!J470</f>
        <v>210845</v>
      </c>
      <c r="L205" s="230">
        <f t="shared" si="38"/>
        <v>0</v>
      </c>
      <c r="M205" s="434">
        <f t="shared" si="39"/>
        <v>0</v>
      </c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  <c r="AJ205" s="229"/>
      <c r="AK205" s="229"/>
      <c r="AL205" s="229"/>
      <c r="AM205" s="229"/>
      <c r="AN205" s="229"/>
      <c r="AO205" s="229"/>
      <c r="AP205" s="229"/>
      <c r="AQ205" s="229"/>
      <c r="AR205" s="229"/>
      <c r="AS205" s="229"/>
      <c r="AT205" s="229"/>
      <c r="AU205" s="229"/>
      <c r="AV205" s="229"/>
      <c r="AW205" s="229"/>
      <c r="AX205" s="229"/>
      <c r="AY205" s="229"/>
      <c r="AZ205" s="229"/>
      <c r="BA205" s="229"/>
      <c r="BB205" s="229"/>
      <c r="BC205" s="229"/>
      <c r="BD205" s="229"/>
      <c r="BE205" s="229"/>
      <c r="BF205" s="229"/>
      <c r="BG205" s="229"/>
      <c r="BH205" s="229"/>
      <c r="BI205" s="229"/>
      <c r="BJ205" s="229"/>
      <c r="BK205" s="229"/>
      <c r="BL205" s="229"/>
      <c r="BM205" s="445">
        <f>'OLP1'!P3</f>
        <v>0</v>
      </c>
      <c r="BN205" s="445">
        <f>'OLP2'!P3</f>
        <v>0</v>
      </c>
      <c r="BO205" s="229"/>
      <c r="BP205" s="445">
        <f>OLVMP!P3</f>
        <v>0</v>
      </c>
      <c r="BQ205" s="445">
        <f>OLKMP!P3</f>
        <v>0</v>
      </c>
      <c r="BR205" s="476">
        <f>OLKo!P3</f>
        <v>0</v>
      </c>
      <c r="BS205" s="229"/>
      <c r="BT205" s="229"/>
      <c r="BU205" s="229"/>
      <c r="BV205" s="229"/>
      <c r="BW205" s="229"/>
      <c r="BX205" s="229"/>
      <c r="BY205" s="229"/>
      <c r="BZ205" s="229"/>
      <c r="CA205" s="229"/>
    </row>
    <row r="206" spans="2:79" x14ac:dyDescent="0.25">
      <c r="B206" s="237" t="str">
        <f>Cen!A474</f>
        <v>Příčka ke zkrácení, KB 900mm, šedá</v>
      </c>
      <c r="C206" s="237" t="str">
        <f>Cen!B474</f>
        <v>Z40L777A</v>
      </c>
      <c r="D206" s="237" t="str">
        <f>Cen!C474</f>
        <v>R906</v>
      </c>
      <c r="E206" s="553">
        <f>Cen!D474</f>
        <v>0</v>
      </c>
      <c r="F206" s="208">
        <f t="shared" si="98"/>
        <v>0</v>
      </c>
      <c r="G206" s="233">
        <f>Cen!F474</f>
        <v>10.70745</v>
      </c>
      <c r="H206" s="234">
        <f t="shared" si="70"/>
        <v>0</v>
      </c>
      <c r="I206" s="250"/>
      <c r="J206" s="235">
        <f>Cen!I474</f>
        <v>8237194</v>
      </c>
      <c r="K206" s="235">
        <f>Cen!J474</f>
        <v>210849</v>
      </c>
      <c r="L206" s="230">
        <f t="shared" si="38"/>
        <v>0</v>
      </c>
      <c r="M206" s="434">
        <f t="shared" si="39"/>
        <v>0</v>
      </c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  <c r="AJ206" s="229"/>
      <c r="AK206" s="229"/>
      <c r="AL206" s="229"/>
      <c r="AM206" s="229"/>
      <c r="AN206" s="229"/>
      <c r="AO206" s="229"/>
      <c r="AP206" s="229"/>
      <c r="AQ206" s="229"/>
      <c r="AR206" s="229"/>
      <c r="AS206" s="229"/>
      <c r="AT206" s="229"/>
      <c r="AU206" s="229"/>
      <c r="AV206" s="229"/>
      <c r="AW206" s="229"/>
      <c r="AX206" s="229"/>
      <c r="AY206" s="229"/>
      <c r="AZ206" s="229"/>
      <c r="BA206" s="229"/>
      <c r="BB206" s="229"/>
      <c r="BC206" s="229"/>
      <c r="BD206" s="229"/>
      <c r="BE206" s="229"/>
      <c r="BF206" s="229"/>
      <c r="BG206" s="229"/>
      <c r="BH206" s="229"/>
      <c r="BI206" s="229"/>
      <c r="BJ206" s="229"/>
      <c r="BK206" s="229"/>
      <c r="BL206" s="229"/>
      <c r="BM206" s="445">
        <f>'OLP1'!P4</f>
        <v>0</v>
      </c>
      <c r="BN206" s="445">
        <f>'OLP2'!P4</f>
        <v>0</v>
      </c>
      <c r="BO206" s="229"/>
      <c r="BP206" s="445">
        <f>OLVMP!P4</f>
        <v>0</v>
      </c>
      <c r="BQ206" s="445">
        <f>OLKMP!P4</f>
        <v>0</v>
      </c>
      <c r="BR206" s="476">
        <f>OLKo!P4</f>
        <v>0</v>
      </c>
      <c r="BS206" s="229"/>
      <c r="BT206" s="229"/>
      <c r="BU206" s="229"/>
      <c r="BV206" s="229"/>
      <c r="BW206" s="229"/>
      <c r="BX206" s="229"/>
      <c r="BY206" s="229"/>
      <c r="BZ206" s="229"/>
      <c r="CA206" s="229"/>
    </row>
    <row r="207" spans="2:79" x14ac:dyDescent="0.25">
      <c r="B207" s="237" t="str">
        <f>Cen!A478</f>
        <v>Příčka ke zkrácení, KB 1200mm, šedá</v>
      </c>
      <c r="C207" s="237" t="str">
        <f>Cen!B478</f>
        <v>Z40L1077A</v>
      </c>
      <c r="D207" s="237" t="str">
        <f>Cen!C478</f>
        <v>R906</v>
      </c>
      <c r="E207" s="553">
        <f>Cen!D478</f>
        <v>0</v>
      </c>
      <c r="F207" s="208">
        <f t="shared" si="98"/>
        <v>0</v>
      </c>
      <c r="G207" s="233">
        <f>Cen!F478</f>
        <v>16.745570000000001</v>
      </c>
      <c r="H207" s="234">
        <f t="shared" si="70"/>
        <v>0</v>
      </c>
      <c r="I207" s="250"/>
      <c r="J207" s="235">
        <f>Cen!I478</f>
        <v>8113610</v>
      </c>
      <c r="K207" s="235">
        <f>Cen!J478</f>
        <v>210943</v>
      </c>
      <c r="L207" s="230">
        <f t="shared" si="38"/>
        <v>0</v>
      </c>
      <c r="M207" s="434">
        <f t="shared" si="39"/>
        <v>0</v>
      </c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  <c r="AJ207" s="229"/>
      <c r="AK207" s="229"/>
      <c r="AL207" s="229"/>
      <c r="AM207" s="229"/>
      <c r="AN207" s="229"/>
      <c r="AO207" s="229"/>
      <c r="AP207" s="229"/>
      <c r="AQ207" s="229"/>
      <c r="AR207" s="229"/>
      <c r="AS207" s="229"/>
      <c r="AT207" s="229"/>
      <c r="AU207" s="229"/>
      <c r="AV207" s="229"/>
      <c r="AW207" s="229"/>
      <c r="AX207" s="229"/>
      <c r="AY207" s="229"/>
      <c r="AZ207" s="229"/>
      <c r="BA207" s="229"/>
      <c r="BB207" s="229"/>
      <c r="BC207" s="229"/>
      <c r="BD207" s="229"/>
      <c r="BE207" s="229"/>
      <c r="BF207" s="229"/>
      <c r="BG207" s="229"/>
      <c r="BH207" s="229"/>
      <c r="BI207" s="229"/>
      <c r="BJ207" s="229"/>
      <c r="BK207" s="229"/>
      <c r="BL207" s="229"/>
      <c r="BM207" s="445">
        <f>'OLP1'!P5</f>
        <v>0</v>
      </c>
      <c r="BN207" s="445">
        <f>'OLP2'!P5</f>
        <v>0</v>
      </c>
      <c r="BO207" s="229"/>
      <c r="BP207" s="445">
        <f>OLVMP!P5</f>
        <v>0</v>
      </c>
      <c r="BQ207" s="445">
        <f>OLKMP!P5</f>
        <v>0</v>
      </c>
      <c r="BR207" s="476">
        <f>OLKo!P5</f>
        <v>0</v>
      </c>
      <c r="BS207" s="229"/>
      <c r="BT207" s="229"/>
      <c r="BU207" s="229"/>
      <c r="BV207" s="229"/>
      <c r="BW207" s="229"/>
      <c r="BX207" s="229"/>
      <c r="BY207" s="229"/>
      <c r="BZ207" s="229"/>
      <c r="CA207" s="229"/>
    </row>
    <row r="208" spans="2:79" x14ac:dyDescent="0.25">
      <c r="B208" s="237" t="str">
        <f>Cen!A483</f>
        <v>Koncovka pro příčku, pro reling, D, bílošedá</v>
      </c>
      <c r="C208" s="237" t="str">
        <f>Cen!B483</f>
        <v>Z40D0002Z</v>
      </c>
      <c r="D208" s="237" t="str">
        <f>Cen!C483</f>
        <v>WGR</v>
      </c>
      <c r="E208" s="553">
        <f>Cen!D483</f>
        <v>0</v>
      </c>
      <c r="F208" s="208">
        <f t="shared" si="98"/>
        <v>0</v>
      </c>
      <c r="G208" s="233">
        <f>Cen!F483</f>
        <v>1.8503300000000003</v>
      </c>
      <c r="H208" s="234">
        <f t="shared" si="70"/>
        <v>0</v>
      </c>
      <c r="I208" s="250"/>
      <c r="J208" s="235">
        <f>Cen!I483</f>
        <v>5716290</v>
      </c>
      <c r="K208" s="235">
        <f>Cen!J483</f>
        <v>210831</v>
      </c>
      <c r="L208" s="230">
        <f t="shared" si="38"/>
        <v>0</v>
      </c>
      <c r="M208" s="434">
        <f t="shared" si="39"/>
        <v>0</v>
      </c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  <c r="AJ208" s="229"/>
      <c r="AK208" s="229"/>
      <c r="AL208" s="229"/>
      <c r="AM208" s="229"/>
      <c r="AN208" s="229"/>
      <c r="AO208" s="229"/>
      <c r="AP208" s="229"/>
      <c r="AQ208" s="229"/>
      <c r="AR208" s="229"/>
      <c r="AS208" s="229"/>
      <c r="AT208" s="229"/>
      <c r="AU208" s="229"/>
      <c r="AV208" s="229"/>
      <c r="AW208" s="229"/>
      <c r="AX208" s="229"/>
      <c r="AY208" s="229"/>
      <c r="AZ208" s="229"/>
      <c r="BA208" s="229"/>
      <c r="BB208" s="229"/>
      <c r="BC208" s="229"/>
      <c r="BD208" s="229"/>
      <c r="BE208" s="229"/>
      <c r="BF208" s="229"/>
      <c r="BG208" s="229"/>
      <c r="BH208" s="229"/>
      <c r="BI208" s="229"/>
      <c r="BJ208" s="229"/>
      <c r="BK208" s="229"/>
      <c r="BL208" s="229"/>
      <c r="BM208" s="445">
        <f>'OLP1'!P6</f>
        <v>0</v>
      </c>
      <c r="BN208" s="445">
        <f>'OLP2'!P6</f>
        <v>0</v>
      </c>
      <c r="BO208" s="229"/>
      <c r="BP208" s="445">
        <f>OLVMP!P6</f>
        <v>0</v>
      </c>
      <c r="BQ208" s="445">
        <f>OLKMP!P6</f>
        <v>0</v>
      </c>
      <c r="BR208" s="476">
        <f>OLKo!P6</f>
        <v>0</v>
      </c>
      <c r="BS208" s="231">
        <f>OLVM!P3</f>
        <v>0</v>
      </c>
      <c r="BT208" s="231">
        <f>OLVa!P3</f>
        <v>0</v>
      </c>
      <c r="BU208" s="229"/>
      <c r="BV208" s="229"/>
      <c r="BW208" s="229"/>
      <c r="BX208" s="229"/>
      <c r="BY208" s="229"/>
      <c r="BZ208" s="229"/>
      <c r="CA208" s="229"/>
    </row>
    <row r="209" spans="2:79" x14ac:dyDescent="0.25">
      <c r="B209" s="237" t="str">
        <f>Cen!A487</f>
        <v>Koncovka pro příčku, pro reling, C, bílošedá</v>
      </c>
      <c r="C209" s="237" t="str">
        <f>Cen!B487</f>
        <v>Z40C0002Z</v>
      </c>
      <c r="D209" s="237" t="str">
        <f>Cen!C487</f>
        <v>WGR</v>
      </c>
      <c r="E209" s="553">
        <f>Cen!D487</f>
        <v>0</v>
      </c>
      <c r="F209" s="208">
        <f t="shared" si="98"/>
        <v>0</v>
      </c>
      <c r="G209" s="233">
        <f>Cen!F487</f>
        <v>1.7087099999999997</v>
      </c>
      <c r="H209" s="234">
        <f t="shared" si="70"/>
        <v>0</v>
      </c>
      <c r="I209" s="250"/>
      <c r="J209" s="235">
        <f>Cen!I487</f>
        <v>1332165</v>
      </c>
      <c r="K209" s="235">
        <f>Cen!J487</f>
        <v>210827</v>
      </c>
      <c r="L209" s="230">
        <f>IF(I209="x",0,IF(I209&gt;0,I209,F209))</f>
        <v>0</v>
      </c>
      <c r="M209" s="434">
        <f>PRODUCT(L209,G209)</f>
        <v>0</v>
      </c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  <c r="AJ209" s="229"/>
      <c r="AK209" s="229"/>
      <c r="AL209" s="229"/>
      <c r="AM209" s="229"/>
      <c r="AN209" s="229"/>
      <c r="AO209" s="229"/>
      <c r="AP209" s="229"/>
      <c r="AQ209" s="229"/>
      <c r="AR209" s="229"/>
      <c r="AS209" s="229"/>
      <c r="AT209" s="229"/>
      <c r="AU209" s="229"/>
      <c r="AV209" s="229"/>
      <c r="AW209" s="229"/>
      <c r="AX209" s="229"/>
      <c r="AY209" s="229"/>
      <c r="AZ209" s="229"/>
      <c r="BA209" s="229"/>
      <c r="BB209" s="229"/>
      <c r="BC209" s="229"/>
      <c r="BD209" s="229"/>
      <c r="BE209" s="229"/>
      <c r="BF209" s="229"/>
      <c r="BG209" s="229"/>
      <c r="BH209" s="229"/>
      <c r="BI209" s="229"/>
      <c r="BJ209" s="229"/>
      <c r="BK209" s="229"/>
      <c r="BL209" s="229"/>
      <c r="BM209" s="445">
        <f>'OLP1'!P7</f>
        <v>0</v>
      </c>
      <c r="BN209" s="445">
        <f>'OLP2'!P7</f>
        <v>0</v>
      </c>
      <c r="BO209" s="229"/>
      <c r="BP209" s="445">
        <f>OLVMP!P7</f>
        <v>0</v>
      </c>
      <c r="BQ209" s="445">
        <f>OLKMP!P7</f>
        <v>0</v>
      </c>
      <c r="BR209" s="476">
        <f>OLKo!P7</f>
        <v>0</v>
      </c>
      <c r="BS209" s="476">
        <f>OLVM!P4</f>
        <v>0</v>
      </c>
      <c r="BT209" s="231">
        <f>OLVa!P4</f>
        <v>0</v>
      </c>
      <c r="BU209" s="229"/>
      <c r="BV209" s="229"/>
      <c r="BW209" s="229"/>
      <c r="BX209" s="229"/>
      <c r="BY209" s="229"/>
      <c r="BZ209" s="229"/>
      <c r="CA209" s="229"/>
    </row>
    <row r="210" spans="2:79" x14ac:dyDescent="0.25">
      <c r="B210" s="237" t="str">
        <f>Cen!A491</f>
        <v>Koncovka pro příčku, pro mezistěnu, bílošedá</v>
      </c>
      <c r="C210" s="237" t="str">
        <f>Cen!B491</f>
        <v>Z40L0002</v>
      </c>
      <c r="D210" s="237" t="str">
        <f>Cen!C491</f>
        <v>WGR</v>
      </c>
      <c r="E210" s="553">
        <f>Cen!D491</f>
        <v>0</v>
      </c>
      <c r="F210" s="208">
        <f t="shared" si="98"/>
        <v>0</v>
      </c>
      <c r="G210" s="233">
        <f>Cen!F491</f>
        <v>1.8503300000000003</v>
      </c>
      <c r="H210" s="234">
        <f t="shared" si="70"/>
        <v>0</v>
      </c>
      <c r="I210" s="250"/>
      <c r="J210" s="235">
        <f>Cen!I491</f>
        <v>8113856</v>
      </c>
      <c r="K210" s="235">
        <f>Cen!J491</f>
        <v>202582</v>
      </c>
      <c r="L210" s="230">
        <f t="shared" si="38"/>
        <v>0</v>
      </c>
      <c r="M210" s="434">
        <f t="shared" si="39"/>
        <v>0</v>
      </c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  <c r="AJ210" s="229"/>
      <c r="AK210" s="229"/>
      <c r="AL210" s="229"/>
      <c r="AM210" s="229"/>
      <c r="AN210" s="229"/>
      <c r="AO210" s="229"/>
      <c r="AP210" s="229"/>
      <c r="AQ210" s="229"/>
      <c r="AR210" s="229"/>
      <c r="AS210" s="229"/>
      <c r="AT210" s="229"/>
      <c r="AU210" s="229"/>
      <c r="AV210" s="229"/>
      <c r="AW210" s="229"/>
      <c r="AX210" s="229"/>
      <c r="AY210" s="229"/>
      <c r="AZ210" s="229"/>
      <c r="BA210" s="229"/>
      <c r="BB210" s="229"/>
      <c r="BC210" s="229"/>
      <c r="BD210" s="229"/>
      <c r="BE210" s="229"/>
      <c r="BF210" s="229"/>
      <c r="BG210" s="229"/>
      <c r="BH210" s="229"/>
      <c r="BI210" s="229"/>
      <c r="BJ210" s="229"/>
      <c r="BK210" s="229"/>
      <c r="BL210" s="229"/>
      <c r="BM210" s="229"/>
      <c r="BN210" s="229"/>
      <c r="BO210" s="229"/>
      <c r="BP210" s="445">
        <f>OLVMP!P8</f>
        <v>0</v>
      </c>
      <c r="BQ210" s="445">
        <f>OLKMP!P8</f>
        <v>0</v>
      </c>
      <c r="BR210" s="229"/>
      <c r="BS210" s="476">
        <f>OLVM!P5</f>
        <v>0</v>
      </c>
      <c r="BT210" s="229"/>
      <c r="BU210" s="229"/>
      <c r="BV210" s="229"/>
      <c r="BW210" s="229"/>
      <c r="BX210" s="229"/>
      <c r="BY210" s="229"/>
      <c r="BZ210" s="229"/>
      <c r="CA210" s="229"/>
    </row>
    <row r="211" spans="2:79" x14ac:dyDescent="0.25">
      <c r="B211" s="237" t="str">
        <f>Cen!A496</f>
        <v>Podélné dělení, šedé</v>
      </c>
      <c r="C211" s="237" t="str">
        <f>Cen!B496</f>
        <v>Z43L100S</v>
      </c>
      <c r="D211" s="237" t="str">
        <f>Cen!C496</f>
        <v>R906</v>
      </c>
      <c r="E211" s="553">
        <f>Cen!D496</f>
        <v>0</v>
      </c>
      <c r="F211" s="208">
        <f t="shared" si="98"/>
        <v>0</v>
      </c>
      <c r="G211" s="233">
        <f>Cen!F496</f>
        <v>3.4353400000000001</v>
      </c>
      <c r="H211" s="234">
        <f t="shared" si="70"/>
        <v>0</v>
      </c>
      <c r="I211" s="250"/>
      <c r="J211" s="235">
        <f>Cen!I496</f>
        <v>7952586</v>
      </c>
      <c r="K211" s="235">
        <f>Cen!J496</f>
        <v>221230</v>
      </c>
      <c r="L211" s="230">
        <f t="shared" si="38"/>
        <v>0</v>
      </c>
      <c r="M211" s="434">
        <f t="shared" si="39"/>
        <v>0</v>
      </c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  <c r="AJ211" s="229"/>
      <c r="AK211" s="229"/>
      <c r="AL211" s="229"/>
      <c r="AM211" s="229"/>
      <c r="AN211" s="229"/>
      <c r="AO211" s="229"/>
      <c r="AP211" s="229"/>
      <c r="AQ211" s="229"/>
      <c r="AR211" s="229"/>
      <c r="AS211" s="229"/>
      <c r="AT211" s="229"/>
      <c r="AU211" s="229"/>
      <c r="AV211" s="229"/>
      <c r="AW211" s="229"/>
      <c r="AX211" s="229"/>
      <c r="AY211" s="229"/>
      <c r="AZ211" s="229"/>
      <c r="BA211" s="229"/>
      <c r="BB211" s="229"/>
      <c r="BC211" s="229"/>
      <c r="BD211" s="229"/>
      <c r="BE211" s="229"/>
      <c r="BF211" s="229"/>
      <c r="BG211" s="229"/>
      <c r="BH211" s="229"/>
      <c r="BI211" s="229"/>
      <c r="BJ211" s="229"/>
      <c r="BK211" s="229"/>
      <c r="BL211" s="229"/>
      <c r="BM211" s="231">
        <f>'OLP1'!P8</f>
        <v>0</v>
      </c>
      <c r="BN211" s="231">
        <f>'OLP2'!P8</f>
        <v>0</v>
      </c>
      <c r="BO211" s="229"/>
      <c r="BP211" s="445">
        <f>OLVMP!P9</f>
        <v>0</v>
      </c>
      <c r="BQ211" s="445">
        <f>OLKMP!P9</f>
        <v>0</v>
      </c>
      <c r="BR211" s="231">
        <f>OLKo!P8</f>
        <v>0</v>
      </c>
      <c r="BS211" s="229"/>
      <c r="BT211" s="229"/>
      <c r="BU211" s="229"/>
      <c r="BV211" s="229"/>
      <c r="BW211" s="229"/>
      <c r="BX211" s="229"/>
      <c r="BY211" s="229"/>
      <c r="BZ211" s="229"/>
      <c r="CA211" s="229"/>
    </row>
    <row r="212" spans="2:79" x14ac:dyDescent="0.25">
      <c r="B212" s="237" t="str">
        <f>Cen!A501</f>
        <v>Příčný reling ke zkrácení, šedý</v>
      </c>
      <c r="C212" s="237" t="str">
        <f>Cen!B501</f>
        <v>ZRG.1104Q</v>
      </c>
      <c r="D212" s="237" t="str">
        <f>Cen!C501</f>
        <v>R906</v>
      </c>
      <c r="E212" s="553">
        <f>Cen!D501</f>
        <v>0</v>
      </c>
      <c r="F212" s="208">
        <f t="shared" si="98"/>
        <v>0</v>
      </c>
      <c r="G212" s="233">
        <f>Cen!F501</f>
        <v>4.6832500000000001</v>
      </c>
      <c r="H212" s="234">
        <f t="shared" si="70"/>
        <v>0</v>
      </c>
      <c r="I212" s="250"/>
      <c r="J212" s="235">
        <f>Cen!I501</f>
        <v>9752780</v>
      </c>
      <c r="K212" s="235">
        <f>Cen!J501</f>
        <v>202534</v>
      </c>
      <c r="L212" s="230">
        <f t="shared" si="38"/>
        <v>0</v>
      </c>
      <c r="M212" s="434">
        <f t="shared" si="39"/>
        <v>0</v>
      </c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  <c r="AJ212" s="229"/>
      <c r="AK212" s="229"/>
      <c r="AL212" s="229"/>
      <c r="AM212" s="229"/>
      <c r="AN212" s="229"/>
      <c r="AO212" s="229"/>
      <c r="AP212" s="229"/>
      <c r="AQ212" s="229"/>
      <c r="AR212" s="229"/>
      <c r="AS212" s="229"/>
      <c r="AT212" s="229"/>
      <c r="AU212" s="229"/>
      <c r="AV212" s="229"/>
      <c r="AW212" s="229"/>
      <c r="AX212" s="229"/>
      <c r="AY212" s="229"/>
      <c r="AZ212" s="229"/>
      <c r="BA212" s="229"/>
      <c r="BB212" s="229"/>
      <c r="BC212" s="229"/>
      <c r="BD212" s="229"/>
      <c r="BE212" s="229"/>
      <c r="BF212" s="229"/>
      <c r="BG212" s="229"/>
      <c r="BH212" s="229"/>
      <c r="BI212" s="229"/>
      <c r="BJ212" s="229"/>
      <c r="BK212" s="229"/>
      <c r="BL212" s="229"/>
      <c r="BM212" s="229"/>
      <c r="BN212" s="229"/>
      <c r="BO212" s="229"/>
      <c r="BP212" s="229"/>
      <c r="BQ212" s="229"/>
      <c r="BR212" s="229"/>
      <c r="BS212" s="229"/>
      <c r="BT212" s="229"/>
      <c r="BU212" s="229"/>
      <c r="BV212" s="231">
        <f>OLRel!P2</f>
        <v>0</v>
      </c>
      <c r="BW212" s="229"/>
      <c r="BX212" s="229"/>
      <c r="BY212" s="229"/>
      <c r="BZ212" s="229"/>
      <c r="CA212" s="229"/>
    </row>
    <row r="213" spans="2:79" x14ac:dyDescent="0.25">
      <c r="B213" s="237" t="str">
        <f>Cen!A506</f>
        <v>Koncovka pro příčný reling, bílošedá</v>
      </c>
      <c r="C213" s="237" t="str">
        <f>Cen!B506</f>
        <v>ZRU.01E0</v>
      </c>
      <c r="D213" s="237" t="str">
        <f>Cen!C506</f>
        <v>WGR</v>
      </c>
      <c r="E213" s="553">
        <f>Cen!D506</f>
        <v>0</v>
      </c>
      <c r="F213" s="208">
        <f t="shared" si="98"/>
        <v>0</v>
      </c>
      <c r="G213" s="233">
        <f>Cen!F506</f>
        <v>1.4808699999999999</v>
      </c>
      <c r="H213" s="234">
        <f t="shared" si="70"/>
        <v>0</v>
      </c>
      <c r="I213" s="250"/>
      <c r="J213" s="235">
        <f>Cen!I506</f>
        <v>6586948</v>
      </c>
      <c r="K213" s="235">
        <f>Cen!J506</f>
        <v>229192</v>
      </c>
      <c r="L213" s="230">
        <f t="shared" si="38"/>
        <v>0</v>
      </c>
      <c r="M213" s="434">
        <f t="shared" si="39"/>
        <v>0</v>
      </c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  <c r="AJ213" s="229"/>
      <c r="AK213" s="229"/>
      <c r="AL213" s="229"/>
      <c r="AM213" s="229"/>
      <c r="AN213" s="229"/>
      <c r="AO213" s="229"/>
      <c r="AP213" s="229"/>
      <c r="AQ213" s="229"/>
      <c r="AR213" s="229"/>
      <c r="AS213" s="229"/>
      <c r="AT213" s="229"/>
      <c r="AU213" s="229"/>
      <c r="AV213" s="229"/>
      <c r="AW213" s="229"/>
      <c r="AX213" s="229"/>
      <c r="AY213" s="229"/>
      <c r="AZ213" s="229"/>
      <c r="BA213" s="229"/>
      <c r="BB213" s="229"/>
      <c r="BC213" s="229"/>
      <c r="BD213" s="229"/>
      <c r="BE213" s="229"/>
      <c r="BF213" s="229"/>
      <c r="BG213" s="229"/>
      <c r="BH213" s="229"/>
      <c r="BI213" s="229"/>
      <c r="BJ213" s="229"/>
      <c r="BK213" s="229"/>
      <c r="BL213" s="229"/>
      <c r="BM213" s="229"/>
      <c r="BN213" s="229"/>
      <c r="BO213" s="229"/>
      <c r="BP213" s="229"/>
      <c r="BQ213" s="229"/>
      <c r="BR213" s="229"/>
      <c r="BS213" s="229"/>
      <c r="BT213" s="229"/>
      <c r="BU213" s="229"/>
      <c r="BV213" s="476">
        <f>OLRel!P3</f>
        <v>0</v>
      </c>
      <c r="BW213" s="229"/>
      <c r="BX213" s="229"/>
      <c r="BY213" s="229"/>
      <c r="BZ213" s="229"/>
      <c r="CA213" s="229"/>
    </row>
    <row r="214" spans="2:79" x14ac:dyDescent="0.25">
      <c r="B214" s="237" t="str">
        <f>Cen!A511</f>
        <v>Podélné dělení pro reling, bílošedé</v>
      </c>
      <c r="C214" s="237" t="str">
        <f>Cen!B511</f>
        <v>ZRU.11F0</v>
      </c>
      <c r="D214" s="237" t="str">
        <f>Cen!C511</f>
        <v>WGR</v>
      </c>
      <c r="E214" s="553">
        <f>Cen!D511</f>
        <v>0</v>
      </c>
      <c r="F214" s="208">
        <f t="shared" si="98"/>
        <v>0</v>
      </c>
      <c r="G214" s="233">
        <f>Cen!F511</f>
        <v>0.84326000000000012</v>
      </c>
      <c r="H214" s="234">
        <f t="shared" si="70"/>
        <v>0</v>
      </c>
      <c r="I214" s="250"/>
      <c r="J214" s="235">
        <f>Cen!I511</f>
        <v>9410686</v>
      </c>
      <c r="K214" s="235">
        <f>Cen!J511</f>
        <v>202538</v>
      </c>
      <c r="L214" s="230">
        <f t="shared" si="38"/>
        <v>0</v>
      </c>
      <c r="M214" s="434">
        <f t="shared" si="39"/>
        <v>0</v>
      </c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  <c r="AJ214" s="229"/>
      <c r="AK214" s="229"/>
      <c r="AL214" s="229"/>
      <c r="AM214" s="229"/>
      <c r="AN214" s="229"/>
      <c r="AO214" s="229"/>
      <c r="AP214" s="229"/>
      <c r="AQ214" s="229"/>
      <c r="AR214" s="229"/>
      <c r="AS214" s="229"/>
      <c r="AT214" s="229"/>
      <c r="AU214" s="229"/>
      <c r="AV214" s="229"/>
      <c r="AW214" s="229"/>
      <c r="AX214" s="229"/>
      <c r="AY214" s="229"/>
      <c r="AZ214" s="229"/>
      <c r="BA214" s="229"/>
      <c r="BB214" s="229"/>
      <c r="BC214" s="229"/>
      <c r="BD214" s="229"/>
      <c r="BE214" s="229"/>
      <c r="BF214" s="229"/>
      <c r="BG214" s="229"/>
      <c r="BH214" s="229"/>
      <c r="BI214" s="229"/>
      <c r="BJ214" s="229"/>
      <c r="BK214" s="229"/>
      <c r="BL214" s="229"/>
      <c r="BM214" s="229"/>
      <c r="BN214" s="229"/>
      <c r="BO214" s="229"/>
      <c r="BP214" s="229"/>
      <c r="BQ214" s="229"/>
      <c r="BR214" s="229"/>
      <c r="BS214" s="229"/>
      <c r="BT214" s="229"/>
      <c r="BU214" s="229"/>
      <c r="BV214" s="476">
        <f>OLRel!P4</f>
        <v>0</v>
      </c>
      <c r="BW214" s="229"/>
      <c r="BX214" s="229"/>
      <c r="BY214" s="229"/>
      <c r="BZ214" s="229"/>
      <c r="CA214" s="229"/>
    </row>
    <row r="215" spans="2:79" x14ac:dyDescent="0.25">
      <c r="B215" s="237" t="str">
        <f>Cen!A518</f>
        <v>Mezistěna, 450mm, šedá</v>
      </c>
      <c r="C215" s="237" t="str">
        <f>Cen!B518</f>
        <v xml:space="preserve">Z46L420S   </v>
      </c>
      <c r="D215" s="237" t="str">
        <f>Cen!C518</f>
        <v>R906</v>
      </c>
      <c r="E215" s="553" t="str">
        <f>Cen!D518</f>
        <v>!</v>
      </c>
      <c r="F215" s="208">
        <f t="shared" si="98"/>
        <v>0</v>
      </c>
      <c r="G215" s="233">
        <f>Cen!F518</f>
        <v>27.800640000000001</v>
      </c>
      <c r="H215" s="234">
        <f t="shared" ref="H215" si="99">M215</f>
        <v>0</v>
      </c>
      <c r="I215" s="250"/>
      <c r="J215" s="235">
        <f>Cen!I518</f>
        <v>8675730</v>
      </c>
      <c r="K215" s="235">
        <f>Cen!J518</f>
        <v>13163</v>
      </c>
      <c r="L215" s="230"/>
      <c r="M215" s="434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  <c r="AJ215" s="229"/>
      <c r="AK215" s="229"/>
      <c r="AL215" s="229"/>
      <c r="AM215" s="229"/>
      <c r="AN215" s="229"/>
      <c r="AO215" s="229"/>
      <c r="AP215" s="229"/>
      <c r="AQ215" s="229"/>
      <c r="AR215" s="229"/>
      <c r="AS215" s="229"/>
      <c r="AT215" s="229"/>
      <c r="AU215" s="229"/>
      <c r="AV215" s="229"/>
      <c r="AW215" s="229"/>
      <c r="AX215" s="229"/>
      <c r="AY215" s="229"/>
      <c r="AZ215" s="229"/>
      <c r="BA215" s="229"/>
      <c r="BB215" s="229"/>
      <c r="BC215" s="229"/>
      <c r="BD215" s="229"/>
      <c r="BE215" s="229"/>
      <c r="BF215" s="229"/>
      <c r="BG215" s="229"/>
      <c r="BH215" s="229"/>
      <c r="BI215" s="229"/>
      <c r="BJ215" s="229"/>
      <c r="BK215" s="229"/>
      <c r="BL215" s="229"/>
      <c r="BM215" s="229"/>
      <c r="BN215" s="229"/>
      <c r="BO215" s="229"/>
      <c r="BP215" s="229"/>
      <c r="BQ215" s="229"/>
      <c r="BR215" s="229"/>
      <c r="BS215" s="229"/>
      <c r="BT215" s="229"/>
      <c r="BU215" s="476">
        <f>OLMe!P2</f>
        <v>0</v>
      </c>
      <c r="BV215" s="229"/>
      <c r="BW215" s="229"/>
      <c r="BX215" s="229"/>
      <c r="BY215" s="229"/>
      <c r="BZ215" s="229"/>
      <c r="CA215" s="229"/>
    </row>
    <row r="216" spans="2:79" x14ac:dyDescent="0.25">
      <c r="B216" s="237" t="str">
        <f>Cen!A522</f>
        <v>Mezistěna, 500mm, šedá</v>
      </c>
      <c r="C216" s="237" t="str">
        <f>Cen!B522</f>
        <v xml:space="preserve">Z46L470S   </v>
      </c>
      <c r="D216" s="237" t="str">
        <f>Cen!C522</f>
        <v>R906</v>
      </c>
      <c r="E216" s="553">
        <f>Cen!D522</f>
        <v>0</v>
      </c>
      <c r="F216" s="208">
        <f t="shared" si="98"/>
        <v>0</v>
      </c>
      <c r="G216" s="233">
        <f>Cen!F522</f>
        <v>28.674389999999999</v>
      </c>
      <c r="H216" s="234">
        <f t="shared" si="70"/>
        <v>0</v>
      </c>
      <c r="I216" s="250"/>
      <c r="J216" s="235">
        <f>Cen!I522</f>
        <v>8679310</v>
      </c>
      <c r="K216" s="235">
        <f>Cen!J522</f>
        <v>13162</v>
      </c>
      <c r="L216" s="230">
        <f t="shared" si="38"/>
        <v>0</v>
      </c>
      <c r="M216" s="434">
        <f t="shared" si="39"/>
        <v>0</v>
      </c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  <c r="AJ216" s="229"/>
      <c r="AK216" s="229"/>
      <c r="AL216" s="229"/>
      <c r="AM216" s="229"/>
      <c r="AN216" s="229"/>
      <c r="AO216" s="229"/>
      <c r="AP216" s="229"/>
      <c r="AQ216" s="229"/>
      <c r="AR216" s="229"/>
      <c r="AS216" s="229"/>
      <c r="AT216" s="229"/>
      <c r="AU216" s="229"/>
      <c r="AV216" s="229"/>
      <c r="AW216" s="229"/>
      <c r="AX216" s="229"/>
      <c r="AY216" s="229"/>
      <c r="AZ216" s="229"/>
      <c r="BA216" s="229"/>
      <c r="BB216" s="229"/>
      <c r="BC216" s="229"/>
      <c r="BD216" s="229"/>
      <c r="BE216" s="229"/>
      <c r="BF216" s="229"/>
      <c r="BG216" s="229"/>
      <c r="BH216" s="229"/>
      <c r="BI216" s="229"/>
      <c r="BJ216" s="229"/>
      <c r="BK216" s="229"/>
      <c r="BL216" s="229"/>
      <c r="BM216" s="229"/>
      <c r="BN216" s="229"/>
      <c r="BO216" s="229"/>
      <c r="BP216" s="231">
        <f>OLVMP!P10</f>
        <v>0</v>
      </c>
      <c r="BQ216" s="231">
        <f>OLKMP!P10</f>
        <v>0</v>
      </c>
      <c r="BR216" s="229"/>
      <c r="BS216" s="231">
        <f>OLVM!P6</f>
        <v>0</v>
      </c>
      <c r="BT216" s="229"/>
      <c r="BU216" s="476">
        <f>OLMe!P3</f>
        <v>0</v>
      </c>
      <c r="BV216" s="229"/>
      <c r="BW216" s="229"/>
      <c r="BX216" s="229"/>
      <c r="BY216" s="229"/>
      <c r="BZ216" s="229"/>
      <c r="CA216" s="229"/>
    </row>
    <row r="217" spans="2:79" x14ac:dyDescent="0.25">
      <c r="B217" s="237" t="str">
        <f>Cen!A526</f>
        <v>Mezistěna, 550mm, šedá</v>
      </c>
      <c r="C217" s="237" t="str">
        <f>Cen!B526</f>
        <v xml:space="preserve">Z46L520S   </v>
      </c>
      <c r="D217" s="237" t="str">
        <f>Cen!C526</f>
        <v>R906</v>
      </c>
      <c r="E217" s="553" t="str">
        <f>Cen!D526</f>
        <v>!</v>
      </c>
      <c r="F217" s="208">
        <f t="shared" si="98"/>
        <v>0</v>
      </c>
      <c r="G217" s="233">
        <f>Cen!F526</f>
        <v>30.234719999999996</v>
      </c>
      <c r="H217" s="234">
        <f t="shared" ref="H217:H219" si="100">M217</f>
        <v>0</v>
      </c>
      <c r="I217" s="250"/>
      <c r="J217" s="235">
        <f>Cen!I526</f>
        <v>9149940</v>
      </c>
      <c r="K217" s="235">
        <f>Cen!J526</f>
        <v>14328</v>
      </c>
      <c r="L217" s="230"/>
      <c r="M217" s="434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  <c r="AJ217" s="229"/>
      <c r="AK217" s="229"/>
      <c r="AL217" s="229"/>
      <c r="AM217" s="229"/>
      <c r="AN217" s="229"/>
      <c r="AO217" s="229"/>
      <c r="AP217" s="229"/>
      <c r="AQ217" s="229"/>
      <c r="AR217" s="229"/>
      <c r="AS217" s="229"/>
      <c r="AT217" s="229"/>
      <c r="AU217" s="229"/>
      <c r="AV217" s="229"/>
      <c r="AW217" s="229"/>
      <c r="AX217" s="229"/>
      <c r="AY217" s="229"/>
      <c r="AZ217" s="229"/>
      <c r="BA217" s="229"/>
      <c r="BB217" s="229"/>
      <c r="BC217" s="229"/>
      <c r="BD217" s="229"/>
      <c r="BE217" s="229"/>
      <c r="BF217" s="229"/>
      <c r="BG217" s="229"/>
      <c r="BH217" s="229"/>
      <c r="BI217" s="229"/>
      <c r="BJ217" s="229"/>
      <c r="BK217" s="229"/>
      <c r="BL217" s="229"/>
      <c r="BM217" s="229"/>
      <c r="BN217" s="229"/>
      <c r="BO217" s="229"/>
      <c r="BP217" s="236"/>
      <c r="BQ217" s="236"/>
      <c r="BR217" s="229"/>
      <c r="BS217" s="444"/>
      <c r="BT217" s="229"/>
      <c r="BU217" s="476">
        <f>OLMe!P4</f>
        <v>0</v>
      </c>
      <c r="BV217" s="229"/>
      <c r="BW217" s="229"/>
      <c r="BX217" s="229"/>
      <c r="BY217" s="229"/>
      <c r="BZ217" s="229"/>
      <c r="CA217" s="229"/>
    </row>
    <row r="218" spans="2:79" x14ac:dyDescent="0.25">
      <c r="B218" s="237" t="str">
        <f>Cen!A530</f>
        <v>Mezistěna, 600mm, šedá</v>
      </c>
      <c r="C218" s="237" t="str">
        <f>Cen!B530</f>
        <v xml:space="preserve">Z46L570S   </v>
      </c>
      <c r="D218" s="237" t="str">
        <f>Cen!C530</f>
        <v>R906</v>
      </c>
      <c r="E218" s="553" t="str">
        <f>Cen!D530</f>
        <v>!</v>
      </c>
      <c r="F218" s="208">
        <f t="shared" si="98"/>
        <v>0</v>
      </c>
      <c r="G218" s="233">
        <f>Cen!F530</f>
        <v>28.590029999999999</v>
      </c>
      <c r="H218" s="234">
        <f t="shared" si="100"/>
        <v>0</v>
      </c>
      <c r="I218" s="250"/>
      <c r="J218" s="235">
        <f>Cen!I530</f>
        <v>8832690</v>
      </c>
      <c r="K218" s="235">
        <f>Cen!J530</f>
        <v>203383</v>
      </c>
      <c r="L218" s="230"/>
      <c r="M218" s="434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  <c r="AJ218" s="229"/>
      <c r="AK218" s="229"/>
      <c r="AL218" s="229"/>
      <c r="AM218" s="229"/>
      <c r="AN218" s="229"/>
      <c r="AO218" s="229"/>
      <c r="AP218" s="229"/>
      <c r="AQ218" s="229"/>
      <c r="AR218" s="229"/>
      <c r="AS218" s="229"/>
      <c r="AT218" s="229"/>
      <c r="AU218" s="229"/>
      <c r="AV218" s="229"/>
      <c r="AW218" s="229"/>
      <c r="AX218" s="229"/>
      <c r="AY218" s="229"/>
      <c r="AZ218" s="229"/>
      <c r="BA218" s="229"/>
      <c r="BB218" s="229"/>
      <c r="BC218" s="229"/>
      <c r="BD218" s="229"/>
      <c r="BE218" s="229"/>
      <c r="BF218" s="229"/>
      <c r="BG218" s="229"/>
      <c r="BH218" s="229"/>
      <c r="BI218" s="229"/>
      <c r="BJ218" s="229"/>
      <c r="BK218" s="229"/>
      <c r="BL218" s="229"/>
      <c r="BM218" s="229"/>
      <c r="BN218" s="229"/>
      <c r="BO218" s="229"/>
      <c r="BP218" s="236"/>
      <c r="BQ218" s="236"/>
      <c r="BR218" s="229"/>
      <c r="BS218" s="444"/>
      <c r="BT218" s="229"/>
      <c r="BU218" s="476">
        <f>OLMe!P5</f>
        <v>0</v>
      </c>
      <c r="BV218" s="229"/>
      <c r="BW218" s="229"/>
      <c r="BX218" s="229"/>
      <c r="BY218" s="229"/>
      <c r="BZ218" s="229"/>
      <c r="CA218" s="229"/>
    </row>
    <row r="219" spans="2:79" x14ac:dyDescent="0.25">
      <c r="B219" s="237" t="str">
        <f>Cen!A534</f>
        <v>Mezistěna, 650mm, šedá</v>
      </c>
      <c r="C219" s="237" t="str">
        <f>Cen!B534</f>
        <v xml:space="preserve">Z46L620S   </v>
      </c>
      <c r="D219" s="237" t="str">
        <f>Cen!C534</f>
        <v>R906</v>
      </c>
      <c r="E219" s="553" t="str">
        <f>Cen!D534</f>
        <v>!</v>
      </c>
      <c r="F219" s="208">
        <f t="shared" si="98"/>
        <v>0</v>
      </c>
      <c r="G219" s="233">
        <f>Cen!F534</f>
        <v>33.355379999999997</v>
      </c>
      <c r="H219" s="234">
        <f t="shared" si="100"/>
        <v>0</v>
      </c>
      <c r="I219" s="250"/>
      <c r="J219" s="235">
        <f>Cen!I534</f>
        <v>8675800</v>
      </c>
      <c r="K219" s="235">
        <f>Cen!J534</f>
        <v>14329</v>
      </c>
      <c r="L219" s="230"/>
      <c r="M219" s="434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  <c r="AJ219" s="229"/>
      <c r="AK219" s="229"/>
      <c r="AL219" s="229"/>
      <c r="AM219" s="229"/>
      <c r="AN219" s="229"/>
      <c r="AO219" s="229"/>
      <c r="AP219" s="229"/>
      <c r="AQ219" s="229"/>
      <c r="AR219" s="229"/>
      <c r="AS219" s="229"/>
      <c r="AT219" s="229"/>
      <c r="AU219" s="229"/>
      <c r="AV219" s="229"/>
      <c r="AW219" s="229"/>
      <c r="AX219" s="229"/>
      <c r="AY219" s="229"/>
      <c r="AZ219" s="229"/>
      <c r="BA219" s="229"/>
      <c r="BB219" s="229"/>
      <c r="BC219" s="229"/>
      <c r="BD219" s="229"/>
      <c r="BE219" s="229"/>
      <c r="BF219" s="229"/>
      <c r="BG219" s="229"/>
      <c r="BH219" s="229"/>
      <c r="BI219" s="229"/>
      <c r="BJ219" s="229"/>
      <c r="BK219" s="229"/>
      <c r="BL219" s="229"/>
      <c r="BM219" s="229"/>
      <c r="BN219" s="229"/>
      <c r="BO219" s="229"/>
      <c r="BP219" s="236"/>
      <c r="BQ219" s="236"/>
      <c r="BR219" s="229"/>
      <c r="BS219" s="444"/>
      <c r="BT219" s="229"/>
      <c r="BU219" s="476">
        <f>OLMe!P6</f>
        <v>0</v>
      </c>
      <c r="BV219" s="229"/>
      <c r="BW219" s="229"/>
      <c r="BX219" s="229"/>
      <c r="BY219" s="229"/>
      <c r="BZ219" s="229"/>
      <c r="CA219" s="229"/>
    </row>
    <row r="220" spans="2:79" x14ac:dyDescent="0.25">
      <c r="B220" s="237" t="str">
        <f>Cen!A540</f>
        <v>Vana na láhve, 500mm</v>
      </c>
      <c r="C220" s="237" t="str">
        <f>Cen!B540</f>
        <v>Z48.30B0I6</v>
      </c>
      <c r="D220" s="237" t="str">
        <f>Cen!C540</f>
        <v>IG/G</v>
      </c>
      <c r="E220" s="553">
        <f>Cen!D540</f>
        <v>0</v>
      </c>
      <c r="F220" s="208">
        <f t="shared" si="98"/>
        <v>0</v>
      </c>
      <c r="G220" s="233">
        <f>Cen!F540</f>
        <v>42.601520000000001</v>
      </c>
      <c r="H220" s="234">
        <f t="shared" si="70"/>
        <v>0</v>
      </c>
      <c r="I220" s="250"/>
      <c r="J220" s="235">
        <f>Cen!I540</f>
        <v>4050440</v>
      </c>
      <c r="K220" s="235">
        <f>Cen!J540</f>
        <v>92080</v>
      </c>
      <c r="L220" s="230">
        <f t="shared" si="38"/>
        <v>0</v>
      </c>
      <c r="M220" s="434">
        <f t="shared" si="39"/>
        <v>0</v>
      </c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  <c r="AJ220" s="229"/>
      <c r="AK220" s="229"/>
      <c r="AL220" s="229"/>
      <c r="AM220" s="229"/>
      <c r="AN220" s="229"/>
      <c r="AO220" s="229"/>
      <c r="AP220" s="229"/>
      <c r="AQ220" s="229"/>
      <c r="AR220" s="229"/>
      <c r="AS220" s="229"/>
      <c r="AT220" s="229"/>
      <c r="AU220" s="229"/>
      <c r="AV220" s="229"/>
      <c r="AW220" s="229"/>
      <c r="AX220" s="229"/>
      <c r="AY220" s="229"/>
      <c r="AZ220" s="229"/>
      <c r="BA220" s="229"/>
      <c r="BB220" s="229"/>
      <c r="BC220" s="229"/>
      <c r="BD220" s="229"/>
      <c r="BE220" s="229"/>
      <c r="BF220" s="229"/>
      <c r="BG220" s="229"/>
      <c r="BH220" s="229"/>
      <c r="BI220" s="229"/>
      <c r="BJ220" s="229"/>
      <c r="BK220" s="229"/>
      <c r="BL220" s="229"/>
      <c r="BM220" s="229"/>
      <c r="BN220" s="229"/>
      <c r="BO220" s="229"/>
      <c r="BP220" s="231">
        <f>OLVMP!P11</f>
        <v>0</v>
      </c>
      <c r="BQ220" s="229"/>
      <c r="BR220" s="229"/>
      <c r="BS220" s="231">
        <f>OLVM!P7</f>
        <v>0</v>
      </c>
      <c r="BT220" s="231">
        <f>OLVa!P5</f>
        <v>0</v>
      </c>
      <c r="BU220" s="229"/>
      <c r="BV220" s="229"/>
      <c r="BW220" s="229"/>
      <c r="BX220" s="229"/>
      <c r="BY220" s="229"/>
      <c r="BZ220" s="229"/>
      <c r="CA220" s="229"/>
    </row>
    <row r="221" spans="2:79" x14ac:dyDescent="0.25">
      <c r="B221" s="237" t="str">
        <f>Cen!A544</f>
        <v>Držák talířů</v>
      </c>
      <c r="C221" s="237" t="str">
        <f>Cen!B544</f>
        <v>ZC7T0350</v>
      </c>
      <c r="D221" s="237" t="str">
        <f>Cen!C544</f>
        <v>OG-M</v>
      </c>
      <c r="E221" s="553">
        <f>Cen!D544</f>
        <v>0</v>
      </c>
      <c r="F221" s="208">
        <f t="shared" si="98"/>
        <v>0</v>
      </c>
      <c r="G221" s="233">
        <f>Cen!F544</f>
        <v>38.501280000000001</v>
      </c>
      <c r="H221" s="234">
        <f t="shared" si="70"/>
        <v>0</v>
      </c>
      <c r="I221" s="250"/>
      <c r="J221" s="235">
        <f>Cen!I544</f>
        <v>1366848</v>
      </c>
      <c r="K221" s="235">
        <f>Cen!J544</f>
        <v>227693</v>
      </c>
      <c r="L221" s="230">
        <f t="shared" si="38"/>
        <v>0</v>
      </c>
      <c r="M221" s="434">
        <f t="shared" si="39"/>
        <v>0</v>
      </c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  <c r="AJ221" s="229"/>
      <c r="AK221" s="229"/>
      <c r="AL221" s="229"/>
      <c r="AM221" s="229"/>
      <c r="AN221" s="229"/>
      <c r="AO221" s="229"/>
      <c r="AP221" s="229"/>
      <c r="AQ221" s="229"/>
      <c r="AR221" s="229"/>
      <c r="AS221" s="229"/>
      <c r="AT221" s="229"/>
      <c r="AU221" s="229"/>
      <c r="AV221" s="229"/>
      <c r="AW221" s="229"/>
      <c r="AX221" s="229"/>
      <c r="AY221" s="229"/>
      <c r="AZ221" s="229"/>
      <c r="BA221" s="229"/>
      <c r="BB221" s="229"/>
      <c r="BC221" s="229"/>
      <c r="BD221" s="229"/>
      <c r="BE221" s="229"/>
      <c r="BF221" s="229"/>
      <c r="BG221" s="229"/>
      <c r="BH221" s="229"/>
      <c r="BI221" s="229"/>
      <c r="BJ221" s="229"/>
      <c r="BK221" s="229"/>
      <c r="BL221" s="229"/>
      <c r="BM221" s="229"/>
      <c r="BN221" s="229"/>
      <c r="BO221" s="231">
        <f>OLTa!P2</f>
        <v>0</v>
      </c>
      <c r="BP221" s="229"/>
      <c r="BQ221" s="229"/>
      <c r="BR221" s="229"/>
      <c r="BS221" s="229"/>
      <c r="BT221" s="229"/>
      <c r="BU221" s="229"/>
      <c r="BV221" s="229"/>
      <c r="BW221" s="231">
        <f>OLOst!P69</f>
        <v>0</v>
      </c>
      <c r="BX221" s="229"/>
      <c r="BY221" s="229"/>
      <c r="BZ221" s="229"/>
      <c r="CA221" s="229"/>
    </row>
    <row r="222" spans="2:79" x14ac:dyDescent="0.25">
      <c r="B222" s="237" t="str">
        <f>Cen!A545</f>
        <v>Držák nožů</v>
      </c>
      <c r="C222" s="237" t="str">
        <f>Cen!B545</f>
        <v>ZSZ.02M0</v>
      </c>
      <c r="D222" s="237" t="str">
        <f>Cen!C545</f>
        <v>IG/G</v>
      </c>
      <c r="E222" s="553">
        <f>Cen!D545</f>
        <v>0</v>
      </c>
      <c r="F222" s="208">
        <f t="shared" si="98"/>
        <v>0</v>
      </c>
      <c r="G222" s="233">
        <f>Cen!F545</f>
        <v>23.186489999999999</v>
      </c>
      <c r="H222" s="234">
        <f t="shared" si="70"/>
        <v>0</v>
      </c>
      <c r="I222" s="250"/>
      <c r="J222" s="235">
        <f>Cen!I545</f>
        <v>6484600</v>
      </c>
      <c r="K222" s="235">
        <f>Cen!J545</f>
        <v>92062</v>
      </c>
      <c r="L222" s="230">
        <f t="shared" si="38"/>
        <v>0</v>
      </c>
      <c r="M222" s="434">
        <f t="shared" si="39"/>
        <v>0</v>
      </c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  <c r="AJ222" s="229"/>
      <c r="AK222" s="229"/>
      <c r="AL222" s="229"/>
      <c r="AM222" s="229"/>
      <c r="AN222" s="229"/>
      <c r="AO222" s="229"/>
      <c r="AP222" s="229"/>
      <c r="AQ222" s="229"/>
      <c r="AR222" s="229"/>
      <c r="AS222" s="229"/>
      <c r="AT222" s="229"/>
      <c r="AU222" s="229"/>
      <c r="AV222" s="229"/>
      <c r="AW222" s="229"/>
      <c r="AX222" s="229"/>
      <c r="AY222" s="229"/>
      <c r="AZ222" s="229"/>
      <c r="BA222" s="229"/>
      <c r="BB222" s="229"/>
      <c r="BC222" s="229"/>
      <c r="BD222" s="229"/>
      <c r="BE222" s="229"/>
      <c r="BF222" s="229"/>
      <c r="BG222" s="229"/>
      <c r="BH222" s="229"/>
      <c r="BI222" s="229"/>
      <c r="BJ222" s="229"/>
      <c r="BK222" s="229"/>
      <c r="BL222" s="231">
        <f>OLRo!P47</f>
        <v>0</v>
      </c>
      <c r="BM222" s="229"/>
      <c r="BN222" s="229"/>
      <c r="BO222" s="229"/>
      <c r="BP222" s="229"/>
      <c r="BQ222" s="229"/>
      <c r="BR222" s="229"/>
      <c r="BS222" s="229"/>
      <c r="BT222" s="229"/>
      <c r="BU222" s="229"/>
      <c r="BV222" s="229"/>
      <c r="BW222" s="231">
        <f>OLOst!P63</f>
        <v>0</v>
      </c>
      <c r="BX222" s="229"/>
      <c r="BY222" s="229"/>
      <c r="BZ222" s="229"/>
      <c r="CA222" s="229"/>
    </row>
    <row r="223" spans="2:79" x14ac:dyDescent="0.25">
      <c r="B223" s="237" t="str">
        <f>Cen!A546</f>
        <v>Stojánek na kořenky, KB 300mm</v>
      </c>
      <c r="C223" s="237" t="str">
        <f>Cen!B546</f>
        <v>ZFZ.30G0I</v>
      </c>
      <c r="D223" s="237" t="str">
        <f>Cen!C546</f>
        <v>INGL</v>
      </c>
      <c r="E223" s="553">
        <f>Cen!D546</f>
        <v>0</v>
      </c>
      <c r="F223" s="208">
        <f t="shared" si="98"/>
        <v>0</v>
      </c>
      <c r="G223" s="233">
        <f>Cen!F546</f>
        <v>19.99335</v>
      </c>
      <c r="H223" s="234">
        <f t="shared" si="70"/>
        <v>0</v>
      </c>
      <c r="I223" s="250"/>
      <c r="J223" s="235">
        <f>Cen!I546</f>
        <v>3852306</v>
      </c>
      <c r="K223" s="235">
        <f>Cen!J546</f>
        <v>92068</v>
      </c>
      <c r="L223" s="230">
        <f t="shared" si="38"/>
        <v>0</v>
      </c>
      <c r="M223" s="434">
        <f t="shared" si="39"/>
        <v>0</v>
      </c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  <c r="AJ223" s="229"/>
      <c r="AK223" s="229"/>
      <c r="AL223" s="229"/>
      <c r="AM223" s="229"/>
      <c r="AN223" s="229"/>
      <c r="AO223" s="229"/>
      <c r="AP223" s="229"/>
      <c r="AQ223" s="229"/>
      <c r="AR223" s="229"/>
      <c r="AS223" s="229"/>
      <c r="AT223" s="229"/>
      <c r="AU223" s="229"/>
      <c r="AV223" s="229"/>
      <c r="AW223" s="229"/>
      <c r="AX223" s="229"/>
      <c r="AY223" s="229"/>
      <c r="AZ223" s="229"/>
      <c r="BA223" s="229"/>
      <c r="BB223" s="229"/>
      <c r="BC223" s="229"/>
      <c r="BD223" s="229"/>
      <c r="BE223" s="229"/>
      <c r="BF223" s="229"/>
      <c r="BG223" s="229"/>
      <c r="BH223" s="229"/>
      <c r="BI223" s="229"/>
      <c r="BJ223" s="229"/>
      <c r="BK223" s="229"/>
      <c r="BL223" s="229"/>
      <c r="BM223" s="229"/>
      <c r="BN223" s="229"/>
      <c r="BO223" s="229"/>
      <c r="BP223" s="229"/>
      <c r="BQ223" s="231">
        <f>OLKMP!P11</f>
        <v>0</v>
      </c>
      <c r="BR223" s="231">
        <f>OLKo!P9</f>
        <v>0</v>
      </c>
      <c r="BS223" s="229"/>
      <c r="BT223" s="229"/>
      <c r="BU223" s="229"/>
      <c r="BV223" s="229"/>
      <c r="BW223" s="231">
        <f>OLOst!P66</f>
        <v>0</v>
      </c>
      <c r="BX223" s="229"/>
      <c r="BY223" s="229"/>
      <c r="BZ223" s="229"/>
      <c r="CA223" s="229"/>
    </row>
    <row r="224" spans="2:79" x14ac:dyDescent="0.25">
      <c r="B224" s="237" t="str">
        <f>Cen!A547</f>
        <v>Stojánek na kořenky, KB 400mm</v>
      </c>
      <c r="C224" s="237" t="str">
        <f>Cen!B547</f>
        <v>ZFZ.40G0I</v>
      </c>
      <c r="D224" s="237" t="str">
        <f>Cen!C547</f>
        <v>INGL</v>
      </c>
      <c r="E224" s="553">
        <f>Cen!D547</f>
        <v>0</v>
      </c>
      <c r="F224" s="208">
        <f t="shared" si="98"/>
        <v>0</v>
      </c>
      <c r="G224" s="233">
        <f>Cen!F547</f>
        <v>25.70551</v>
      </c>
      <c r="H224" s="234">
        <f t="shared" si="70"/>
        <v>0</v>
      </c>
      <c r="I224" s="250"/>
      <c r="J224" s="235">
        <f>Cen!I547</f>
        <v>3189131</v>
      </c>
      <c r="K224" s="235">
        <f>Cen!J547</f>
        <v>92067</v>
      </c>
      <c r="L224" s="230">
        <f t="shared" si="38"/>
        <v>0</v>
      </c>
      <c r="M224" s="434">
        <f t="shared" si="39"/>
        <v>0</v>
      </c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  <c r="AJ224" s="229"/>
      <c r="AK224" s="229"/>
      <c r="AL224" s="229"/>
      <c r="AM224" s="229"/>
      <c r="AN224" s="229"/>
      <c r="AO224" s="229"/>
      <c r="AP224" s="229"/>
      <c r="AQ224" s="229"/>
      <c r="AR224" s="229"/>
      <c r="AS224" s="229"/>
      <c r="AT224" s="229"/>
      <c r="AU224" s="229"/>
      <c r="AV224" s="229"/>
      <c r="AW224" s="229"/>
      <c r="AX224" s="229"/>
      <c r="AY224" s="229"/>
      <c r="AZ224" s="229"/>
      <c r="BA224" s="229"/>
      <c r="BB224" s="229"/>
      <c r="BC224" s="229"/>
      <c r="BD224" s="229"/>
      <c r="BE224" s="229"/>
      <c r="BF224" s="229"/>
      <c r="BG224" s="229"/>
      <c r="BH224" s="229"/>
      <c r="BI224" s="229"/>
      <c r="BJ224" s="229"/>
      <c r="BK224" s="229"/>
      <c r="BL224" s="229"/>
      <c r="BM224" s="229"/>
      <c r="BN224" s="229"/>
      <c r="BO224" s="229"/>
      <c r="BP224" s="229"/>
      <c r="BQ224" s="445">
        <f>OLKMP!P12</f>
        <v>0</v>
      </c>
      <c r="BR224" s="476">
        <f>OLKo!P10</f>
        <v>0</v>
      </c>
      <c r="BS224" s="229"/>
      <c r="BT224" s="229"/>
      <c r="BU224" s="229"/>
      <c r="BV224" s="229"/>
      <c r="BW224" s="445">
        <f>OLOst!P67</f>
        <v>0</v>
      </c>
      <c r="BX224" s="229"/>
      <c r="BY224" s="229"/>
      <c r="BZ224" s="229"/>
      <c r="CA224" s="229"/>
    </row>
    <row r="225" spans="2:79" x14ac:dyDescent="0.25">
      <c r="B225" s="237" t="str">
        <f>Cen!A548</f>
        <v>Stojánek na kořenky, KB 450mm</v>
      </c>
      <c r="C225" s="237" t="str">
        <f>Cen!B548</f>
        <v>ZFZ.45G0I</v>
      </c>
      <c r="D225" s="237" t="str">
        <f>Cen!C548</f>
        <v>INGL</v>
      </c>
      <c r="E225" s="553">
        <f>Cen!D548</f>
        <v>0</v>
      </c>
      <c r="F225" s="208">
        <f t="shared" si="98"/>
        <v>0</v>
      </c>
      <c r="G225" s="233">
        <f>Cen!F548</f>
        <v>29.23723</v>
      </c>
      <c r="H225" s="234">
        <f t="shared" ref="H225:H300" si="101">M225</f>
        <v>0</v>
      </c>
      <c r="I225" s="250"/>
      <c r="J225" s="235">
        <f>Cen!I548</f>
        <v>6278581</v>
      </c>
      <c r="K225" s="235">
        <f>Cen!J548</f>
        <v>92059</v>
      </c>
      <c r="L225" s="230">
        <f t="shared" si="38"/>
        <v>0</v>
      </c>
      <c r="M225" s="434">
        <f t="shared" si="39"/>
        <v>0</v>
      </c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  <c r="AJ225" s="229"/>
      <c r="AK225" s="229"/>
      <c r="AL225" s="229"/>
      <c r="AM225" s="229"/>
      <c r="AN225" s="229"/>
      <c r="AO225" s="229"/>
      <c r="AP225" s="229"/>
      <c r="AQ225" s="229"/>
      <c r="AR225" s="229"/>
      <c r="AS225" s="229"/>
      <c r="AT225" s="229"/>
      <c r="AU225" s="229"/>
      <c r="AV225" s="229"/>
      <c r="AW225" s="229"/>
      <c r="AX225" s="229"/>
      <c r="AY225" s="229"/>
      <c r="AZ225" s="229"/>
      <c r="BA225" s="229"/>
      <c r="BB225" s="229"/>
      <c r="BC225" s="229"/>
      <c r="BD225" s="229"/>
      <c r="BE225" s="229"/>
      <c r="BF225" s="229"/>
      <c r="BG225" s="229"/>
      <c r="BH225" s="229"/>
      <c r="BI225" s="229"/>
      <c r="BJ225" s="229"/>
      <c r="BK225" s="229"/>
      <c r="BL225" s="229"/>
      <c r="BM225" s="229"/>
      <c r="BN225" s="229"/>
      <c r="BO225" s="229"/>
      <c r="BP225" s="229"/>
      <c r="BQ225" s="445">
        <f>OLKMP!P13</f>
        <v>0</v>
      </c>
      <c r="BR225" s="476">
        <f>OLKo!P11</f>
        <v>0</v>
      </c>
      <c r="BS225" s="229"/>
      <c r="BT225" s="229"/>
      <c r="BU225" s="229"/>
      <c r="BV225" s="229"/>
      <c r="BW225" s="445">
        <f>OLOst!P68</f>
        <v>0</v>
      </c>
      <c r="BX225" s="229"/>
      <c r="BY225" s="229"/>
      <c r="BZ225" s="229"/>
      <c r="CA225" s="229"/>
    </row>
    <row r="226" spans="2:79" x14ac:dyDescent="0.25">
      <c r="B226" s="237" t="str">
        <f>Cen!A549</f>
        <v>Držák s řezákem na potravinové folie</v>
      </c>
      <c r="C226" s="237" t="str">
        <f>Cen!B549</f>
        <v>ZSZ.01F0</v>
      </c>
      <c r="D226" s="237" t="str">
        <f>Cen!C549</f>
        <v>STW/G</v>
      </c>
      <c r="E226" s="553">
        <f>Cen!D549</f>
        <v>0</v>
      </c>
      <c r="F226" s="208">
        <f t="shared" si="98"/>
        <v>0</v>
      </c>
      <c r="G226" s="233">
        <f>Cen!F549</f>
        <v>37.472929999999998</v>
      </c>
      <c r="H226" s="234">
        <f t="shared" si="101"/>
        <v>0</v>
      </c>
      <c r="I226" s="250"/>
      <c r="J226" s="235">
        <f>Cen!I549</f>
        <v>9068380</v>
      </c>
      <c r="K226" s="235">
        <f>Cen!J549</f>
        <v>92088</v>
      </c>
      <c r="L226" s="230">
        <f t="shared" si="38"/>
        <v>0</v>
      </c>
      <c r="M226" s="434">
        <f t="shared" si="39"/>
        <v>0</v>
      </c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  <c r="AJ226" s="229"/>
      <c r="AK226" s="229"/>
      <c r="AL226" s="229"/>
      <c r="AM226" s="229"/>
      <c r="AN226" s="229"/>
      <c r="AO226" s="229"/>
      <c r="AP226" s="229"/>
      <c r="AQ226" s="229"/>
      <c r="AR226" s="229"/>
      <c r="AS226" s="229"/>
      <c r="AT226" s="229"/>
      <c r="AU226" s="229"/>
      <c r="AV226" s="229"/>
      <c r="AW226" s="229"/>
      <c r="AX226" s="229"/>
      <c r="AY226" s="229"/>
      <c r="AZ226" s="229"/>
      <c r="BA226" s="229"/>
      <c r="BB226" s="229"/>
      <c r="BC226" s="229"/>
      <c r="BD226" s="229"/>
      <c r="BE226" s="229"/>
      <c r="BF226" s="229"/>
      <c r="BG226" s="229"/>
      <c r="BH226" s="229"/>
      <c r="BI226" s="229"/>
      <c r="BJ226" s="229"/>
      <c r="BK226" s="229"/>
      <c r="BL226" s="231">
        <f>OLRo!P48</f>
        <v>0</v>
      </c>
      <c r="BM226" s="229"/>
      <c r="BN226" s="229"/>
      <c r="BO226" s="229"/>
      <c r="BP226" s="229"/>
      <c r="BQ226" s="229"/>
      <c r="BR226" s="229"/>
      <c r="BS226" s="229"/>
      <c r="BT226" s="229"/>
      <c r="BU226" s="229"/>
      <c r="BV226" s="229"/>
      <c r="BW226" s="231">
        <f>OLOst!P64</f>
        <v>0</v>
      </c>
      <c r="BX226" s="229"/>
      <c r="BY226" s="229"/>
      <c r="BZ226" s="229"/>
      <c r="CA226" s="229"/>
    </row>
    <row r="227" spans="2:79" x14ac:dyDescent="0.25">
      <c r="B227" s="237" t="str">
        <f>Cen!A550</f>
        <v>Držák s řezákem na alufolie</v>
      </c>
      <c r="C227" s="237" t="str">
        <f>Cen!B550</f>
        <v>ZSZ.02F0</v>
      </c>
      <c r="D227" s="237" t="str">
        <f>Cen!C550</f>
        <v>ST/O</v>
      </c>
      <c r="E227" s="553">
        <f>Cen!D550</f>
        <v>0</v>
      </c>
      <c r="F227" s="208">
        <f t="shared" si="98"/>
        <v>0</v>
      </c>
      <c r="G227" s="233">
        <f>Cen!F550</f>
        <v>35.130920000000003</v>
      </c>
      <c r="H227" s="234">
        <f t="shared" si="101"/>
        <v>0</v>
      </c>
      <c r="I227" s="250"/>
      <c r="J227" s="235">
        <f>Cen!I550</f>
        <v>9068450</v>
      </c>
      <c r="K227" s="235">
        <f>Cen!J550</f>
        <v>92099</v>
      </c>
      <c r="L227" s="230">
        <f t="shared" si="38"/>
        <v>0</v>
      </c>
      <c r="M227" s="434">
        <f t="shared" si="39"/>
        <v>0</v>
      </c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  <c r="AJ227" s="229"/>
      <c r="AK227" s="229"/>
      <c r="AL227" s="229"/>
      <c r="AM227" s="229"/>
      <c r="AN227" s="229"/>
      <c r="AO227" s="229"/>
      <c r="AP227" s="229"/>
      <c r="AQ227" s="229"/>
      <c r="AR227" s="229"/>
      <c r="AS227" s="229"/>
      <c r="AT227" s="229"/>
      <c r="AU227" s="229"/>
      <c r="AV227" s="229"/>
      <c r="AW227" s="229"/>
      <c r="AX227" s="229"/>
      <c r="AY227" s="229"/>
      <c r="AZ227" s="229"/>
      <c r="BA227" s="229"/>
      <c r="BB227" s="229"/>
      <c r="BC227" s="229"/>
      <c r="BD227" s="229"/>
      <c r="BE227" s="229"/>
      <c r="BF227" s="229"/>
      <c r="BG227" s="229"/>
      <c r="BH227" s="229"/>
      <c r="BI227" s="229"/>
      <c r="BJ227" s="229"/>
      <c r="BK227" s="229"/>
      <c r="BL227" s="445">
        <f>OLRo!P49</f>
        <v>0</v>
      </c>
      <c r="BM227" s="229"/>
      <c r="BN227" s="229"/>
      <c r="BO227" s="229"/>
      <c r="BP227" s="229"/>
      <c r="BQ227" s="229"/>
      <c r="BR227" s="229"/>
      <c r="BS227" s="229"/>
      <c r="BT227" s="229"/>
      <c r="BU227" s="229"/>
      <c r="BV227" s="229"/>
      <c r="BW227" s="445">
        <f>OLOst!P65</f>
        <v>0</v>
      </c>
      <c r="BX227" s="229"/>
      <c r="BY227" s="229"/>
      <c r="BZ227" s="229"/>
      <c r="CA227" s="229"/>
    </row>
    <row r="228" spans="2:79" x14ac:dyDescent="0.25">
      <c r="B228" s="237" t="str">
        <f>Cen!A551</f>
        <v>Sada pomůcek do kuchyně</v>
      </c>
      <c r="C228" s="237" t="str">
        <f>Cen!B551</f>
        <v>ZOU.30U1I</v>
      </c>
      <c r="D228" s="237"/>
      <c r="E228" s="553"/>
      <c r="F228" s="208">
        <f t="shared" si="98"/>
        <v>0</v>
      </c>
      <c r="G228" s="233">
        <f>Cen!F551</f>
        <v>228.88526999999999</v>
      </c>
      <c r="H228" s="234">
        <f t="shared" si="101"/>
        <v>0</v>
      </c>
      <c r="I228" s="250"/>
      <c r="J228" s="235">
        <f>Cen!I551</f>
        <v>9411980</v>
      </c>
      <c r="K228" s="235">
        <f>Cen!J551</f>
        <v>92051</v>
      </c>
      <c r="L228" s="230">
        <f t="shared" si="38"/>
        <v>0</v>
      </c>
      <c r="M228" s="434">
        <f t="shared" si="39"/>
        <v>0</v>
      </c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  <c r="AJ228" s="229"/>
      <c r="AK228" s="229"/>
      <c r="AL228" s="229"/>
      <c r="AM228" s="229"/>
      <c r="AN228" s="229"/>
      <c r="AO228" s="229"/>
      <c r="AP228" s="229"/>
      <c r="AQ228" s="229"/>
      <c r="AR228" s="229"/>
      <c r="AS228" s="229"/>
      <c r="AT228" s="229"/>
      <c r="AU228" s="229"/>
      <c r="AV228" s="229"/>
      <c r="AW228" s="229"/>
      <c r="AX228" s="229"/>
      <c r="AY228" s="229"/>
      <c r="AZ228" s="229"/>
      <c r="BA228" s="229"/>
      <c r="BB228" s="229"/>
      <c r="BC228" s="229"/>
      <c r="BD228" s="229"/>
      <c r="BE228" s="229"/>
      <c r="BF228" s="229"/>
      <c r="BG228" s="229"/>
      <c r="BH228" s="229"/>
      <c r="BI228" s="229"/>
      <c r="BJ228" s="229"/>
      <c r="BK228" s="229"/>
      <c r="BL228" s="229"/>
      <c r="BM228" s="229"/>
      <c r="BN228" s="229"/>
      <c r="BO228" s="229"/>
      <c r="BP228" s="229"/>
      <c r="BQ228" s="229"/>
      <c r="BR228" s="229"/>
      <c r="BS228" s="229"/>
      <c r="BT228" s="229"/>
      <c r="BU228" s="229"/>
      <c r="BV228" s="229"/>
      <c r="BW228" s="231">
        <f>OLOst!P70</f>
        <v>0</v>
      </c>
      <c r="BX228" s="229"/>
      <c r="BY228" s="229"/>
      <c r="BZ228" s="229"/>
      <c r="CA228" s="229"/>
    </row>
    <row r="229" spans="2:79" x14ac:dyDescent="0.25">
      <c r="B229" s="237"/>
      <c r="C229" s="232"/>
      <c r="D229" s="232"/>
      <c r="E229" s="551"/>
      <c r="F229" s="208">
        <f t="shared" si="98"/>
        <v>0</v>
      </c>
      <c r="G229" s="232"/>
      <c r="H229" s="234"/>
      <c r="I229" s="260"/>
      <c r="J229" s="232"/>
      <c r="K229" s="232"/>
      <c r="L229" s="230"/>
      <c r="M229" s="434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  <c r="AJ229" s="229"/>
      <c r="AK229" s="229"/>
      <c r="AL229" s="229"/>
      <c r="AM229" s="229"/>
      <c r="AN229" s="229"/>
      <c r="AO229" s="229"/>
      <c r="AP229" s="229"/>
      <c r="AQ229" s="229"/>
      <c r="AR229" s="229"/>
      <c r="AS229" s="229"/>
      <c r="AT229" s="229"/>
      <c r="AU229" s="229"/>
      <c r="AV229" s="229"/>
      <c r="AW229" s="229"/>
      <c r="AX229" s="229"/>
      <c r="AY229" s="229"/>
      <c r="AZ229" s="229"/>
      <c r="BA229" s="229"/>
      <c r="BB229" s="229"/>
      <c r="BC229" s="229"/>
      <c r="BD229" s="229"/>
      <c r="BE229" s="229"/>
      <c r="BF229" s="229"/>
      <c r="BG229" s="229"/>
      <c r="BH229" s="229"/>
      <c r="BI229" s="229"/>
      <c r="BJ229" s="229"/>
      <c r="BK229" s="229"/>
      <c r="BL229" s="229"/>
      <c r="BM229" s="229"/>
      <c r="BN229" s="229"/>
      <c r="BO229" s="229"/>
      <c r="BP229" s="229"/>
      <c r="BQ229" s="229"/>
      <c r="BR229" s="229"/>
      <c r="BS229" s="229"/>
      <c r="BT229" s="229"/>
      <c r="BU229" s="229"/>
      <c r="BV229" s="229"/>
      <c r="BW229" s="229"/>
      <c r="BX229" s="229"/>
      <c r="BY229" s="236"/>
      <c r="BZ229" s="229"/>
      <c r="CA229" s="229"/>
    </row>
    <row r="230" spans="2:79" x14ac:dyDescent="0.25">
      <c r="B230" s="237" t="str">
        <f>Cen!A570</f>
        <v>Distanční doraz Blum, 5mm</v>
      </c>
      <c r="C230" s="237" t="str">
        <f>Cen!B570</f>
        <v>993.0530</v>
      </c>
      <c r="D230" s="237" t="str">
        <f>Cen!C570</f>
        <v>R737</v>
      </c>
      <c r="E230" s="553">
        <f>Cen!D570</f>
        <v>0</v>
      </c>
      <c r="F230" s="208">
        <f t="shared" si="98"/>
        <v>0</v>
      </c>
      <c r="G230" s="233">
        <f>Cen!F570</f>
        <v>0.69091000000000014</v>
      </c>
      <c r="H230" s="234">
        <f t="shared" si="101"/>
        <v>0</v>
      </c>
      <c r="I230" s="250"/>
      <c r="J230" s="235">
        <f>Cen!I570</f>
        <v>7834990</v>
      </c>
      <c r="K230" s="235">
        <f>Cen!J570</f>
        <v>99131</v>
      </c>
      <c r="L230" s="230">
        <f t="shared" si="38"/>
        <v>0</v>
      </c>
      <c r="M230" s="434">
        <f t="shared" si="39"/>
        <v>0</v>
      </c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  <c r="AJ230" s="229"/>
      <c r="AK230" s="229"/>
      <c r="AL230" s="229"/>
      <c r="AM230" s="229"/>
      <c r="AN230" s="229"/>
      <c r="AO230" s="229"/>
      <c r="AP230" s="229"/>
      <c r="AQ230" s="229"/>
      <c r="AR230" s="229"/>
      <c r="AS230" s="229"/>
      <c r="AT230" s="229"/>
      <c r="AU230" s="229"/>
      <c r="AV230" s="229"/>
      <c r="AW230" s="229"/>
      <c r="AX230" s="229"/>
      <c r="AY230" s="229"/>
      <c r="AZ230" s="229"/>
      <c r="BA230" s="229"/>
      <c r="BB230" s="229"/>
      <c r="BC230" s="229"/>
      <c r="BD230" s="229"/>
      <c r="BE230" s="229"/>
      <c r="BF230" s="229"/>
      <c r="BG230" s="229"/>
      <c r="BH230" s="229"/>
      <c r="BI230" s="229"/>
      <c r="BJ230" s="229"/>
      <c r="BK230" s="229"/>
      <c r="BL230" s="229"/>
      <c r="BM230" s="229"/>
      <c r="BN230" s="229"/>
      <c r="BO230" s="229"/>
      <c r="BP230" s="229"/>
      <c r="BQ230" s="229"/>
      <c r="BR230" s="229"/>
      <c r="BS230" s="229"/>
      <c r="BT230" s="229"/>
      <c r="BU230" s="229"/>
      <c r="BV230" s="229"/>
      <c r="BW230" s="229"/>
      <c r="BX230" s="229"/>
      <c r="BY230" s="236"/>
      <c r="BZ230" s="231">
        <f>SD!E3</f>
        <v>0</v>
      </c>
      <c r="CA230" s="229"/>
    </row>
    <row r="231" spans="2:79" x14ac:dyDescent="0.25">
      <c r="B231" s="237" t="str">
        <f>Cen!A571</f>
        <v>Distanční doraz Blum, 8mm</v>
      </c>
      <c r="C231" s="237" t="str">
        <f>Cen!B571</f>
        <v>993.0830.01</v>
      </c>
      <c r="D231" s="237" t="str">
        <f>Cen!C571</f>
        <v>R737</v>
      </c>
      <c r="E231" s="553">
        <f>Cen!D571</f>
        <v>0</v>
      </c>
      <c r="F231" s="208">
        <f t="shared" si="98"/>
        <v>0</v>
      </c>
      <c r="G231" s="233">
        <f>Cen!F571</f>
        <v>0.62067000000000005</v>
      </c>
      <c r="H231" s="234">
        <f t="shared" si="101"/>
        <v>0</v>
      </c>
      <c r="I231" s="250"/>
      <c r="J231" s="235">
        <f>Cen!I571</f>
        <v>7402930</v>
      </c>
      <c r="K231" s="235">
        <f>Cen!J571</f>
        <v>99120</v>
      </c>
      <c r="L231" s="230">
        <f t="shared" si="38"/>
        <v>0</v>
      </c>
      <c r="M231" s="434">
        <f t="shared" si="39"/>
        <v>0</v>
      </c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  <c r="AJ231" s="229"/>
      <c r="AK231" s="229"/>
      <c r="AL231" s="229"/>
      <c r="AM231" s="229"/>
      <c r="AN231" s="229"/>
      <c r="AO231" s="229"/>
      <c r="AP231" s="229"/>
      <c r="AQ231" s="229"/>
      <c r="AR231" s="229"/>
      <c r="AS231" s="229"/>
      <c r="AT231" s="229"/>
      <c r="AU231" s="229"/>
      <c r="AV231" s="229"/>
      <c r="AW231" s="229"/>
      <c r="AX231" s="229"/>
      <c r="AY231" s="229"/>
      <c r="AZ231" s="229"/>
      <c r="BA231" s="229"/>
      <c r="BB231" s="229"/>
      <c r="BC231" s="229"/>
      <c r="BD231" s="229"/>
      <c r="BE231" s="229"/>
      <c r="BF231" s="229"/>
      <c r="BG231" s="229"/>
      <c r="BH231" s="229"/>
      <c r="BI231" s="229"/>
      <c r="BJ231" s="229"/>
      <c r="BK231" s="229"/>
      <c r="BL231" s="229"/>
      <c r="BM231" s="229"/>
      <c r="BN231" s="229"/>
      <c r="BO231" s="229"/>
      <c r="BP231" s="229"/>
      <c r="BQ231" s="229"/>
      <c r="BR231" s="229"/>
      <c r="BS231" s="229"/>
      <c r="BT231" s="229"/>
      <c r="BU231" s="229"/>
      <c r="BV231" s="229"/>
      <c r="BW231" s="229"/>
      <c r="BX231" s="229"/>
      <c r="BY231" s="236"/>
      <c r="BZ231" s="231">
        <f>SD!E4</f>
        <v>0</v>
      </c>
      <c r="CA231" s="229"/>
    </row>
    <row r="232" spans="2:79" x14ac:dyDescent="0.25">
      <c r="B232" s="237" t="str">
        <f>Cen!A572</f>
        <v>Pohonná servo jednotka</v>
      </c>
      <c r="C232" s="237" t="str">
        <f>Cen!B572</f>
        <v>Z10A3000.03</v>
      </c>
      <c r="D232" s="237" t="str">
        <f>Cen!C572</f>
        <v>R737</v>
      </c>
      <c r="E232" s="553">
        <f>Cen!D572</f>
        <v>0</v>
      </c>
      <c r="F232" s="208">
        <f t="shared" si="98"/>
        <v>0</v>
      </c>
      <c r="G232" s="233">
        <f>Cen!F572</f>
        <v>67.216899999999995</v>
      </c>
      <c r="H232" s="234">
        <f t="shared" si="101"/>
        <v>0</v>
      </c>
      <c r="I232" s="250"/>
      <c r="J232" s="235">
        <f>Cen!I572</f>
        <v>6970029</v>
      </c>
      <c r="K232" s="235">
        <f>Cen!J572</f>
        <v>99100</v>
      </c>
      <c r="L232" s="230">
        <f t="shared" si="38"/>
        <v>0</v>
      </c>
      <c r="M232" s="434">
        <f t="shared" si="39"/>
        <v>0</v>
      </c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  <c r="AJ232" s="229"/>
      <c r="AK232" s="229"/>
      <c r="AL232" s="229"/>
      <c r="AM232" s="229"/>
      <c r="AN232" s="229"/>
      <c r="AO232" s="229"/>
      <c r="AP232" s="229"/>
      <c r="AQ232" s="229"/>
      <c r="AR232" s="229"/>
      <c r="AS232" s="229"/>
      <c r="AT232" s="229"/>
      <c r="AU232" s="229"/>
      <c r="AV232" s="229"/>
      <c r="AW232" s="229"/>
      <c r="AX232" s="229"/>
      <c r="AY232" s="229"/>
      <c r="AZ232" s="229"/>
      <c r="BA232" s="229"/>
      <c r="BB232" s="229"/>
      <c r="BC232" s="229"/>
      <c r="BD232" s="229"/>
      <c r="BE232" s="229"/>
      <c r="BF232" s="229"/>
      <c r="BG232" s="229"/>
      <c r="BH232" s="229"/>
      <c r="BI232" s="229"/>
      <c r="BJ232" s="229"/>
      <c r="BK232" s="229"/>
      <c r="BL232" s="229"/>
      <c r="BM232" s="229"/>
      <c r="BN232" s="229"/>
      <c r="BO232" s="229"/>
      <c r="BP232" s="229"/>
      <c r="BQ232" s="229"/>
      <c r="BR232" s="229"/>
      <c r="BS232" s="229"/>
      <c r="BT232" s="229"/>
      <c r="BU232" s="229"/>
      <c r="BV232" s="229"/>
      <c r="BW232" s="229"/>
      <c r="BX232" s="229"/>
      <c r="BY232" s="236"/>
      <c r="BZ232" s="231">
        <f>SD!E10</f>
        <v>0</v>
      </c>
      <c r="CA232" s="229"/>
    </row>
    <row r="233" spans="2:79" x14ac:dyDescent="0.25">
      <c r="B233" s="237" t="str">
        <f>Cen!A573</f>
        <v>Držák nosníku, vlys naležato</v>
      </c>
      <c r="C233" s="237" t="str">
        <f>Cen!B573</f>
        <v>Z10D01E0.01</v>
      </c>
      <c r="D233" s="237" t="str">
        <f>Cen!C573</f>
        <v>R737</v>
      </c>
      <c r="E233" s="553">
        <f>Cen!D573</f>
        <v>0</v>
      </c>
      <c r="F233" s="208">
        <f t="shared" si="98"/>
        <v>0</v>
      </c>
      <c r="G233" s="233">
        <f>Cen!F573</f>
        <v>3.29522</v>
      </c>
      <c r="H233" s="234">
        <f t="shared" si="101"/>
        <v>0</v>
      </c>
      <c r="I233" s="250"/>
      <c r="J233" s="235">
        <f>Cen!I573</f>
        <v>3061821</v>
      </c>
      <c r="K233" s="235">
        <f>Cen!J573</f>
        <v>99101</v>
      </c>
      <c r="L233" s="230">
        <f t="shared" si="38"/>
        <v>0</v>
      </c>
      <c r="M233" s="434">
        <f t="shared" si="39"/>
        <v>0</v>
      </c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  <c r="AJ233" s="229"/>
      <c r="AK233" s="229"/>
      <c r="AL233" s="229"/>
      <c r="AM233" s="229"/>
      <c r="AN233" s="229"/>
      <c r="AO233" s="229"/>
      <c r="AP233" s="229"/>
      <c r="AQ233" s="229"/>
      <c r="AR233" s="229"/>
      <c r="AS233" s="229"/>
      <c r="AT233" s="229"/>
      <c r="AU233" s="229"/>
      <c r="AV233" s="229"/>
      <c r="AW233" s="229"/>
      <c r="AX233" s="229"/>
      <c r="AY233" s="229"/>
      <c r="AZ233" s="229"/>
      <c r="BA233" s="229"/>
      <c r="BB233" s="229"/>
      <c r="BC233" s="229"/>
      <c r="BD233" s="229"/>
      <c r="BE233" s="229"/>
      <c r="BF233" s="229"/>
      <c r="BG233" s="229"/>
      <c r="BH233" s="229"/>
      <c r="BI233" s="229"/>
      <c r="BJ233" s="229"/>
      <c r="BK233" s="229"/>
      <c r="BL233" s="229"/>
      <c r="BM233" s="229"/>
      <c r="BN233" s="229"/>
      <c r="BO233" s="229"/>
      <c r="BP233" s="229"/>
      <c r="BQ233" s="229"/>
      <c r="BR233" s="229"/>
      <c r="BS233" s="229"/>
      <c r="BT233" s="229"/>
      <c r="BU233" s="229"/>
      <c r="BV233" s="229"/>
      <c r="BW233" s="229"/>
      <c r="BX233" s="229"/>
      <c r="BY233" s="236"/>
      <c r="BZ233" s="231">
        <f>SD!E8</f>
        <v>0</v>
      </c>
      <c r="CA233" s="229"/>
    </row>
    <row r="234" spans="2:79" x14ac:dyDescent="0.25">
      <c r="B234" s="237" t="str">
        <f>Cen!A574</f>
        <v>Držák nosníku, vlys nastojato</v>
      </c>
      <c r="C234" s="237" t="str">
        <f>Cen!B574</f>
        <v>Z10D01EA.01</v>
      </c>
      <c r="D234" s="237" t="str">
        <f>Cen!C574</f>
        <v>R737</v>
      </c>
      <c r="E234" s="553">
        <f>Cen!D574</f>
        <v>0</v>
      </c>
      <c r="F234" s="208">
        <f t="shared" si="98"/>
        <v>0</v>
      </c>
      <c r="G234" s="233">
        <f>Cen!F574</f>
        <v>4.1090900000000001</v>
      </c>
      <c r="H234" s="234">
        <f t="shared" si="101"/>
        <v>0</v>
      </c>
      <c r="I234" s="250"/>
      <c r="J234" s="235">
        <f>Cen!I574</f>
        <v>9879558</v>
      </c>
      <c r="K234" s="235">
        <f>Cen!J574</f>
        <v>99102</v>
      </c>
      <c r="L234" s="230">
        <f t="shared" si="38"/>
        <v>0</v>
      </c>
      <c r="M234" s="434">
        <f t="shared" si="39"/>
        <v>0</v>
      </c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  <c r="AJ234" s="229"/>
      <c r="AK234" s="229"/>
      <c r="AL234" s="229"/>
      <c r="AM234" s="229"/>
      <c r="AN234" s="229"/>
      <c r="AO234" s="229"/>
      <c r="AP234" s="229"/>
      <c r="AQ234" s="229"/>
      <c r="AR234" s="229"/>
      <c r="AS234" s="229"/>
      <c r="AT234" s="229"/>
      <c r="AU234" s="229"/>
      <c r="AV234" s="229"/>
      <c r="AW234" s="229"/>
      <c r="AX234" s="229"/>
      <c r="AY234" s="229"/>
      <c r="AZ234" s="229"/>
      <c r="BA234" s="229"/>
      <c r="BB234" s="229"/>
      <c r="BC234" s="229"/>
      <c r="BD234" s="229"/>
      <c r="BE234" s="229"/>
      <c r="BF234" s="229"/>
      <c r="BG234" s="229"/>
      <c r="BH234" s="229"/>
      <c r="BI234" s="229"/>
      <c r="BJ234" s="229"/>
      <c r="BK234" s="229"/>
      <c r="BL234" s="229"/>
      <c r="BM234" s="229"/>
      <c r="BN234" s="229"/>
      <c r="BO234" s="229"/>
      <c r="BP234" s="229"/>
      <c r="BQ234" s="229"/>
      <c r="BR234" s="229"/>
      <c r="BS234" s="229"/>
      <c r="BT234" s="229"/>
      <c r="BU234" s="229"/>
      <c r="BV234" s="229"/>
      <c r="BW234" s="229"/>
      <c r="BX234" s="229"/>
      <c r="BY234" s="236"/>
      <c r="BZ234" s="231">
        <f>SD!E9</f>
        <v>0</v>
      </c>
      <c r="CA234" s="229"/>
    </row>
    <row r="235" spans="2:79" x14ac:dyDescent="0.25">
      <c r="B235" s="237" t="str">
        <f>Cen!A575</f>
        <v>Držák servo jednotky jednoduchý</v>
      </c>
      <c r="C235" s="237" t="str">
        <f>Cen!B575</f>
        <v>Z10D0311</v>
      </c>
      <c r="D235" s="237" t="str">
        <f>Cen!C575</f>
        <v>R737</v>
      </c>
      <c r="E235" s="553">
        <f>Cen!D575</f>
        <v>0</v>
      </c>
      <c r="F235" s="208">
        <f t="shared" si="98"/>
        <v>0</v>
      </c>
      <c r="G235" s="233">
        <f>Cen!F575</f>
        <v>6.7205600000000008</v>
      </c>
      <c r="H235" s="234">
        <f t="shared" si="101"/>
        <v>0</v>
      </c>
      <c r="I235" s="250"/>
      <c r="J235" s="235">
        <f>Cen!I575</f>
        <v>4805174</v>
      </c>
      <c r="K235" s="235">
        <f>Cen!J575</f>
        <v>99103</v>
      </c>
      <c r="L235" s="230">
        <f t="shared" si="38"/>
        <v>0</v>
      </c>
      <c r="M235" s="434">
        <f t="shared" si="39"/>
        <v>0</v>
      </c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  <c r="AJ235" s="229"/>
      <c r="AK235" s="229"/>
      <c r="AL235" s="229"/>
      <c r="AM235" s="229"/>
      <c r="AN235" s="229"/>
      <c r="AO235" s="229"/>
      <c r="AP235" s="229"/>
      <c r="AQ235" s="229"/>
      <c r="AR235" s="229"/>
      <c r="AS235" s="229"/>
      <c r="AT235" s="229"/>
      <c r="AU235" s="229"/>
      <c r="AV235" s="229"/>
      <c r="AW235" s="229"/>
      <c r="AX235" s="229"/>
      <c r="AY235" s="229"/>
      <c r="AZ235" s="229"/>
      <c r="BA235" s="229"/>
      <c r="BB235" s="229"/>
      <c r="BC235" s="229"/>
      <c r="BD235" s="229"/>
      <c r="BE235" s="229"/>
      <c r="BF235" s="229"/>
      <c r="BG235" s="229"/>
      <c r="BH235" s="229"/>
      <c r="BI235" s="229"/>
      <c r="BJ235" s="229"/>
      <c r="BK235" s="229"/>
      <c r="BL235" s="229"/>
      <c r="BM235" s="229"/>
      <c r="BN235" s="229"/>
      <c r="BO235" s="229"/>
      <c r="BP235" s="229"/>
      <c r="BQ235" s="229"/>
      <c r="BR235" s="229"/>
      <c r="BS235" s="229"/>
      <c r="BT235" s="229"/>
      <c r="BU235" s="229"/>
      <c r="BV235" s="229"/>
      <c r="BW235" s="229"/>
      <c r="BX235" s="229"/>
      <c r="BY235" s="236"/>
      <c r="BZ235" s="231">
        <f>SD!E23</f>
        <v>0</v>
      </c>
      <c r="CA235" s="229"/>
    </row>
    <row r="236" spans="2:79" x14ac:dyDescent="0.25">
      <c r="B236" s="237" t="str">
        <f>Cen!A576</f>
        <v>Držák servo jednotky zdvojený</v>
      </c>
      <c r="C236" s="237" t="str">
        <f>Cen!B576</f>
        <v>Z10D7201.01</v>
      </c>
      <c r="D236" s="237" t="str">
        <f>Cen!C576</f>
        <v>R737</v>
      </c>
      <c r="E236" s="553">
        <f>Cen!D576</f>
        <v>0</v>
      </c>
      <c r="F236" s="208">
        <f t="shared" si="98"/>
        <v>0</v>
      </c>
      <c r="G236" s="233">
        <f>Cen!F576</f>
        <v>13.40591</v>
      </c>
      <c r="H236" s="234">
        <f t="shared" si="101"/>
        <v>0</v>
      </c>
      <c r="I236" s="250"/>
      <c r="J236" s="235">
        <f>Cen!I576</f>
        <v>1640683</v>
      </c>
      <c r="K236" s="235">
        <f>Cen!J576</f>
        <v>99104</v>
      </c>
      <c r="L236" s="230">
        <f t="shared" si="38"/>
        <v>0</v>
      </c>
      <c r="M236" s="434">
        <f t="shared" si="39"/>
        <v>0</v>
      </c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  <c r="AJ236" s="229"/>
      <c r="AK236" s="229"/>
      <c r="AL236" s="229"/>
      <c r="AM236" s="229"/>
      <c r="AN236" s="229"/>
      <c r="AO236" s="229"/>
      <c r="AP236" s="229"/>
      <c r="AQ236" s="229"/>
      <c r="AR236" s="229"/>
      <c r="AS236" s="229"/>
      <c r="AT236" s="229"/>
      <c r="AU236" s="229"/>
      <c r="AV236" s="229"/>
      <c r="AW236" s="229"/>
      <c r="AX236" s="229"/>
      <c r="AY236" s="229"/>
      <c r="AZ236" s="229"/>
      <c r="BA236" s="229"/>
      <c r="BB236" s="229"/>
      <c r="BC236" s="229"/>
      <c r="BD236" s="229"/>
      <c r="BE236" s="229"/>
      <c r="BF236" s="229"/>
      <c r="BG236" s="229"/>
      <c r="BH236" s="229"/>
      <c r="BI236" s="229"/>
      <c r="BJ236" s="229"/>
      <c r="BK236" s="229"/>
      <c r="BL236" s="229"/>
      <c r="BM236" s="229"/>
      <c r="BN236" s="229"/>
      <c r="BO236" s="229"/>
      <c r="BP236" s="229"/>
      <c r="BQ236" s="229"/>
      <c r="BR236" s="229"/>
      <c r="BS236" s="229"/>
      <c r="BT236" s="229"/>
      <c r="BU236" s="229"/>
      <c r="BV236" s="229"/>
      <c r="BW236" s="229"/>
      <c r="BX236" s="229"/>
      <c r="BY236" s="236"/>
      <c r="BZ236" s="231">
        <f>SD!E22</f>
        <v>0</v>
      </c>
      <c r="CA236" s="229"/>
    </row>
    <row r="237" spans="2:79" x14ac:dyDescent="0.25">
      <c r="B237" s="237" t="str">
        <f>Cen!A577</f>
        <v>Držák servo jednotky horní</v>
      </c>
      <c r="C237" s="237" t="str">
        <f>Cen!B577</f>
        <v>Z10D6252</v>
      </c>
      <c r="D237" s="237" t="str">
        <f>Cen!C577</f>
        <v>R737</v>
      </c>
      <c r="E237" s="553">
        <f>Cen!D577</f>
        <v>0</v>
      </c>
      <c r="F237" s="208">
        <f t="shared" si="98"/>
        <v>0</v>
      </c>
      <c r="G237" s="233">
        <f>Cen!F577</f>
        <v>18.91206</v>
      </c>
      <c r="H237" s="234">
        <f t="shared" si="101"/>
        <v>0</v>
      </c>
      <c r="I237" s="250"/>
      <c r="J237" s="235">
        <f>Cen!I577</f>
        <v>8010962</v>
      </c>
      <c r="K237" s="235">
        <f>Cen!J577</f>
        <v>99127</v>
      </c>
      <c r="L237" s="230">
        <f t="shared" si="38"/>
        <v>0</v>
      </c>
      <c r="M237" s="434">
        <f t="shared" si="39"/>
        <v>0</v>
      </c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  <c r="AJ237" s="229"/>
      <c r="AK237" s="229"/>
      <c r="AL237" s="229"/>
      <c r="AM237" s="229"/>
      <c r="AN237" s="229"/>
      <c r="AO237" s="229"/>
      <c r="AP237" s="229"/>
      <c r="AQ237" s="229"/>
      <c r="AR237" s="229"/>
      <c r="AS237" s="229"/>
      <c r="AT237" s="229"/>
      <c r="AU237" s="229"/>
      <c r="AV237" s="229"/>
      <c r="AW237" s="229"/>
      <c r="AX237" s="229"/>
      <c r="AY237" s="229"/>
      <c r="AZ237" s="229"/>
      <c r="BA237" s="229"/>
      <c r="BB237" s="229"/>
      <c r="BC237" s="229"/>
      <c r="BD237" s="229"/>
      <c r="BE237" s="229"/>
      <c r="BF237" s="229"/>
      <c r="BG237" s="229"/>
      <c r="BH237" s="229"/>
      <c r="BI237" s="229"/>
      <c r="BJ237" s="229"/>
      <c r="BK237" s="229"/>
      <c r="BL237" s="229"/>
      <c r="BM237" s="229"/>
      <c r="BN237" s="229"/>
      <c r="BO237" s="229"/>
      <c r="BP237" s="229"/>
      <c r="BQ237" s="229"/>
      <c r="BR237" s="229"/>
      <c r="BS237" s="229"/>
      <c r="BT237" s="229"/>
      <c r="BU237" s="229"/>
      <c r="BV237" s="229"/>
      <c r="BW237" s="229"/>
      <c r="BX237" s="229"/>
      <c r="BY237" s="236"/>
      <c r="BZ237" s="231">
        <f>SD!E28</f>
        <v>0</v>
      </c>
      <c r="CA237" s="229"/>
    </row>
    <row r="238" spans="2:79" x14ac:dyDescent="0.25">
      <c r="B238" s="237" t="str">
        <f>Cen!A578</f>
        <v>Držák kabelu s Klebesockel</v>
      </c>
      <c r="C238" s="237" t="str">
        <f>Cen!B578</f>
        <v>Z10K0009</v>
      </c>
      <c r="D238" s="237" t="str">
        <f>Cen!C578</f>
        <v>NA</v>
      </c>
      <c r="E238" s="553">
        <f>Cen!D578</f>
        <v>0</v>
      </c>
      <c r="F238" s="208">
        <f t="shared" si="98"/>
        <v>0</v>
      </c>
      <c r="G238" s="233">
        <f>Cen!F578</f>
        <v>0.75662999999999991</v>
      </c>
      <c r="H238" s="234">
        <f t="shared" si="101"/>
        <v>0</v>
      </c>
      <c r="I238" s="250"/>
      <c r="J238" s="235">
        <f>Cen!I578</f>
        <v>7283231</v>
      </c>
      <c r="K238" s="235">
        <f>Cen!J578</f>
        <v>99105</v>
      </c>
      <c r="L238" s="230">
        <f t="shared" si="38"/>
        <v>0</v>
      </c>
      <c r="M238" s="434">
        <f t="shared" si="39"/>
        <v>0</v>
      </c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  <c r="AJ238" s="229"/>
      <c r="AK238" s="229"/>
      <c r="AL238" s="229"/>
      <c r="AM238" s="229"/>
      <c r="AN238" s="229"/>
      <c r="AO238" s="229"/>
      <c r="AP238" s="229"/>
      <c r="AQ238" s="229"/>
      <c r="AR238" s="229"/>
      <c r="AS238" s="229"/>
      <c r="AT238" s="229"/>
      <c r="AU238" s="229"/>
      <c r="AV238" s="229"/>
      <c r="AW238" s="229"/>
      <c r="AX238" s="229"/>
      <c r="AY238" s="229"/>
      <c r="AZ238" s="229"/>
      <c r="BA238" s="229"/>
      <c r="BB238" s="229"/>
      <c r="BC238" s="229"/>
      <c r="BD238" s="229"/>
      <c r="BE238" s="229"/>
      <c r="BF238" s="229"/>
      <c r="BG238" s="229"/>
      <c r="BH238" s="229"/>
      <c r="BI238" s="229"/>
      <c r="BJ238" s="229"/>
      <c r="BK238" s="229"/>
      <c r="BL238" s="229"/>
      <c r="BM238" s="229"/>
      <c r="BN238" s="229"/>
      <c r="BO238" s="229"/>
      <c r="BP238" s="229"/>
      <c r="BQ238" s="229"/>
      <c r="BR238" s="229"/>
      <c r="BS238" s="229"/>
      <c r="BT238" s="229"/>
      <c r="BU238" s="229"/>
      <c r="BV238" s="229"/>
      <c r="BW238" s="229"/>
      <c r="BX238" s="229"/>
      <c r="BY238" s="236"/>
      <c r="BZ238" s="231">
        <f>SD!E24</f>
        <v>0</v>
      </c>
      <c r="CA238" s="229"/>
    </row>
    <row r="239" spans="2:79" x14ac:dyDescent="0.25">
      <c r="B239" s="237" t="str">
        <f>Cen!A579</f>
        <v>Synchronizační kabel 8cm</v>
      </c>
      <c r="C239" s="237" t="str">
        <f>Cen!B579</f>
        <v xml:space="preserve">Z10K008S </v>
      </c>
      <c r="D239" s="237" t="str">
        <f>Cen!C579</f>
        <v>W</v>
      </c>
      <c r="E239" s="553">
        <f>Cen!D579</f>
        <v>0</v>
      </c>
      <c r="F239" s="208">
        <f t="shared" si="98"/>
        <v>0</v>
      </c>
      <c r="G239" s="233">
        <f>Cen!F579</f>
        <v>4.2158600000000002</v>
      </c>
      <c r="H239" s="234">
        <f t="shared" si="101"/>
        <v>0</v>
      </c>
      <c r="I239" s="250"/>
      <c r="J239" s="235">
        <f>Cen!I579</f>
        <v>7288466</v>
      </c>
      <c r="K239" s="235">
        <f>Cen!J579</f>
        <v>99106</v>
      </c>
      <c r="L239" s="230">
        <f t="shared" si="38"/>
        <v>0</v>
      </c>
      <c r="M239" s="434">
        <f t="shared" si="39"/>
        <v>0</v>
      </c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  <c r="AJ239" s="229"/>
      <c r="AK239" s="229"/>
      <c r="AL239" s="229"/>
      <c r="AM239" s="229"/>
      <c r="AN239" s="229"/>
      <c r="AO239" s="229"/>
      <c r="AP239" s="229"/>
      <c r="AQ239" s="229"/>
      <c r="AR239" s="229"/>
      <c r="AS239" s="229"/>
      <c r="AT239" s="229"/>
      <c r="AU239" s="229"/>
      <c r="AV239" s="229"/>
      <c r="AW239" s="229"/>
      <c r="AX239" s="229"/>
      <c r="AY239" s="229"/>
      <c r="AZ239" s="229"/>
      <c r="BA239" s="229"/>
      <c r="BB239" s="229"/>
      <c r="BC239" s="229"/>
      <c r="BD239" s="229"/>
      <c r="BE239" s="229"/>
      <c r="BF239" s="229"/>
      <c r="BG239" s="229"/>
      <c r="BH239" s="229"/>
      <c r="BI239" s="229"/>
      <c r="BJ239" s="229"/>
      <c r="BK239" s="229"/>
      <c r="BL239" s="229"/>
      <c r="BM239" s="229"/>
      <c r="BN239" s="229"/>
      <c r="BO239" s="229"/>
      <c r="BP239" s="229"/>
      <c r="BQ239" s="229"/>
      <c r="BR239" s="229"/>
      <c r="BS239" s="229"/>
      <c r="BT239" s="229"/>
      <c r="BU239" s="229"/>
      <c r="BV239" s="229"/>
      <c r="BW239" s="229"/>
      <c r="BX239" s="229"/>
      <c r="BY239" s="236"/>
      <c r="BZ239" s="231">
        <f>SD!E18</f>
        <v>0</v>
      </c>
      <c r="CA239" s="229"/>
    </row>
    <row r="240" spans="2:79" x14ac:dyDescent="0.25">
      <c r="B240" s="237" t="str">
        <f>Cen!A580</f>
        <v>Synchronizační kabel 50cm</v>
      </c>
      <c r="C240" s="237" t="str">
        <f>Cen!B580</f>
        <v>Z10K050S</v>
      </c>
      <c r="D240" s="237" t="str">
        <f>Cen!C580</f>
        <v>W</v>
      </c>
      <c r="E240" s="553">
        <f>Cen!D580</f>
        <v>0</v>
      </c>
      <c r="F240" s="208">
        <f t="shared" si="98"/>
        <v>0</v>
      </c>
      <c r="G240" s="233">
        <f>Cen!F580</f>
        <v>5.8548999999999998</v>
      </c>
      <c r="H240" s="234">
        <f t="shared" si="101"/>
        <v>0</v>
      </c>
      <c r="I240" s="250"/>
      <c r="J240" s="235">
        <f>Cen!I580</f>
        <v>8013626</v>
      </c>
      <c r="K240" s="235">
        <f>Cen!J580</f>
        <v>246077</v>
      </c>
      <c r="L240" s="230">
        <f t="shared" si="38"/>
        <v>0</v>
      </c>
      <c r="M240" s="434">
        <f t="shared" si="39"/>
        <v>0</v>
      </c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  <c r="AJ240" s="229"/>
      <c r="AK240" s="229"/>
      <c r="AL240" s="229"/>
      <c r="AM240" s="229"/>
      <c r="AN240" s="229"/>
      <c r="AO240" s="229"/>
      <c r="AP240" s="229"/>
      <c r="AQ240" s="229"/>
      <c r="AR240" s="229"/>
      <c r="AS240" s="229"/>
      <c r="AT240" s="229"/>
      <c r="AU240" s="229"/>
      <c r="AV240" s="229"/>
      <c r="AW240" s="229"/>
      <c r="AX240" s="229"/>
      <c r="AY240" s="229"/>
      <c r="AZ240" s="229"/>
      <c r="BA240" s="229"/>
      <c r="BB240" s="229"/>
      <c r="BC240" s="229"/>
      <c r="BD240" s="229"/>
      <c r="BE240" s="229"/>
      <c r="BF240" s="229"/>
      <c r="BG240" s="229"/>
      <c r="BH240" s="229"/>
      <c r="BI240" s="229"/>
      <c r="BJ240" s="229"/>
      <c r="BK240" s="229"/>
      <c r="BL240" s="229"/>
      <c r="BM240" s="229"/>
      <c r="BN240" s="229"/>
      <c r="BO240" s="229"/>
      <c r="BP240" s="229"/>
      <c r="BQ240" s="229"/>
      <c r="BR240" s="229"/>
      <c r="BS240" s="229"/>
      <c r="BT240" s="229"/>
      <c r="BU240" s="229"/>
      <c r="BV240" s="229"/>
      <c r="BW240" s="229"/>
      <c r="BX240" s="229"/>
      <c r="BY240" s="236"/>
      <c r="BZ240" s="231">
        <f>SD!E19</f>
        <v>0</v>
      </c>
      <c r="CA240" s="229"/>
    </row>
    <row r="241" spans="2:79" x14ac:dyDescent="0.25">
      <c r="B241" s="237" t="str">
        <f>Cen!A581</f>
        <v>Synchronizační kabel 120cm</v>
      </c>
      <c r="C241" s="237" t="str">
        <f>Cen!B581</f>
        <v>Z10K120S</v>
      </c>
      <c r="D241" s="237" t="str">
        <f>Cen!C581</f>
        <v>W</v>
      </c>
      <c r="E241" s="553">
        <f>Cen!D581</f>
        <v>0</v>
      </c>
      <c r="F241" s="208">
        <f t="shared" si="98"/>
        <v>0</v>
      </c>
      <c r="G241" s="233">
        <f>Cen!F581</f>
        <v>9.0636899999999994</v>
      </c>
      <c r="H241" s="234">
        <f t="shared" si="101"/>
        <v>0</v>
      </c>
      <c r="I241" s="250"/>
      <c r="J241" s="235">
        <f>Cen!I581</f>
        <v>7288546</v>
      </c>
      <c r="K241" s="235">
        <f>Cen!J581</f>
        <v>99128</v>
      </c>
      <c r="L241" s="230">
        <f t="shared" si="38"/>
        <v>0</v>
      </c>
      <c r="M241" s="434">
        <f t="shared" si="39"/>
        <v>0</v>
      </c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  <c r="AJ241" s="229"/>
      <c r="AK241" s="229"/>
      <c r="AL241" s="229"/>
      <c r="AM241" s="229"/>
      <c r="AN241" s="229"/>
      <c r="AO241" s="229"/>
      <c r="AP241" s="229"/>
      <c r="AQ241" s="229"/>
      <c r="AR241" s="229"/>
      <c r="AS241" s="229"/>
      <c r="AT241" s="229"/>
      <c r="AU241" s="229"/>
      <c r="AV241" s="229"/>
      <c r="AW241" s="229"/>
      <c r="AX241" s="229"/>
      <c r="AY241" s="229"/>
      <c r="AZ241" s="229"/>
      <c r="BA241" s="229"/>
      <c r="BB241" s="229"/>
      <c r="BC241" s="229"/>
      <c r="BD241" s="229"/>
      <c r="BE241" s="229"/>
      <c r="BF241" s="229"/>
      <c r="BG241" s="229"/>
      <c r="BH241" s="229"/>
      <c r="BI241" s="229"/>
      <c r="BJ241" s="229"/>
      <c r="BK241" s="229"/>
      <c r="BL241" s="229"/>
      <c r="BM241" s="229"/>
      <c r="BN241" s="229"/>
      <c r="BO241" s="229"/>
      <c r="BP241" s="229"/>
      <c r="BQ241" s="229"/>
      <c r="BR241" s="229"/>
      <c r="BS241" s="229"/>
      <c r="BT241" s="229"/>
      <c r="BU241" s="229"/>
      <c r="BV241" s="229"/>
      <c r="BW241" s="229"/>
      <c r="BX241" s="229"/>
      <c r="BY241" s="236"/>
      <c r="BZ241" s="231">
        <f>SD!E20</f>
        <v>0</v>
      </c>
      <c r="CA241" s="229"/>
    </row>
    <row r="242" spans="2:79" x14ac:dyDescent="0.25">
      <c r="B242" s="237" t="str">
        <f>Cen!A582</f>
        <v>Synchronizační kabel 160cm</v>
      </c>
      <c r="C242" s="237" t="str">
        <f>Cen!B582</f>
        <v>Z10K160S</v>
      </c>
      <c r="D242" s="237" t="str">
        <f>Cen!C582</f>
        <v>W</v>
      </c>
      <c r="E242" s="553">
        <f>Cen!D582</f>
        <v>0</v>
      </c>
      <c r="F242" s="208">
        <f t="shared" si="98"/>
        <v>0</v>
      </c>
      <c r="G242" s="233">
        <f>Cen!F582</f>
        <v>10.234780000000001</v>
      </c>
      <c r="H242" s="234">
        <f t="shared" si="101"/>
        <v>0</v>
      </c>
      <c r="I242" s="250"/>
      <c r="J242" s="235">
        <f>Cen!I582</f>
        <v>7361306</v>
      </c>
      <c r="K242" s="235">
        <f>Cen!J582</f>
        <v>99118</v>
      </c>
      <c r="L242" s="230">
        <f t="shared" si="38"/>
        <v>0</v>
      </c>
      <c r="M242" s="434">
        <f t="shared" si="39"/>
        <v>0</v>
      </c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  <c r="AJ242" s="229"/>
      <c r="AK242" s="229"/>
      <c r="AL242" s="229"/>
      <c r="AM242" s="229"/>
      <c r="AN242" s="229"/>
      <c r="AO242" s="229"/>
      <c r="AP242" s="229"/>
      <c r="AQ242" s="229"/>
      <c r="AR242" s="229"/>
      <c r="AS242" s="229"/>
      <c r="AT242" s="229"/>
      <c r="AU242" s="229"/>
      <c r="AV242" s="229"/>
      <c r="AW242" s="229"/>
      <c r="AX242" s="229"/>
      <c r="AY242" s="229"/>
      <c r="AZ242" s="229"/>
      <c r="BA242" s="229"/>
      <c r="BB242" s="229"/>
      <c r="BC242" s="229"/>
      <c r="BD242" s="229"/>
      <c r="BE242" s="229"/>
      <c r="BF242" s="229"/>
      <c r="BG242" s="229"/>
      <c r="BH242" s="229"/>
      <c r="BI242" s="229"/>
      <c r="BJ242" s="229"/>
      <c r="BK242" s="229"/>
      <c r="BL242" s="229"/>
      <c r="BM242" s="229"/>
      <c r="BN242" s="229"/>
      <c r="BO242" s="229"/>
      <c r="BP242" s="229"/>
      <c r="BQ242" s="229"/>
      <c r="BR242" s="229"/>
      <c r="BS242" s="229"/>
      <c r="BT242" s="229"/>
      <c r="BU242" s="229"/>
      <c r="BV242" s="229"/>
      <c r="BW242" s="229"/>
      <c r="BX242" s="229"/>
      <c r="BY242" s="236"/>
      <c r="BZ242" s="231">
        <f>SD!E21</f>
        <v>0</v>
      </c>
      <c r="CA242" s="229"/>
    </row>
    <row r="243" spans="2:79" x14ac:dyDescent="0.25">
      <c r="B243" s="237" t="str">
        <f>Cen!A583</f>
        <v>Elektrokabel, délka 8m + 5 krytek</v>
      </c>
      <c r="C243" s="237" t="str">
        <f>Cen!B583</f>
        <v>Z10K800AE</v>
      </c>
      <c r="D243" s="237" t="str">
        <f>Cen!C583</f>
        <v>S</v>
      </c>
      <c r="E243" s="553">
        <f>Cen!D583</f>
        <v>0</v>
      </c>
      <c r="F243" s="208">
        <f t="shared" si="98"/>
        <v>0</v>
      </c>
      <c r="G243" s="233">
        <f>Cen!F583</f>
        <v>26.267219999999998</v>
      </c>
      <c r="H243" s="234">
        <f t="shared" si="101"/>
        <v>0</v>
      </c>
      <c r="I243" s="250"/>
      <c r="J243" s="235">
        <f>Cen!I583</f>
        <v>7550294</v>
      </c>
      <c r="K243" s="235">
        <f>Cen!J583</f>
        <v>99107</v>
      </c>
      <c r="L243" s="230">
        <f t="shared" si="38"/>
        <v>0</v>
      </c>
      <c r="M243" s="434">
        <f t="shared" si="39"/>
        <v>0</v>
      </c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  <c r="AJ243" s="229"/>
      <c r="AK243" s="229"/>
      <c r="AL243" s="229"/>
      <c r="AM243" s="229"/>
      <c r="AN243" s="229"/>
      <c r="AO243" s="229"/>
      <c r="AP243" s="229"/>
      <c r="AQ243" s="229"/>
      <c r="AR243" s="229"/>
      <c r="AS243" s="229"/>
      <c r="AT243" s="229"/>
      <c r="AU243" s="229"/>
      <c r="AV243" s="229"/>
      <c r="AW243" s="229"/>
      <c r="AX243" s="229"/>
      <c r="AY243" s="229"/>
      <c r="AZ243" s="229"/>
      <c r="BA243" s="229"/>
      <c r="BB243" s="229"/>
      <c r="BC243" s="229"/>
      <c r="BD243" s="229"/>
      <c r="BE243" s="229"/>
      <c r="BF243" s="229"/>
      <c r="BG243" s="229"/>
      <c r="BH243" s="229"/>
      <c r="BI243" s="229"/>
      <c r="BJ243" s="229"/>
      <c r="BK243" s="229"/>
      <c r="BL243" s="229"/>
      <c r="BM243" s="229"/>
      <c r="BN243" s="229"/>
      <c r="BO243" s="229"/>
      <c r="BP243" s="229"/>
      <c r="BQ243" s="229"/>
      <c r="BR243" s="229"/>
      <c r="BS243" s="229"/>
      <c r="BT243" s="229"/>
      <c r="BU243" s="229"/>
      <c r="BV243" s="229"/>
      <c r="BW243" s="229"/>
      <c r="BX243" s="229"/>
      <c r="BY243" s="236"/>
      <c r="BZ243" s="231">
        <f>SD!E13</f>
        <v>0</v>
      </c>
      <c r="CA243" s="229"/>
    </row>
    <row r="244" spans="2:79" x14ac:dyDescent="0.25">
      <c r="B244" s="237" t="str">
        <f>Cen!A584</f>
        <v>Napájecí kabel se zástrčkou, 2m</v>
      </c>
      <c r="C244" s="237" t="str">
        <f>Cen!B584</f>
        <v xml:space="preserve">Z10M200E </v>
      </c>
      <c r="D244" s="237" t="str">
        <f>Cen!C584</f>
        <v>S</v>
      </c>
      <c r="E244" s="553">
        <f>Cen!D584</f>
        <v>0</v>
      </c>
      <c r="F244" s="208">
        <f t="shared" si="98"/>
        <v>0</v>
      </c>
      <c r="G244" s="233">
        <f>Cen!F584</f>
        <v>6.3704900000000002</v>
      </c>
      <c r="H244" s="234">
        <f t="shared" si="101"/>
        <v>0</v>
      </c>
      <c r="I244" s="250"/>
      <c r="J244" s="235">
        <f>Cen!I584</f>
        <v>7205784</v>
      </c>
      <c r="K244" s="235">
        <f>Cen!J584</f>
        <v>99108</v>
      </c>
      <c r="L244" s="230">
        <f t="shared" si="38"/>
        <v>0</v>
      </c>
      <c r="M244" s="434">
        <f t="shared" si="39"/>
        <v>0</v>
      </c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  <c r="AJ244" s="229"/>
      <c r="AK244" s="229"/>
      <c r="AL244" s="229"/>
      <c r="AM244" s="229"/>
      <c r="AN244" s="229"/>
      <c r="AO244" s="229"/>
      <c r="AP244" s="229"/>
      <c r="AQ244" s="229"/>
      <c r="AR244" s="229"/>
      <c r="AS244" s="229"/>
      <c r="AT244" s="229"/>
      <c r="AU244" s="229"/>
      <c r="AV244" s="229"/>
      <c r="AW244" s="229"/>
      <c r="AX244" s="229"/>
      <c r="AY244" s="229"/>
      <c r="AZ244" s="229"/>
      <c r="BA244" s="229"/>
      <c r="BB244" s="229"/>
      <c r="BC244" s="229"/>
      <c r="BD244" s="229"/>
      <c r="BE244" s="229"/>
      <c r="BF244" s="229"/>
      <c r="BG244" s="229"/>
      <c r="BH244" s="229"/>
      <c r="BI244" s="229"/>
      <c r="BJ244" s="229"/>
      <c r="BK244" s="229"/>
      <c r="BL244" s="229"/>
      <c r="BM244" s="229"/>
      <c r="BN244" s="229"/>
      <c r="BO244" s="229"/>
      <c r="BP244" s="229"/>
      <c r="BQ244" s="229"/>
      <c r="BR244" s="229"/>
      <c r="BS244" s="229"/>
      <c r="BT244" s="229"/>
      <c r="BU244" s="229"/>
      <c r="BV244" s="229"/>
      <c r="BW244" s="229"/>
      <c r="BX244" s="229"/>
      <c r="BY244" s="236"/>
      <c r="BZ244" s="231">
        <f>SD!E15</f>
        <v>0</v>
      </c>
      <c r="CA244" s="229"/>
    </row>
    <row r="245" spans="2:79" x14ac:dyDescent="0.25">
      <c r="B245" s="237" t="str">
        <f>Cen!A585</f>
        <v>Napájecí zdroj 24W</v>
      </c>
      <c r="C245" s="237" t="str">
        <f>Cen!B585</f>
        <v>Z10NE030E</v>
      </c>
      <c r="D245" s="237" t="str">
        <f>Cen!C585</f>
        <v>S</v>
      </c>
      <c r="E245" s="553">
        <f>Cen!D585</f>
        <v>0</v>
      </c>
      <c r="F245" s="208">
        <f t="shared" si="98"/>
        <v>0</v>
      </c>
      <c r="G245" s="233">
        <f>Cen!F585</f>
        <v>96.961060000000003</v>
      </c>
      <c r="H245" s="234">
        <f t="shared" si="101"/>
        <v>0</v>
      </c>
      <c r="I245" s="250"/>
      <c r="J245" s="235">
        <f>Cen!I585</f>
        <v>5082891</v>
      </c>
      <c r="K245" s="235">
        <f>Cen!J585</f>
        <v>129576</v>
      </c>
      <c r="L245" s="230">
        <f t="shared" si="38"/>
        <v>0</v>
      </c>
      <c r="M245" s="434">
        <f t="shared" si="39"/>
        <v>0</v>
      </c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  <c r="AJ245" s="229"/>
      <c r="AK245" s="229"/>
      <c r="AL245" s="229"/>
      <c r="AM245" s="229"/>
      <c r="AN245" s="229"/>
      <c r="AO245" s="229"/>
      <c r="AP245" s="229"/>
      <c r="AQ245" s="229"/>
      <c r="AR245" s="229"/>
      <c r="AS245" s="229"/>
      <c r="AT245" s="229"/>
      <c r="AU245" s="229"/>
      <c r="AV245" s="229"/>
      <c r="AW245" s="229"/>
      <c r="AX245" s="229"/>
      <c r="AY245" s="229"/>
      <c r="AZ245" s="229"/>
      <c r="BA245" s="229"/>
      <c r="BB245" s="229"/>
      <c r="BC245" s="229"/>
      <c r="BD245" s="229"/>
      <c r="BE245" s="229"/>
      <c r="BF245" s="229"/>
      <c r="BG245" s="229"/>
      <c r="BH245" s="229"/>
      <c r="BI245" s="229"/>
      <c r="BJ245" s="229"/>
      <c r="BK245" s="229"/>
      <c r="BL245" s="229"/>
      <c r="BM245" s="229"/>
      <c r="BN245" s="229"/>
      <c r="BO245" s="229"/>
      <c r="BP245" s="229"/>
      <c r="BQ245" s="229"/>
      <c r="BR245" s="229"/>
      <c r="BS245" s="229"/>
      <c r="BT245" s="229"/>
      <c r="BU245" s="229"/>
      <c r="BV245" s="229"/>
      <c r="BW245" s="229"/>
      <c r="BX245" s="229"/>
      <c r="BY245" s="236"/>
      <c r="BZ245" s="231">
        <f>SD!E14</f>
        <v>0</v>
      </c>
      <c r="CA245" s="229"/>
    </row>
    <row r="246" spans="2:79" x14ac:dyDescent="0.25">
      <c r="B246" s="237" t="str">
        <f>Cen!A586</f>
        <v>Držák napájecího zdroje - montáž do dna</v>
      </c>
      <c r="C246" s="237" t="str">
        <f>Cen!B586</f>
        <v>Z10NG000</v>
      </c>
      <c r="D246" s="237" t="str">
        <f>Cen!C586</f>
        <v>R737</v>
      </c>
      <c r="E246" s="553">
        <f>Cen!D586</f>
        <v>0</v>
      </c>
      <c r="F246" s="208">
        <f t="shared" si="98"/>
        <v>0</v>
      </c>
      <c r="G246" s="233">
        <f>Cen!F586</f>
        <v>6.557669999999999</v>
      </c>
      <c r="H246" s="234">
        <f t="shared" si="101"/>
        <v>0</v>
      </c>
      <c r="I246" s="250"/>
      <c r="J246" s="235">
        <f>Cen!I586</f>
        <v>7282180</v>
      </c>
      <c r="K246" s="235">
        <f>Cen!J586</f>
        <v>991110</v>
      </c>
      <c r="L246" s="230">
        <f t="shared" ref="L246:L298" si="102">IF(I246="x",0,IF(I246&gt;0,I246,F246))</f>
        <v>0</v>
      </c>
      <c r="M246" s="434">
        <f t="shared" ref="M246:M309" si="103">PRODUCT(L246,G246)</f>
        <v>0</v>
      </c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  <c r="AJ246" s="229"/>
      <c r="AK246" s="229"/>
      <c r="AL246" s="229"/>
      <c r="AM246" s="229"/>
      <c r="AN246" s="229"/>
      <c r="AO246" s="229"/>
      <c r="AP246" s="229"/>
      <c r="AQ246" s="229"/>
      <c r="AR246" s="229"/>
      <c r="AS246" s="229"/>
      <c r="AT246" s="229"/>
      <c r="AU246" s="229"/>
      <c r="AV246" s="229"/>
      <c r="AW246" s="229"/>
      <c r="AX246" s="229"/>
      <c r="AY246" s="229"/>
      <c r="AZ246" s="229"/>
      <c r="BA246" s="229"/>
      <c r="BB246" s="229"/>
      <c r="BC246" s="229"/>
      <c r="BD246" s="229"/>
      <c r="BE246" s="229"/>
      <c r="BF246" s="229"/>
      <c r="BG246" s="229"/>
      <c r="BH246" s="229"/>
      <c r="BI246" s="229"/>
      <c r="BJ246" s="229"/>
      <c r="BK246" s="229"/>
      <c r="BL246" s="229"/>
      <c r="BM246" s="229"/>
      <c r="BN246" s="229"/>
      <c r="BO246" s="229"/>
      <c r="BP246" s="229"/>
      <c r="BQ246" s="229"/>
      <c r="BR246" s="229"/>
      <c r="BS246" s="229"/>
      <c r="BT246" s="229"/>
      <c r="BU246" s="229"/>
      <c r="BV246" s="229"/>
      <c r="BW246" s="229"/>
      <c r="BX246" s="229"/>
      <c r="BY246" s="236"/>
      <c r="BZ246" s="231">
        <f>SD!E16</f>
        <v>0</v>
      </c>
      <c r="CA246" s="229"/>
    </row>
    <row r="247" spans="2:79" x14ac:dyDescent="0.25">
      <c r="B247" s="237" t="str">
        <f>Cen!A587</f>
        <v>Držák napájecího zdroje - montáž na stěnu</v>
      </c>
      <c r="C247" s="237" t="str">
        <f>Cen!B587</f>
        <v>Z10NG120</v>
      </c>
      <c r="D247" s="237" t="str">
        <f>Cen!C587</f>
        <v>WGR</v>
      </c>
      <c r="E247" s="553">
        <f>Cen!D587</f>
        <v>0</v>
      </c>
      <c r="F247" s="208">
        <f t="shared" si="98"/>
        <v>0</v>
      </c>
      <c r="G247" s="233">
        <f>Cen!F587</f>
        <v>3.5366300000000002</v>
      </c>
      <c r="H247" s="234">
        <f t="shared" si="101"/>
        <v>0</v>
      </c>
      <c r="I247" s="250"/>
      <c r="J247" s="235">
        <f>Cen!I587</f>
        <v>9327076</v>
      </c>
      <c r="K247" s="235">
        <f>Cen!J587</f>
        <v>131344</v>
      </c>
      <c r="L247" s="230">
        <f t="shared" si="102"/>
        <v>0</v>
      </c>
      <c r="M247" s="434">
        <f t="shared" si="103"/>
        <v>0</v>
      </c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  <c r="AJ247" s="229"/>
      <c r="AK247" s="229"/>
      <c r="AL247" s="229"/>
      <c r="AM247" s="229"/>
      <c r="AN247" s="229"/>
      <c r="AO247" s="229"/>
      <c r="AP247" s="229"/>
      <c r="AQ247" s="229"/>
      <c r="AR247" s="229"/>
      <c r="AS247" s="229"/>
      <c r="AT247" s="229"/>
      <c r="AU247" s="229"/>
      <c r="AV247" s="229"/>
      <c r="AW247" s="229"/>
      <c r="AX247" s="229"/>
      <c r="AY247" s="229"/>
      <c r="AZ247" s="229"/>
      <c r="BA247" s="229"/>
      <c r="BB247" s="229"/>
      <c r="BC247" s="229"/>
      <c r="BD247" s="229"/>
      <c r="BE247" s="229"/>
      <c r="BF247" s="229"/>
      <c r="BG247" s="229"/>
      <c r="BH247" s="229"/>
      <c r="BI247" s="229"/>
      <c r="BJ247" s="229"/>
      <c r="BK247" s="229"/>
      <c r="BL247" s="229"/>
      <c r="BM247" s="229"/>
      <c r="BN247" s="229"/>
      <c r="BO247" s="229"/>
      <c r="BP247" s="229"/>
      <c r="BQ247" s="229"/>
      <c r="BR247" s="229"/>
      <c r="BS247" s="229"/>
      <c r="BT247" s="229"/>
      <c r="BU247" s="229"/>
      <c r="BV247" s="229"/>
      <c r="BW247" s="229"/>
      <c r="BX247" s="229"/>
      <c r="BY247" s="236"/>
      <c r="BZ247" s="231">
        <f>SD!E17</f>
        <v>0</v>
      </c>
      <c r="CA247" s="229"/>
    </row>
    <row r="248" spans="2:79" x14ac:dyDescent="0.25">
      <c r="B248" s="237" t="str">
        <f>Cen!A588</f>
        <v>Propojovací svorka s hroty + krytka</v>
      </c>
      <c r="C248" s="237" t="str">
        <f>Cen!B588</f>
        <v>Z10V100E.01</v>
      </c>
      <c r="D248" s="237" t="str">
        <f>Cen!C588</f>
        <v>S</v>
      </c>
      <c r="E248" s="553">
        <f>Cen!D588</f>
        <v>0</v>
      </c>
      <c r="F248" s="208">
        <f t="shared" si="98"/>
        <v>0</v>
      </c>
      <c r="G248" s="233">
        <f>Cen!F588</f>
        <v>6.2567500000000003</v>
      </c>
      <c r="H248" s="234">
        <f t="shared" si="101"/>
        <v>0</v>
      </c>
      <c r="I248" s="250"/>
      <c r="J248" s="235">
        <f>Cen!I588</f>
        <v>8820285</v>
      </c>
      <c r="K248" s="235">
        <f>Cen!J588</f>
        <v>132954</v>
      </c>
      <c r="L248" s="230">
        <f t="shared" si="102"/>
        <v>0</v>
      </c>
      <c r="M248" s="434">
        <f t="shared" si="103"/>
        <v>0</v>
      </c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  <c r="AJ248" s="229"/>
      <c r="AK248" s="229"/>
      <c r="AL248" s="229"/>
      <c r="AM248" s="229"/>
      <c r="AN248" s="229"/>
      <c r="AO248" s="229"/>
      <c r="AP248" s="229"/>
      <c r="AQ248" s="229"/>
      <c r="AR248" s="229"/>
      <c r="AS248" s="229"/>
      <c r="AT248" s="229"/>
      <c r="AU248" s="229"/>
      <c r="AV248" s="229"/>
      <c r="AW248" s="229"/>
      <c r="AX248" s="229"/>
      <c r="AY248" s="229"/>
      <c r="AZ248" s="229"/>
      <c r="BA248" s="229"/>
      <c r="BB248" s="229"/>
      <c r="BC248" s="229"/>
      <c r="BD248" s="229"/>
      <c r="BE248" s="229"/>
      <c r="BF248" s="229"/>
      <c r="BG248" s="229"/>
      <c r="BH248" s="229"/>
      <c r="BI248" s="229"/>
      <c r="BJ248" s="229"/>
      <c r="BK248" s="229"/>
      <c r="BL248" s="229"/>
      <c r="BM248" s="229"/>
      <c r="BN248" s="229"/>
      <c r="BO248" s="229"/>
      <c r="BP248" s="229"/>
      <c r="BQ248" s="229"/>
      <c r="BR248" s="229"/>
      <c r="BS248" s="229"/>
      <c r="BT248" s="229"/>
      <c r="BU248" s="229"/>
      <c r="BV248" s="229"/>
      <c r="BW248" s="229"/>
      <c r="BX248" s="229"/>
      <c r="BY248" s="236"/>
      <c r="BZ248" s="231">
        <f>SD!E12</f>
        <v>0</v>
      </c>
      <c r="CA248" s="229"/>
    </row>
    <row r="249" spans="2:79" x14ac:dyDescent="0.25">
      <c r="B249" s="237" t="str">
        <f>Cen!A590</f>
        <v xml:space="preserve">Nosník, 670mm, s předmont. kabelem </v>
      </c>
      <c r="C249" s="237" t="str">
        <f>Cen!B590</f>
        <v xml:space="preserve">Z10T670AA </v>
      </c>
      <c r="D249" s="237" t="str">
        <f>Cen!C590</f>
        <v>Alu</v>
      </c>
      <c r="E249" s="553">
        <f>Cen!D590</f>
        <v>0</v>
      </c>
      <c r="F249" s="208">
        <f t="shared" si="98"/>
        <v>0</v>
      </c>
      <c r="G249" s="233">
        <f>Cen!F590</f>
        <v>34.334380000000003</v>
      </c>
      <c r="H249" s="234">
        <f t="shared" si="101"/>
        <v>0</v>
      </c>
      <c r="I249" s="250"/>
      <c r="J249" s="235">
        <f>Cen!I590</f>
        <v>7716441</v>
      </c>
      <c r="K249" s="235">
        <f>Cen!J590</f>
        <v>99125</v>
      </c>
      <c r="L249" s="230">
        <f t="shared" si="102"/>
        <v>0</v>
      </c>
      <c r="M249" s="434">
        <f t="shared" si="103"/>
        <v>0</v>
      </c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  <c r="AJ249" s="229"/>
      <c r="AK249" s="229"/>
      <c r="AL249" s="229"/>
      <c r="AM249" s="229"/>
      <c r="AN249" s="229"/>
      <c r="AO249" s="229"/>
      <c r="AP249" s="229"/>
      <c r="AQ249" s="229"/>
      <c r="AR249" s="229"/>
      <c r="AS249" s="229"/>
      <c r="AT249" s="229"/>
      <c r="AU249" s="229"/>
      <c r="AV249" s="229"/>
      <c r="AW249" s="229"/>
      <c r="AX249" s="229"/>
      <c r="AY249" s="229"/>
      <c r="AZ249" s="229"/>
      <c r="BA249" s="229"/>
      <c r="BB249" s="229"/>
      <c r="BC249" s="229"/>
      <c r="BD249" s="229"/>
      <c r="BE249" s="229"/>
      <c r="BF249" s="229"/>
      <c r="BG249" s="229"/>
      <c r="BH249" s="229"/>
      <c r="BI249" s="229"/>
      <c r="BJ249" s="229"/>
      <c r="BK249" s="229"/>
      <c r="BL249" s="229"/>
      <c r="BM249" s="229"/>
      <c r="BN249" s="229"/>
      <c r="BO249" s="229"/>
      <c r="BP249" s="229"/>
      <c r="BQ249" s="229"/>
      <c r="BR249" s="229"/>
      <c r="BS249" s="229"/>
      <c r="BT249" s="229"/>
      <c r="BU249" s="229"/>
      <c r="BV249" s="229"/>
      <c r="BW249" s="229"/>
      <c r="BX249" s="229"/>
      <c r="BY249" s="236"/>
      <c r="BZ249" s="231">
        <f>SD!E5</f>
        <v>0</v>
      </c>
      <c r="CA249" s="229"/>
    </row>
    <row r="250" spans="2:79" x14ac:dyDescent="0.25">
      <c r="B250" s="237" t="str">
        <f>Cen!A592</f>
        <v xml:space="preserve">Nosník, 750mm, s předmont. kabelem </v>
      </c>
      <c r="C250" s="237" t="str">
        <f>Cen!B592</f>
        <v xml:space="preserve">Z10T750AA </v>
      </c>
      <c r="D250" s="237" t="str">
        <f>Cen!C592</f>
        <v>Alu</v>
      </c>
      <c r="E250" s="553">
        <f>Cen!D592</f>
        <v>0</v>
      </c>
      <c r="F250" s="208">
        <f t="shared" si="98"/>
        <v>0</v>
      </c>
      <c r="G250" s="233">
        <f>Cen!F592</f>
        <v>37.613590000000002</v>
      </c>
      <c r="H250" s="234">
        <f t="shared" si="101"/>
        <v>0</v>
      </c>
      <c r="I250" s="250"/>
      <c r="J250" s="235">
        <f>Cen!I592</f>
        <v>7466401</v>
      </c>
      <c r="K250" s="235">
        <f>Cen!J592</f>
        <v>99115</v>
      </c>
      <c r="L250" s="230">
        <f t="shared" si="102"/>
        <v>0</v>
      </c>
      <c r="M250" s="434">
        <f t="shared" si="103"/>
        <v>0</v>
      </c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  <c r="AJ250" s="229"/>
      <c r="AK250" s="229"/>
      <c r="AL250" s="229"/>
      <c r="AM250" s="229"/>
      <c r="AN250" s="229"/>
      <c r="AO250" s="229"/>
      <c r="AP250" s="229"/>
      <c r="AQ250" s="229"/>
      <c r="AR250" s="229"/>
      <c r="AS250" s="229"/>
      <c r="AT250" s="229"/>
      <c r="AU250" s="229"/>
      <c r="AV250" s="229"/>
      <c r="AW250" s="229"/>
      <c r="AX250" s="229"/>
      <c r="AY250" s="229"/>
      <c r="AZ250" s="229"/>
      <c r="BA250" s="229"/>
      <c r="BB250" s="229"/>
      <c r="BC250" s="229"/>
      <c r="BD250" s="229"/>
      <c r="BE250" s="229"/>
      <c r="BF250" s="229"/>
      <c r="BG250" s="229"/>
      <c r="BH250" s="229"/>
      <c r="BI250" s="229"/>
      <c r="BJ250" s="229"/>
      <c r="BK250" s="229"/>
      <c r="BL250" s="229"/>
      <c r="BM250" s="229"/>
      <c r="BN250" s="229"/>
      <c r="BO250" s="229"/>
      <c r="BP250" s="229"/>
      <c r="BQ250" s="229"/>
      <c r="BR250" s="229"/>
      <c r="BS250" s="229"/>
      <c r="BT250" s="229"/>
      <c r="BU250" s="229"/>
      <c r="BV250" s="229"/>
      <c r="BW250" s="229"/>
      <c r="BX250" s="229"/>
      <c r="BY250" s="236"/>
      <c r="BZ250" s="231">
        <f>SD!E6</f>
        <v>0</v>
      </c>
      <c r="CA250" s="229"/>
    </row>
    <row r="251" spans="2:79" x14ac:dyDescent="0.25">
      <c r="B251" s="237" t="str">
        <f>Cen!A594</f>
        <v>Nosník 1170mm, bez kabelu</v>
      </c>
      <c r="C251" s="237" t="str">
        <f>Cen!B594</f>
        <v>Z10T1170A</v>
      </c>
      <c r="D251" s="237" t="str">
        <f>Cen!C594</f>
        <v>Alu</v>
      </c>
      <c r="E251" s="553">
        <f>Cen!D594</f>
        <v>0</v>
      </c>
      <c r="F251" s="208">
        <f t="shared" si="98"/>
        <v>0</v>
      </c>
      <c r="G251" s="233">
        <f>Cen!F594</f>
        <v>40.049750000000003</v>
      </c>
      <c r="H251" s="234">
        <f t="shared" si="101"/>
        <v>0</v>
      </c>
      <c r="I251" s="250"/>
      <c r="J251" s="235">
        <f>Cen!I594</f>
        <v>7287731</v>
      </c>
      <c r="K251" s="235">
        <f>Cen!J594</f>
        <v>99116</v>
      </c>
      <c r="L251" s="230">
        <f t="shared" si="102"/>
        <v>0</v>
      </c>
      <c r="M251" s="434">
        <f t="shared" si="103"/>
        <v>0</v>
      </c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  <c r="AJ251" s="229"/>
      <c r="AK251" s="229"/>
      <c r="AL251" s="229"/>
      <c r="AM251" s="229"/>
      <c r="AN251" s="229"/>
      <c r="AO251" s="229"/>
      <c r="AP251" s="229"/>
      <c r="AQ251" s="229"/>
      <c r="AR251" s="229"/>
      <c r="AS251" s="229"/>
      <c r="AT251" s="229"/>
      <c r="AU251" s="229"/>
      <c r="AV251" s="229"/>
      <c r="AW251" s="229"/>
      <c r="AX251" s="229"/>
      <c r="AY251" s="229"/>
      <c r="AZ251" s="229"/>
      <c r="BA251" s="229"/>
      <c r="BB251" s="229"/>
      <c r="BC251" s="229"/>
      <c r="BD251" s="229"/>
      <c r="BE251" s="229"/>
      <c r="BF251" s="229"/>
      <c r="BG251" s="229"/>
      <c r="BH251" s="229"/>
      <c r="BI251" s="229"/>
      <c r="BJ251" s="229"/>
      <c r="BK251" s="229"/>
      <c r="BL251" s="229"/>
      <c r="BM251" s="229"/>
      <c r="BN251" s="229"/>
      <c r="BO251" s="229"/>
      <c r="BP251" s="229"/>
      <c r="BQ251" s="229"/>
      <c r="BR251" s="229"/>
      <c r="BS251" s="229"/>
      <c r="BT251" s="229"/>
      <c r="BU251" s="229"/>
      <c r="BV251" s="229"/>
      <c r="BW251" s="229"/>
      <c r="BX251" s="229"/>
      <c r="BY251" s="236"/>
      <c r="BZ251" s="231">
        <f>SD!E7</f>
        <v>0</v>
      </c>
      <c r="CA251" s="229"/>
    </row>
    <row r="252" spans="2:79" x14ac:dyDescent="0.25">
      <c r="B252" s="237" t="str">
        <f>Cen!A595</f>
        <v xml:space="preserve">Mechanizmus vyhazovače </v>
      </c>
      <c r="C252" s="237" t="str">
        <f>Cen!B595</f>
        <v>Z10A3H00</v>
      </c>
      <c r="D252" s="237" t="str">
        <f>Cen!C595</f>
        <v>R737</v>
      </c>
      <c r="E252" s="553">
        <f>Cen!D595</f>
        <v>0</v>
      </c>
      <c r="F252" s="208">
        <f t="shared" si="98"/>
        <v>0</v>
      </c>
      <c r="G252" s="233">
        <f>Cen!F595</f>
        <v>2.8103199999999999</v>
      </c>
      <c r="H252" s="234">
        <f t="shared" si="101"/>
        <v>0</v>
      </c>
      <c r="I252" s="250"/>
      <c r="J252" s="235">
        <f>Cen!I595</f>
        <v>7472980</v>
      </c>
      <c r="K252" s="235">
        <f>Cen!J595</f>
        <v>99126</v>
      </c>
      <c r="L252" s="230">
        <f t="shared" si="102"/>
        <v>0</v>
      </c>
      <c r="M252" s="434">
        <f t="shared" si="103"/>
        <v>0</v>
      </c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  <c r="AJ252" s="229"/>
      <c r="AK252" s="229"/>
      <c r="AL252" s="229"/>
      <c r="AM252" s="229"/>
      <c r="AN252" s="229"/>
      <c r="AO252" s="229"/>
      <c r="AP252" s="229"/>
      <c r="AQ252" s="229"/>
      <c r="AR252" s="229"/>
      <c r="AS252" s="229"/>
      <c r="AT252" s="229"/>
      <c r="AU252" s="229"/>
      <c r="AV252" s="229"/>
      <c r="AW252" s="229"/>
      <c r="AX252" s="229"/>
      <c r="AY252" s="229"/>
      <c r="AZ252" s="229"/>
      <c r="BA252" s="229"/>
      <c r="BB252" s="229"/>
      <c r="BC252" s="229"/>
      <c r="BD252" s="229"/>
      <c r="BE252" s="229"/>
      <c r="BF252" s="229"/>
      <c r="BG252" s="229"/>
      <c r="BH252" s="229"/>
      <c r="BI252" s="229"/>
      <c r="BJ252" s="229"/>
      <c r="BK252" s="229"/>
      <c r="BL252" s="229"/>
      <c r="BM252" s="229"/>
      <c r="BN252" s="229"/>
      <c r="BO252" s="229"/>
      <c r="BP252" s="229"/>
      <c r="BQ252" s="229"/>
      <c r="BR252" s="229"/>
      <c r="BS252" s="229"/>
      <c r="BT252" s="229"/>
      <c r="BU252" s="229"/>
      <c r="BV252" s="229"/>
      <c r="BW252" s="229"/>
      <c r="BX252" s="229"/>
      <c r="BY252" s="236"/>
      <c r="BZ252" s="231">
        <f>SD!E11</f>
        <v>0</v>
      </c>
      <c r="CA252" s="229"/>
    </row>
    <row r="253" spans="2:79" x14ac:dyDescent="0.25">
      <c r="B253" s="237" t="str">
        <f>Cen!A596</f>
        <v>Horizontální nosník</v>
      </c>
      <c r="C253" s="237" t="str">
        <f>Cen!B596</f>
        <v>Z10T1143B</v>
      </c>
      <c r="D253" s="237" t="str">
        <f>Cen!C596</f>
        <v>Alu</v>
      </c>
      <c r="E253" s="553">
        <f>Cen!D596</f>
        <v>0</v>
      </c>
      <c r="F253" s="208">
        <f t="shared" si="98"/>
        <v>0</v>
      </c>
      <c r="G253" s="233">
        <f>Cen!F596</f>
        <v>16.558009999999999</v>
      </c>
      <c r="H253" s="234">
        <f t="shared" si="101"/>
        <v>0</v>
      </c>
      <c r="I253" s="250"/>
      <c r="J253" s="235">
        <f>Cen!I596</f>
        <v>7922191</v>
      </c>
      <c r="K253" s="235">
        <f>Cen!J596</f>
        <v>99124</v>
      </c>
      <c r="L253" s="230">
        <f t="shared" si="102"/>
        <v>0</v>
      </c>
      <c r="M253" s="434">
        <f t="shared" si="103"/>
        <v>0</v>
      </c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  <c r="AJ253" s="229"/>
      <c r="AK253" s="229"/>
      <c r="AL253" s="229"/>
      <c r="AM253" s="229"/>
      <c r="AN253" s="229"/>
      <c r="AO253" s="229"/>
      <c r="AP253" s="229"/>
      <c r="AQ253" s="229"/>
      <c r="AR253" s="229"/>
      <c r="AS253" s="229"/>
      <c r="AT253" s="229"/>
      <c r="AU253" s="229"/>
      <c r="AV253" s="229"/>
      <c r="AW253" s="229"/>
      <c r="AX253" s="229"/>
      <c r="AY253" s="229"/>
      <c r="AZ253" s="229"/>
      <c r="BA253" s="229"/>
      <c r="BB253" s="229"/>
      <c r="BC253" s="229"/>
      <c r="BD253" s="229"/>
      <c r="BE253" s="229"/>
      <c r="BF253" s="229"/>
      <c r="BG253" s="229"/>
      <c r="BH253" s="229"/>
      <c r="BI253" s="229"/>
      <c r="BJ253" s="229"/>
      <c r="BK253" s="229"/>
      <c r="BL253" s="229"/>
      <c r="BM253" s="229"/>
      <c r="BN253" s="229"/>
      <c r="BO253" s="229"/>
      <c r="BP253" s="229"/>
      <c r="BQ253" s="229"/>
      <c r="BR253" s="229"/>
      <c r="BS253" s="229"/>
      <c r="BT253" s="229"/>
      <c r="BU253" s="229"/>
      <c r="BV253" s="229"/>
      <c r="BW253" s="229"/>
      <c r="BX253" s="229"/>
      <c r="BY253" s="236"/>
      <c r="BZ253" s="231">
        <f>SD!E27</f>
        <v>0</v>
      </c>
      <c r="CA253" s="229"/>
    </row>
    <row r="254" spans="2:79" x14ac:dyDescent="0.25">
      <c r="B254" s="237" t="str">
        <f>Cen!A597</f>
        <v>Adaptér + držák horizont. nosníku</v>
      </c>
      <c r="C254" s="237" t="str">
        <f>Cen!B597</f>
        <v>Z10D5210</v>
      </c>
      <c r="D254" s="237" t="str">
        <f>Cen!C597</f>
        <v>R737</v>
      </c>
      <c r="E254" s="553">
        <f>Cen!D597</f>
        <v>0</v>
      </c>
      <c r="F254" s="208">
        <f t="shared" si="98"/>
        <v>0</v>
      </c>
      <c r="G254" s="233">
        <f>Cen!F597</f>
        <v>5.199209999999999</v>
      </c>
      <c r="H254" s="234">
        <f t="shared" si="101"/>
        <v>0</v>
      </c>
      <c r="I254" s="250"/>
      <c r="J254" s="235">
        <f>Cen!I597</f>
        <v>7867370</v>
      </c>
      <c r="K254" s="235">
        <f>Cen!J597</f>
        <v>99123</v>
      </c>
      <c r="L254" s="230">
        <f t="shared" si="102"/>
        <v>0</v>
      </c>
      <c r="M254" s="434">
        <f t="shared" si="103"/>
        <v>0</v>
      </c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  <c r="AJ254" s="229"/>
      <c r="AK254" s="229"/>
      <c r="AL254" s="229"/>
      <c r="AM254" s="229"/>
      <c r="AN254" s="229"/>
      <c r="AO254" s="229"/>
      <c r="AP254" s="229"/>
      <c r="AQ254" s="229"/>
      <c r="AR254" s="229"/>
      <c r="AS254" s="229"/>
      <c r="AT254" s="229"/>
      <c r="AU254" s="229"/>
      <c r="AV254" s="229"/>
      <c r="AW254" s="229"/>
      <c r="AX254" s="229"/>
      <c r="AY254" s="229"/>
      <c r="AZ254" s="229"/>
      <c r="BA254" s="229"/>
      <c r="BB254" s="229"/>
      <c r="BC254" s="229"/>
      <c r="BD254" s="229"/>
      <c r="BE254" s="229"/>
      <c r="BF254" s="229"/>
      <c r="BG254" s="229"/>
      <c r="BH254" s="229"/>
      <c r="BI254" s="229"/>
      <c r="BJ254" s="229"/>
      <c r="BK254" s="229"/>
      <c r="BL254" s="229"/>
      <c r="BM254" s="229"/>
      <c r="BN254" s="229"/>
      <c r="BO254" s="229"/>
      <c r="BP254" s="229"/>
      <c r="BQ254" s="229"/>
      <c r="BR254" s="229"/>
      <c r="BS254" s="229"/>
      <c r="BT254" s="229"/>
      <c r="BU254" s="229"/>
      <c r="BV254" s="229"/>
      <c r="BW254" s="229"/>
      <c r="BX254" s="229"/>
      <c r="BY254" s="236"/>
      <c r="BZ254" s="231">
        <f>SD!E26</f>
        <v>0</v>
      </c>
      <c r="CA254" s="229"/>
    </row>
    <row r="255" spans="2:79" x14ac:dyDescent="0.25">
      <c r="B255" s="237" t="str">
        <f>Cen!A598</f>
        <v>COMBOX</v>
      </c>
      <c r="C255" s="237" t="str">
        <f>Cen!B598</f>
        <v>Z10ZC00A</v>
      </c>
      <c r="D255" s="237" t="str">
        <f>Cen!C598</f>
        <v>S</v>
      </c>
      <c r="E255" s="553">
        <f>Cen!D598</f>
        <v>0</v>
      </c>
      <c r="F255" s="208">
        <f t="shared" si="98"/>
        <v>0</v>
      </c>
      <c r="G255" s="233">
        <f>Cen!F598</f>
        <v>110.51904999999999</v>
      </c>
      <c r="H255" s="234">
        <f t="shared" si="101"/>
        <v>0</v>
      </c>
      <c r="I255" s="250"/>
      <c r="J255" s="235">
        <f>Cen!I598</f>
        <v>5202593</v>
      </c>
      <c r="K255" s="235">
        <f>Cen!J598</f>
        <v>159530</v>
      </c>
      <c r="L255" s="230">
        <f t="shared" si="102"/>
        <v>0</v>
      </c>
      <c r="M255" s="434">
        <f t="shared" si="103"/>
        <v>0</v>
      </c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  <c r="AJ255" s="229"/>
      <c r="AK255" s="229"/>
      <c r="AL255" s="229"/>
      <c r="AM255" s="229"/>
      <c r="AN255" s="229"/>
      <c r="AO255" s="229"/>
      <c r="AP255" s="229"/>
      <c r="AQ255" s="229"/>
      <c r="AR255" s="229"/>
      <c r="AS255" s="229"/>
      <c r="AT255" s="229"/>
      <c r="AU255" s="229"/>
      <c r="AV255" s="229"/>
      <c r="AW255" s="229"/>
      <c r="AX255" s="229"/>
      <c r="AY255" s="229"/>
      <c r="AZ255" s="229"/>
      <c r="BA255" s="229"/>
      <c r="BB255" s="229"/>
      <c r="BC255" s="229"/>
      <c r="BD255" s="229"/>
      <c r="BE255" s="229"/>
      <c r="BF255" s="229"/>
      <c r="BG255" s="229"/>
      <c r="BH255" s="229"/>
      <c r="BI255" s="229"/>
      <c r="BJ255" s="229"/>
      <c r="BK255" s="229"/>
      <c r="BL255" s="229"/>
      <c r="BM255" s="229"/>
      <c r="BN255" s="229"/>
      <c r="BO255" s="229"/>
      <c r="BP255" s="229"/>
      <c r="BQ255" s="229"/>
      <c r="BR255" s="229"/>
      <c r="BS255" s="229"/>
      <c r="BT255" s="229"/>
      <c r="BU255" s="229"/>
      <c r="BV255" s="229"/>
      <c r="BW255" s="229"/>
      <c r="BX255" s="229"/>
      <c r="BY255" s="236"/>
      <c r="BZ255" s="231">
        <f>SD!E30</f>
        <v>0</v>
      </c>
      <c r="CA255" s="229"/>
    </row>
    <row r="256" spans="2:79" x14ac:dyDescent="0.25">
      <c r="B256" s="237" t="str">
        <f>Cen!A599</f>
        <v>SD uno - sada pro výsuv na odpad</v>
      </c>
      <c r="C256" s="237" t="str">
        <f>Cen!B599</f>
        <v>Z10NA30EE</v>
      </c>
      <c r="D256" s="237" t="str">
        <f>Cen!C599</f>
        <v>R737</v>
      </c>
      <c r="E256" s="553">
        <f>Cen!D599</f>
        <v>0</v>
      </c>
      <c r="F256" s="208">
        <f t="shared" si="98"/>
        <v>0</v>
      </c>
      <c r="G256" s="233">
        <f>Cen!F599</f>
        <v>132.19479999999999</v>
      </c>
      <c r="H256" s="234">
        <f t="shared" si="101"/>
        <v>0</v>
      </c>
      <c r="I256" s="250"/>
      <c r="J256" s="235">
        <f>Cen!I599</f>
        <v>8284875</v>
      </c>
      <c r="K256" s="235">
        <f>Cen!J599</f>
        <v>130787</v>
      </c>
      <c r="L256" s="230">
        <f t="shared" si="102"/>
        <v>0</v>
      </c>
      <c r="M256" s="434">
        <f t="shared" si="103"/>
        <v>0</v>
      </c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  <c r="AJ256" s="229"/>
      <c r="AK256" s="229"/>
      <c r="AL256" s="229"/>
      <c r="AM256" s="229"/>
      <c r="AN256" s="229"/>
      <c r="AO256" s="229"/>
      <c r="AP256" s="229"/>
      <c r="AQ256" s="229"/>
      <c r="AR256" s="229"/>
      <c r="AS256" s="229"/>
      <c r="AT256" s="229"/>
      <c r="AU256" s="229"/>
      <c r="AV256" s="229"/>
      <c r="AW256" s="229"/>
      <c r="AX256" s="229"/>
      <c r="AY256" s="229"/>
      <c r="AZ256" s="229"/>
      <c r="BA256" s="229"/>
      <c r="BB256" s="229"/>
      <c r="BC256" s="229"/>
      <c r="BD256" s="229"/>
      <c r="BE256" s="229"/>
      <c r="BF256" s="229"/>
      <c r="BG256" s="229"/>
      <c r="BH256" s="229"/>
      <c r="BI256" s="229"/>
      <c r="BJ256" s="229"/>
      <c r="BK256" s="229"/>
      <c r="BL256" s="229"/>
      <c r="BM256" s="229"/>
      <c r="BN256" s="229"/>
      <c r="BO256" s="229"/>
      <c r="BP256" s="229"/>
      <c r="BQ256" s="229"/>
      <c r="BR256" s="229"/>
      <c r="BS256" s="229"/>
      <c r="BT256" s="229"/>
      <c r="BU256" s="229"/>
      <c r="BV256" s="229"/>
      <c r="BW256" s="229"/>
      <c r="BX256" s="229"/>
      <c r="BY256" s="236"/>
      <c r="BZ256" s="231">
        <f>SD!E31</f>
        <v>0</v>
      </c>
      <c r="CA256" s="229"/>
    </row>
    <row r="257" spans="2:79" x14ac:dyDescent="0.25">
      <c r="B257" s="237" t="str">
        <f>Cen!A600</f>
        <v>SD uno - pro zavěšené odpad.koše, KB 600mm</v>
      </c>
      <c r="C257" s="237" t="str">
        <f>Cen!B600</f>
        <v>Z10T543WEE</v>
      </c>
      <c r="D257" s="237" t="str">
        <f>Cen!C600</f>
        <v>R737</v>
      </c>
      <c r="E257" s="553">
        <f>Cen!D600</f>
        <v>0</v>
      </c>
      <c r="F257" s="208">
        <f t="shared" si="98"/>
        <v>0</v>
      </c>
      <c r="G257" s="233">
        <f>Cen!F600</f>
        <v>152.28022000000001</v>
      </c>
      <c r="H257" s="234">
        <f>M257</f>
        <v>0</v>
      </c>
      <c r="I257" s="250"/>
      <c r="J257" s="235">
        <f>Cen!I600</f>
        <v>7190296</v>
      </c>
      <c r="K257" s="235">
        <f>Cen!J600</f>
        <v>203255</v>
      </c>
      <c r="L257" s="230">
        <f t="shared" ref="L257:L264" si="104">IF(I257="x",0,IF(I257&gt;0,I257,F257))</f>
        <v>0</v>
      </c>
      <c r="M257" s="434">
        <f t="shared" ref="M257:M264" si="105">PRODUCT(L257,G257)</f>
        <v>0</v>
      </c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  <c r="AJ257" s="229"/>
      <c r="AK257" s="229"/>
      <c r="AL257" s="229"/>
      <c r="AM257" s="229"/>
      <c r="AN257" s="229"/>
      <c r="AO257" s="229"/>
      <c r="AP257" s="229"/>
      <c r="AQ257" s="229"/>
      <c r="AR257" s="229"/>
      <c r="AS257" s="229"/>
      <c r="AT257" s="229"/>
      <c r="AU257" s="229"/>
      <c r="AV257" s="229"/>
      <c r="AW257" s="229"/>
      <c r="AX257" s="229"/>
      <c r="AY257" s="229"/>
      <c r="AZ257" s="229"/>
      <c r="BA257" s="229"/>
      <c r="BB257" s="229"/>
      <c r="BC257" s="229"/>
      <c r="BD257" s="229"/>
      <c r="BE257" s="229"/>
      <c r="BF257" s="229"/>
      <c r="BG257" s="229"/>
      <c r="BH257" s="229"/>
      <c r="BI257" s="229"/>
      <c r="BJ257" s="229"/>
      <c r="BK257" s="229"/>
      <c r="BL257" s="229"/>
      <c r="BM257" s="229"/>
      <c r="BN257" s="229"/>
      <c r="BO257" s="229"/>
      <c r="BP257" s="229"/>
      <c r="BQ257" s="229"/>
      <c r="BR257" s="229"/>
      <c r="BS257" s="229"/>
      <c r="BT257" s="229"/>
      <c r="BU257" s="229"/>
      <c r="BV257" s="229"/>
      <c r="BW257" s="229"/>
      <c r="BX257" s="229"/>
      <c r="BY257" s="236"/>
      <c r="BZ257" s="275"/>
      <c r="CA257" s="229"/>
    </row>
    <row r="258" spans="2:79" x14ac:dyDescent="0.25">
      <c r="B258" s="237" t="str">
        <f>Cen!A601</f>
        <v>SERVO-DRIVE flex - jednotka (sada)</v>
      </c>
      <c r="C258" s="237" t="str">
        <f>Cen!B601</f>
        <v>Z10C500A</v>
      </c>
      <c r="D258" s="237" t="str">
        <f>Cen!C601</f>
        <v>R736</v>
      </c>
      <c r="E258" s="553">
        <f>Cen!D601</f>
        <v>0</v>
      </c>
      <c r="F258" s="208">
        <f t="shared" si="98"/>
        <v>0</v>
      </c>
      <c r="G258" s="233">
        <f>Cen!F601</f>
        <v>156.82427999999999</v>
      </c>
      <c r="H258" s="234">
        <f>M258</f>
        <v>0</v>
      </c>
      <c r="I258" s="250"/>
      <c r="J258" s="235">
        <f>Cen!I601</f>
        <v>4784397</v>
      </c>
      <c r="K258" s="235">
        <f>Cen!J601</f>
        <v>265145</v>
      </c>
      <c r="L258" s="230">
        <f t="shared" si="104"/>
        <v>0</v>
      </c>
      <c r="M258" s="434">
        <f t="shared" si="105"/>
        <v>0</v>
      </c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  <c r="AJ258" s="229"/>
      <c r="AK258" s="229"/>
      <c r="AL258" s="229"/>
      <c r="AM258" s="229"/>
      <c r="AN258" s="229"/>
      <c r="AO258" s="229"/>
      <c r="AP258" s="229"/>
      <c r="AQ258" s="229"/>
      <c r="AR258" s="229"/>
      <c r="AS258" s="229"/>
      <c r="AT258" s="229"/>
      <c r="AU258" s="229"/>
      <c r="AV258" s="229"/>
      <c r="AW258" s="229"/>
      <c r="AX258" s="229"/>
      <c r="AY258" s="229"/>
      <c r="AZ258" s="229"/>
      <c r="BA258" s="229"/>
      <c r="BB258" s="229"/>
      <c r="BC258" s="229"/>
      <c r="BD258" s="229"/>
      <c r="BE258" s="229"/>
      <c r="BF258" s="229"/>
      <c r="BG258" s="229"/>
      <c r="BH258" s="229"/>
      <c r="BI258" s="229"/>
      <c r="BJ258" s="229"/>
      <c r="BK258" s="229"/>
      <c r="BL258" s="229"/>
      <c r="BM258" s="229"/>
      <c r="BN258" s="229"/>
      <c r="BO258" s="229"/>
      <c r="BP258" s="229"/>
      <c r="BQ258" s="229"/>
      <c r="BR258" s="229"/>
      <c r="BS258" s="229"/>
      <c r="BT258" s="229"/>
      <c r="BU258" s="229"/>
      <c r="BV258" s="229"/>
      <c r="BW258" s="229"/>
      <c r="BX258" s="229"/>
      <c r="BY258" s="236"/>
      <c r="BZ258" s="231">
        <f>SD!E32</f>
        <v>0</v>
      </c>
      <c r="CA258" s="229"/>
    </row>
    <row r="259" spans="2:79" x14ac:dyDescent="0.25">
      <c r="B259" s="237" t="str">
        <f>Cen!A602</f>
        <v>SERVO-DRIVE flex - bezdrátový přijímač</v>
      </c>
      <c r="C259" s="237" t="str">
        <f>Cen!B602</f>
        <v>Z10C5007</v>
      </c>
      <c r="D259" s="237" t="str">
        <f>Cen!C602</f>
        <v>R736</v>
      </c>
      <c r="E259" s="553">
        <f>Cen!D602</f>
        <v>0</v>
      </c>
      <c r="F259" s="208">
        <f t="shared" si="98"/>
        <v>0</v>
      </c>
      <c r="G259" s="233">
        <f>Cen!F602</f>
        <v>61.456240000000001</v>
      </c>
      <c r="H259" s="234">
        <f>M259</f>
        <v>0</v>
      </c>
      <c r="I259" s="250"/>
      <c r="J259" s="235">
        <f>Cen!I602</f>
        <v>1120793</v>
      </c>
      <c r="K259" s="235">
        <f>Cen!J602</f>
        <v>265355</v>
      </c>
      <c r="L259" s="230">
        <f t="shared" si="104"/>
        <v>0</v>
      </c>
      <c r="M259" s="434">
        <f t="shared" si="105"/>
        <v>0</v>
      </c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  <c r="AJ259" s="229"/>
      <c r="AK259" s="229"/>
      <c r="AL259" s="229"/>
      <c r="AM259" s="229"/>
      <c r="AN259" s="229"/>
      <c r="AO259" s="229"/>
      <c r="AP259" s="229"/>
      <c r="AQ259" s="229"/>
      <c r="AR259" s="229"/>
      <c r="AS259" s="229"/>
      <c r="AT259" s="229"/>
      <c r="AU259" s="229"/>
      <c r="AV259" s="229"/>
      <c r="AW259" s="229"/>
      <c r="AX259" s="229"/>
      <c r="AY259" s="229"/>
      <c r="AZ259" s="229"/>
      <c r="BA259" s="229"/>
      <c r="BB259" s="229"/>
      <c r="BC259" s="229"/>
      <c r="BD259" s="229"/>
      <c r="BE259" s="229"/>
      <c r="BF259" s="229"/>
      <c r="BG259" s="229"/>
      <c r="BH259" s="229"/>
      <c r="BI259" s="229"/>
      <c r="BJ259" s="229"/>
      <c r="BK259" s="229"/>
      <c r="BL259" s="229"/>
      <c r="BM259" s="229"/>
      <c r="BN259" s="229"/>
      <c r="BO259" s="229"/>
      <c r="BP259" s="229"/>
      <c r="BQ259" s="229"/>
      <c r="BR259" s="229"/>
      <c r="BS259" s="229"/>
      <c r="BT259" s="229"/>
      <c r="BU259" s="229"/>
      <c r="BV259" s="229"/>
      <c r="BW259" s="229"/>
      <c r="BX259" s="229"/>
      <c r="BY259" s="236"/>
      <c r="BZ259" s="231">
        <f>SD!E33</f>
        <v>0</v>
      </c>
      <c r="CA259" s="229"/>
    </row>
    <row r="260" spans="2:79" x14ac:dyDescent="0.25">
      <c r="B260" s="237" t="str">
        <f>Cen!A603</f>
        <v>Spínač SERVO-DRIVE, světle šedý</v>
      </c>
      <c r="C260" s="237" t="str">
        <f>Cen!B603</f>
        <v>21P5020</v>
      </c>
      <c r="D260" s="237" t="str">
        <f>Cen!C603</f>
        <v>HGR</v>
      </c>
      <c r="E260" s="553">
        <f>Cen!D603</f>
        <v>0</v>
      </c>
      <c r="F260" s="208">
        <f t="shared" si="98"/>
        <v>0</v>
      </c>
      <c r="G260" s="233">
        <f>Cen!F603</f>
        <v>29.275839999999999</v>
      </c>
      <c r="H260" s="234">
        <f>M260</f>
        <v>0</v>
      </c>
      <c r="I260" s="250"/>
      <c r="J260" s="235">
        <f>Cen!I603</f>
        <v>8978398</v>
      </c>
      <c r="K260" s="235">
        <f>Cen!J603</f>
        <v>123015</v>
      </c>
      <c r="L260" s="230">
        <f t="shared" si="104"/>
        <v>0</v>
      </c>
      <c r="M260" s="434">
        <f t="shared" si="105"/>
        <v>0</v>
      </c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  <c r="AJ260" s="229"/>
      <c r="AK260" s="229"/>
      <c r="AL260" s="229"/>
      <c r="AM260" s="229"/>
      <c r="AN260" s="229"/>
      <c r="AO260" s="229"/>
      <c r="AP260" s="229"/>
      <c r="AQ260" s="229"/>
      <c r="AR260" s="229"/>
      <c r="AS260" s="229"/>
      <c r="AT260" s="229"/>
      <c r="AU260" s="229"/>
      <c r="AV260" s="229"/>
      <c r="AW260" s="229"/>
      <c r="AX260" s="229"/>
      <c r="AY260" s="229"/>
      <c r="AZ260" s="229"/>
      <c r="BA260" s="229"/>
      <c r="BB260" s="229"/>
      <c r="BC260" s="229"/>
      <c r="BD260" s="229"/>
      <c r="BE260" s="229"/>
      <c r="BF260" s="229"/>
      <c r="BG260" s="229"/>
      <c r="BH260" s="229"/>
      <c r="BI260" s="229"/>
      <c r="BJ260" s="229"/>
      <c r="BK260" s="229"/>
      <c r="BL260" s="229"/>
      <c r="BM260" s="229"/>
      <c r="BN260" s="229"/>
      <c r="BO260" s="229"/>
      <c r="BP260" s="229"/>
      <c r="BQ260" s="229"/>
      <c r="BR260" s="229"/>
      <c r="BS260" s="229"/>
      <c r="BT260" s="229"/>
      <c r="BU260" s="229"/>
      <c r="BV260" s="229"/>
      <c r="BW260" s="229"/>
      <c r="BX260" s="229"/>
      <c r="BY260" s="236"/>
      <c r="BZ260" s="231">
        <f>SD!E34</f>
        <v>0</v>
      </c>
      <c r="CA260" s="229"/>
    </row>
    <row r="261" spans="2:79" x14ac:dyDescent="0.25">
      <c r="B261" s="237" t="str">
        <f>Cen!A604</f>
        <v>Spínač SERVO-DRIVE, hedvábně bílý</v>
      </c>
      <c r="C261" s="237" t="str">
        <f>Cen!B604</f>
        <v>21P5020</v>
      </c>
      <c r="D261" s="237" t="str">
        <f>Cen!C604</f>
        <v>SW</v>
      </c>
      <c r="E261" s="553">
        <f>Cen!D604</f>
        <v>0</v>
      </c>
      <c r="F261" s="208">
        <f t="shared" si="98"/>
        <v>0</v>
      </c>
      <c r="G261" s="233">
        <f>Cen!F604</f>
        <v>30.447119999999998</v>
      </c>
      <c r="H261" s="234">
        <f>M261</f>
        <v>0</v>
      </c>
      <c r="I261" s="250"/>
      <c r="J261" s="235">
        <f>Cen!I604</f>
        <v>8978392</v>
      </c>
      <c r="K261" s="235">
        <f>Cen!J604</f>
        <v>123016</v>
      </c>
      <c r="L261" s="230">
        <f t="shared" si="104"/>
        <v>0</v>
      </c>
      <c r="M261" s="434">
        <f t="shared" si="105"/>
        <v>0</v>
      </c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  <c r="AJ261" s="229"/>
      <c r="AK261" s="229"/>
      <c r="AL261" s="229"/>
      <c r="AM261" s="229"/>
      <c r="AN261" s="229"/>
      <c r="AO261" s="229"/>
      <c r="AP261" s="229"/>
      <c r="AQ261" s="229"/>
      <c r="AR261" s="229"/>
      <c r="AS261" s="229"/>
      <c r="AT261" s="229"/>
      <c r="AU261" s="229"/>
      <c r="AV261" s="229"/>
      <c r="AW261" s="229"/>
      <c r="AX261" s="229"/>
      <c r="AY261" s="229"/>
      <c r="AZ261" s="229"/>
      <c r="BA261" s="229"/>
      <c r="BB261" s="229"/>
      <c r="BC261" s="229"/>
      <c r="BD261" s="229"/>
      <c r="BE261" s="229"/>
      <c r="BF261" s="229"/>
      <c r="BG261" s="229"/>
      <c r="BH261" s="229"/>
      <c r="BI261" s="229"/>
      <c r="BJ261" s="229"/>
      <c r="BK261" s="229"/>
      <c r="BL261" s="229"/>
      <c r="BM261" s="229"/>
      <c r="BN261" s="229"/>
      <c r="BO261" s="229"/>
      <c r="BP261" s="229"/>
      <c r="BQ261" s="229"/>
      <c r="BR261" s="229"/>
      <c r="BS261" s="229"/>
      <c r="BT261" s="229"/>
      <c r="BU261" s="229"/>
      <c r="BV261" s="229"/>
      <c r="BW261" s="229"/>
      <c r="BX261" s="229"/>
      <c r="BY261" s="236"/>
      <c r="BZ261" s="231">
        <f>SD!E35</f>
        <v>0</v>
      </c>
      <c r="CA261" s="229"/>
    </row>
    <row r="262" spans="2:79" x14ac:dyDescent="0.25">
      <c r="B262" s="237"/>
      <c r="C262" s="232"/>
      <c r="D262" s="232"/>
      <c r="E262" s="551"/>
      <c r="F262" s="208">
        <f t="shared" si="98"/>
        <v>0</v>
      </c>
      <c r="G262" s="232"/>
      <c r="H262" s="234"/>
      <c r="I262" s="260"/>
      <c r="J262" s="232"/>
      <c r="K262" s="232"/>
      <c r="L262" s="230">
        <f t="shared" si="104"/>
        <v>0</v>
      </c>
      <c r="M262" s="434">
        <f t="shared" si="105"/>
        <v>0</v>
      </c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  <c r="AJ262" s="229"/>
      <c r="AK262" s="229"/>
      <c r="AL262" s="229"/>
      <c r="AM262" s="229"/>
      <c r="AN262" s="229"/>
      <c r="AO262" s="229"/>
      <c r="AP262" s="229"/>
      <c r="AQ262" s="229"/>
      <c r="AR262" s="229"/>
      <c r="AS262" s="229"/>
      <c r="AT262" s="229"/>
      <c r="AU262" s="229"/>
      <c r="AV262" s="229"/>
      <c r="AW262" s="229"/>
      <c r="AX262" s="229"/>
      <c r="AY262" s="229"/>
      <c r="AZ262" s="229"/>
      <c r="BA262" s="229"/>
      <c r="BB262" s="229"/>
      <c r="BC262" s="229"/>
      <c r="BD262" s="229"/>
      <c r="BE262" s="229"/>
      <c r="BF262" s="229"/>
      <c r="BG262" s="229"/>
      <c r="BH262" s="229"/>
      <c r="BI262" s="229"/>
      <c r="BJ262" s="229"/>
      <c r="BK262" s="229"/>
      <c r="BL262" s="229"/>
      <c r="BM262" s="229"/>
      <c r="BN262" s="229"/>
      <c r="BO262" s="229"/>
      <c r="BP262" s="229"/>
      <c r="BQ262" s="229"/>
      <c r="BR262" s="229"/>
      <c r="BS262" s="229"/>
      <c r="BT262" s="229"/>
      <c r="BU262" s="229"/>
      <c r="BV262" s="229"/>
      <c r="BW262" s="229"/>
      <c r="BX262" s="229"/>
      <c r="BY262" s="236"/>
      <c r="BZ262" s="229"/>
      <c r="CA262" s="229"/>
    </row>
    <row r="263" spans="2:79" x14ac:dyDescent="0.25">
      <c r="B263" s="237" t="str">
        <f>Cen!A124</f>
        <v>Sada jednotek TIP-ON BLUMOTION, S0</v>
      </c>
      <c r="C263" s="237" t="str">
        <f>Cen!B124</f>
        <v>T60B3030</v>
      </c>
      <c r="D263" s="237" t="str">
        <f>Cen!C124</f>
        <v>W</v>
      </c>
      <c r="E263" s="553">
        <f>Cen!D124</f>
        <v>0</v>
      </c>
      <c r="F263" s="208">
        <f t="shared" si="98"/>
        <v>0</v>
      </c>
      <c r="G263" s="233">
        <f>Cen!F124</f>
        <v>15.88349</v>
      </c>
      <c r="H263" s="234">
        <f>M263</f>
        <v>0</v>
      </c>
      <c r="I263" s="250"/>
      <c r="J263" s="235">
        <f>Cen!I124</f>
        <v>3157261</v>
      </c>
      <c r="K263" s="235">
        <f>Cen!J124</f>
        <v>284454</v>
      </c>
      <c r="L263" s="230">
        <f t="shared" si="104"/>
        <v>0</v>
      </c>
      <c r="M263" s="434">
        <f t="shared" si="105"/>
        <v>0</v>
      </c>
      <c r="N263" s="229"/>
      <c r="O263" s="376">
        <f>'AM300'!$S40</f>
        <v>0</v>
      </c>
      <c r="P263" s="376">
        <f>'AK300'!$S40</f>
        <v>0</v>
      </c>
      <c r="Q263" s="376">
        <f>AM30V!$S40</f>
        <v>0</v>
      </c>
      <c r="R263" s="376">
        <f>AK30V!$S40</f>
        <v>0</v>
      </c>
      <c r="S263" s="229"/>
      <c r="T263" s="376">
        <f>AD310G!$S40</f>
        <v>0</v>
      </c>
      <c r="U263" s="376">
        <f>AD310M!$S40</f>
        <v>0</v>
      </c>
      <c r="V263" s="376">
        <f>AD310R!$S40</f>
        <v>0</v>
      </c>
      <c r="W263" s="382">
        <f>AD31VG!$S40</f>
        <v>0</v>
      </c>
      <c r="X263" s="382">
        <f>AD31VM!$S40</f>
        <v>0</v>
      </c>
      <c r="Y263" s="382">
        <f>AD31VR!$S40</f>
        <v>0</v>
      </c>
      <c r="Z263" s="229"/>
      <c r="AA263" s="382">
        <f>AC310G!$S40</f>
        <v>0</v>
      </c>
      <c r="AB263" s="382">
        <f>AC310M!$S40</f>
        <v>0</v>
      </c>
      <c r="AC263" s="382">
        <f>AC310R!$S40</f>
        <v>0</v>
      </c>
      <c r="AD263" s="382">
        <f>AC31VG!$S40</f>
        <v>0</v>
      </c>
      <c r="AE263" s="382">
        <f>AC31VM!$S40</f>
        <v>0</v>
      </c>
      <c r="AF263" s="382">
        <f>AC31VR!$S40</f>
        <v>0</v>
      </c>
      <c r="AG263" s="229"/>
      <c r="AH263" s="229"/>
      <c r="AI263" s="229"/>
      <c r="AJ263" s="229"/>
      <c r="AK263" s="229"/>
      <c r="AL263" s="229"/>
      <c r="AM263" s="229"/>
      <c r="AN263" s="229"/>
      <c r="AO263" s="229"/>
      <c r="AP263" s="229"/>
      <c r="AQ263" s="229"/>
      <c r="AR263" s="229"/>
      <c r="AS263" s="229"/>
      <c r="AT263" s="229"/>
      <c r="AU263" s="229"/>
      <c r="AV263" s="229"/>
      <c r="AW263" s="229"/>
      <c r="AX263" s="229"/>
      <c r="AY263" s="229"/>
      <c r="AZ263" s="229"/>
      <c r="BA263" s="229"/>
      <c r="BB263" s="229"/>
      <c r="BC263" s="229"/>
      <c r="BD263" s="229"/>
      <c r="BE263" s="229"/>
      <c r="BF263" s="229"/>
      <c r="BG263" s="229"/>
      <c r="BH263" s="229"/>
      <c r="BI263" s="229"/>
      <c r="BJ263" s="229"/>
      <c r="BK263" s="229"/>
      <c r="BL263" s="229"/>
      <c r="BM263" s="229"/>
      <c r="BN263" s="229"/>
      <c r="BO263" s="229"/>
      <c r="BP263" s="229"/>
      <c r="BQ263" s="229"/>
      <c r="BR263" s="229"/>
      <c r="BS263" s="229"/>
      <c r="BT263" s="229"/>
      <c r="BU263" s="229"/>
      <c r="BV263" s="229"/>
      <c r="BW263" s="229"/>
      <c r="BX263" s="229"/>
      <c r="BY263" s="557">
        <f>Acs!E16</f>
        <v>0</v>
      </c>
      <c r="BZ263" s="229"/>
      <c r="CA263" s="229"/>
    </row>
    <row r="264" spans="2:79" x14ac:dyDescent="0.25">
      <c r="B264" s="237" t="str">
        <f>Cen!A125</f>
        <v>Sada jednotek TIP-ON BLUMOTION, S1</v>
      </c>
      <c r="C264" s="237" t="str">
        <f>Cen!B125</f>
        <v>T60B3130</v>
      </c>
      <c r="D264" s="237" t="str">
        <f>Cen!C125</f>
        <v>R735</v>
      </c>
      <c r="E264" s="553">
        <f>Cen!D125</f>
        <v>0</v>
      </c>
      <c r="F264" s="208">
        <f t="shared" si="98"/>
        <v>0</v>
      </c>
      <c r="G264" s="233">
        <f>Cen!F125</f>
        <v>15.88349</v>
      </c>
      <c r="H264" s="234">
        <f>M264</f>
        <v>0</v>
      </c>
      <c r="I264" s="250"/>
      <c r="J264" s="235">
        <f>Cen!I125</f>
        <v>7846331</v>
      </c>
      <c r="K264" s="235">
        <f>Cen!J125</f>
        <v>282122</v>
      </c>
      <c r="L264" s="230">
        <f t="shared" si="104"/>
        <v>0</v>
      </c>
      <c r="M264" s="434">
        <f t="shared" si="105"/>
        <v>0</v>
      </c>
      <c r="N264" s="229"/>
      <c r="O264" s="382">
        <f>'AM300'!$S41</f>
        <v>0</v>
      </c>
      <c r="P264" s="382">
        <f>'AK300'!$S41</f>
        <v>0</v>
      </c>
      <c r="Q264" s="382">
        <f>AM30V!$S41</f>
        <v>0</v>
      </c>
      <c r="R264" s="382">
        <f>AK30V!$S41</f>
        <v>0</v>
      </c>
      <c r="S264" s="229"/>
      <c r="T264" s="382">
        <f>AD310G!$S41</f>
        <v>0</v>
      </c>
      <c r="U264" s="382">
        <f>AD310M!$S41</f>
        <v>0</v>
      </c>
      <c r="V264" s="382">
        <f>AD310R!$S41</f>
        <v>0</v>
      </c>
      <c r="W264" s="382">
        <f>AD31VG!$S41</f>
        <v>0</v>
      </c>
      <c r="X264" s="382">
        <f>AD31VM!$S41</f>
        <v>0</v>
      </c>
      <c r="Y264" s="382">
        <f>AD31VR!$S41</f>
        <v>0</v>
      </c>
      <c r="Z264" s="229"/>
      <c r="AA264" s="382">
        <f>AC310G!$S41</f>
        <v>0</v>
      </c>
      <c r="AB264" s="382">
        <f>AC310M!$S41</f>
        <v>0</v>
      </c>
      <c r="AC264" s="382">
        <f>AC310R!$S41</f>
        <v>0</v>
      </c>
      <c r="AD264" s="382">
        <f>AC31VG!$S41</f>
        <v>0</v>
      </c>
      <c r="AE264" s="382">
        <f>AC31VM!$S41</f>
        <v>0</v>
      </c>
      <c r="AF264" s="382">
        <f>AC31VR!$S41</f>
        <v>0</v>
      </c>
      <c r="AG264" s="229"/>
      <c r="AH264" s="229"/>
      <c r="AI264" s="229"/>
      <c r="AJ264" s="229"/>
      <c r="AK264" s="229"/>
      <c r="AL264" s="229"/>
      <c r="AM264" s="229"/>
      <c r="AN264" s="229"/>
      <c r="AO264" s="229"/>
      <c r="AP264" s="229"/>
      <c r="AQ264" s="229"/>
      <c r="AR264" s="229"/>
      <c r="AS264" s="229"/>
      <c r="AT264" s="229"/>
      <c r="AU264" s="229"/>
      <c r="AV264" s="229"/>
      <c r="AW264" s="229"/>
      <c r="AX264" s="229"/>
      <c r="AY264" s="229"/>
      <c r="AZ264" s="229"/>
      <c r="BA264" s="229"/>
      <c r="BB264" s="229"/>
      <c r="BC264" s="229"/>
      <c r="BD264" s="229"/>
      <c r="BE264" s="229"/>
      <c r="BF264" s="229"/>
      <c r="BG264" s="229"/>
      <c r="BH264" s="229"/>
      <c r="BI264" s="229"/>
      <c r="BJ264" s="229"/>
      <c r="BK264" s="229"/>
      <c r="BL264" s="229"/>
      <c r="BM264" s="229"/>
      <c r="BN264" s="229"/>
      <c r="BO264" s="229"/>
      <c r="BP264" s="229"/>
      <c r="BQ264" s="229"/>
      <c r="BR264" s="229"/>
      <c r="BS264" s="229"/>
      <c r="BT264" s="229"/>
      <c r="BU264" s="229"/>
      <c r="BV264" s="229"/>
      <c r="BW264" s="229"/>
      <c r="BX264" s="229"/>
      <c r="BY264" s="557">
        <f>Acs!E17</f>
        <v>0</v>
      </c>
      <c r="BZ264" s="229"/>
      <c r="CA264" s="229"/>
    </row>
    <row r="265" spans="2:79" x14ac:dyDescent="0.25">
      <c r="B265" s="237" t="str">
        <f>Cen!A126</f>
        <v>Sada jednotek TIP-ON BLUMOTION, L1</v>
      </c>
      <c r="C265" s="237" t="str">
        <f>Cen!B126</f>
        <v>T60B3330</v>
      </c>
      <c r="D265" s="237" t="str">
        <f>Cen!C126</f>
        <v>R735</v>
      </c>
      <c r="E265" s="553">
        <f>Cen!D126</f>
        <v>0</v>
      </c>
      <c r="F265" s="208">
        <f t="shared" si="98"/>
        <v>0</v>
      </c>
      <c r="G265" s="233">
        <f>Cen!F126</f>
        <v>15.883479999999999</v>
      </c>
      <c r="H265" s="234">
        <f t="shared" si="101"/>
        <v>0</v>
      </c>
      <c r="I265" s="250"/>
      <c r="J265" s="235">
        <f>Cen!I126</f>
        <v>3688343</v>
      </c>
      <c r="K265" s="235">
        <f>Cen!J126</f>
        <v>284455</v>
      </c>
      <c r="L265" s="230">
        <f t="shared" si="102"/>
        <v>0</v>
      </c>
      <c r="M265" s="434">
        <f t="shared" si="103"/>
        <v>0</v>
      </c>
      <c r="N265" s="376">
        <f>'AN300'!$S42</f>
        <v>0</v>
      </c>
      <c r="O265" s="382">
        <f>'AM300'!$S42</f>
        <v>0</v>
      </c>
      <c r="P265" s="382">
        <f>'AK300'!$S42</f>
        <v>0</v>
      </c>
      <c r="Q265" s="382">
        <f>AM30V!$S42</f>
        <v>0</v>
      </c>
      <c r="R265" s="382">
        <f>AK30V!$S42</f>
        <v>0</v>
      </c>
      <c r="S265" s="229"/>
      <c r="T265" s="382">
        <f>AD310G!$S42</f>
        <v>0</v>
      </c>
      <c r="U265" s="382">
        <f>AD310M!$S42</f>
        <v>0</v>
      </c>
      <c r="V265" s="382">
        <f>AD310R!$S42</f>
        <v>0</v>
      </c>
      <c r="W265" s="382">
        <f>AD31VG!$S42</f>
        <v>0</v>
      </c>
      <c r="X265" s="382">
        <f>AD31VM!$S42</f>
        <v>0</v>
      </c>
      <c r="Y265" s="382">
        <f>AD31VR!$S42</f>
        <v>0</v>
      </c>
      <c r="Z265" s="229"/>
      <c r="AA265" s="382">
        <f>AC310G!$S42</f>
        <v>0</v>
      </c>
      <c r="AB265" s="382">
        <f>AC310M!$S42</f>
        <v>0</v>
      </c>
      <c r="AC265" s="382">
        <f>AC310R!$S42</f>
        <v>0</v>
      </c>
      <c r="AD265" s="382">
        <f>AC31VG!$S42</f>
        <v>0</v>
      </c>
      <c r="AE265" s="382">
        <f>AC31VM!$S42</f>
        <v>0</v>
      </c>
      <c r="AF265" s="382">
        <f>AC31VR!$S42</f>
        <v>0</v>
      </c>
      <c r="AG265" s="229"/>
      <c r="AH265" s="229"/>
      <c r="AI265" s="229"/>
      <c r="AJ265" s="229"/>
      <c r="AK265" s="229"/>
      <c r="AL265" s="229"/>
      <c r="AM265" s="229"/>
      <c r="AN265" s="229"/>
      <c r="AO265" s="229"/>
      <c r="AP265" s="229"/>
      <c r="AQ265" s="229"/>
      <c r="AR265" s="229"/>
      <c r="AS265" s="229"/>
      <c r="AT265" s="229"/>
      <c r="AU265" s="229"/>
      <c r="AV265" s="229"/>
      <c r="AW265" s="229"/>
      <c r="AX265" s="229"/>
      <c r="AY265" s="229"/>
      <c r="AZ265" s="229"/>
      <c r="BA265" s="229"/>
      <c r="BB265" s="229"/>
      <c r="BC265" s="229"/>
      <c r="BD265" s="229"/>
      <c r="BE265" s="229"/>
      <c r="BF265" s="229"/>
      <c r="BG265" s="229"/>
      <c r="BH265" s="229"/>
      <c r="BI265" s="229"/>
      <c r="BJ265" s="229"/>
      <c r="BK265" s="229"/>
      <c r="BL265" s="229"/>
      <c r="BM265" s="229"/>
      <c r="BN265" s="229"/>
      <c r="BO265" s="229"/>
      <c r="BP265" s="229"/>
      <c r="BQ265" s="229"/>
      <c r="BR265" s="229"/>
      <c r="BS265" s="229"/>
      <c r="BT265" s="229"/>
      <c r="BU265" s="229"/>
      <c r="BV265" s="229"/>
      <c r="BW265" s="229"/>
      <c r="BX265" s="229"/>
      <c r="BY265" s="231">
        <f>Acs!E18</f>
        <v>0</v>
      </c>
      <c r="BZ265" s="236"/>
      <c r="CA265" s="229"/>
    </row>
    <row r="266" spans="2:79" x14ac:dyDescent="0.25">
      <c r="B266" s="237" t="str">
        <f>Cen!A127</f>
        <v>Sada jednotek TIP-ON BLUMOTION, L3</v>
      </c>
      <c r="C266" s="237" t="str">
        <f>Cen!B127</f>
        <v>T60B3530</v>
      </c>
      <c r="D266" s="237" t="str">
        <f>Cen!C127</f>
        <v>R737</v>
      </c>
      <c r="E266" s="553">
        <f>Cen!D127</f>
        <v>0</v>
      </c>
      <c r="F266" s="208">
        <f t="shared" si="98"/>
        <v>0</v>
      </c>
      <c r="G266" s="233">
        <f>Cen!F127</f>
        <v>15.883479999999999</v>
      </c>
      <c r="H266" s="234">
        <f t="shared" si="101"/>
        <v>0</v>
      </c>
      <c r="I266" s="250"/>
      <c r="J266" s="235">
        <f>Cen!I127</f>
        <v>1023195</v>
      </c>
      <c r="K266" s="235">
        <f>Cen!J127</f>
        <v>282123</v>
      </c>
      <c r="L266" s="230">
        <f t="shared" si="102"/>
        <v>0</v>
      </c>
      <c r="M266" s="434">
        <f t="shared" si="103"/>
        <v>0</v>
      </c>
      <c r="N266" s="231">
        <f>'AN300'!$S43</f>
        <v>0</v>
      </c>
      <c r="O266" s="382">
        <f>'AM300'!$S43</f>
        <v>0</v>
      </c>
      <c r="P266" s="382">
        <f>'AK300'!$S43</f>
        <v>0</v>
      </c>
      <c r="Q266" s="382">
        <f>AM30V!$S43</f>
        <v>0</v>
      </c>
      <c r="R266" s="382">
        <f>AK30V!$S43</f>
        <v>0</v>
      </c>
      <c r="S266" s="229"/>
      <c r="T266" s="382">
        <f>AD310G!$S43</f>
        <v>0</v>
      </c>
      <c r="U266" s="382">
        <f>AD310M!$S43</f>
        <v>0</v>
      </c>
      <c r="V266" s="382">
        <f>AD310R!$S43</f>
        <v>0</v>
      </c>
      <c r="W266" s="382">
        <f>AD31VG!$S43</f>
        <v>0</v>
      </c>
      <c r="X266" s="382">
        <f>AD31VM!$S43</f>
        <v>0</v>
      </c>
      <c r="Y266" s="382">
        <f>AD31VR!$S43</f>
        <v>0</v>
      </c>
      <c r="Z266" s="229"/>
      <c r="AA266" s="382">
        <f>AC310G!$S43</f>
        <v>0</v>
      </c>
      <c r="AB266" s="382">
        <f>AC310M!$S43</f>
        <v>0</v>
      </c>
      <c r="AC266" s="382">
        <f>AC310R!$S43</f>
        <v>0</v>
      </c>
      <c r="AD266" s="382">
        <f>AC31VG!$S43</f>
        <v>0</v>
      </c>
      <c r="AE266" s="382">
        <f>AC31VM!$S43</f>
        <v>0</v>
      </c>
      <c r="AF266" s="382">
        <f>AC31VR!$S43</f>
        <v>0</v>
      </c>
      <c r="AG266" s="229"/>
      <c r="AH266" s="229"/>
      <c r="AI266" s="229"/>
      <c r="AJ266" s="229"/>
      <c r="AK266" s="229"/>
      <c r="AL266" s="229"/>
      <c r="AM266" s="229"/>
      <c r="AN266" s="229"/>
      <c r="AO266" s="229"/>
      <c r="AP266" s="229"/>
      <c r="AQ266" s="229"/>
      <c r="AR266" s="229"/>
      <c r="AS266" s="231">
        <f>AD342G!$S43</f>
        <v>0</v>
      </c>
      <c r="AT266" s="231">
        <f>AD342M!$S43</f>
        <v>0</v>
      </c>
      <c r="AU266" s="231">
        <f>AD342R!S43</f>
        <v>0</v>
      </c>
      <c r="AV266" s="229"/>
      <c r="AW266" s="229"/>
      <c r="AX266" s="229"/>
      <c r="AY266" s="229"/>
      <c r="AZ266" s="229"/>
      <c r="BA266" s="229"/>
      <c r="BB266" s="229"/>
      <c r="BC266" s="229"/>
      <c r="BD266" s="415">
        <f>ADM45G!$S43</f>
        <v>0</v>
      </c>
      <c r="BE266" s="415">
        <f>ADM45M!$S43</f>
        <v>0</v>
      </c>
      <c r="BF266" s="415">
        <f>ADM45R!$S43</f>
        <v>0</v>
      </c>
      <c r="BG266" s="415">
        <f>ADD45G!$S43</f>
        <v>0</v>
      </c>
      <c r="BH266" s="415">
        <f>ADD45M!$S43</f>
        <v>0</v>
      </c>
      <c r="BI266" s="415">
        <f>ADD45R!$S43</f>
        <v>0</v>
      </c>
      <c r="BJ266" s="229"/>
      <c r="BK266" s="229"/>
      <c r="BL266" s="229"/>
      <c r="BM266" s="229"/>
      <c r="BN266" s="229"/>
      <c r="BO266" s="229"/>
      <c r="BP266" s="229"/>
      <c r="BQ266" s="229"/>
      <c r="BR266" s="229"/>
      <c r="BS266" s="229"/>
      <c r="BT266" s="229"/>
      <c r="BU266" s="229"/>
      <c r="BV266" s="229"/>
      <c r="BW266" s="229"/>
      <c r="BX266" s="229"/>
      <c r="BY266" s="231">
        <f>Acs!E19</f>
        <v>0</v>
      </c>
      <c r="BZ266" s="236"/>
      <c r="CA266" s="229"/>
    </row>
    <row r="267" spans="2:79" x14ac:dyDescent="0.25">
      <c r="B267" s="237" t="str">
        <f>Cen!A128</f>
        <v>Sada jednotek TIP-ON BLUMOTION, L5</v>
      </c>
      <c r="C267" s="237" t="str">
        <f>Cen!B128</f>
        <v>T60B3560</v>
      </c>
      <c r="D267" s="237" t="str">
        <f>Cen!C128</f>
        <v>S</v>
      </c>
      <c r="E267" s="553">
        <f>Cen!D128</f>
        <v>0</v>
      </c>
      <c r="F267" s="208">
        <f t="shared" ref="F267:F298" si="106">IF(I267&gt;0,I267,SUM(N267:BZ267))</f>
        <v>0</v>
      </c>
      <c r="G267" s="233">
        <f>Cen!F128</f>
        <v>15.883479999999999</v>
      </c>
      <c r="H267" s="234">
        <f t="shared" si="101"/>
        <v>0</v>
      </c>
      <c r="I267" s="250"/>
      <c r="J267" s="235">
        <f>Cen!I128</f>
        <v>9792576</v>
      </c>
      <c r="K267" s="235">
        <f>Cen!J128</f>
        <v>282124</v>
      </c>
      <c r="L267" s="230">
        <f t="shared" si="102"/>
        <v>0</v>
      </c>
      <c r="M267" s="434">
        <f t="shared" si="103"/>
        <v>0</v>
      </c>
      <c r="N267" s="229"/>
      <c r="O267" s="382">
        <f>'AM300'!$S44</f>
        <v>0</v>
      </c>
      <c r="P267" s="382">
        <f>'AK300'!$S44</f>
        <v>0</v>
      </c>
      <c r="Q267" s="382">
        <f>AM30V!$S44</f>
        <v>0</v>
      </c>
      <c r="R267" s="382">
        <f>AK30V!$S44</f>
        <v>0</v>
      </c>
      <c r="S267" s="229"/>
      <c r="T267" s="382">
        <f>AD310G!$S44</f>
        <v>0</v>
      </c>
      <c r="U267" s="382">
        <f>AD310M!$S44</f>
        <v>0</v>
      </c>
      <c r="V267" s="382">
        <f>AD310R!$S44</f>
        <v>0</v>
      </c>
      <c r="W267" s="382">
        <f>AD31VG!$S44</f>
        <v>0</v>
      </c>
      <c r="X267" s="382">
        <f>AD31VM!$S44</f>
        <v>0</v>
      </c>
      <c r="Y267" s="382">
        <f>AD31VR!$S44</f>
        <v>0</v>
      </c>
      <c r="Z267" s="229"/>
      <c r="AA267" s="382">
        <f>AC310G!$S44</f>
        <v>0</v>
      </c>
      <c r="AB267" s="382">
        <f>AC310M!$S44</f>
        <v>0</v>
      </c>
      <c r="AC267" s="382">
        <f>AC310R!$S44</f>
        <v>0</v>
      </c>
      <c r="AD267" s="382">
        <f>AC31VG!$S44</f>
        <v>0</v>
      </c>
      <c r="AE267" s="382">
        <f>AC31VM!$S44</f>
        <v>0</v>
      </c>
      <c r="AF267" s="382">
        <f>AC31VR!$S44</f>
        <v>0</v>
      </c>
      <c r="AG267" s="229"/>
      <c r="AH267" s="411"/>
      <c r="AI267" s="229"/>
      <c r="AJ267" s="229"/>
      <c r="AK267" s="229"/>
      <c r="AL267" s="229"/>
      <c r="AM267" s="229"/>
      <c r="AN267" s="229"/>
      <c r="AO267" s="229"/>
      <c r="AP267" s="229"/>
      <c r="AQ267" s="229"/>
      <c r="AR267" s="229"/>
      <c r="AS267" s="415">
        <f>AD342G!$S44</f>
        <v>0</v>
      </c>
      <c r="AT267" s="415">
        <f>AD342M!$S44</f>
        <v>0</v>
      </c>
      <c r="AU267" s="415">
        <f>AD342R!S44</f>
        <v>0</v>
      </c>
      <c r="AV267" s="229"/>
      <c r="AW267" s="229"/>
      <c r="AX267" s="229"/>
      <c r="AY267" s="229"/>
      <c r="AZ267" s="229"/>
      <c r="BA267" s="229"/>
      <c r="BB267" s="229"/>
      <c r="BC267" s="229"/>
      <c r="BD267" s="415">
        <f>ADM45G!$S44</f>
        <v>0</v>
      </c>
      <c r="BE267" s="415">
        <f>ADM45M!$S44</f>
        <v>0</v>
      </c>
      <c r="BF267" s="415">
        <f>ADM45R!$S44</f>
        <v>0</v>
      </c>
      <c r="BG267" s="415">
        <f>ADD45G!$S44</f>
        <v>0</v>
      </c>
      <c r="BH267" s="415">
        <f>ADD45M!$S44</f>
        <v>0</v>
      </c>
      <c r="BI267" s="415">
        <f>ADD45R!$S44</f>
        <v>0</v>
      </c>
      <c r="BJ267" s="229"/>
      <c r="BK267" s="229"/>
      <c r="BL267" s="229"/>
      <c r="BM267" s="229"/>
      <c r="BN267" s="229"/>
      <c r="BO267" s="229"/>
      <c r="BP267" s="229"/>
      <c r="BQ267" s="229"/>
      <c r="BR267" s="229"/>
      <c r="BS267" s="229"/>
      <c r="BT267" s="229"/>
      <c r="BU267" s="229"/>
      <c r="BV267" s="229"/>
      <c r="BW267" s="229"/>
      <c r="BX267" s="229"/>
      <c r="BY267" s="231">
        <f>Acs!E20</f>
        <v>0</v>
      </c>
      <c r="BZ267" s="236"/>
      <c r="CA267" s="229"/>
    </row>
    <row r="268" spans="2:79" x14ac:dyDescent="0.25">
      <c r="B268" s="237" t="str">
        <f>Cen!A130</f>
        <v>Synchronizační adaptér</v>
      </c>
      <c r="C268" s="237" t="str">
        <f>Cen!B130</f>
        <v>T60.000D</v>
      </c>
      <c r="D268" s="237" t="str">
        <f>Cen!C130</f>
        <v>R735</v>
      </c>
      <c r="E268" s="553">
        <f>Cen!D130</f>
        <v>0</v>
      </c>
      <c r="F268" s="208">
        <f t="shared" si="106"/>
        <v>0</v>
      </c>
      <c r="G268" s="233">
        <f>Cen!F130</f>
        <v>0.22786000000000001</v>
      </c>
      <c r="H268" s="234">
        <f t="shared" si="101"/>
        <v>0</v>
      </c>
      <c r="I268" s="250"/>
      <c r="J268" s="235">
        <f>Cen!I130</f>
        <v>1512005</v>
      </c>
      <c r="K268" s="235">
        <f>Cen!J130</f>
        <v>275348</v>
      </c>
      <c r="L268" s="230">
        <f t="shared" si="102"/>
        <v>0</v>
      </c>
      <c r="M268" s="434">
        <f t="shared" si="103"/>
        <v>0</v>
      </c>
      <c r="N268" s="382">
        <f>'AN300'!$S46</f>
        <v>0</v>
      </c>
      <c r="O268" s="382">
        <f>'AM300'!$S46</f>
        <v>0</v>
      </c>
      <c r="P268" s="382">
        <f>'AK300'!$S46</f>
        <v>0</v>
      </c>
      <c r="Q268" s="382">
        <f>AM30V!$S46</f>
        <v>0</v>
      </c>
      <c r="R268" s="382">
        <f>AK30V!$S46</f>
        <v>0</v>
      </c>
      <c r="S268" s="229"/>
      <c r="T268" s="382">
        <f>AD310G!$S46</f>
        <v>0</v>
      </c>
      <c r="U268" s="382">
        <f>AD310M!$S46</f>
        <v>0</v>
      </c>
      <c r="V268" s="382">
        <f>AD310R!$S46</f>
        <v>0</v>
      </c>
      <c r="W268" s="376">
        <f>AD31VG!$S46</f>
        <v>0</v>
      </c>
      <c r="X268" s="376">
        <f>AD31VM!$S46</f>
        <v>0</v>
      </c>
      <c r="Y268" s="376">
        <f>AD31VR!$S46</f>
        <v>0</v>
      </c>
      <c r="Z268" s="229"/>
      <c r="AA268" s="376">
        <f>AC310G!$S46</f>
        <v>0</v>
      </c>
      <c r="AB268" s="382">
        <f>AC310M!$S46</f>
        <v>0</v>
      </c>
      <c r="AC268" s="382">
        <f>AC310R!$S46</f>
        <v>0</v>
      </c>
      <c r="AD268" s="382">
        <f>AC31VG!$S46</f>
        <v>0</v>
      </c>
      <c r="AE268" s="382">
        <f>AC31VM!$S46</f>
        <v>0</v>
      </c>
      <c r="AF268" s="382">
        <f>AC31VR!$S46</f>
        <v>0</v>
      </c>
      <c r="AG268" s="229"/>
      <c r="AH268" s="229"/>
      <c r="AI268" s="229"/>
      <c r="AJ268" s="229"/>
      <c r="AK268" s="229"/>
      <c r="AL268" s="229"/>
      <c r="AM268" s="229"/>
      <c r="AN268" s="229"/>
      <c r="AO268" s="229"/>
      <c r="AP268" s="229"/>
      <c r="AQ268" s="229"/>
      <c r="AR268" s="229"/>
      <c r="AS268" s="415">
        <f>AD342G!$S46</f>
        <v>0</v>
      </c>
      <c r="AT268" s="415">
        <f>AD342M!$S46</f>
        <v>0</v>
      </c>
      <c r="AU268" s="415">
        <f>AD342R!S46</f>
        <v>0</v>
      </c>
      <c r="AV268" s="229"/>
      <c r="AW268" s="229"/>
      <c r="AX268" s="229"/>
      <c r="AY268" s="229"/>
      <c r="AZ268" s="229"/>
      <c r="BA268" s="229"/>
      <c r="BB268" s="229"/>
      <c r="BC268" s="229"/>
      <c r="BD268" s="415">
        <f>ADM45G!$S46</f>
        <v>0</v>
      </c>
      <c r="BE268" s="415">
        <f>ADM45M!$S46</f>
        <v>0</v>
      </c>
      <c r="BF268" s="415">
        <f>ADM45R!$S46</f>
        <v>0</v>
      </c>
      <c r="BG268" s="415">
        <f>ADD45G!$S46</f>
        <v>0</v>
      </c>
      <c r="BH268" s="415">
        <f>ADD45M!$S46</f>
        <v>0</v>
      </c>
      <c r="BI268" s="415">
        <f>ADD45R!$S46</f>
        <v>0</v>
      </c>
      <c r="BJ268" s="229"/>
      <c r="BK268" s="229"/>
      <c r="BL268" s="229"/>
      <c r="BM268" s="229"/>
      <c r="BN268" s="229"/>
      <c r="BO268" s="229"/>
      <c r="BP268" s="229"/>
      <c r="BQ268" s="229"/>
      <c r="BR268" s="229"/>
      <c r="BS268" s="229"/>
      <c r="BT268" s="229"/>
      <c r="BU268" s="229"/>
      <c r="BV268" s="229"/>
      <c r="BW268" s="229"/>
      <c r="BX268" s="229"/>
      <c r="BY268" s="231">
        <f>Acs!E21</f>
        <v>0</v>
      </c>
      <c r="BZ268" s="236"/>
      <c r="CA268" s="229"/>
    </row>
    <row r="269" spans="2:79" x14ac:dyDescent="0.25">
      <c r="B269" s="237" t="str">
        <f>Cen!A131</f>
        <v>Hřídel synchronizace</v>
      </c>
      <c r="C269" s="237" t="str">
        <f>Cen!B131</f>
        <v>T60.1125W</v>
      </c>
      <c r="D269" s="237" t="str">
        <f>Cen!C131</f>
        <v>GR</v>
      </c>
      <c r="E269" s="553">
        <f>Cen!D131</f>
        <v>0</v>
      </c>
      <c r="F269" s="208">
        <f t="shared" si="106"/>
        <v>0</v>
      </c>
      <c r="G269" s="233">
        <f>Cen!F131</f>
        <v>3.7524400000000004</v>
      </c>
      <c r="H269" s="234">
        <f t="shared" si="101"/>
        <v>0</v>
      </c>
      <c r="I269" s="250"/>
      <c r="J269" s="235">
        <f>Cen!I131</f>
        <v>2101757</v>
      </c>
      <c r="K269" s="235">
        <f>Cen!J131</f>
        <v>282277</v>
      </c>
      <c r="L269" s="230">
        <f t="shared" si="102"/>
        <v>0</v>
      </c>
      <c r="M269" s="434">
        <f t="shared" si="103"/>
        <v>0</v>
      </c>
      <c r="N269" s="382">
        <f>'AN300'!$S47</f>
        <v>0</v>
      </c>
      <c r="O269" s="382">
        <f>'AM300'!$S47</f>
        <v>0</v>
      </c>
      <c r="P269" s="382">
        <f>'AK300'!$S47</f>
        <v>0</v>
      </c>
      <c r="Q269" s="382">
        <f>AM30V!$S47</f>
        <v>0</v>
      </c>
      <c r="R269" s="382">
        <f>AK30V!$S47</f>
        <v>0</v>
      </c>
      <c r="S269" s="229"/>
      <c r="T269" s="382">
        <f>AD310G!$S47</f>
        <v>0</v>
      </c>
      <c r="U269" s="382">
        <f>AD310M!$S47</f>
        <v>0</v>
      </c>
      <c r="V269" s="382">
        <f>AD310R!$S47</f>
        <v>0</v>
      </c>
      <c r="W269" s="382">
        <f>AD31VG!$S47</f>
        <v>0</v>
      </c>
      <c r="X269" s="382">
        <f>AD31VM!$S47</f>
        <v>0</v>
      </c>
      <c r="Y269" s="382">
        <f>AD31VR!$S47</f>
        <v>0</v>
      </c>
      <c r="Z269" s="229"/>
      <c r="AA269" s="382">
        <f>AC310G!$S47</f>
        <v>0</v>
      </c>
      <c r="AB269" s="382">
        <f>AC310M!$S47</f>
        <v>0</v>
      </c>
      <c r="AC269" s="382">
        <f>AC310R!$S47</f>
        <v>0</v>
      </c>
      <c r="AD269" s="382">
        <f>AC31VG!$S47</f>
        <v>0</v>
      </c>
      <c r="AE269" s="382">
        <f>AC31VM!$S47</f>
        <v>0</v>
      </c>
      <c r="AF269" s="382">
        <f>AC31VR!$S47</f>
        <v>0</v>
      </c>
      <c r="AG269" s="229"/>
      <c r="AH269" s="229"/>
      <c r="AI269" s="229"/>
      <c r="AJ269" s="229"/>
      <c r="AK269" s="229"/>
      <c r="AL269" s="229"/>
      <c r="AM269" s="229"/>
      <c r="AN269" s="229"/>
      <c r="AO269" s="229"/>
      <c r="AP269" s="229"/>
      <c r="AQ269" s="229"/>
      <c r="AR269" s="229"/>
      <c r="AS269" s="415">
        <f>AD342G!$S47</f>
        <v>0</v>
      </c>
      <c r="AT269" s="415">
        <f>AD342M!$S47</f>
        <v>0</v>
      </c>
      <c r="AU269" s="415">
        <f>AD342R!S47</f>
        <v>0</v>
      </c>
      <c r="AV269" s="229"/>
      <c r="AW269" s="229"/>
      <c r="AX269" s="229"/>
      <c r="AY269" s="229"/>
      <c r="AZ269" s="229"/>
      <c r="BA269" s="229"/>
      <c r="BB269" s="229"/>
      <c r="BC269" s="229"/>
      <c r="BD269" s="415">
        <f>ADM45G!$S47</f>
        <v>0</v>
      </c>
      <c r="BE269" s="415">
        <f>ADM45M!$S47</f>
        <v>0</v>
      </c>
      <c r="BF269" s="415">
        <f>ADM45R!$S47</f>
        <v>0</v>
      </c>
      <c r="BG269" s="415">
        <f>ADD45G!$S47</f>
        <v>0</v>
      </c>
      <c r="BH269" s="415">
        <f>ADD45M!$S47</f>
        <v>0</v>
      </c>
      <c r="BI269" s="415">
        <f>ADD45R!$S47</f>
        <v>0</v>
      </c>
      <c r="BJ269" s="229"/>
      <c r="BK269" s="229"/>
      <c r="BL269" s="229"/>
      <c r="BM269" s="229"/>
      <c r="BN269" s="229"/>
      <c r="BO269" s="229"/>
      <c r="BP269" s="229"/>
      <c r="BQ269" s="229"/>
      <c r="BR269" s="229"/>
      <c r="BS269" s="229"/>
      <c r="BT269" s="229"/>
      <c r="BU269" s="229"/>
      <c r="BV269" s="229"/>
      <c r="BW269" s="229"/>
      <c r="BX269" s="229"/>
      <c r="BY269" s="231">
        <f>Acs!E22</f>
        <v>0</v>
      </c>
      <c r="BZ269" s="236"/>
      <c r="CA269" s="229"/>
    </row>
    <row r="270" spans="2:79" x14ac:dyDescent="0.25">
      <c r="B270" s="237" t="str">
        <f>Cen!A132</f>
        <v>Jednodílná synchronizace</v>
      </c>
      <c r="C270" s="237" t="str">
        <f>Cen!B132</f>
        <v>T60.300D</v>
      </c>
      <c r="D270" s="237" t="str">
        <f>Cen!C132</f>
        <v>R735</v>
      </c>
      <c r="E270" s="553">
        <f>Cen!D132</f>
        <v>0</v>
      </c>
      <c r="F270" s="208">
        <f t="shared" si="106"/>
        <v>0</v>
      </c>
      <c r="G270" s="233">
        <f>Cen!F132</f>
        <v>0.9112300000000001</v>
      </c>
      <c r="H270" s="234">
        <f t="shared" si="101"/>
        <v>0</v>
      </c>
      <c r="I270" s="250"/>
      <c r="J270" s="235">
        <f>Cen!I132</f>
        <v>8133273</v>
      </c>
      <c r="K270" s="235">
        <f>Cen!J132</f>
        <v>293824</v>
      </c>
      <c r="L270" s="230">
        <f t="shared" si="102"/>
        <v>0</v>
      </c>
      <c r="M270" s="434">
        <f t="shared" si="103"/>
        <v>0</v>
      </c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  <c r="AJ270" s="229"/>
      <c r="AK270" s="229"/>
      <c r="AL270" s="229"/>
      <c r="AM270" s="229"/>
      <c r="AN270" s="229"/>
      <c r="AO270" s="229"/>
      <c r="AP270" s="229"/>
      <c r="AQ270" s="229"/>
      <c r="AR270" s="229"/>
      <c r="AS270" s="229"/>
      <c r="AT270" s="229"/>
      <c r="AU270" s="229"/>
      <c r="AV270" s="229"/>
      <c r="AW270" s="229"/>
      <c r="AX270" s="229"/>
      <c r="AY270" s="229"/>
      <c r="AZ270" s="229"/>
      <c r="BA270" s="229"/>
      <c r="BB270" s="229"/>
      <c r="BC270" s="229"/>
      <c r="BD270" s="229"/>
      <c r="BE270" s="229"/>
      <c r="BF270" s="229"/>
      <c r="BG270" s="229"/>
      <c r="BH270" s="229"/>
      <c r="BI270" s="229"/>
      <c r="BJ270" s="229"/>
      <c r="BK270" s="229"/>
      <c r="BL270" s="229"/>
      <c r="BM270" s="229"/>
      <c r="BN270" s="229"/>
      <c r="BO270" s="229"/>
      <c r="BP270" s="229"/>
      <c r="BQ270" s="229"/>
      <c r="BR270" s="229"/>
      <c r="BS270" s="229"/>
      <c r="BT270" s="229"/>
      <c r="BU270" s="229"/>
      <c r="BV270" s="229"/>
      <c r="BW270" s="229"/>
      <c r="BX270" s="229"/>
      <c r="BY270" s="231">
        <f>Acs!E23</f>
        <v>0</v>
      </c>
      <c r="BZ270" s="236"/>
      <c r="CA270" s="229"/>
    </row>
    <row r="271" spans="2:79" x14ac:dyDescent="0.25">
      <c r="B271" s="237" t="str">
        <f>Cen!A134</f>
        <v>Držák hřídele synchronizace</v>
      </c>
      <c r="C271" s="237" t="str">
        <f>Cen!B134</f>
        <v>T60B000H</v>
      </c>
      <c r="D271" s="237" t="str">
        <f>Cen!C134</f>
        <v>NI</v>
      </c>
      <c r="E271" s="553">
        <f>Cen!D134</f>
        <v>0</v>
      </c>
      <c r="F271" s="208">
        <f t="shared" si="106"/>
        <v>0</v>
      </c>
      <c r="G271" s="233">
        <f>Cen!F134</f>
        <v>0.23594999999999999</v>
      </c>
      <c r="H271" s="234">
        <f t="shared" si="101"/>
        <v>0</v>
      </c>
      <c r="I271" s="250"/>
      <c r="J271" s="235">
        <f>Cen!I134</f>
        <v>5690481</v>
      </c>
      <c r="K271" s="235">
        <f>Cen!J134</f>
        <v>293797</v>
      </c>
      <c r="L271" s="230">
        <f t="shared" si="102"/>
        <v>0</v>
      </c>
      <c r="M271" s="434">
        <f t="shared" si="103"/>
        <v>0</v>
      </c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  <c r="AJ271" s="229"/>
      <c r="AK271" s="229"/>
      <c r="AL271" s="229"/>
      <c r="AM271" s="229"/>
      <c r="AN271" s="229"/>
      <c r="AO271" s="229"/>
      <c r="AP271" s="229"/>
      <c r="AQ271" s="229"/>
      <c r="AR271" s="229"/>
      <c r="AS271" s="229"/>
      <c r="AT271" s="229"/>
      <c r="AU271" s="229"/>
      <c r="AV271" s="229"/>
      <c r="AW271" s="229"/>
      <c r="AX271" s="229"/>
      <c r="AY271" s="229"/>
      <c r="AZ271" s="229"/>
      <c r="BA271" s="229"/>
      <c r="BB271" s="229"/>
      <c r="BC271" s="229"/>
      <c r="BD271" s="229"/>
      <c r="BE271" s="229"/>
      <c r="BF271" s="229"/>
      <c r="BG271" s="229"/>
      <c r="BH271" s="229"/>
      <c r="BI271" s="229"/>
      <c r="BJ271" s="229"/>
      <c r="BK271" s="229"/>
      <c r="BL271" s="229"/>
      <c r="BM271" s="229"/>
      <c r="BN271" s="229"/>
      <c r="BO271" s="229"/>
      <c r="BP271" s="229"/>
      <c r="BQ271" s="229"/>
      <c r="BR271" s="229"/>
      <c r="BS271" s="229"/>
      <c r="BT271" s="229"/>
      <c r="BU271" s="229"/>
      <c r="BV271" s="229"/>
      <c r="BW271" s="229"/>
      <c r="BX271" s="229"/>
      <c r="BY271" s="231">
        <f>Acs!E24</f>
        <v>0</v>
      </c>
      <c r="BZ271" s="236"/>
      <c r="CA271" s="229"/>
    </row>
    <row r="272" spans="2:79" x14ac:dyDescent="0.25">
      <c r="B272" s="237" t="str">
        <f>Cen!A135</f>
        <v>Podpěrný úhelník pro dno</v>
      </c>
      <c r="C272" s="237" t="str">
        <f>Cen!B135</f>
        <v>Z96.2011</v>
      </c>
      <c r="D272" s="237" t="str">
        <f>Cen!C135</f>
        <v>R737</v>
      </c>
      <c r="E272" s="553">
        <f>Cen!D135</f>
        <v>0</v>
      </c>
      <c r="F272" s="208">
        <f t="shared" si="106"/>
        <v>0</v>
      </c>
      <c r="G272" s="233">
        <f>Cen!F135</f>
        <v>1.1712800000000001</v>
      </c>
      <c r="H272" s="234">
        <f t="shared" si="101"/>
        <v>0</v>
      </c>
      <c r="I272" s="250"/>
      <c r="J272" s="235">
        <f>Cen!I135</f>
        <v>1486446</v>
      </c>
      <c r="K272" s="235">
        <f>Cen!J135</f>
        <v>293796</v>
      </c>
      <c r="L272" s="230">
        <f t="shared" si="102"/>
        <v>0</v>
      </c>
      <c r="M272" s="434">
        <f t="shared" si="103"/>
        <v>0</v>
      </c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  <c r="AJ272" s="229"/>
      <c r="AK272" s="229"/>
      <c r="AL272" s="229"/>
      <c r="AM272" s="229"/>
      <c r="AN272" s="229"/>
      <c r="AO272" s="229"/>
      <c r="AP272" s="229"/>
      <c r="AQ272" s="229"/>
      <c r="AR272" s="229"/>
      <c r="AS272" s="229"/>
      <c r="AT272" s="229"/>
      <c r="AU272" s="229"/>
      <c r="AV272" s="229"/>
      <c r="AW272" s="229"/>
      <c r="AX272" s="229"/>
      <c r="AY272" s="229"/>
      <c r="AZ272" s="229"/>
      <c r="BA272" s="229"/>
      <c r="BB272" s="229"/>
      <c r="BC272" s="229"/>
      <c r="BD272" s="229"/>
      <c r="BE272" s="229"/>
      <c r="BF272" s="229"/>
      <c r="BG272" s="229"/>
      <c r="BH272" s="229"/>
      <c r="BI272" s="229"/>
      <c r="BJ272" s="229"/>
      <c r="BK272" s="229"/>
      <c r="BL272" s="229"/>
      <c r="BM272" s="229"/>
      <c r="BN272" s="229"/>
      <c r="BO272" s="229"/>
      <c r="BP272" s="229"/>
      <c r="BQ272" s="229"/>
      <c r="BR272" s="229"/>
      <c r="BS272" s="229"/>
      <c r="BT272" s="229"/>
      <c r="BU272" s="229"/>
      <c r="BV272" s="229"/>
      <c r="BW272" s="229"/>
      <c r="BX272" s="229"/>
      <c r="BY272" s="231">
        <f>Acs!E25</f>
        <v>0</v>
      </c>
      <c r="BZ272" s="236"/>
      <c r="CA272" s="229"/>
    </row>
    <row r="273" spans="2:79" x14ac:dyDescent="0.25">
      <c r="B273" s="237"/>
      <c r="C273" s="237"/>
      <c r="D273" s="237"/>
      <c r="E273" s="553"/>
      <c r="F273" s="208">
        <f t="shared" si="106"/>
        <v>0</v>
      </c>
      <c r="G273" s="233"/>
      <c r="H273" s="234"/>
      <c r="I273" s="234"/>
      <c r="J273" s="235"/>
      <c r="K273" s="235"/>
      <c r="L273" s="230"/>
      <c r="M273" s="434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  <c r="AJ273" s="229"/>
      <c r="AK273" s="229"/>
      <c r="AL273" s="229"/>
      <c r="AM273" s="229"/>
      <c r="AN273" s="229"/>
      <c r="AO273" s="229"/>
      <c r="AP273" s="229"/>
      <c r="AQ273" s="229"/>
      <c r="AR273" s="229"/>
      <c r="AS273" s="229"/>
      <c r="AT273" s="229"/>
      <c r="AU273" s="229"/>
      <c r="AV273" s="229"/>
      <c r="AW273" s="229"/>
      <c r="AX273" s="229"/>
      <c r="AY273" s="229"/>
      <c r="AZ273" s="229"/>
      <c r="BA273" s="229"/>
      <c r="BB273" s="229"/>
      <c r="BC273" s="229"/>
      <c r="BD273" s="229"/>
      <c r="BE273" s="229"/>
      <c r="BF273" s="229"/>
      <c r="BG273" s="229"/>
      <c r="BH273" s="229"/>
      <c r="BI273" s="229"/>
      <c r="BJ273" s="229"/>
      <c r="BK273" s="229"/>
      <c r="BL273" s="229"/>
      <c r="BM273" s="229"/>
      <c r="BN273" s="229"/>
      <c r="BO273" s="229"/>
      <c r="BP273" s="229"/>
      <c r="BQ273" s="229"/>
      <c r="BR273" s="229"/>
      <c r="BS273" s="229"/>
      <c r="BT273" s="229"/>
      <c r="BU273" s="229"/>
      <c r="BV273" s="229"/>
      <c r="BW273" s="229"/>
      <c r="BX273" s="229"/>
      <c r="BY273" s="236"/>
      <c r="BZ273" s="236"/>
      <c r="CA273" s="229"/>
    </row>
    <row r="274" spans="2:79" x14ac:dyDescent="0.25">
      <c r="B274" s="237" t="str">
        <f>Cen!A610</f>
        <v>Stabilizace čel</v>
      </c>
      <c r="C274" s="237" t="str">
        <f>Cen!B610</f>
        <v>Z96.10E1</v>
      </c>
      <c r="D274" s="237" t="str">
        <f>Cen!C610</f>
        <v>R737</v>
      </c>
      <c r="E274" s="553">
        <f>Cen!D610</f>
        <v>0</v>
      </c>
      <c r="F274" s="208">
        <f t="shared" si="106"/>
        <v>0</v>
      </c>
      <c r="G274" s="233">
        <f>Cen!F610</f>
        <v>1.3134000000000001</v>
      </c>
      <c r="H274" s="234">
        <f t="shared" si="101"/>
        <v>0</v>
      </c>
      <c r="I274" s="250"/>
      <c r="J274" s="235">
        <f>Cen!I610</f>
        <v>6448980</v>
      </c>
      <c r="K274" s="235">
        <f>Cen!J610</f>
        <v>288080</v>
      </c>
      <c r="L274" s="230">
        <f t="shared" si="102"/>
        <v>0</v>
      </c>
      <c r="M274" s="434">
        <f t="shared" si="103"/>
        <v>0</v>
      </c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  <c r="AJ274" s="229"/>
      <c r="AK274" s="229"/>
      <c r="AL274" s="229"/>
      <c r="AM274" s="229"/>
      <c r="AN274" s="229"/>
      <c r="AO274" s="229"/>
      <c r="AP274" s="229"/>
      <c r="AQ274" s="229"/>
      <c r="AR274" s="229"/>
      <c r="AS274" s="229"/>
      <c r="AT274" s="229"/>
      <c r="AU274" s="229"/>
      <c r="AV274" s="229"/>
      <c r="AW274" s="229"/>
      <c r="AX274" s="229"/>
      <c r="AY274" s="229"/>
      <c r="AZ274" s="229"/>
      <c r="BA274" s="229"/>
      <c r="BB274" s="229"/>
      <c r="BC274" s="229"/>
      <c r="BD274" s="229"/>
      <c r="BE274" s="229"/>
      <c r="BF274" s="229"/>
      <c r="BG274" s="229"/>
      <c r="BH274" s="229"/>
      <c r="BI274" s="229"/>
      <c r="BJ274" s="229"/>
      <c r="BK274" s="229"/>
      <c r="BL274" s="229"/>
      <c r="BM274" s="229"/>
      <c r="BN274" s="229"/>
      <c r="BO274" s="229"/>
      <c r="BP274" s="229"/>
      <c r="BQ274" s="229"/>
      <c r="BR274" s="229"/>
      <c r="BS274" s="229"/>
      <c r="BT274" s="229"/>
      <c r="BU274" s="229"/>
      <c r="BV274" s="229"/>
      <c r="BW274" s="229"/>
      <c r="BX274" s="229"/>
      <c r="BY274" s="562">
        <f>Acs!E26</f>
        <v>0</v>
      </c>
      <c r="BZ274" s="231">
        <f>SD!E25</f>
        <v>0</v>
      </c>
      <c r="CA274" s="229"/>
    </row>
    <row r="275" spans="2:79" x14ac:dyDescent="0.25">
      <c r="B275" s="237" t="str">
        <f>Cen!A611</f>
        <v>Tlumící čočka k zavrtání</v>
      </c>
      <c r="C275" s="237" t="str">
        <f>Cen!B611</f>
        <v>993.706</v>
      </c>
      <c r="D275" s="237" t="str">
        <f>Cen!C611</f>
        <v>R906</v>
      </c>
      <c r="E275" s="553">
        <f>Cen!D611</f>
        <v>0</v>
      </c>
      <c r="F275" s="208">
        <f t="shared" si="106"/>
        <v>0</v>
      </c>
      <c r="G275" s="233">
        <f>Cen!F611</f>
        <v>0.13461999999999999</v>
      </c>
      <c r="H275" s="234">
        <f t="shared" ref="H275" si="107">M275</f>
        <v>0</v>
      </c>
      <c r="I275" s="250"/>
      <c r="J275" s="235">
        <f>Cen!I611</f>
        <v>3283090</v>
      </c>
      <c r="K275" s="235">
        <f>Cen!J611</f>
        <v>12388</v>
      </c>
      <c r="L275" s="230">
        <f t="shared" ref="L275" si="108">IF(I275="x",0,IF(I275&gt;0,I275,F275))</f>
        <v>0</v>
      </c>
      <c r="M275" s="434">
        <f t="shared" ref="M275" si="109">PRODUCT(L275,G275)</f>
        <v>0</v>
      </c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  <c r="AJ275" s="229"/>
      <c r="AK275" s="229"/>
      <c r="AL275" s="229"/>
      <c r="AM275" s="229"/>
      <c r="AN275" s="229"/>
      <c r="AO275" s="229"/>
      <c r="AP275" s="229"/>
      <c r="AQ275" s="229"/>
      <c r="AR275" s="229"/>
      <c r="AS275" s="229"/>
      <c r="AT275" s="229"/>
      <c r="AU275" s="229"/>
      <c r="AV275" s="229"/>
      <c r="AW275" s="229"/>
      <c r="AX275" s="229"/>
      <c r="AY275" s="229"/>
      <c r="AZ275" s="229"/>
      <c r="BA275" s="229"/>
      <c r="BB275" s="229"/>
      <c r="BC275" s="229"/>
      <c r="BD275" s="229"/>
      <c r="BE275" s="229"/>
      <c r="BF275" s="229"/>
      <c r="BG275" s="229"/>
      <c r="BH275" s="229"/>
      <c r="BI275" s="229"/>
      <c r="BJ275" s="229"/>
      <c r="BK275" s="229"/>
      <c r="BL275" s="229"/>
      <c r="BM275" s="229"/>
      <c r="BN275" s="229"/>
      <c r="BO275" s="229"/>
      <c r="BP275" s="229"/>
      <c r="BQ275" s="229"/>
      <c r="BR275" s="229"/>
      <c r="BS275" s="229"/>
      <c r="BT275" s="229"/>
      <c r="BU275" s="229"/>
      <c r="BV275" s="229"/>
      <c r="BW275" s="229"/>
      <c r="BX275" s="229"/>
      <c r="BY275" s="562">
        <f>Acs!E27</f>
        <v>0</v>
      </c>
      <c r="BZ275" s="229"/>
      <c r="CA275" s="229"/>
    </row>
    <row r="276" spans="2:79" x14ac:dyDescent="0.25">
      <c r="B276" s="237" t="str">
        <f>Cen!A612</f>
        <v>Boční stabilizace, 450 mm</v>
      </c>
      <c r="C276" s="237" t="str">
        <f>Cen!B612</f>
        <v>ZST.450BA</v>
      </c>
      <c r="D276" s="237" t="str">
        <f>Cen!C612</f>
        <v>R737</v>
      </c>
      <c r="E276" s="553" t="str">
        <f>Cen!D612</f>
        <v>!</v>
      </c>
      <c r="F276" s="208">
        <f t="shared" ref="F276" si="110">IF(I276&gt;0,I276,SUM(N276:BZ276))</f>
        <v>0</v>
      </c>
      <c r="G276" s="233">
        <f>Cen!F612</f>
        <v>19.826840000000001</v>
      </c>
      <c r="H276" s="234">
        <f t="shared" ref="H276" si="111">M276</f>
        <v>0</v>
      </c>
      <c r="I276" s="250"/>
      <c r="J276" s="235">
        <f>Cen!I612</f>
        <v>4320500</v>
      </c>
      <c r="K276" s="235">
        <f>Cen!J612</f>
        <v>176798</v>
      </c>
      <c r="L276" s="230">
        <f t="shared" ref="L276:L280" si="112">IF(I276="x",0,IF(I276&gt;0,I276,F276))</f>
        <v>0</v>
      </c>
      <c r="M276" s="434">
        <f t="shared" ref="M276:M280" si="113">PRODUCT(L276,G276)</f>
        <v>0</v>
      </c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  <c r="AJ276" s="229"/>
      <c r="AK276" s="229"/>
      <c r="AL276" s="229"/>
      <c r="AM276" s="229"/>
      <c r="AN276" s="229"/>
      <c r="AO276" s="229"/>
      <c r="AP276" s="229"/>
      <c r="AQ276" s="229"/>
      <c r="AR276" s="229"/>
      <c r="AS276" s="229"/>
      <c r="AT276" s="229"/>
      <c r="AU276" s="229"/>
      <c r="AV276" s="229"/>
      <c r="AW276" s="229"/>
      <c r="AX276" s="229"/>
      <c r="AY276" s="229"/>
      <c r="AZ276" s="229"/>
      <c r="BA276" s="229"/>
      <c r="BB276" s="229"/>
      <c r="BC276" s="229"/>
      <c r="BD276" s="229"/>
      <c r="BE276" s="229"/>
      <c r="BF276" s="229"/>
      <c r="BG276" s="229"/>
      <c r="BH276" s="229"/>
      <c r="BI276" s="229"/>
      <c r="BJ276" s="229"/>
      <c r="BK276" s="229"/>
      <c r="BL276" s="229"/>
      <c r="BM276" s="229"/>
      <c r="BN276" s="229"/>
      <c r="BO276" s="229"/>
      <c r="BP276" s="229"/>
      <c r="BQ276" s="229"/>
      <c r="BR276" s="229"/>
      <c r="BS276" s="229"/>
      <c r="BT276" s="229"/>
      <c r="BU276" s="229"/>
      <c r="BV276" s="229"/>
      <c r="BW276" s="229"/>
      <c r="BX276" s="229"/>
      <c r="BY276" s="560">
        <f>Acs!E28</f>
        <v>0</v>
      </c>
      <c r="BZ276" s="229"/>
      <c r="CA276" s="229"/>
    </row>
    <row r="277" spans="2:79" x14ac:dyDescent="0.25">
      <c r="B277" s="237" t="str">
        <f>Cen!A613</f>
        <v>Boční stabilizace, 500 mm</v>
      </c>
      <c r="C277" s="237" t="str">
        <f>Cen!B613</f>
        <v>ZST.500BA</v>
      </c>
      <c r="D277" s="237" t="str">
        <f>Cen!C613</f>
        <v>R737</v>
      </c>
      <c r="E277" s="553">
        <f>Cen!D613</f>
        <v>0</v>
      </c>
      <c r="F277" s="208">
        <f t="shared" si="106"/>
        <v>0</v>
      </c>
      <c r="G277" s="233">
        <f>Cen!F613</f>
        <v>12.35749</v>
      </c>
      <c r="H277" s="234">
        <f t="shared" si="101"/>
        <v>0</v>
      </c>
      <c r="I277" s="250"/>
      <c r="J277" s="235">
        <f>Cen!I613</f>
        <v>8929020</v>
      </c>
      <c r="K277" s="235">
        <f>Cen!J613</f>
        <v>176800</v>
      </c>
      <c r="L277" s="230">
        <f t="shared" si="112"/>
        <v>0</v>
      </c>
      <c r="M277" s="434">
        <f t="shared" si="113"/>
        <v>0</v>
      </c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  <c r="AJ277" s="229"/>
      <c r="AK277" s="229"/>
      <c r="AL277" s="229"/>
      <c r="AM277" s="229"/>
      <c r="AN277" s="229"/>
      <c r="AO277" s="229"/>
      <c r="AP277" s="229"/>
      <c r="AQ277" s="229"/>
      <c r="AR277" s="229"/>
      <c r="AS277" s="229"/>
      <c r="AT277" s="229"/>
      <c r="AU277" s="229"/>
      <c r="AV277" s="229"/>
      <c r="AW277" s="229"/>
      <c r="AX277" s="229"/>
      <c r="AY277" s="229"/>
      <c r="AZ277" s="229"/>
      <c r="BA277" s="229"/>
      <c r="BB277" s="229"/>
      <c r="BC277" s="229"/>
      <c r="BD277" s="229"/>
      <c r="BE277" s="229"/>
      <c r="BF277" s="229"/>
      <c r="BG277" s="229"/>
      <c r="BH277" s="229"/>
      <c r="BI277" s="229"/>
      <c r="BJ277" s="229"/>
      <c r="BK277" s="229"/>
      <c r="BL277" s="229"/>
      <c r="BM277" s="229"/>
      <c r="BN277" s="229"/>
      <c r="BO277" s="229"/>
      <c r="BP277" s="229"/>
      <c r="BQ277" s="229"/>
      <c r="BR277" s="229"/>
      <c r="BS277" s="229"/>
      <c r="BT277" s="229"/>
      <c r="BU277" s="229"/>
      <c r="BV277" s="229"/>
      <c r="BW277" s="229"/>
      <c r="BX277" s="229"/>
      <c r="BY277" s="231">
        <f>Acs!E29</f>
        <v>0</v>
      </c>
      <c r="BZ277" s="236"/>
      <c r="CA277" s="229"/>
    </row>
    <row r="278" spans="2:79" x14ac:dyDescent="0.25">
      <c r="B278" s="237" t="str">
        <f>Cen!A614</f>
        <v>Boční stabilizace, 550 mm</v>
      </c>
      <c r="C278" s="237" t="str">
        <f>Cen!B614</f>
        <v>ZST.550BA</v>
      </c>
      <c r="D278" s="237" t="str">
        <f>Cen!C614</f>
        <v>R737</v>
      </c>
      <c r="E278" s="553" t="str">
        <f>Cen!D614</f>
        <v>!</v>
      </c>
      <c r="F278" s="208">
        <f t="shared" ref="F278:F280" si="114">IF(I278&gt;0,I278,SUM(N278:BZ278))</f>
        <v>0</v>
      </c>
      <c r="G278" s="233">
        <f>Cen!F614</f>
        <v>0</v>
      </c>
      <c r="H278" s="234">
        <f t="shared" ref="H278:H280" si="115">M278</f>
        <v>0</v>
      </c>
      <c r="I278" s="250"/>
      <c r="J278" s="235">
        <f>Cen!I614</f>
        <v>8929190</v>
      </c>
      <c r="K278" s="235" t="str">
        <f>Cen!J614</f>
        <v>-</v>
      </c>
      <c r="L278" s="230">
        <f t="shared" si="112"/>
        <v>0</v>
      </c>
      <c r="M278" s="434">
        <f t="shared" si="113"/>
        <v>0</v>
      </c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  <c r="AJ278" s="229"/>
      <c r="AK278" s="229"/>
      <c r="AL278" s="229"/>
      <c r="AM278" s="229"/>
      <c r="AN278" s="229"/>
      <c r="AO278" s="229"/>
      <c r="AP278" s="229"/>
      <c r="AQ278" s="229"/>
      <c r="AR278" s="229"/>
      <c r="AS278" s="229"/>
      <c r="AT278" s="229"/>
      <c r="AU278" s="229"/>
      <c r="AV278" s="229"/>
      <c r="AW278" s="229"/>
      <c r="AX278" s="229"/>
      <c r="AY278" s="229"/>
      <c r="AZ278" s="229"/>
      <c r="BA278" s="229"/>
      <c r="BB278" s="229"/>
      <c r="BC278" s="229"/>
      <c r="BD278" s="229"/>
      <c r="BE278" s="229"/>
      <c r="BF278" s="229"/>
      <c r="BG278" s="229"/>
      <c r="BH278" s="229"/>
      <c r="BI278" s="229"/>
      <c r="BJ278" s="229"/>
      <c r="BK278" s="229"/>
      <c r="BL278" s="229"/>
      <c r="BM278" s="229"/>
      <c r="BN278" s="229"/>
      <c r="BO278" s="229"/>
      <c r="BP278" s="229"/>
      <c r="BQ278" s="229"/>
      <c r="BR278" s="229"/>
      <c r="BS278" s="229"/>
      <c r="BT278" s="229"/>
      <c r="BU278" s="229"/>
      <c r="BV278" s="229"/>
      <c r="BW278" s="229"/>
      <c r="BX278" s="229"/>
      <c r="BY278" s="560">
        <f>Acs!E30</f>
        <v>0</v>
      </c>
      <c r="BZ278" s="236"/>
      <c r="CA278" s="229"/>
    </row>
    <row r="279" spans="2:79" x14ac:dyDescent="0.25">
      <c r="B279" s="237" t="str">
        <f>Cen!A615</f>
        <v>Boční stabilizace, 600 mm</v>
      </c>
      <c r="C279" s="237" t="str">
        <f>Cen!B615</f>
        <v>ZST.600BA</v>
      </c>
      <c r="D279" s="237" t="str">
        <f>Cen!C615</f>
        <v>R737</v>
      </c>
      <c r="E279" s="553" t="str">
        <f>Cen!D615</f>
        <v>!</v>
      </c>
      <c r="F279" s="208">
        <f t="shared" si="114"/>
        <v>0</v>
      </c>
      <c r="G279" s="233">
        <f>Cen!F615</f>
        <v>37.947380000000003</v>
      </c>
      <c r="H279" s="234">
        <f t="shared" si="115"/>
        <v>0</v>
      </c>
      <c r="I279" s="250"/>
      <c r="J279" s="235">
        <f>Cen!I615</f>
        <v>8929260</v>
      </c>
      <c r="K279" s="235">
        <f>Cen!J615</f>
        <v>176803</v>
      </c>
      <c r="L279" s="230">
        <f t="shared" si="112"/>
        <v>0</v>
      </c>
      <c r="M279" s="434">
        <f t="shared" si="113"/>
        <v>0</v>
      </c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  <c r="AJ279" s="229"/>
      <c r="AK279" s="229"/>
      <c r="AL279" s="229"/>
      <c r="AM279" s="229"/>
      <c r="AN279" s="229"/>
      <c r="AO279" s="229"/>
      <c r="AP279" s="229"/>
      <c r="AQ279" s="229"/>
      <c r="AR279" s="229"/>
      <c r="AS279" s="229"/>
      <c r="AT279" s="229"/>
      <c r="AU279" s="229"/>
      <c r="AV279" s="229"/>
      <c r="AW279" s="229"/>
      <c r="AX279" s="229"/>
      <c r="AY279" s="229"/>
      <c r="AZ279" s="229"/>
      <c r="BA279" s="229"/>
      <c r="BB279" s="229"/>
      <c r="BC279" s="229"/>
      <c r="BD279" s="229"/>
      <c r="BE279" s="229"/>
      <c r="BF279" s="229"/>
      <c r="BG279" s="229"/>
      <c r="BH279" s="229"/>
      <c r="BI279" s="229"/>
      <c r="BJ279" s="229"/>
      <c r="BK279" s="229"/>
      <c r="BL279" s="229"/>
      <c r="BM279" s="229"/>
      <c r="BN279" s="229"/>
      <c r="BO279" s="229"/>
      <c r="BP279" s="229"/>
      <c r="BQ279" s="229"/>
      <c r="BR279" s="229"/>
      <c r="BS279" s="229"/>
      <c r="BT279" s="229"/>
      <c r="BU279" s="229"/>
      <c r="BV279" s="229"/>
      <c r="BW279" s="229"/>
      <c r="BX279" s="229"/>
      <c r="BY279" s="560">
        <f>Acs!E31</f>
        <v>0</v>
      </c>
      <c r="BZ279" s="236"/>
      <c r="CA279" s="229"/>
    </row>
    <row r="280" spans="2:79" x14ac:dyDescent="0.25">
      <c r="B280" s="237" t="str">
        <f>Cen!A616</f>
        <v>Boční stabilizace, 650 mm</v>
      </c>
      <c r="C280" s="237" t="str">
        <f>Cen!B616</f>
        <v>ZST.650BA</v>
      </c>
      <c r="D280" s="237" t="str">
        <f>Cen!C616</f>
        <v>R737</v>
      </c>
      <c r="E280" s="553" t="str">
        <f>Cen!D616</f>
        <v>!</v>
      </c>
      <c r="F280" s="208">
        <f t="shared" si="114"/>
        <v>0</v>
      </c>
      <c r="G280" s="233">
        <f>Cen!F616</f>
        <v>38.109929999999999</v>
      </c>
      <c r="H280" s="234">
        <f t="shared" si="115"/>
        <v>0</v>
      </c>
      <c r="I280" s="250"/>
      <c r="J280" s="235">
        <f>Cen!I616</f>
        <v>8929330</v>
      </c>
      <c r="K280" s="235">
        <f>Cen!J616</f>
        <v>176805</v>
      </c>
      <c r="L280" s="230">
        <f t="shared" si="112"/>
        <v>0</v>
      </c>
      <c r="M280" s="434">
        <f t="shared" si="113"/>
        <v>0</v>
      </c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  <c r="AJ280" s="229"/>
      <c r="AK280" s="229"/>
      <c r="AL280" s="229"/>
      <c r="AM280" s="229"/>
      <c r="AN280" s="229"/>
      <c r="AO280" s="229"/>
      <c r="AP280" s="229"/>
      <c r="AQ280" s="229"/>
      <c r="AR280" s="229"/>
      <c r="AS280" s="229"/>
      <c r="AT280" s="229"/>
      <c r="AU280" s="229"/>
      <c r="AV280" s="229"/>
      <c r="AW280" s="229"/>
      <c r="AX280" s="229"/>
      <c r="AY280" s="229"/>
      <c r="AZ280" s="229"/>
      <c r="BA280" s="229"/>
      <c r="BB280" s="229"/>
      <c r="BC280" s="229"/>
      <c r="BD280" s="229"/>
      <c r="BE280" s="229"/>
      <c r="BF280" s="229"/>
      <c r="BG280" s="229"/>
      <c r="BH280" s="229"/>
      <c r="BI280" s="229"/>
      <c r="BJ280" s="229"/>
      <c r="BK280" s="229"/>
      <c r="BL280" s="229"/>
      <c r="BM280" s="229"/>
      <c r="BN280" s="229"/>
      <c r="BO280" s="229"/>
      <c r="BP280" s="229"/>
      <c r="BQ280" s="229"/>
      <c r="BR280" s="229"/>
      <c r="BS280" s="229"/>
      <c r="BT280" s="229"/>
      <c r="BU280" s="229"/>
      <c r="BV280" s="229"/>
      <c r="BW280" s="229"/>
      <c r="BX280" s="229"/>
      <c r="BY280" s="560">
        <f>Acs!E32</f>
        <v>0</v>
      </c>
      <c r="BZ280" s="236"/>
      <c r="CA280" s="229"/>
    </row>
    <row r="281" spans="2:79" x14ac:dyDescent="0.25">
      <c r="B281" s="237"/>
      <c r="C281" s="232"/>
      <c r="D281" s="232"/>
      <c r="E281" s="551"/>
      <c r="F281" s="208">
        <f t="shared" si="106"/>
        <v>0</v>
      </c>
      <c r="G281" s="232"/>
      <c r="H281" s="234"/>
      <c r="I281" s="260"/>
      <c r="J281" s="232"/>
      <c r="K281" s="232"/>
      <c r="L281" s="230"/>
      <c r="M281" s="434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  <c r="AJ281" s="229"/>
      <c r="AK281" s="229"/>
      <c r="AL281" s="229"/>
      <c r="AM281" s="229"/>
      <c r="AN281" s="229"/>
      <c r="AO281" s="229"/>
      <c r="AP281" s="229"/>
      <c r="AQ281" s="229"/>
      <c r="AR281" s="229"/>
      <c r="AS281" s="229"/>
      <c r="AT281" s="229"/>
      <c r="AU281" s="229"/>
      <c r="AV281" s="229"/>
      <c r="AW281" s="229"/>
      <c r="AX281" s="229"/>
      <c r="AY281" s="229"/>
      <c r="AZ281" s="229"/>
      <c r="BA281" s="229"/>
      <c r="BB281" s="229"/>
      <c r="BC281" s="229"/>
      <c r="BD281" s="229"/>
      <c r="BE281" s="229"/>
      <c r="BF281" s="229"/>
      <c r="BG281" s="229"/>
      <c r="BH281" s="229"/>
      <c r="BI281" s="229"/>
      <c r="BJ281" s="229"/>
      <c r="BK281" s="229"/>
      <c r="BL281" s="229"/>
      <c r="BM281" s="229"/>
      <c r="BN281" s="229"/>
      <c r="BO281" s="229"/>
      <c r="BP281" s="229"/>
      <c r="BQ281" s="229"/>
      <c r="BR281" s="229"/>
      <c r="BS281" s="229"/>
      <c r="BT281" s="229"/>
      <c r="BU281" s="229"/>
      <c r="BV281" s="229"/>
      <c r="BW281" s="229"/>
      <c r="BX281" s="229"/>
      <c r="BY281" s="229"/>
      <c r="BZ281" s="236"/>
      <c r="CA281" s="229"/>
    </row>
    <row r="282" spans="2:79" x14ac:dyDescent="0.25">
      <c r="B282" s="237" t="str">
        <f>Cen!A631</f>
        <v>CLIP top 155° s nulovým přesahem</v>
      </c>
      <c r="C282" s="237" t="str">
        <f>Cen!B631</f>
        <v>71T7500N</v>
      </c>
      <c r="D282" s="237" t="str">
        <f>Cen!C631</f>
        <v>NI</v>
      </c>
      <c r="E282" s="553">
        <f>Cen!D631</f>
        <v>0</v>
      </c>
      <c r="F282" s="208">
        <f t="shared" si="106"/>
        <v>0</v>
      </c>
      <c r="G282" s="233">
        <f>Cen!F631</f>
        <v>4.4192400000000003</v>
      </c>
      <c r="H282" s="234">
        <f t="shared" si="101"/>
        <v>0</v>
      </c>
      <c r="I282" s="250"/>
      <c r="J282" s="235">
        <f>Cen!I631</f>
        <v>9064013</v>
      </c>
      <c r="K282" s="235">
        <f>Cen!J631</f>
        <v>12236</v>
      </c>
      <c r="L282" s="230">
        <f t="shared" si="102"/>
        <v>0</v>
      </c>
      <c r="M282" s="434">
        <f t="shared" si="103"/>
        <v>0</v>
      </c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  <c r="AJ282" s="229"/>
      <c r="AK282" s="229"/>
      <c r="AL282" s="229"/>
      <c r="AM282" s="229"/>
      <c r="AN282" s="229"/>
      <c r="AO282" s="229"/>
      <c r="AP282" s="229"/>
      <c r="AQ282" s="229"/>
      <c r="AR282" s="229"/>
      <c r="AS282" s="229"/>
      <c r="AT282" s="229"/>
      <c r="AU282" s="229"/>
      <c r="AV282" s="229"/>
      <c r="AW282" s="229"/>
      <c r="AX282" s="229"/>
      <c r="AY282" s="229"/>
      <c r="AZ282" s="229"/>
      <c r="BA282" s="229"/>
      <c r="BB282" s="229"/>
      <c r="BC282" s="229"/>
      <c r="BD282" s="229"/>
      <c r="BE282" s="229"/>
      <c r="BF282" s="229"/>
      <c r="BG282" s="229"/>
      <c r="BH282" s="229"/>
      <c r="BI282" s="229"/>
      <c r="BJ282" s="229"/>
      <c r="BK282" s="229"/>
      <c r="BL282" s="229"/>
      <c r="BM282" s="229"/>
      <c r="BN282" s="229"/>
      <c r="BO282" s="229"/>
      <c r="BP282" s="229"/>
      <c r="BQ282" s="229"/>
      <c r="BR282" s="229"/>
      <c r="BS282" s="229"/>
      <c r="BT282" s="229"/>
      <c r="BU282" s="229"/>
      <c r="BV282" s="229"/>
      <c r="BW282" s="229"/>
      <c r="BX282" s="229"/>
      <c r="BY282" s="231">
        <f>Acs!E36</f>
        <v>0</v>
      </c>
      <c r="BZ282" s="236"/>
      <c r="CA282" s="229"/>
    </row>
    <row r="283" spans="2:79" x14ac:dyDescent="0.25">
      <c r="B283" s="237" t="str">
        <f>Cen!A632</f>
        <v>CLIP top 155° s nulovým přesahem, EXPANDO</v>
      </c>
      <c r="C283" s="237" t="str">
        <f>Cen!B632</f>
        <v>71T753EN</v>
      </c>
      <c r="D283" s="237" t="str">
        <f>Cen!C632</f>
        <v>NI</v>
      </c>
      <c r="E283" s="553">
        <f>Cen!D632</f>
        <v>0</v>
      </c>
      <c r="F283" s="208">
        <f t="shared" si="106"/>
        <v>0</v>
      </c>
      <c r="G283" s="233">
        <f>Cen!F632</f>
        <v>4.42394</v>
      </c>
      <c r="H283" s="234">
        <f t="shared" si="101"/>
        <v>0</v>
      </c>
      <c r="I283" s="250"/>
      <c r="J283" s="235">
        <f>Cen!I632</f>
        <v>9064323</v>
      </c>
      <c r="K283" s="235">
        <f>Cen!J632</f>
        <v>179415</v>
      </c>
      <c r="L283" s="230">
        <f t="shared" si="102"/>
        <v>0</v>
      </c>
      <c r="M283" s="434">
        <f t="shared" si="103"/>
        <v>0</v>
      </c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  <c r="AJ283" s="229"/>
      <c r="AK283" s="229"/>
      <c r="AL283" s="229"/>
      <c r="AM283" s="229"/>
      <c r="AN283" s="229"/>
      <c r="AO283" s="229"/>
      <c r="AP283" s="229"/>
      <c r="AQ283" s="229"/>
      <c r="AR283" s="229"/>
      <c r="AS283" s="229"/>
      <c r="AT283" s="229"/>
      <c r="AU283" s="229"/>
      <c r="AV283" s="229"/>
      <c r="AW283" s="229"/>
      <c r="AX283" s="229"/>
      <c r="AY283" s="229"/>
      <c r="AZ283" s="229"/>
      <c r="BA283" s="229"/>
      <c r="BB283" s="229"/>
      <c r="BC283" s="229"/>
      <c r="BD283" s="231">
        <f>ADM45G!$S85</f>
        <v>0</v>
      </c>
      <c r="BE283" s="231">
        <f>ADM45M!$S85</f>
        <v>0</v>
      </c>
      <c r="BF283" s="231">
        <f>ADM45R!$S85</f>
        <v>0</v>
      </c>
      <c r="BG283" s="231">
        <f>ADD45G!$S85</f>
        <v>0</v>
      </c>
      <c r="BH283" s="231">
        <f>ADD45M!$S85</f>
        <v>0</v>
      </c>
      <c r="BI283" s="231">
        <f>ADD45R!$S85</f>
        <v>0</v>
      </c>
      <c r="BJ283" s="229"/>
      <c r="BK283" s="229"/>
      <c r="BL283" s="229"/>
      <c r="BM283" s="229"/>
      <c r="BN283" s="229"/>
      <c r="BO283" s="229"/>
      <c r="BP283" s="229"/>
      <c r="BQ283" s="229"/>
      <c r="BR283" s="229"/>
      <c r="BS283" s="229"/>
      <c r="BT283" s="229"/>
      <c r="BU283" s="229"/>
      <c r="BV283" s="229"/>
      <c r="BW283" s="229"/>
      <c r="BX283" s="229"/>
      <c r="BY283" s="231">
        <f>Acs!E37</f>
        <v>0</v>
      </c>
      <c r="BZ283" s="236"/>
      <c r="CA283" s="229"/>
    </row>
    <row r="284" spans="2:79" x14ac:dyDescent="0.25">
      <c r="B284" s="237" t="str">
        <f>Cen!A633</f>
        <v>CLIP top 155° s nulovým přesahem, bez pružiny</v>
      </c>
      <c r="C284" s="237" t="str">
        <f>Cen!B633</f>
        <v>70T7500NTL</v>
      </c>
      <c r="D284" s="237" t="str">
        <f>Cen!C633</f>
        <v>NI</v>
      </c>
      <c r="E284" s="553">
        <f>Cen!D633</f>
        <v>0</v>
      </c>
      <c r="F284" s="208">
        <f t="shared" si="106"/>
        <v>0</v>
      </c>
      <c r="G284" s="233">
        <f>Cen!F633</f>
        <v>4.4192400000000003</v>
      </c>
      <c r="H284" s="234">
        <f t="shared" si="101"/>
        <v>0</v>
      </c>
      <c r="I284" s="250"/>
      <c r="J284" s="235">
        <f>Cen!I633</f>
        <v>9141613</v>
      </c>
      <c r="K284" s="235">
        <f>Cen!J633</f>
        <v>12237</v>
      </c>
      <c r="L284" s="230">
        <f t="shared" si="102"/>
        <v>0</v>
      </c>
      <c r="M284" s="434">
        <f t="shared" si="103"/>
        <v>0</v>
      </c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  <c r="AJ284" s="229"/>
      <c r="AK284" s="229"/>
      <c r="AL284" s="229"/>
      <c r="AM284" s="229"/>
      <c r="AN284" s="229"/>
      <c r="AO284" s="229"/>
      <c r="AP284" s="229"/>
      <c r="AQ284" s="229"/>
      <c r="AR284" s="229"/>
      <c r="AS284" s="229"/>
      <c r="AT284" s="229"/>
      <c r="AU284" s="229"/>
      <c r="AV284" s="229"/>
      <c r="AW284" s="229"/>
      <c r="AX284" s="229"/>
      <c r="AY284" s="229"/>
      <c r="AZ284" s="229"/>
      <c r="BA284" s="229"/>
      <c r="BB284" s="229"/>
      <c r="BC284" s="229"/>
      <c r="BD284" s="229"/>
      <c r="BE284" s="229"/>
      <c r="BF284" s="229"/>
      <c r="BG284" s="229"/>
      <c r="BH284" s="229"/>
      <c r="BI284" s="229"/>
      <c r="BJ284" s="229"/>
      <c r="BK284" s="229"/>
      <c r="BL284" s="229"/>
      <c r="BM284" s="229"/>
      <c r="BN284" s="229"/>
      <c r="BO284" s="229"/>
      <c r="BP284" s="229"/>
      <c r="BQ284" s="229"/>
      <c r="BR284" s="229"/>
      <c r="BS284" s="229"/>
      <c r="BT284" s="229"/>
      <c r="BU284" s="229"/>
      <c r="BV284" s="229"/>
      <c r="BW284" s="229"/>
      <c r="BX284" s="229"/>
      <c r="BY284" s="231">
        <f>Acs!E38</f>
        <v>0</v>
      </c>
      <c r="BZ284" s="236"/>
      <c r="CA284" s="229"/>
    </row>
    <row r="285" spans="2:79" x14ac:dyDescent="0.25">
      <c r="B285" s="237" t="str">
        <f>Cen!A634</f>
        <v>CLIP top 125° s nulovým přesahem</v>
      </c>
      <c r="C285" s="237" t="str">
        <f>Cen!B634</f>
        <v>71T7500D</v>
      </c>
      <c r="D285" s="237" t="str">
        <f>Cen!C634</f>
        <v>NI</v>
      </c>
      <c r="E285" s="553">
        <f>Cen!D634</f>
        <v>0</v>
      </c>
      <c r="F285" s="208">
        <f t="shared" si="106"/>
        <v>0</v>
      </c>
      <c r="G285" s="233">
        <f>Cen!F634</f>
        <v>6.0096900000000009</v>
      </c>
      <c r="H285" s="234">
        <f>M285</f>
        <v>0</v>
      </c>
      <c r="I285" s="250"/>
      <c r="J285" s="235">
        <f>Cen!I634</f>
        <v>8298184</v>
      </c>
      <c r="K285" s="235">
        <f>Cen!J634</f>
        <v>246059</v>
      </c>
      <c r="L285" s="230">
        <f t="shared" si="102"/>
        <v>0</v>
      </c>
      <c r="M285" s="434">
        <f t="shared" si="103"/>
        <v>0</v>
      </c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  <c r="AJ285" s="229"/>
      <c r="AK285" s="229"/>
      <c r="AL285" s="229"/>
      <c r="AM285" s="229"/>
      <c r="AN285" s="229"/>
      <c r="AO285" s="229"/>
      <c r="AP285" s="229"/>
      <c r="AQ285" s="229"/>
      <c r="AR285" s="229"/>
      <c r="AS285" s="229"/>
      <c r="AT285" s="229"/>
      <c r="AU285" s="229"/>
      <c r="AV285" s="229"/>
      <c r="AW285" s="229"/>
      <c r="AX285" s="229"/>
      <c r="AY285" s="229"/>
      <c r="AZ285" s="229"/>
      <c r="BA285" s="229"/>
      <c r="BB285" s="229"/>
      <c r="BC285" s="229"/>
      <c r="BD285" s="229"/>
      <c r="BE285" s="229"/>
      <c r="BF285" s="229"/>
      <c r="BG285" s="229"/>
      <c r="BH285" s="229"/>
      <c r="BI285" s="229"/>
      <c r="BJ285" s="229"/>
      <c r="BK285" s="229"/>
      <c r="BL285" s="229"/>
      <c r="BM285" s="229"/>
      <c r="BN285" s="229"/>
      <c r="BO285" s="229"/>
      <c r="BP285" s="229"/>
      <c r="BQ285" s="229"/>
      <c r="BR285" s="229"/>
      <c r="BS285" s="229"/>
      <c r="BT285" s="229"/>
      <c r="BU285" s="229"/>
      <c r="BV285" s="229"/>
      <c r="BW285" s="229"/>
      <c r="BX285" s="229"/>
      <c r="BY285" s="231">
        <f>Acs!E39</f>
        <v>0</v>
      </c>
      <c r="BZ285" s="236"/>
      <c r="CA285" s="229"/>
    </row>
    <row r="286" spans="2:79" x14ac:dyDescent="0.25">
      <c r="B286" s="237" t="str">
        <f>Cen!A636</f>
        <v>Podložka CLIP na vruty</v>
      </c>
      <c r="C286" s="237" t="str">
        <f>Cen!B636</f>
        <v>173L6100</v>
      </c>
      <c r="D286" s="237" t="str">
        <f>Cen!C636</f>
        <v>NI</v>
      </c>
      <c r="E286" s="553">
        <f>Cen!D636</f>
        <v>0</v>
      </c>
      <c r="F286" s="208">
        <f t="shared" si="106"/>
        <v>0</v>
      </c>
      <c r="G286" s="233">
        <f>Cen!F636</f>
        <v>0.18021000000000001</v>
      </c>
      <c r="H286" s="234">
        <f t="shared" si="101"/>
        <v>0</v>
      </c>
      <c r="I286" s="250"/>
      <c r="J286" s="235">
        <f>Cen!I636</f>
        <v>1925383</v>
      </c>
      <c r="K286" s="235">
        <f>Cen!J636</f>
        <v>12306</v>
      </c>
      <c r="L286" s="230">
        <f t="shared" si="102"/>
        <v>0</v>
      </c>
      <c r="M286" s="434">
        <f t="shared" si="103"/>
        <v>0</v>
      </c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  <c r="AJ286" s="229"/>
      <c r="AK286" s="229"/>
      <c r="AL286" s="229"/>
      <c r="AM286" s="229"/>
      <c r="AN286" s="229"/>
      <c r="AO286" s="229"/>
      <c r="AP286" s="229"/>
      <c r="AQ286" s="229"/>
      <c r="AR286" s="229"/>
      <c r="AS286" s="229"/>
      <c r="AT286" s="229"/>
      <c r="AU286" s="229"/>
      <c r="AV286" s="229"/>
      <c r="AW286" s="229"/>
      <c r="AX286" s="229"/>
      <c r="AY286" s="229"/>
      <c r="AZ286" s="229"/>
      <c r="BA286" s="229"/>
      <c r="BB286" s="229"/>
      <c r="BC286" s="229"/>
      <c r="BD286" s="229"/>
      <c r="BE286" s="229"/>
      <c r="BF286" s="229"/>
      <c r="BG286" s="229"/>
      <c r="BH286" s="229"/>
      <c r="BI286" s="229"/>
      <c r="BJ286" s="229"/>
      <c r="BK286" s="229"/>
      <c r="BL286" s="229"/>
      <c r="BM286" s="229"/>
      <c r="BN286" s="229"/>
      <c r="BO286" s="229"/>
      <c r="BP286" s="229"/>
      <c r="BQ286" s="229"/>
      <c r="BR286" s="229"/>
      <c r="BS286" s="229"/>
      <c r="BT286" s="229"/>
      <c r="BU286" s="229"/>
      <c r="BV286" s="229"/>
      <c r="BW286" s="229"/>
      <c r="BX286" s="229"/>
      <c r="BY286" s="231">
        <f>Acs!E40</f>
        <v>0</v>
      </c>
      <c r="BZ286" s="236"/>
      <c r="CA286" s="229"/>
    </row>
    <row r="287" spans="2:79" x14ac:dyDescent="0.25">
      <c r="B287" s="237" t="str">
        <f>Cen!A637</f>
        <v>Podložka CLIP EXPANDO</v>
      </c>
      <c r="C287" s="237" t="str">
        <f>Cen!B637</f>
        <v>174E6100.01</v>
      </c>
      <c r="D287" s="237" t="str">
        <f>Cen!C637</f>
        <v>NI</v>
      </c>
      <c r="E287" s="553">
        <f>Cen!D637</f>
        <v>0</v>
      </c>
      <c r="F287" s="208">
        <f t="shared" si="106"/>
        <v>0</v>
      </c>
      <c r="G287" s="233">
        <f>Cen!F637</f>
        <v>0.24679000000000001</v>
      </c>
      <c r="H287" s="234">
        <f t="shared" si="101"/>
        <v>0</v>
      </c>
      <c r="I287" s="250"/>
      <c r="J287" s="235">
        <f>Cen!I637</f>
        <v>1863003</v>
      </c>
      <c r="K287" s="235">
        <f>Cen!J637</f>
        <v>12302</v>
      </c>
      <c r="L287" s="230">
        <f t="shared" si="102"/>
        <v>0</v>
      </c>
      <c r="M287" s="434">
        <f t="shared" si="103"/>
        <v>0</v>
      </c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  <c r="AJ287" s="229"/>
      <c r="AK287" s="229"/>
      <c r="AL287" s="229"/>
      <c r="AM287" s="229"/>
      <c r="AN287" s="229"/>
      <c r="AO287" s="229"/>
      <c r="AP287" s="229"/>
      <c r="AQ287" s="229"/>
      <c r="AR287" s="229"/>
      <c r="AS287" s="229"/>
      <c r="AT287" s="229"/>
      <c r="AU287" s="229"/>
      <c r="AV287" s="229"/>
      <c r="AW287" s="229"/>
      <c r="AX287" s="229"/>
      <c r="AY287" s="229"/>
      <c r="AZ287" s="229"/>
      <c r="BA287" s="229"/>
      <c r="BB287" s="229"/>
      <c r="BC287" s="229"/>
      <c r="BD287" s="229"/>
      <c r="BE287" s="229"/>
      <c r="BF287" s="229"/>
      <c r="BG287" s="229"/>
      <c r="BH287" s="229"/>
      <c r="BI287" s="229"/>
      <c r="BJ287" s="229"/>
      <c r="BK287" s="229"/>
      <c r="BL287" s="229"/>
      <c r="BM287" s="229"/>
      <c r="BN287" s="229"/>
      <c r="BO287" s="229"/>
      <c r="BP287" s="229"/>
      <c r="BQ287" s="229"/>
      <c r="BR287" s="229"/>
      <c r="BS287" s="229"/>
      <c r="BT287" s="229"/>
      <c r="BU287" s="229"/>
      <c r="BV287" s="229"/>
      <c r="BW287" s="229"/>
      <c r="BX287" s="229"/>
      <c r="BY287" s="231">
        <f>Acs!E41</f>
        <v>0</v>
      </c>
      <c r="BZ287" s="236"/>
      <c r="CA287" s="229"/>
    </row>
    <row r="288" spans="2:79" x14ac:dyDescent="0.25">
      <c r="B288" s="237" t="str">
        <f>Cen!A638</f>
        <v>Podložka CLIP s excentrem</v>
      </c>
      <c r="C288" s="237" t="str">
        <f>Cen!B638</f>
        <v>173H7100</v>
      </c>
      <c r="D288" s="237" t="str">
        <f>Cen!C638</f>
        <v>NI</v>
      </c>
      <c r="E288" s="553">
        <f>Cen!D638</f>
        <v>0</v>
      </c>
      <c r="F288" s="208">
        <f t="shared" si="106"/>
        <v>0</v>
      </c>
      <c r="G288" s="233">
        <f>Cen!F638</f>
        <v>0.4849</v>
      </c>
      <c r="H288" s="234">
        <f t="shared" si="101"/>
        <v>0</v>
      </c>
      <c r="I288" s="250"/>
      <c r="J288" s="235">
        <f>Cen!I638</f>
        <v>2364043</v>
      </c>
      <c r="K288" s="235">
        <f>Cen!J638</f>
        <v>12340</v>
      </c>
      <c r="L288" s="230">
        <f t="shared" si="102"/>
        <v>0</v>
      </c>
      <c r="M288" s="434">
        <f t="shared" si="103"/>
        <v>0</v>
      </c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  <c r="AJ288" s="229"/>
      <c r="AK288" s="229"/>
      <c r="AL288" s="229"/>
      <c r="AM288" s="229"/>
      <c r="AN288" s="229"/>
      <c r="AO288" s="229"/>
      <c r="AP288" s="229"/>
      <c r="AQ288" s="229"/>
      <c r="AR288" s="229"/>
      <c r="AS288" s="229"/>
      <c r="AT288" s="229"/>
      <c r="AU288" s="229"/>
      <c r="AV288" s="229"/>
      <c r="AW288" s="229"/>
      <c r="AX288" s="229"/>
      <c r="AY288" s="229"/>
      <c r="AZ288" s="229"/>
      <c r="BA288" s="229"/>
      <c r="BB288" s="229"/>
      <c r="BC288" s="229"/>
      <c r="BD288" s="229"/>
      <c r="BE288" s="229"/>
      <c r="BF288" s="229"/>
      <c r="BG288" s="229"/>
      <c r="BH288" s="229"/>
      <c r="BI288" s="229"/>
      <c r="BJ288" s="229"/>
      <c r="BK288" s="229"/>
      <c r="BL288" s="229"/>
      <c r="BM288" s="229"/>
      <c r="BN288" s="229"/>
      <c r="BO288" s="229"/>
      <c r="BP288" s="229"/>
      <c r="BQ288" s="229"/>
      <c r="BR288" s="229"/>
      <c r="BS288" s="229"/>
      <c r="BT288" s="229"/>
      <c r="BU288" s="229"/>
      <c r="BV288" s="229"/>
      <c r="BW288" s="229"/>
      <c r="BX288" s="229"/>
      <c r="BY288" s="231">
        <f>Acs!E42</f>
        <v>0</v>
      </c>
      <c r="BZ288" s="236"/>
      <c r="CA288" s="229"/>
    </row>
    <row r="289" spans="2:79" x14ac:dyDescent="0.25">
      <c r="B289" s="237" t="str">
        <f>Cen!A639</f>
        <v>Podložka CLIP s excentrem, EXPANDO</v>
      </c>
      <c r="C289" s="237" t="str">
        <f>Cen!B639</f>
        <v>174H7100E</v>
      </c>
      <c r="D289" s="237" t="str">
        <f>Cen!C639</f>
        <v>NI</v>
      </c>
      <c r="E289" s="553">
        <f>Cen!D639</f>
        <v>0</v>
      </c>
      <c r="F289" s="208">
        <f t="shared" si="106"/>
        <v>0</v>
      </c>
      <c r="G289" s="233">
        <f>Cen!F639</f>
        <v>0.59260999999999997</v>
      </c>
      <c r="H289" s="234">
        <f t="shared" si="101"/>
        <v>0</v>
      </c>
      <c r="I289" s="250"/>
      <c r="J289" s="235">
        <f>Cen!I639</f>
        <v>2364983</v>
      </c>
      <c r="K289" s="235">
        <f>Cen!J639</f>
        <v>266981</v>
      </c>
      <c r="L289" s="230">
        <f t="shared" si="102"/>
        <v>0</v>
      </c>
      <c r="M289" s="434">
        <f t="shared" si="103"/>
        <v>0</v>
      </c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  <c r="AJ289" s="229"/>
      <c r="AK289" s="229"/>
      <c r="AL289" s="229"/>
      <c r="AM289" s="229"/>
      <c r="AN289" s="229"/>
      <c r="AO289" s="229"/>
      <c r="AP289" s="229"/>
      <c r="AQ289" s="229"/>
      <c r="AR289" s="229"/>
      <c r="AS289" s="229"/>
      <c r="AT289" s="229"/>
      <c r="AU289" s="229"/>
      <c r="AV289" s="229"/>
      <c r="AW289" s="229"/>
      <c r="AX289" s="229"/>
      <c r="AY289" s="229"/>
      <c r="AZ289" s="229"/>
      <c r="BA289" s="229"/>
      <c r="BB289" s="229"/>
      <c r="BC289" s="229"/>
      <c r="BD289" s="231">
        <f>ADM45G!S86</f>
        <v>0</v>
      </c>
      <c r="BE289" s="231">
        <f>ADM45M!S86</f>
        <v>0</v>
      </c>
      <c r="BF289" s="231">
        <f>ADM45R!S86</f>
        <v>0</v>
      </c>
      <c r="BG289" s="231">
        <f>ADD45G!S86</f>
        <v>0</v>
      </c>
      <c r="BH289" s="231">
        <f>ADD45M!S86</f>
        <v>0</v>
      </c>
      <c r="BI289" s="231">
        <f>ADD45R!S86</f>
        <v>0</v>
      </c>
      <c r="BJ289" s="229"/>
      <c r="BK289" s="229"/>
      <c r="BL289" s="229"/>
      <c r="BM289" s="229"/>
      <c r="BN289" s="229"/>
      <c r="BO289" s="229"/>
      <c r="BP289" s="229"/>
      <c r="BQ289" s="229"/>
      <c r="BR289" s="229"/>
      <c r="BS289" s="229"/>
      <c r="BT289" s="229"/>
      <c r="BU289" s="229"/>
      <c r="BV289" s="229"/>
      <c r="BW289" s="229"/>
      <c r="BX289" s="229"/>
      <c r="BY289" s="231">
        <f>Acs!E43</f>
        <v>0</v>
      </c>
      <c r="BZ289" s="236"/>
      <c r="CA289" s="229"/>
    </row>
    <row r="290" spans="2:79" x14ac:dyDescent="0.25">
      <c r="B290" s="237" t="str">
        <f>Cen!A640</f>
        <v>Podložka CLIP top přímá</v>
      </c>
      <c r="C290" s="237" t="str">
        <f>Cen!B640</f>
        <v>175H5400</v>
      </c>
      <c r="D290" s="237" t="str">
        <f>Cen!C640</f>
        <v>NI</v>
      </c>
      <c r="E290" s="553">
        <f>Cen!D640</f>
        <v>0</v>
      </c>
      <c r="F290" s="208">
        <f t="shared" si="106"/>
        <v>0</v>
      </c>
      <c r="G290" s="233">
        <f>Cen!F640</f>
        <v>0.70503000000000005</v>
      </c>
      <c r="H290" s="234">
        <f t="shared" si="101"/>
        <v>0</v>
      </c>
      <c r="I290" s="250"/>
      <c r="J290" s="235">
        <f>Cen!I640</f>
        <v>8002803</v>
      </c>
      <c r="K290" s="235">
        <f>Cen!J640</f>
        <v>12323</v>
      </c>
      <c r="L290" s="230">
        <f t="shared" si="102"/>
        <v>0</v>
      </c>
      <c r="M290" s="434">
        <f t="shared" si="103"/>
        <v>0</v>
      </c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  <c r="AJ290" s="229"/>
      <c r="AK290" s="229"/>
      <c r="AL290" s="229"/>
      <c r="AM290" s="229"/>
      <c r="AN290" s="229"/>
      <c r="AO290" s="229"/>
      <c r="AP290" s="229"/>
      <c r="AQ290" s="229"/>
      <c r="AR290" s="229"/>
      <c r="AS290" s="229"/>
      <c r="AT290" s="229"/>
      <c r="AU290" s="229"/>
      <c r="AV290" s="229"/>
      <c r="AW290" s="229"/>
      <c r="AX290" s="229"/>
      <c r="AY290" s="229"/>
      <c r="AZ290" s="229"/>
      <c r="BA290" s="229"/>
      <c r="BB290" s="229"/>
      <c r="BC290" s="229"/>
      <c r="BD290" s="229"/>
      <c r="BE290" s="229"/>
      <c r="BF290" s="229"/>
      <c r="BG290" s="229"/>
      <c r="BH290" s="229"/>
      <c r="BI290" s="229"/>
      <c r="BJ290" s="229"/>
      <c r="BK290" s="229"/>
      <c r="BL290" s="229"/>
      <c r="BM290" s="229"/>
      <c r="BN290" s="229"/>
      <c r="BO290" s="229"/>
      <c r="BP290" s="229"/>
      <c r="BQ290" s="229"/>
      <c r="BR290" s="229"/>
      <c r="BS290" s="229"/>
      <c r="BT290" s="229"/>
      <c r="BU290" s="229"/>
      <c r="BV290" s="229"/>
      <c r="BW290" s="229"/>
      <c r="BX290" s="229"/>
      <c r="BY290" s="231">
        <f>Acs!E44</f>
        <v>0</v>
      </c>
      <c r="BZ290" s="236"/>
      <c r="CA290" s="229"/>
    </row>
    <row r="291" spans="2:79" x14ac:dyDescent="0.25">
      <c r="B291" s="237" t="str">
        <f>Cen!A641</f>
        <v>Podložka CLIP top přímá, EXPANDO</v>
      </c>
      <c r="C291" s="237" t="str">
        <f>Cen!B641</f>
        <v>177H5400E</v>
      </c>
      <c r="D291" s="237" t="str">
        <f>Cen!C641</f>
        <v>NI</v>
      </c>
      <c r="E291" s="553">
        <f>Cen!D641</f>
        <v>0</v>
      </c>
      <c r="F291" s="208">
        <f t="shared" si="106"/>
        <v>0</v>
      </c>
      <c r="G291" s="233">
        <f>Cen!F641</f>
        <v>0.81311999999999995</v>
      </c>
      <c r="H291" s="234">
        <f t="shared" si="101"/>
        <v>0</v>
      </c>
      <c r="I291" s="250"/>
      <c r="J291" s="235">
        <f>Cen!I641</f>
        <v>8003033</v>
      </c>
      <c r="K291" s="235">
        <f>Cen!J641</f>
        <v>12326</v>
      </c>
      <c r="L291" s="230">
        <f t="shared" si="102"/>
        <v>0</v>
      </c>
      <c r="M291" s="434">
        <f t="shared" si="103"/>
        <v>0</v>
      </c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  <c r="AJ291" s="229"/>
      <c r="AK291" s="229"/>
      <c r="AL291" s="229"/>
      <c r="AM291" s="229"/>
      <c r="AN291" s="229"/>
      <c r="AO291" s="229"/>
      <c r="AP291" s="229"/>
      <c r="AQ291" s="229"/>
      <c r="AR291" s="229"/>
      <c r="AS291" s="229"/>
      <c r="AT291" s="229"/>
      <c r="AU291" s="229"/>
      <c r="AV291" s="229"/>
      <c r="AW291" s="229"/>
      <c r="AX291" s="229"/>
      <c r="AY291" s="229"/>
      <c r="AZ291" s="229"/>
      <c r="BA291" s="229"/>
      <c r="BB291" s="229"/>
      <c r="BC291" s="229"/>
      <c r="BD291" s="229"/>
      <c r="BE291" s="229"/>
      <c r="BF291" s="229"/>
      <c r="BG291" s="229"/>
      <c r="BH291" s="229"/>
      <c r="BI291" s="229"/>
      <c r="BJ291" s="229"/>
      <c r="BK291" s="229"/>
      <c r="BL291" s="229"/>
      <c r="BM291" s="229"/>
      <c r="BN291" s="229"/>
      <c r="BO291" s="229"/>
      <c r="BP291" s="229"/>
      <c r="BQ291" s="229"/>
      <c r="BR291" s="229"/>
      <c r="BS291" s="229"/>
      <c r="BT291" s="229"/>
      <c r="BU291" s="229"/>
      <c r="BV291" s="229"/>
      <c r="BW291" s="229"/>
      <c r="BX291" s="229"/>
      <c r="BY291" s="231">
        <f>Acs!E45</f>
        <v>0</v>
      </c>
      <c r="BZ291" s="236"/>
      <c r="CA291" s="229"/>
    </row>
    <row r="292" spans="2:79" x14ac:dyDescent="0.25">
      <c r="B292" s="237" t="str">
        <f>Cen!A642</f>
        <v>Podložka CLIP top přímá</v>
      </c>
      <c r="C292" s="237" t="str">
        <f>Cen!B642</f>
        <v>175H3100</v>
      </c>
      <c r="D292" s="237" t="str">
        <f>Cen!C642</f>
        <v>NI</v>
      </c>
      <c r="E292" s="553">
        <f>Cen!D642</f>
        <v>0</v>
      </c>
      <c r="F292" s="208">
        <f t="shared" si="106"/>
        <v>0</v>
      </c>
      <c r="G292" s="233">
        <f>Cen!F642</f>
        <v>0.46155000000000002</v>
      </c>
      <c r="H292" s="234">
        <f t="shared" si="101"/>
        <v>0</v>
      </c>
      <c r="I292" s="250"/>
      <c r="J292" s="235">
        <f>Cen!I642</f>
        <v>1037431</v>
      </c>
      <c r="K292" s="235">
        <f>Cen!J642</f>
        <v>279798</v>
      </c>
      <c r="L292" s="230">
        <f t="shared" si="102"/>
        <v>0</v>
      </c>
      <c r="M292" s="434">
        <f t="shared" si="103"/>
        <v>0</v>
      </c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  <c r="AJ292" s="229"/>
      <c r="AK292" s="229"/>
      <c r="AL292" s="229"/>
      <c r="AM292" s="229"/>
      <c r="AN292" s="229"/>
      <c r="AO292" s="229"/>
      <c r="AP292" s="229"/>
      <c r="AQ292" s="229"/>
      <c r="AR292" s="229"/>
      <c r="AS292" s="229"/>
      <c r="AT292" s="229"/>
      <c r="AU292" s="229"/>
      <c r="AV292" s="229"/>
      <c r="AW292" s="229"/>
      <c r="AX292" s="229"/>
      <c r="AY292" s="229"/>
      <c r="AZ292" s="229"/>
      <c r="BA292" s="229"/>
      <c r="BB292" s="229"/>
      <c r="BC292" s="229"/>
      <c r="BD292" s="229"/>
      <c r="BE292" s="229"/>
      <c r="BF292" s="229"/>
      <c r="BG292" s="229"/>
      <c r="BH292" s="229"/>
      <c r="BI292" s="229"/>
      <c r="BJ292" s="229"/>
      <c r="BK292" s="229"/>
      <c r="BL292" s="229"/>
      <c r="BM292" s="229"/>
      <c r="BN292" s="229"/>
      <c r="BO292" s="229"/>
      <c r="BP292" s="229"/>
      <c r="BQ292" s="229"/>
      <c r="BR292" s="229"/>
      <c r="BS292" s="229"/>
      <c r="BT292" s="229"/>
      <c r="BU292" s="229"/>
      <c r="BV292" s="229"/>
      <c r="BW292" s="229"/>
      <c r="BX292" s="229"/>
      <c r="BY292" s="231">
        <f>Acs!E46</f>
        <v>0</v>
      </c>
      <c r="BZ292" s="236"/>
      <c r="CA292" s="229"/>
    </row>
    <row r="293" spans="2:79" x14ac:dyDescent="0.25">
      <c r="B293" s="237" t="str">
        <f>Cen!A643</f>
        <v>Podložka CLIP top přímá, EXPANDO</v>
      </c>
      <c r="C293" s="237" t="str">
        <f>Cen!B643</f>
        <v>177H3100E</v>
      </c>
      <c r="D293" s="237" t="str">
        <f>Cen!C643</f>
        <v>NI</v>
      </c>
      <c r="E293" s="553">
        <f>Cen!D643</f>
        <v>0</v>
      </c>
      <c r="F293" s="208">
        <f t="shared" si="106"/>
        <v>0</v>
      </c>
      <c r="G293" s="233">
        <f>Cen!F643</f>
        <v>0.46936999999999995</v>
      </c>
      <c r="H293" s="234">
        <f t="shared" si="101"/>
        <v>0</v>
      </c>
      <c r="I293" s="250"/>
      <c r="J293" s="235">
        <f>Cen!I643</f>
        <v>3120329</v>
      </c>
      <c r="K293" s="235">
        <f>Cen!J643</f>
        <v>303889</v>
      </c>
      <c r="L293" s="230">
        <f t="shared" si="102"/>
        <v>0</v>
      </c>
      <c r="M293" s="434">
        <f t="shared" si="103"/>
        <v>0</v>
      </c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  <c r="AJ293" s="229"/>
      <c r="AK293" s="229"/>
      <c r="AL293" s="229"/>
      <c r="AM293" s="229"/>
      <c r="AN293" s="229"/>
      <c r="AO293" s="229"/>
      <c r="AP293" s="229"/>
      <c r="AQ293" s="229"/>
      <c r="AR293" s="229"/>
      <c r="AS293" s="229"/>
      <c r="AT293" s="229"/>
      <c r="AU293" s="229"/>
      <c r="AV293" s="229"/>
      <c r="AW293" s="229"/>
      <c r="AX293" s="229"/>
      <c r="AY293" s="229"/>
      <c r="AZ293" s="229"/>
      <c r="BA293" s="229"/>
      <c r="BB293" s="229"/>
      <c r="BC293" s="229"/>
      <c r="BD293" s="229"/>
      <c r="BE293" s="229"/>
      <c r="BF293" s="229"/>
      <c r="BG293" s="229"/>
      <c r="BH293" s="229"/>
      <c r="BI293" s="229"/>
      <c r="BJ293" s="229"/>
      <c r="BK293" s="229"/>
      <c r="BL293" s="229"/>
      <c r="BM293" s="229"/>
      <c r="BN293" s="229"/>
      <c r="BO293" s="229"/>
      <c r="BP293" s="229"/>
      <c r="BQ293" s="229"/>
      <c r="BR293" s="229"/>
      <c r="BS293" s="229"/>
      <c r="BT293" s="229"/>
      <c r="BU293" s="229"/>
      <c r="BV293" s="229"/>
      <c r="BW293" s="229"/>
      <c r="BX293" s="229"/>
      <c r="BY293" s="231">
        <f>Acs!E47</f>
        <v>0</v>
      </c>
      <c r="BZ293" s="236"/>
      <c r="CA293" s="229"/>
    </row>
    <row r="294" spans="2:79" x14ac:dyDescent="0.25">
      <c r="B294" s="237" t="str">
        <f>Cen!A644</f>
        <v>BLUMOTION pro nasazení na závěs 155° a 125°</v>
      </c>
      <c r="C294" s="237" t="str">
        <f>Cen!B644</f>
        <v>973A7000</v>
      </c>
      <c r="D294" s="237" t="str">
        <f>Cen!C644</f>
        <v>NI</v>
      </c>
      <c r="E294" s="553">
        <f>Cen!D644</f>
        <v>0</v>
      </c>
      <c r="F294" s="208">
        <f t="shared" si="106"/>
        <v>0</v>
      </c>
      <c r="G294" s="233">
        <f>Cen!F644</f>
        <v>1.5222899999999999</v>
      </c>
      <c r="H294" s="234">
        <f t="shared" si="101"/>
        <v>0</v>
      </c>
      <c r="I294" s="250"/>
      <c r="J294" s="235">
        <f>Cen!I644</f>
        <v>8975943</v>
      </c>
      <c r="K294" s="235">
        <f>Cen!J644</f>
        <v>12223</v>
      </c>
      <c r="L294" s="230">
        <f t="shared" si="102"/>
        <v>0</v>
      </c>
      <c r="M294" s="434">
        <f t="shared" si="103"/>
        <v>0</v>
      </c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  <c r="AJ294" s="229"/>
      <c r="AK294" s="229"/>
      <c r="AL294" s="229"/>
      <c r="AM294" s="229"/>
      <c r="AN294" s="229"/>
      <c r="AO294" s="229"/>
      <c r="AP294" s="229"/>
      <c r="AQ294" s="229"/>
      <c r="AR294" s="229"/>
      <c r="AS294" s="229"/>
      <c r="AT294" s="229"/>
      <c r="AU294" s="229"/>
      <c r="AV294" s="229"/>
      <c r="AW294" s="229"/>
      <c r="AX294" s="229"/>
      <c r="AY294" s="229"/>
      <c r="AZ294" s="229"/>
      <c r="BA294" s="229"/>
      <c r="BB294" s="229"/>
      <c r="BC294" s="229"/>
      <c r="BD294" s="231">
        <f>ADM45G!S87</f>
        <v>0</v>
      </c>
      <c r="BE294" s="231">
        <f>ADM45M!S87</f>
        <v>0</v>
      </c>
      <c r="BF294" s="231">
        <f>ADM45R!S87</f>
        <v>0</v>
      </c>
      <c r="BG294" s="231">
        <f>ADD45G!S87</f>
        <v>0</v>
      </c>
      <c r="BH294" s="231">
        <f>ADD45M!S87</f>
        <v>0</v>
      </c>
      <c r="BI294" s="231">
        <f>ADD45R!S87</f>
        <v>0</v>
      </c>
      <c r="BJ294" s="229"/>
      <c r="BK294" s="229"/>
      <c r="BL294" s="229"/>
      <c r="BM294" s="229"/>
      <c r="BN294" s="229"/>
      <c r="BO294" s="229"/>
      <c r="BP294" s="229"/>
      <c r="BQ294" s="229"/>
      <c r="BR294" s="229"/>
      <c r="BS294" s="229"/>
      <c r="BT294" s="229"/>
      <c r="BU294" s="229"/>
      <c r="BV294" s="229"/>
      <c r="BW294" s="229"/>
      <c r="BX294" s="229"/>
      <c r="BY294" s="231">
        <f>Acs!E48</f>
        <v>0</v>
      </c>
      <c r="BZ294" s="236"/>
      <c r="CA294" s="229"/>
    </row>
    <row r="295" spans="2:79" x14ac:dyDescent="0.25">
      <c r="B295" s="237" t="str">
        <f>Cen!A645</f>
        <v>BLUMOTION v křížovém adaptéru</v>
      </c>
      <c r="C295" s="237" t="str">
        <f>Cen!B645</f>
        <v>971A0500</v>
      </c>
      <c r="D295" s="237" t="str">
        <f>Cen!C645</f>
        <v>NI</v>
      </c>
      <c r="E295" s="553">
        <f>Cen!D645</f>
        <v>0</v>
      </c>
      <c r="F295" s="208">
        <f t="shared" si="106"/>
        <v>0</v>
      </c>
      <c r="G295" s="233">
        <f>Cen!F645</f>
        <v>2.7470500000000002</v>
      </c>
      <c r="H295" s="234">
        <f t="shared" si="101"/>
        <v>0</v>
      </c>
      <c r="I295" s="250"/>
      <c r="J295" s="235">
        <f>Cen!I645</f>
        <v>6823663</v>
      </c>
      <c r="K295" s="235">
        <f>Cen!J645</f>
        <v>12392</v>
      </c>
      <c r="L295" s="230">
        <f t="shared" si="102"/>
        <v>0</v>
      </c>
      <c r="M295" s="434">
        <f t="shared" si="103"/>
        <v>0</v>
      </c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  <c r="AJ295" s="229"/>
      <c r="AK295" s="229"/>
      <c r="AL295" s="229"/>
      <c r="AM295" s="229"/>
      <c r="AN295" s="229"/>
      <c r="AO295" s="229"/>
      <c r="AP295" s="229"/>
      <c r="AQ295" s="229"/>
      <c r="AR295" s="229"/>
      <c r="AS295" s="229"/>
      <c r="AT295" s="229"/>
      <c r="AU295" s="229"/>
      <c r="AV295" s="229"/>
      <c r="AW295" s="229"/>
      <c r="AX295" s="229"/>
      <c r="AY295" s="229"/>
      <c r="AZ295" s="229"/>
      <c r="BA295" s="229"/>
      <c r="BB295" s="229"/>
      <c r="BC295" s="229"/>
      <c r="BD295" s="229"/>
      <c r="BE295" s="229"/>
      <c r="BF295" s="229"/>
      <c r="BG295" s="229"/>
      <c r="BH295" s="229"/>
      <c r="BI295" s="229"/>
      <c r="BJ295" s="229"/>
      <c r="BK295" s="229"/>
      <c r="BL295" s="229"/>
      <c r="BM295" s="229"/>
      <c r="BN295" s="229"/>
      <c r="BO295" s="229"/>
      <c r="BP295" s="229"/>
      <c r="BQ295" s="229"/>
      <c r="BR295" s="229"/>
      <c r="BS295" s="229"/>
      <c r="BT295" s="229"/>
      <c r="BU295" s="229"/>
      <c r="BV295" s="229"/>
      <c r="BW295" s="229"/>
      <c r="BX295" s="229"/>
      <c r="BY295" s="231">
        <f>Acs!E49</f>
        <v>0</v>
      </c>
      <c r="BZ295" s="236"/>
      <c r="CA295" s="229"/>
    </row>
    <row r="296" spans="2:79" x14ac:dyDescent="0.25">
      <c r="B296" s="237" t="str">
        <f>Cen!A646</f>
        <v>TIP-ON, prodloužená délka, šedý</v>
      </c>
      <c r="C296" s="237" t="str">
        <f>Cen!B646</f>
        <v>956A1004</v>
      </c>
      <c r="D296" s="237" t="str">
        <f>Cen!C646</f>
        <v>PG</v>
      </c>
      <c r="E296" s="553">
        <f>Cen!D646</f>
        <v>0</v>
      </c>
      <c r="F296" s="208">
        <f t="shared" si="106"/>
        <v>0</v>
      </c>
      <c r="G296" s="233">
        <f>Cen!F646</f>
        <v>4.4877799999999999</v>
      </c>
      <c r="H296" s="234">
        <f t="shared" si="101"/>
        <v>0</v>
      </c>
      <c r="I296" s="250"/>
      <c r="J296" s="235">
        <f>Cen!I646</f>
        <v>6484096</v>
      </c>
      <c r="K296" s="235">
        <f>Cen!J646</f>
        <v>250833</v>
      </c>
      <c r="L296" s="230">
        <f t="shared" si="102"/>
        <v>0</v>
      </c>
      <c r="M296" s="434">
        <f t="shared" si="103"/>
        <v>0</v>
      </c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  <c r="AJ296" s="229"/>
      <c r="AK296" s="229"/>
      <c r="AL296" s="229"/>
      <c r="AM296" s="229"/>
      <c r="AN296" s="229"/>
      <c r="AO296" s="229"/>
      <c r="AP296" s="229"/>
      <c r="AQ296" s="229"/>
      <c r="AR296" s="229"/>
      <c r="AS296" s="229"/>
      <c r="AT296" s="229"/>
      <c r="AU296" s="229"/>
      <c r="AV296" s="229"/>
      <c r="AW296" s="229"/>
      <c r="AX296" s="229"/>
      <c r="AY296" s="229"/>
      <c r="AZ296" s="229"/>
      <c r="BA296" s="229"/>
      <c r="BB296" s="229"/>
      <c r="BC296" s="229"/>
      <c r="BD296" s="229"/>
      <c r="BE296" s="229"/>
      <c r="BF296" s="229"/>
      <c r="BG296" s="229"/>
      <c r="BH296" s="229"/>
      <c r="BI296" s="229"/>
      <c r="BJ296" s="229"/>
      <c r="BK296" s="229"/>
      <c r="BL296" s="229"/>
      <c r="BM296" s="229"/>
      <c r="BN296" s="229"/>
      <c r="BO296" s="229"/>
      <c r="BP296" s="229"/>
      <c r="BQ296" s="229"/>
      <c r="BR296" s="229"/>
      <c r="BS296" s="229"/>
      <c r="BT296" s="229"/>
      <c r="BU296" s="229"/>
      <c r="BV296" s="229"/>
      <c r="BW296" s="229"/>
      <c r="BX296" s="229"/>
      <c r="BY296" s="231">
        <f>Acs!E50</f>
        <v>0</v>
      </c>
      <c r="BZ296" s="236"/>
      <c r="CA296" s="229"/>
    </row>
    <row r="297" spans="2:79" x14ac:dyDescent="0.25">
      <c r="B297" s="237" t="str">
        <f>Cen!A649</f>
        <v>TIP-ON přímý adaptér, prodl.délka, šedý</v>
      </c>
      <c r="C297" s="237" t="str">
        <f>Cen!B649</f>
        <v>956A1201</v>
      </c>
      <c r="D297" s="237" t="str">
        <f>Cen!C649</f>
        <v>PG</v>
      </c>
      <c r="E297" s="553">
        <f>Cen!D649</f>
        <v>0</v>
      </c>
      <c r="F297" s="208">
        <f t="shared" si="106"/>
        <v>0</v>
      </c>
      <c r="G297" s="233">
        <f>Cen!F649</f>
        <v>0.88392000000000015</v>
      </c>
      <c r="H297" s="234">
        <f t="shared" si="101"/>
        <v>0</v>
      </c>
      <c r="I297" s="250"/>
      <c r="J297" s="235">
        <f>Cen!I649</f>
        <v>8849808</v>
      </c>
      <c r="K297" s="235">
        <f>Cen!J649</f>
        <v>250842</v>
      </c>
      <c r="L297" s="230">
        <f t="shared" si="102"/>
        <v>0</v>
      </c>
      <c r="M297" s="434">
        <f t="shared" si="103"/>
        <v>0</v>
      </c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  <c r="AJ297" s="229"/>
      <c r="AK297" s="229"/>
      <c r="AL297" s="229"/>
      <c r="AM297" s="229"/>
      <c r="AN297" s="229"/>
      <c r="AO297" s="229"/>
      <c r="AP297" s="229"/>
      <c r="AQ297" s="229"/>
      <c r="AR297" s="229"/>
      <c r="AS297" s="229"/>
      <c r="AT297" s="229"/>
      <c r="AU297" s="229"/>
      <c r="AV297" s="229"/>
      <c r="AW297" s="229"/>
      <c r="AX297" s="229"/>
      <c r="AY297" s="229"/>
      <c r="AZ297" s="229"/>
      <c r="BA297" s="229"/>
      <c r="BB297" s="229"/>
      <c r="BC297" s="229"/>
      <c r="BD297" s="229"/>
      <c r="BE297" s="229"/>
      <c r="BF297" s="229"/>
      <c r="BG297" s="229"/>
      <c r="BH297" s="229"/>
      <c r="BI297" s="229"/>
      <c r="BJ297" s="229"/>
      <c r="BK297" s="229"/>
      <c r="BL297" s="229"/>
      <c r="BM297" s="229"/>
      <c r="BN297" s="229"/>
      <c r="BO297" s="229"/>
      <c r="BP297" s="229"/>
      <c r="BQ297" s="229"/>
      <c r="BR297" s="229"/>
      <c r="BS297" s="229"/>
      <c r="BT297" s="229"/>
      <c r="BU297" s="229"/>
      <c r="BV297" s="229"/>
      <c r="BW297" s="229"/>
      <c r="BX297" s="229"/>
      <c r="BY297" s="231">
        <f>Acs!E51</f>
        <v>0</v>
      </c>
      <c r="BZ297" s="236"/>
      <c r="CA297" s="229"/>
    </row>
    <row r="298" spans="2:79" x14ac:dyDescent="0.25">
      <c r="B298" s="237" t="str">
        <f>Cen!A653</f>
        <v>TIP-ON křížový adaptér, šedý</v>
      </c>
      <c r="C298" s="237" t="str">
        <f>Cen!B653</f>
        <v>956A1501</v>
      </c>
      <c r="D298" s="237" t="str">
        <f>Cen!C653</f>
        <v>PG</v>
      </c>
      <c r="E298" s="553">
        <f>Cen!D653</f>
        <v>0</v>
      </c>
      <c r="F298" s="208">
        <f t="shared" si="106"/>
        <v>0</v>
      </c>
      <c r="G298" s="233">
        <f>Cen!F653</f>
        <v>0.65625999999999995</v>
      </c>
      <c r="H298" s="234">
        <f t="shared" si="101"/>
        <v>0</v>
      </c>
      <c r="I298" s="250"/>
      <c r="J298" s="235">
        <f>Cen!I653</f>
        <v>2583646</v>
      </c>
      <c r="K298" s="235">
        <f>Cen!J653</f>
        <v>250844</v>
      </c>
      <c r="L298" s="230">
        <f t="shared" si="102"/>
        <v>0</v>
      </c>
      <c r="M298" s="434">
        <f t="shared" si="103"/>
        <v>0</v>
      </c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  <c r="AJ298" s="229"/>
      <c r="AK298" s="229"/>
      <c r="AL298" s="229"/>
      <c r="AM298" s="229"/>
      <c r="AN298" s="229"/>
      <c r="AO298" s="229"/>
      <c r="AP298" s="229"/>
      <c r="AQ298" s="229"/>
      <c r="AR298" s="229"/>
      <c r="AS298" s="229"/>
      <c r="AT298" s="229"/>
      <c r="AU298" s="229"/>
      <c r="AV298" s="229"/>
      <c r="AW298" s="229"/>
      <c r="AX298" s="229"/>
      <c r="AY298" s="229"/>
      <c r="AZ298" s="229"/>
      <c r="BA298" s="229"/>
      <c r="BB298" s="229"/>
      <c r="BC298" s="229"/>
      <c r="BD298" s="229"/>
      <c r="BE298" s="229"/>
      <c r="BF298" s="229"/>
      <c r="BG298" s="229"/>
      <c r="BH298" s="229"/>
      <c r="BI298" s="229"/>
      <c r="BJ298" s="229"/>
      <c r="BK298" s="229"/>
      <c r="BL298" s="229"/>
      <c r="BM298" s="229"/>
      <c r="BN298" s="229"/>
      <c r="BO298" s="229"/>
      <c r="BP298" s="229"/>
      <c r="BQ298" s="229"/>
      <c r="BR298" s="229"/>
      <c r="BS298" s="229"/>
      <c r="BT298" s="229"/>
      <c r="BU298" s="229"/>
      <c r="BV298" s="229"/>
      <c r="BW298" s="229"/>
      <c r="BX298" s="229"/>
      <c r="BY298" s="231">
        <f>Acs!E52</f>
        <v>0</v>
      </c>
      <c r="BZ298" s="236"/>
      <c r="CA298" s="229"/>
    </row>
    <row r="299" spans="2:79" x14ac:dyDescent="0.25">
      <c r="B299" s="237"/>
      <c r="C299" s="237"/>
      <c r="D299" s="237"/>
      <c r="E299" s="553"/>
      <c r="F299" s="208"/>
      <c r="G299" s="233"/>
      <c r="H299" s="234">
        <f t="shared" si="101"/>
        <v>0</v>
      </c>
      <c r="I299" s="260"/>
      <c r="J299" s="235"/>
      <c r="K299" s="235"/>
      <c r="L299" s="230"/>
      <c r="M299" s="434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  <c r="AJ299" s="229"/>
      <c r="AK299" s="229"/>
      <c r="AL299" s="229"/>
      <c r="AM299" s="229"/>
      <c r="AN299" s="229"/>
      <c r="AO299" s="229"/>
      <c r="AP299" s="229"/>
      <c r="AQ299" s="229"/>
      <c r="AR299" s="229"/>
      <c r="AS299" s="229"/>
      <c r="AT299" s="229"/>
      <c r="AU299" s="229"/>
      <c r="AV299" s="229"/>
      <c r="AW299" s="229"/>
      <c r="AX299" s="229"/>
      <c r="AY299" s="229"/>
      <c r="AZ299" s="229"/>
      <c r="BA299" s="229"/>
      <c r="BB299" s="229"/>
      <c r="BC299" s="229"/>
      <c r="BD299" s="229"/>
      <c r="BE299" s="229"/>
      <c r="BF299" s="229"/>
      <c r="BG299" s="229"/>
      <c r="BH299" s="229"/>
      <c r="BI299" s="229"/>
      <c r="BJ299" s="229"/>
      <c r="BK299" s="229"/>
      <c r="BL299" s="229"/>
      <c r="BM299" s="229"/>
      <c r="BN299" s="229"/>
      <c r="BO299" s="229"/>
      <c r="BP299" s="229"/>
      <c r="BQ299" s="229"/>
      <c r="BR299" s="229"/>
      <c r="BS299" s="229"/>
      <c r="BT299" s="229"/>
      <c r="BU299" s="229"/>
      <c r="BV299" s="229"/>
      <c r="BW299" s="229"/>
      <c r="BX299" s="229"/>
      <c r="BY299" s="229"/>
      <c r="BZ299" s="236"/>
      <c r="CA299" s="229"/>
    </row>
    <row r="300" spans="2:79" x14ac:dyDescent="0.25">
      <c r="B300" s="237">
        <f>Cen!A656</f>
        <v>0</v>
      </c>
      <c r="C300" s="237">
        <f>Cen!B656</f>
        <v>0</v>
      </c>
      <c r="D300" s="237">
        <f>Cen!C656</f>
        <v>0</v>
      </c>
      <c r="E300" s="553"/>
      <c r="F300" s="261">
        <f>I300</f>
        <v>0</v>
      </c>
      <c r="G300" s="233">
        <f>Cen!F656</f>
        <v>0</v>
      </c>
      <c r="H300" s="234">
        <f t="shared" si="101"/>
        <v>0</v>
      </c>
      <c r="I300" s="250"/>
      <c r="J300" s="235">
        <f>Cen!I656</f>
        <v>0</v>
      </c>
      <c r="K300" s="235">
        <f>Cen!J656</f>
        <v>0</v>
      </c>
      <c r="L300" s="230">
        <f>I300</f>
        <v>0</v>
      </c>
      <c r="M300" s="434">
        <f t="shared" si="103"/>
        <v>0</v>
      </c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  <c r="AJ300" s="229"/>
      <c r="AK300" s="229"/>
      <c r="AL300" s="229"/>
      <c r="AM300" s="229"/>
      <c r="AN300" s="229"/>
      <c r="AO300" s="229"/>
      <c r="AP300" s="229"/>
      <c r="AQ300" s="229"/>
      <c r="AR300" s="229"/>
      <c r="AS300" s="229"/>
      <c r="AT300" s="229"/>
      <c r="AU300" s="229"/>
      <c r="AV300" s="229"/>
      <c r="AW300" s="229"/>
      <c r="AX300" s="229"/>
      <c r="AY300" s="229"/>
      <c r="AZ300" s="229"/>
      <c r="BA300" s="229"/>
      <c r="BB300" s="229"/>
      <c r="BC300" s="229"/>
      <c r="BD300" s="229"/>
      <c r="BE300" s="229"/>
      <c r="BF300" s="229"/>
      <c r="BG300" s="229"/>
      <c r="BH300" s="229"/>
      <c r="BI300" s="229"/>
      <c r="BJ300" s="229"/>
      <c r="BK300" s="229"/>
      <c r="BL300" s="229"/>
      <c r="BM300" s="229"/>
      <c r="BN300" s="229"/>
      <c r="BO300" s="229"/>
      <c r="BP300" s="229"/>
      <c r="BQ300" s="229"/>
      <c r="BR300" s="229"/>
      <c r="BS300" s="229"/>
      <c r="BT300" s="229"/>
      <c r="BU300" s="229"/>
      <c r="BV300" s="229"/>
      <c r="BW300" s="229"/>
      <c r="BX300" s="229"/>
      <c r="BY300" s="229"/>
      <c r="BZ300" s="229"/>
      <c r="CA300" s="229"/>
    </row>
    <row r="301" spans="2:79" x14ac:dyDescent="0.25">
      <c r="B301" s="237">
        <f>Cen!A657</f>
        <v>0</v>
      </c>
      <c r="C301" s="237">
        <f>Cen!B657</f>
        <v>0</v>
      </c>
      <c r="D301" s="237">
        <f>Cen!C657</f>
        <v>0</v>
      </c>
      <c r="E301" s="553"/>
      <c r="F301" s="261">
        <f t="shared" ref="F301:F309" si="116">I301</f>
        <v>0</v>
      </c>
      <c r="G301" s="233">
        <f>Cen!F657</f>
        <v>0</v>
      </c>
      <c r="H301" s="234">
        <f t="shared" ref="H301:H309" si="117">M301</f>
        <v>0</v>
      </c>
      <c r="I301" s="250"/>
      <c r="J301" s="235">
        <f>Cen!I657</f>
        <v>0</v>
      </c>
      <c r="K301" s="235">
        <f>Cen!J657</f>
        <v>0</v>
      </c>
      <c r="L301" s="230">
        <f t="shared" ref="L301:L309" si="118">I301</f>
        <v>0</v>
      </c>
      <c r="M301" s="434">
        <f t="shared" si="103"/>
        <v>0</v>
      </c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  <c r="AJ301" s="229"/>
      <c r="AK301" s="229"/>
      <c r="AL301" s="229"/>
      <c r="AM301" s="229"/>
      <c r="AN301" s="229"/>
      <c r="AO301" s="229"/>
      <c r="AP301" s="229"/>
      <c r="AQ301" s="229"/>
      <c r="AR301" s="229"/>
      <c r="AS301" s="229"/>
      <c r="AT301" s="229"/>
      <c r="AU301" s="229"/>
      <c r="AV301" s="229"/>
      <c r="AW301" s="229"/>
      <c r="AX301" s="229"/>
      <c r="AY301" s="229"/>
      <c r="AZ301" s="229"/>
      <c r="BA301" s="229"/>
      <c r="BB301" s="229"/>
      <c r="BC301" s="229"/>
      <c r="BD301" s="229"/>
      <c r="BE301" s="229"/>
      <c r="BF301" s="229"/>
      <c r="BG301" s="229"/>
      <c r="BH301" s="229"/>
      <c r="BI301" s="229"/>
      <c r="BJ301" s="229"/>
      <c r="BK301" s="229"/>
      <c r="BL301" s="229"/>
      <c r="BM301" s="229"/>
      <c r="BN301" s="229"/>
      <c r="BO301" s="229"/>
      <c r="BP301" s="229"/>
      <c r="BQ301" s="229"/>
      <c r="BR301" s="229"/>
      <c r="BS301" s="229"/>
      <c r="BT301" s="229"/>
      <c r="BU301" s="229"/>
      <c r="BV301" s="229"/>
      <c r="BW301" s="229"/>
      <c r="BX301" s="229"/>
      <c r="BY301" s="229"/>
      <c r="BZ301" s="229"/>
      <c r="CA301" s="229"/>
    </row>
    <row r="302" spans="2:79" x14ac:dyDescent="0.25">
      <c r="B302" s="237">
        <f>Cen!A658</f>
        <v>0</v>
      </c>
      <c r="C302" s="237">
        <f>Cen!B658</f>
        <v>0</v>
      </c>
      <c r="D302" s="237">
        <f>Cen!C658</f>
        <v>0</v>
      </c>
      <c r="E302" s="553"/>
      <c r="F302" s="261">
        <f t="shared" si="116"/>
        <v>0</v>
      </c>
      <c r="G302" s="233">
        <f>Cen!F658</f>
        <v>0</v>
      </c>
      <c r="H302" s="234">
        <f t="shared" si="117"/>
        <v>0</v>
      </c>
      <c r="I302" s="250"/>
      <c r="J302" s="235">
        <f>Cen!I658</f>
        <v>0</v>
      </c>
      <c r="K302" s="235">
        <f>Cen!J658</f>
        <v>0</v>
      </c>
      <c r="L302" s="230">
        <f t="shared" si="118"/>
        <v>0</v>
      </c>
      <c r="M302" s="434">
        <f t="shared" si="103"/>
        <v>0</v>
      </c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  <c r="AJ302" s="229"/>
      <c r="AK302" s="229"/>
      <c r="AL302" s="229"/>
      <c r="AM302" s="229"/>
      <c r="AN302" s="229"/>
      <c r="AO302" s="229"/>
      <c r="AP302" s="229"/>
      <c r="AQ302" s="229"/>
      <c r="AR302" s="229"/>
      <c r="AS302" s="229"/>
      <c r="AT302" s="229"/>
      <c r="AU302" s="229"/>
      <c r="AV302" s="229"/>
      <c r="AW302" s="229"/>
      <c r="AX302" s="229"/>
      <c r="AY302" s="229"/>
      <c r="AZ302" s="229"/>
      <c r="BA302" s="229"/>
      <c r="BB302" s="229"/>
      <c r="BC302" s="229"/>
      <c r="BD302" s="229"/>
      <c r="BE302" s="229"/>
      <c r="BF302" s="229"/>
      <c r="BG302" s="229"/>
      <c r="BH302" s="229"/>
      <c r="BI302" s="229"/>
      <c r="BJ302" s="229"/>
      <c r="BK302" s="229"/>
      <c r="BL302" s="229"/>
      <c r="BM302" s="229"/>
      <c r="BN302" s="229"/>
      <c r="BO302" s="229"/>
      <c r="BP302" s="229"/>
      <c r="BQ302" s="229"/>
      <c r="BR302" s="229"/>
      <c r="BS302" s="229"/>
      <c r="BT302" s="229"/>
      <c r="BU302" s="229"/>
      <c r="BV302" s="229"/>
      <c r="BW302" s="229"/>
      <c r="BX302" s="229"/>
      <c r="BY302" s="229"/>
      <c r="BZ302" s="229"/>
      <c r="CA302" s="229"/>
    </row>
    <row r="303" spans="2:79" x14ac:dyDescent="0.25">
      <c r="B303" s="237">
        <f>Cen!A659</f>
        <v>0</v>
      </c>
      <c r="C303" s="237">
        <f>Cen!B659</f>
        <v>0</v>
      </c>
      <c r="D303" s="237">
        <f>Cen!C659</f>
        <v>0</v>
      </c>
      <c r="E303" s="553"/>
      <c r="F303" s="261">
        <f t="shared" si="116"/>
        <v>0</v>
      </c>
      <c r="G303" s="233">
        <f>Cen!F659</f>
        <v>0</v>
      </c>
      <c r="H303" s="234">
        <f t="shared" si="117"/>
        <v>0</v>
      </c>
      <c r="I303" s="250"/>
      <c r="J303" s="235">
        <f>Cen!I659</f>
        <v>0</v>
      </c>
      <c r="K303" s="235">
        <f>Cen!J659</f>
        <v>0</v>
      </c>
      <c r="L303" s="230">
        <f t="shared" si="118"/>
        <v>0</v>
      </c>
      <c r="M303" s="434">
        <f t="shared" si="103"/>
        <v>0</v>
      </c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  <c r="AJ303" s="229"/>
      <c r="AK303" s="229"/>
      <c r="AL303" s="229"/>
      <c r="AM303" s="229"/>
      <c r="AN303" s="229"/>
      <c r="AO303" s="229"/>
      <c r="AP303" s="229"/>
      <c r="AQ303" s="229"/>
      <c r="AR303" s="229"/>
      <c r="AS303" s="229"/>
      <c r="AT303" s="229"/>
      <c r="AU303" s="229"/>
      <c r="AV303" s="229"/>
      <c r="AW303" s="229"/>
      <c r="AX303" s="229"/>
      <c r="AY303" s="229"/>
      <c r="AZ303" s="229"/>
      <c r="BA303" s="229"/>
      <c r="BB303" s="229"/>
      <c r="BC303" s="229"/>
      <c r="BD303" s="229"/>
      <c r="BE303" s="229"/>
      <c r="BF303" s="229"/>
      <c r="BG303" s="229"/>
      <c r="BH303" s="229"/>
      <c r="BI303" s="229"/>
      <c r="BJ303" s="229"/>
      <c r="BK303" s="229"/>
      <c r="BL303" s="229"/>
      <c r="BM303" s="229"/>
      <c r="BN303" s="229"/>
      <c r="BO303" s="229"/>
      <c r="BP303" s="229"/>
      <c r="BQ303" s="229"/>
      <c r="BR303" s="229"/>
      <c r="BS303" s="229"/>
      <c r="BT303" s="229"/>
      <c r="BU303" s="229"/>
      <c r="BV303" s="229"/>
      <c r="BW303" s="229"/>
      <c r="BX303" s="229"/>
      <c r="BY303" s="229"/>
      <c r="BZ303" s="229"/>
      <c r="CA303" s="229"/>
    </row>
    <row r="304" spans="2:79" x14ac:dyDescent="0.25">
      <c r="B304" s="237">
        <f>Cen!A660</f>
        <v>0</v>
      </c>
      <c r="C304" s="237">
        <f>Cen!B660</f>
        <v>0</v>
      </c>
      <c r="D304" s="237">
        <f>Cen!C660</f>
        <v>0</v>
      </c>
      <c r="E304" s="553"/>
      <c r="F304" s="261">
        <f t="shared" si="116"/>
        <v>0</v>
      </c>
      <c r="G304" s="233">
        <f>Cen!F660</f>
        <v>0</v>
      </c>
      <c r="H304" s="234">
        <f t="shared" si="117"/>
        <v>0</v>
      </c>
      <c r="I304" s="250"/>
      <c r="J304" s="235">
        <f>Cen!I660</f>
        <v>0</v>
      </c>
      <c r="K304" s="235">
        <f>Cen!J660</f>
        <v>0</v>
      </c>
      <c r="L304" s="230">
        <f t="shared" si="118"/>
        <v>0</v>
      </c>
      <c r="M304" s="434">
        <f t="shared" si="103"/>
        <v>0</v>
      </c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  <c r="AJ304" s="229"/>
      <c r="AK304" s="229"/>
      <c r="AL304" s="229"/>
      <c r="AM304" s="229"/>
      <c r="AN304" s="229"/>
      <c r="AO304" s="229"/>
      <c r="AP304" s="229"/>
      <c r="AQ304" s="229"/>
      <c r="AR304" s="229"/>
      <c r="AS304" s="229"/>
      <c r="AT304" s="229"/>
      <c r="AU304" s="229"/>
      <c r="AV304" s="229"/>
      <c r="AW304" s="229"/>
      <c r="AX304" s="229"/>
      <c r="AY304" s="229"/>
      <c r="AZ304" s="229"/>
      <c r="BA304" s="229"/>
      <c r="BB304" s="229"/>
      <c r="BC304" s="229"/>
      <c r="BD304" s="229"/>
      <c r="BE304" s="229"/>
      <c r="BF304" s="229"/>
      <c r="BG304" s="229"/>
      <c r="BH304" s="229"/>
      <c r="BI304" s="229"/>
      <c r="BJ304" s="229"/>
      <c r="BK304" s="229"/>
      <c r="BL304" s="229"/>
      <c r="BM304" s="229"/>
      <c r="BN304" s="229"/>
      <c r="BO304" s="229"/>
      <c r="BP304" s="229"/>
      <c r="BQ304" s="229"/>
      <c r="BR304" s="229"/>
      <c r="BS304" s="229"/>
      <c r="BT304" s="229"/>
      <c r="BU304" s="229"/>
      <c r="BV304" s="229"/>
      <c r="BW304" s="229"/>
      <c r="BX304" s="229"/>
      <c r="BY304" s="229"/>
      <c r="BZ304" s="229"/>
      <c r="CA304" s="229"/>
    </row>
    <row r="305" spans="2:79" x14ac:dyDescent="0.25">
      <c r="B305" s="237">
        <f>Cen!A661</f>
        <v>0</v>
      </c>
      <c r="C305" s="237">
        <f>Cen!B661</f>
        <v>0</v>
      </c>
      <c r="D305" s="237">
        <f>Cen!C661</f>
        <v>0</v>
      </c>
      <c r="E305" s="553"/>
      <c r="F305" s="261">
        <f t="shared" si="116"/>
        <v>0</v>
      </c>
      <c r="G305" s="233">
        <f>Cen!F661</f>
        <v>0</v>
      </c>
      <c r="H305" s="234">
        <f t="shared" si="117"/>
        <v>0</v>
      </c>
      <c r="I305" s="250"/>
      <c r="J305" s="235">
        <f>Cen!I661</f>
        <v>0</v>
      </c>
      <c r="K305" s="235">
        <f>Cen!J661</f>
        <v>0</v>
      </c>
      <c r="L305" s="230">
        <f t="shared" si="118"/>
        <v>0</v>
      </c>
      <c r="M305" s="434">
        <f t="shared" si="103"/>
        <v>0</v>
      </c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  <c r="AJ305" s="229"/>
      <c r="AK305" s="229"/>
      <c r="AL305" s="229"/>
      <c r="AM305" s="229"/>
      <c r="AN305" s="229"/>
      <c r="AO305" s="229"/>
      <c r="AP305" s="229"/>
      <c r="AQ305" s="229"/>
      <c r="AR305" s="229"/>
      <c r="AS305" s="229"/>
      <c r="AT305" s="229"/>
      <c r="AU305" s="229"/>
      <c r="AV305" s="229"/>
      <c r="AW305" s="229"/>
      <c r="AX305" s="229"/>
      <c r="AY305" s="229"/>
      <c r="AZ305" s="229"/>
      <c r="BA305" s="229"/>
      <c r="BB305" s="229"/>
      <c r="BC305" s="229"/>
      <c r="BD305" s="229"/>
      <c r="BE305" s="229"/>
      <c r="BF305" s="229"/>
      <c r="BG305" s="229"/>
      <c r="BH305" s="229"/>
      <c r="BI305" s="229"/>
      <c r="BJ305" s="229"/>
      <c r="BK305" s="229"/>
      <c r="BL305" s="229"/>
      <c r="BM305" s="229"/>
      <c r="BN305" s="229"/>
      <c r="BO305" s="229"/>
      <c r="BP305" s="229"/>
      <c r="BQ305" s="229"/>
      <c r="BR305" s="229"/>
      <c r="BS305" s="229"/>
      <c r="BT305" s="229"/>
      <c r="BU305" s="229"/>
      <c r="BV305" s="229"/>
      <c r="BW305" s="229"/>
      <c r="BX305" s="229"/>
      <c r="BY305" s="229"/>
      <c r="BZ305" s="229"/>
      <c r="CA305" s="229"/>
    </row>
    <row r="306" spans="2:79" x14ac:dyDescent="0.25">
      <c r="B306" s="237">
        <f>Cen!A662</f>
        <v>0</v>
      </c>
      <c r="C306" s="237">
        <f>Cen!B662</f>
        <v>0</v>
      </c>
      <c r="D306" s="237">
        <f>Cen!C662</f>
        <v>0</v>
      </c>
      <c r="E306" s="553"/>
      <c r="F306" s="261">
        <f t="shared" si="116"/>
        <v>0</v>
      </c>
      <c r="G306" s="233">
        <f>Cen!F662</f>
        <v>0</v>
      </c>
      <c r="H306" s="234">
        <f t="shared" si="117"/>
        <v>0</v>
      </c>
      <c r="I306" s="250"/>
      <c r="J306" s="235">
        <f>Cen!I662</f>
        <v>0</v>
      </c>
      <c r="K306" s="235">
        <f>Cen!J662</f>
        <v>0</v>
      </c>
      <c r="L306" s="230">
        <f t="shared" si="118"/>
        <v>0</v>
      </c>
      <c r="M306" s="434">
        <f t="shared" si="103"/>
        <v>0</v>
      </c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  <c r="AJ306" s="229"/>
      <c r="AK306" s="229"/>
      <c r="AL306" s="229"/>
      <c r="AM306" s="229"/>
      <c r="AN306" s="229"/>
      <c r="AO306" s="229"/>
      <c r="AP306" s="229"/>
      <c r="AQ306" s="229"/>
      <c r="AR306" s="229"/>
      <c r="AS306" s="229"/>
      <c r="AT306" s="229"/>
      <c r="AU306" s="229"/>
      <c r="AV306" s="229"/>
      <c r="AW306" s="229"/>
      <c r="AX306" s="229"/>
      <c r="AY306" s="229"/>
      <c r="AZ306" s="229"/>
      <c r="BA306" s="229"/>
      <c r="BB306" s="229"/>
      <c r="BC306" s="229"/>
      <c r="BD306" s="229"/>
      <c r="BE306" s="229"/>
      <c r="BF306" s="229"/>
      <c r="BG306" s="229"/>
      <c r="BH306" s="229"/>
      <c r="BI306" s="229"/>
      <c r="BJ306" s="229"/>
      <c r="BK306" s="229"/>
      <c r="BL306" s="229"/>
      <c r="BM306" s="229"/>
      <c r="BN306" s="229"/>
      <c r="BO306" s="229"/>
      <c r="BP306" s="229"/>
      <c r="BQ306" s="229"/>
      <c r="BR306" s="229"/>
      <c r="BS306" s="229"/>
      <c r="BT306" s="229"/>
      <c r="BU306" s="229"/>
      <c r="BV306" s="229"/>
      <c r="BW306" s="229"/>
      <c r="BX306" s="229"/>
      <c r="BY306" s="229"/>
      <c r="BZ306" s="229"/>
      <c r="CA306" s="229"/>
    </row>
    <row r="307" spans="2:79" x14ac:dyDescent="0.25">
      <c r="B307" s="237">
        <f>Cen!A663</f>
        <v>0</v>
      </c>
      <c r="C307" s="237">
        <f>Cen!B663</f>
        <v>0</v>
      </c>
      <c r="D307" s="237">
        <f>Cen!C663</f>
        <v>0</v>
      </c>
      <c r="E307" s="553"/>
      <c r="F307" s="261">
        <f t="shared" si="116"/>
        <v>0</v>
      </c>
      <c r="G307" s="233">
        <f>Cen!F663</f>
        <v>0</v>
      </c>
      <c r="H307" s="234">
        <f t="shared" si="117"/>
        <v>0</v>
      </c>
      <c r="I307" s="250"/>
      <c r="J307" s="235">
        <f>Cen!I663</f>
        <v>0</v>
      </c>
      <c r="K307" s="235">
        <f>Cen!J663</f>
        <v>0</v>
      </c>
      <c r="L307" s="230">
        <f t="shared" si="118"/>
        <v>0</v>
      </c>
      <c r="M307" s="434">
        <f t="shared" si="103"/>
        <v>0</v>
      </c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  <c r="AJ307" s="229"/>
      <c r="AK307" s="229"/>
      <c r="AL307" s="229"/>
      <c r="AM307" s="229"/>
      <c r="AN307" s="229"/>
      <c r="AO307" s="229"/>
      <c r="AP307" s="229"/>
      <c r="AQ307" s="229"/>
      <c r="AR307" s="229"/>
      <c r="AS307" s="229"/>
      <c r="AT307" s="229"/>
      <c r="AU307" s="229"/>
      <c r="AV307" s="229"/>
      <c r="AW307" s="229"/>
      <c r="AX307" s="229"/>
      <c r="AY307" s="229"/>
      <c r="AZ307" s="229"/>
      <c r="BA307" s="229"/>
      <c r="BB307" s="229"/>
      <c r="BC307" s="229"/>
      <c r="BD307" s="229"/>
      <c r="BE307" s="229"/>
      <c r="BF307" s="229"/>
      <c r="BG307" s="229"/>
      <c r="BH307" s="229"/>
      <c r="BI307" s="229"/>
      <c r="BJ307" s="229"/>
      <c r="BK307" s="229"/>
      <c r="BL307" s="229"/>
      <c r="BM307" s="229"/>
      <c r="BN307" s="229"/>
      <c r="BO307" s="229"/>
      <c r="BP307" s="229"/>
      <c r="BQ307" s="229"/>
      <c r="BR307" s="229"/>
      <c r="BS307" s="229"/>
      <c r="BT307" s="229"/>
      <c r="BU307" s="229"/>
      <c r="BV307" s="229"/>
      <c r="BW307" s="229"/>
      <c r="BX307" s="229"/>
      <c r="BY307" s="229"/>
      <c r="BZ307" s="229"/>
      <c r="CA307" s="229"/>
    </row>
    <row r="308" spans="2:79" x14ac:dyDescent="0.25">
      <c r="B308" s="237">
        <f>Cen!A664</f>
        <v>0</v>
      </c>
      <c r="C308" s="237">
        <f>Cen!B664</f>
        <v>0</v>
      </c>
      <c r="D308" s="237">
        <f>Cen!C664</f>
        <v>0</v>
      </c>
      <c r="E308" s="553"/>
      <c r="F308" s="261">
        <f t="shared" si="116"/>
        <v>0</v>
      </c>
      <c r="G308" s="233">
        <f>Cen!F664</f>
        <v>0</v>
      </c>
      <c r="H308" s="234">
        <f t="shared" si="117"/>
        <v>0</v>
      </c>
      <c r="I308" s="250"/>
      <c r="J308" s="235">
        <f>Cen!I664</f>
        <v>0</v>
      </c>
      <c r="K308" s="235">
        <f>Cen!J664</f>
        <v>0</v>
      </c>
      <c r="L308" s="230">
        <f t="shared" si="118"/>
        <v>0</v>
      </c>
      <c r="M308" s="434">
        <f t="shared" si="103"/>
        <v>0</v>
      </c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  <c r="AJ308" s="229"/>
      <c r="AK308" s="229"/>
      <c r="AL308" s="229"/>
      <c r="AM308" s="229"/>
      <c r="AN308" s="229"/>
      <c r="AO308" s="229"/>
      <c r="AP308" s="229"/>
      <c r="AQ308" s="229"/>
      <c r="AR308" s="229"/>
      <c r="AS308" s="229"/>
      <c r="AT308" s="229"/>
      <c r="AU308" s="229"/>
      <c r="AV308" s="229"/>
      <c r="AW308" s="229"/>
      <c r="AX308" s="229"/>
      <c r="AY308" s="229"/>
      <c r="AZ308" s="229"/>
      <c r="BA308" s="229"/>
      <c r="BB308" s="229"/>
      <c r="BC308" s="229"/>
      <c r="BD308" s="229"/>
      <c r="BE308" s="229"/>
      <c r="BF308" s="229"/>
      <c r="BG308" s="229"/>
      <c r="BH308" s="229"/>
      <c r="BI308" s="229"/>
      <c r="BJ308" s="229"/>
      <c r="BK308" s="229"/>
      <c r="BL308" s="229"/>
      <c r="BM308" s="229"/>
      <c r="BN308" s="229"/>
      <c r="BO308" s="229"/>
      <c r="BP308" s="229"/>
      <c r="BQ308" s="229"/>
      <c r="BR308" s="229"/>
      <c r="BS308" s="229"/>
      <c r="BT308" s="229"/>
      <c r="BU308" s="229"/>
      <c r="BV308" s="229"/>
      <c r="BW308" s="229"/>
      <c r="BX308" s="229"/>
      <c r="BY308" s="229"/>
      <c r="BZ308" s="229"/>
      <c r="CA308" s="229"/>
    </row>
    <row r="309" spans="2:79" x14ac:dyDescent="0.25">
      <c r="B309" s="237">
        <f>Cen!A665</f>
        <v>0</v>
      </c>
      <c r="C309" s="237">
        <f>Cen!B665</f>
        <v>0</v>
      </c>
      <c r="D309" s="237">
        <f>Cen!C665</f>
        <v>0</v>
      </c>
      <c r="E309" s="553"/>
      <c r="F309" s="261">
        <f t="shared" si="116"/>
        <v>0</v>
      </c>
      <c r="G309" s="233">
        <f>Cen!F665</f>
        <v>0</v>
      </c>
      <c r="H309" s="234">
        <f t="shared" si="117"/>
        <v>0</v>
      </c>
      <c r="I309" s="250"/>
      <c r="J309" s="235">
        <f>Cen!I665</f>
        <v>0</v>
      </c>
      <c r="K309" s="235">
        <f>Cen!J665</f>
        <v>0</v>
      </c>
      <c r="L309" s="230">
        <f t="shared" si="118"/>
        <v>0</v>
      </c>
      <c r="M309" s="434">
        <f t="shared" si="103"/>
        <v>0</v>
      </c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  <c r="AJ309" s="229"/>
      <c r="AK309" s="229"/>
      <c r="AL309" s="229"/>
      <c r="AM309" s="229"/>
      <c r="AN309" s="229"/>
      <c r="AO309" s="229"/>
      <c r="AP309" s="229"/>
      <c r="AQ309" s="229"/>
      <c r="AR309" s="229"/>
      <c r="AS309" s="229"/>
      <c r="AT309" s="229"/>
      <c r="AU309" s="229"/>
      <c r="AV309" s="229"/>
      <c r="AW309" s="229"/>
      <c r="AX309" s="229"/>
      <c r="AY309" s="229"/>
      <c r="AZ309" s="229"/>
      <c r="BA309" s="229"/>
      <c r="BB309" s="229"/>
      <c r="BC309" s="229"/>
      <c r="BD309" s="229"/>
      <c r="BE309" s="229"/>
      <c r="BF309" s="229"/>
      <c r="BG309" s="229"/>
      <c r="BH309" s="229"/>
      <c r="BI309" s="229"/>
      <c r="BJ309" s="229"/>
      <c r="BK309" s="229"/>
      <c r="BL309" s="229"/>
      <c r="BM309" s="229"/>
      <c r="BN309" s="229"/>
      <c r="BO309" s="229"/>
      <c r="BP309" s="229"/>
      <c r="BQ309" s="229"/>
      <c r="BR309" s="229"/>
      <c r="BS309" s="229"/>
      <c r="BT309" s="229"/>
      <c r="BU309" s="229"/>
      <c r="BV309" s="229"/>
      <c r="BW309" s="229"/>
      <c r="BX309" s="229"/>
      <c r="BY309" s="229"/>
      <c r="BZ309" s="229"/>
      <c r="CA309" s="229"/>
    </row>
    <row r="310" spans="2:79" x14ac:dyDescent="0.25">
      <c r="B310" s="271"/>
      <c r="C310" s="272"/>
      <c r="D310" s="272"/>
      <c r="E310" s="554"/>
      <c r="F310" s="272"/>
      <c r="G310" s="235"/>
      <c r="H310" s="235"/>
      <c r="I310" s="235"/>
      <c r="J310" s="235"/>
      <c r="K310" s="235"/>
      <c r="L310" s="230"/>
      <c r="M310" s="434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  <c r="AJ310" s="229"/>
      <c r="AK310" s="229"/>
      <c r="AL310" s="229"/>
      <c r="AM310" s="229"/>
      <c r="AN310" s="229"/>
      <c r="AO310" s="229"/>
      <c r="AP310" s="229"/>
      <c r="AQ310" s="229"/>
      <c r="AR310" s="229"/>
      <c r="AS310" s="229"/>
      <c r="AT310" s="229"/>
      <c r="AU310" s="229"/>
      <c r="AV310" s="229"/>
      <c r="AW310" s="229"/>
      <c r="AX310" s="229"/>
      <c r="AY310" s="229"/>
      <c r="AZ310" s="229"/>
      <c r="BA310" s="229"/>
      <c r="BB310" s="229"/>
      <c r="BC310" s="229"/>
      <c r="BD310" s="229"/>
      <c r="BE310" s="229"/>
      <c r="BF310" s="229"/>
      <c r="BG310" s="229"/>
      <c r="BH310" s="229"/>
      <c r="BI310" s="229"/>
      <c r="BJ310" s="229"/>
      <c r="BK310" s="229"/>
      <c r="BL310" s="229"/>
      <c r="BM310" s="229"/>
      <c r="BN310" s="229"/>
      <c r="BO310" s="229"/>
      <c r="BP310" s="229"/>
      <c r="BQ310" s="229"/>
      <c r="BR310" s="229"/>
      <c r="BS310" s="229"/>
      <c r="BT310" s="229"/>
      <c r="BU310" s="229"/>
      <c r="BV310" s="229"/>
      <c r="BW310" s="229"/>
      <c r="BX310" s="229"/>
      <c r="BY310" s="229"/>
      <c r="BZ310" s="229"/>
      <c r="CA310" s="229"/>
    </row>
    <row r="311" spans="2:79" x14ac:dyDescent="0.25">
      <c r="B311" s="271"/>
      <c r="C311" s="272"/>
      <c r="D311" s="272"/>
      <c r="E311" s="554"/>
      <c r="F311" s="272"/>
      <c r="G311" s="235"/>
      <c r="H311" s="235"/>
      <c r="I311" s="235"/>
      <c r="J311" s="235"/>
      <c r="K311" s="235"/>
      <c r="L311" s="230"/>
      <c r="M311" s="434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  <c r="AJ311" s="229"/>
      <c r="AK311" s="229"/>
      <c r="AL311" s="229"/>
      <c r="AM311" s="229"/>
      <c r="AN311" s="229"/>
      <c r="AO311" s="229"/>
      <c r="AP311" s="229"/>
      <c r="AQ311" s="229"/>
      <c r="AR311" s="229"/>
      <c r="AS311" s="229"/>
      <c r="AT311" s="229"/>
      <c r="AU311" s="229"/>
      <c r="AV311" s="229"/>
      <c r="AW311" s="229"/>
      <c r="AX311" s="229"/>
      <c r="AY311" s="229"/>
      <c r="AZ311" s="229"/>
      <c r="BA311" s="229"/>
      <c r="BB311" s="229"/>
      <c r="BC311" s="229"/>
      <c r="BD311" s="229"/>
      <c r="BE311" s="229"/>
      <c r="BF311" s="229"/>
      <c r="BG311" s="229"/>
      <c r="BH311" s="229"/>
      <c r="BI311" s="229"/>
      <c r="BJ311" s="229"/>
      <c r="BK311" s="229"/>
      <c r="BL311" s="229"/>
      <c r="BM311" s="229"/>
      <c r="BN311" s="229"/>
      <c r="BO311" s="229"/>
      <c r="BP311" s="229"/>
      <c r="BQ311" s="229"/>
      <c r="BR311" s="229"/>
      <c r="BS311" s="229"/>
      <c r="BT311" s="229"/>
      <c r="BU311" s="229"/>
      <c r="BV311" s="229"/>
      <c r="BW311" s="229"/>
      <c r="BX311" s="229"/>
      <c r="BY311" s="229"/>
      <c r="BZ311" s="229"/>
      <c r="CA311" s="229"/>
    </row>
    <row r="312" spans="2:79" x14ac:dyDescent="0.25">
      <c r="B312" s="271"/>
      <c r="C312" s="272"/>
      <c r="D312" s="272"/>
      <c r="E312" s="554"/>
      <c r="F312" s="272"/>
      <c r="G312" s="235"/>
      <c r="H312" s="235"/>
      <c r="I312" s="235"/>
      <c r="J312" s="235"/>
      <c r="K312" s="235"/>
      <c r="L312" s="230"/>
      <c r="M312" s="434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  <c r="AJ312" s="229"/>
      <c r="AK312" s="229"/>
      <c r="AL312" s="229"/>
      <c r="AM312" s="229"/>
      <c r="AN312" s="229"/>
      <c r="AO312" s="229"/>
      <c r="AP312" s="229"/>
      <c r="AQ312" s="229"/>
      <c r="AR312" s="229"/>
      <c r="AS312" s="229"/>
      <c r="AT312" s="229"/>
      <c r="AU312" s="229"/>
      <c r="AV312" s="229"/>
      <c r="AW312" s="229"/>
      <c r="AX312" s="229"/>
      <c r="AY312" s="229"/>
      <c r="AZ312" s="229"/>
      <c r="BA312" s="229"/>
      <c r="BB312" s="229"/>
      <c r="BC312" s="229"/>
      <c r="BD312" s="229"/>
      <c r="BE312" s="229"/>
      <c r="BF312" s="229"/>
      <c r="BG312" s="229"/>
      <c r="BH312" s="229"/>
      <c r="BI312" s="229"/>
      <c r="BJ312" s="229"/>
      <c r="BK312" s="229"/>
      <c r="BL312" s="229"/>
      <c r="BM312" s="229"/>
      <c r="BN312" s="229"/>
      <c r="BO312" s="229"/>
      <c r="BP312" s="229"/>
      <c r="BQ312" s="229"/>
      <c r="BR312" s="229"/>
      <c r="BS312" s="229"/>
      <c r="BT312" s="229"/>
      <c r="BU312" s="229"/>
      <c r="BV312" s="229"/>
      <c r="BW312" s="229"/>
      <c r="BX312" s="229"/>
      <c r="BY312" s="229"/>
      <c r="BZ312" s="229"/>
      <c r="CA312" s="229"/>
    </row>
    <row r="313" spans="2:79" x14ac:dyDescent="0.25">
      <c r="B313" s="271"/>
      <c r="C313" s="272"/>
      <c r="D313" s="272"/>
      <c r="E313" s="554"/>
      <c r="F313" s="272"/>
      <c r="G313" s="235"/>
      <c r="H313" s="235"/>
      <c r="I313" s="235"/>
      <c r="J313" s="235"/>
      <c r="K313" s="235"/>
      <c r="L313" s="230"/>
      <c r="M313" s="434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  <c r="AJ313" s="229"/>
      <c r="AK313" s="229"/>
      <c r="AL313" s="229"/>
      <c r="AM313" s="229"/>
      <c r="AN313" s="229"/>
      <c r="AO313" s="229"/>
      <c r="AP313" s="229"/>
      <c r="AQ313" s="229"/>
      <c r="AR313" s="229"/>
      <c r="AS313" s="229"/>
      <c r="AT313" s="229"/>
      <c r="AU313" s="229"/>
      <c r="AV313" s="229"/>
      <c r="AW313" s="229"/>
      <c r="AX313" s="229"/>
      <c r="AY313" s="229"/>
      <c r="AZ313" s="229"/>
      <c r="BA313" s="229"/>
      <c r="BB313" s="229"/>
      <c r="BC313" s="229"/>
      <c r="BD313" s="229"/>
      <c r="BE313" s="229"/>
      <c r="BF313" s="229"/>
      <c r="BG313" s="229"/>
      <c r="BH313" s="229"/>
      <c r="BI313" s="229"/>
      <c r="BJ313" s="229"/>
      <c r="BK313" s="229"/>
      <c r="BL313" s="229"/>
      <c r="BM313" s="229"/>
      <c r="BN313" s="229"/>
      <c r="BO313" s="229"/>
      <c r="BP313" s="229"/>
      <c r="BQ313" s="229"/>
      <c r="BR313" s="229"/>
      <c r="BS313" s="229"/>
      <c r="BT313" s="229"/>
      <c r="BU313" s="229"/>
      <c r="BV313" s="229"/>
      <c r="BW313" s="229"/>
      <c r="BX313" s="229"/>
      <c r="BY313" s="229"/>
      <c r="BZ313" s="229"/>
      <c r="CA313" s="229"/>
    </row>
    <row r="314" spans="2:79" x14ac:dyDescent="0.25">
      <c r="B314" s="271"/>
      <c r="C314" s="272"/>
      <c r="D314" s="272"/>
      <c r="E314" s="554"/>
      <c r="F314" s="272"/>
      <c r="G314" s="235"/>
      <c r="H314" s="235"/>
      <c r="I314" s="235"/>
      <c r="J314" s="235"/>
      <c r="K314" s="235"/>
      <c r="L314" s="230"/>
      <c r="M314" s="434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  <c r="AJ314" s="229"/>
      <c r="AK314" s="229"/>
      <c r="AL314" s="229"/>
      <c r="AM314" s="229"/>
      <c r="AN314" s="229"/>
      <c r="AO314" s="229"/>
      <c r="AP314" s="229"/>
      <c r="AQ314" s="229"/>
      <c r="AR314" s="229"/>
      <c r="AS314" s="229"/>
      <c r="AT314" s="229"/>
      <c r="AU314" s="229"/>
      <c r="AV314" s="229"/>
      <c r="AW314" s="229"/>
      <c r="AX314" s="229"/>
      <c r="AY314" s="229"/>
      <c r="AZ314" s="229"/>
      <c r="BA314" s="229"/>
      <c r="BB314" s="229"/>
      <c r="BC314" s="229"/>
      <c r="BD314" s="229"/>
      <c r="BE314" s="229"/>
      <c r="BF314" s="229"/>
      <c r="BG314" s="229"/>
      <c r="BH314" s="229"/>
      <c r="BI314" s="229"/>
      <c r="BJ314" s="229"/>
      <c r="BK314" s="229"/>
      <c r="BL314" s="229"/>
      <c r="BM314" s="229"/>
      <c r="BN314" s="229"/>
      <c r="BO314" s="229"/>
      <c r="BP314" s="229"/>
      <c r="BQ314" s="229"/>
      <c r="BR314" s="229"/>
      <c r="BS314" s="229"/>
      <c r="BT314" s="229"/>
      <c r="BU314" s="229"/>
      <c r="BV314" s="229"/>
      <c r="BW314" s="229"/>
      <c r="BX314" s="229"/>
      <c r="BY314" s="229"/>
      <c r="BZ314" s="229"/>
      <c r="CA314" s="229"/>
    </row>
    <row r="315" spans="2:79" x14ac:dyDescent="0.25">
      <c r="B315" s="271"/>
      <c r="C315" s="272"/>
      <c r="D315" s="272"/>
      <c r="E315" s="554"/>
      <c r="F315" s="272"/>
      <c r="G315" s="235"/>
      <c r="H315" s="235"/>
      <c r="I315" s="235"/>
      <c r="J315" s="235"/>
      <c r="K315" s="235"/>
      <c r="L315" s="230"/>
      <c r="M315" s="434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  <c r="AJ315" s="229"/>
      <c r="AK315" s="229"/>
      <c r="AL315" s="229"/>
      <c r="AM315" s="229"/>
      <c r="AN315" s="229"/>
      <c r="AO315" s="229"/>
      <c r="AP315" s="229"/>
      <c r="AQ315" s="229"/>
      <c r="AR315" s="229"/>
      <c r="AS315" s="229"/>
      <c r="AT315" s="229"/>
      <c r="AU315" s="229"/>
      <c r="AV315" s="229"/>
      <c r="AW315" s="229"/>
      <c r="AX315" s="229"/>
      <c r="AY315" s="229"/>
      <c r="AZ315" s="229"/>
      <c r="BA315" s="229"/>
      <c r="BB315" s="229"/>
      <c r="BC315" s="229"/>
      <c r="BD315" s="229"/>
      <c r="BE315" s="229"/>
      <c r="BF315" s="229"/>
      <c r="BG315" s="229"/>
      <c r="BH315" s="229"/>
      <c r="BI315" s="229"/>
      <c r="BJ315" s="229"/>
      <c r="BK315" s="229"/>
      <c r="BL315" s="229"/>
      <c r="BM315" s="229"/>
      <c r="BN315" s="229"/>
      <c r="BO315" s="229"/>
      <c r="BP315" s="229"/>
      <c r="BQ315" s="229"/>
      <c r="BR315" s="229"/>
      <c r="BS315" s="229"/>
      <c r="BT315" s="229"/>
      <c r="BU315" s="229"/>
      <c r="BV315" s="229"/>
      <c r="BW315" s="229"/>
      <c r="BX315" s="229"/>
      <c r="BY315" s="229"/>
      <c r="BZ315" s="229"/>
      <c r="CA315" s="229"/>
    </row>
    <row r="316" spans="2:79" x14ac:dyDescent="0.25">
      <c r="B316" s="271"/>
      <c r="C316" s="272"/>
      <c r="D316" s="272"/>
      <c r="E316" s="554"/>
      <c r="F316" s="272"/>
      <c r="G316" s="235"/>
      <c r="H316" s="235"/>
      <c r="I316" s="235"/>
      <c r="J316" s="235"/>
      <c r="K316" s="235"/>
      <c r="L316" s="230"/>
      <c r="M316" s="434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  <c r="AJ316" s="229"/>
      <c r="AK316" s="229"/>
      <c r="AL316" s="229"/>
      <c r="AM316" s="229"/>
      <c r="AN316" s="229"/>
      <c r="AO316" s="229"/>
      <c r="AP316" s="229"/>
      <c r="AQ316" s="229"/>
      <c r="AR316" s="229"/>
      <c r="AS316" s="229"/>
      <c r="AT316" s="229"/>
      <c r="AU316" s="229"/>
      <c r="AV316" s="229"/>
      <c r="AW316" s="229"/>
      <c r="AX316" s="229"/>
      <c r="AY316" s="229"/>
      <c r="AZ316" s="229"/>
      <c r="BA316" s="229"/>
      <c r="BB316" s="229"/>
      <c r="BC316" s="229"/>
      <c r="BD316" s="229"/>
      <c r="BE316" s="229"/>
      <c r="BF316" s="229"/>
      <c r="BG316" s="229"/>
      <c r="BH316" s="229"/>
      <c r="BI316" s="229"/>
      <c r="BJ316" s="229"/>
      <c r="BK316" s="229"/>
      <c r="BL316" s="229"/>
      <c r="BM316" s="229"/>
      <c r="BN316" s="229"/>
      <c r="BO316" s="229"/>
      <c r="BP316" s="229"/>
      <c r="BQ316" s="229"/>
      <c r="BR316" s="229"/>
      <c r="BS316" s="229"/>
      <c r="BT316" s="229"/>
      <c r="BU316" s="229"/>
      <c r="BV316" s="229"/>
      <c r="BW316" s="229"/>
      <c r="BX316" s="229"/>
      <c r="BY316" s="229"/>
      <c r="BZ316" s="229"/>
      <c r="CA316" s="229"/>
    </row>
    <row r="317" spans="2:79" x14ac:dyDescent="0.25">
      <c r="B317" s="271"/>
      <c r="C317" s="272"/>
      <c r="D317" s="272"/>
      <c r="E317" s="554"/>
      <c r="F317" s="272"/>
      <c r="G317" s="235"/>
      <c r="H317" s="235"/>
      <c r="I317" s="235"/>
      <c r="J317" s="235"/>
      <c r="K317" s="235"/>
      <c r="L317" s="230"/>
      <c r="M317" s="434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  <c r="AJ317" s="229"/>
      <c r="AK317" s="229"/>
      <c r="AL317" s="229"/>
      <c r="AM317" s="229"/>
      <c r="AN317" s="229"/>
      <c r="AO317" s="229"/>
      <c r="AP317" s="229"/>
      <c r="AQ317" s="229"/>
      <c r="AR317" s="229"/>
      <c r="AS317" s="229"/>
      <c r="AT317" s="229"/>
      <c r="AU317" s="229"/>
      <c r="AV317" s="229"/>
      <c r="AW317" s="229"/>
      <c r="AX317" s="229"/>
      <c r="AY317" s="229"/>
      <c r="AZ317" s="229"/>
      <c r="BA317" s="229"/>
      <c r="BB317" s="229"/>
      <c r="BC317" s="229"/>
      <c r="BD317" s="229"/>
      <c r="BE317" s="229"/>
      <c r="BF317" s="229"/>
      <c r="BG317" s="229"/>
      <c r="BH317" s="229"/>
      <c r="BI317" s="229"/>
      <c r="BJ317" s="229"/>
      <c r="BK317" s="229"/>
      <c r="BL317" s="229"/>
      <c r="BM317" s="229"/>
      <c r="BN317" s="229"/>
      <c r="BO317" s="229"/>
      <c r="BP317" s="229"/>
      <c r="BQ317" s="229"/>
      <c r="BR317" s="229"/>
      <c r="BS317" s="229"/>
      <c r="BT317" s="229"/>
      <c r="BU317" s="229"/>
      <c r="BV317" s="229"/>
      <c r="BW317" s="229"/>
      <c r="BX317" s="229"/>
      <c r="BY317" s="229"/>
      <c r="BZ317" s="229"/>
      <c r="CA317" s="229"/>
    </row>
    <row r="318" spans="2:79" x14ac:dyDescent="0.25">
      <c r="B318" s="271"/>
      <c r="C318" s="272"/>
      <c r="D318" s="272"/>
      <c r="E318" s="554"/>
      <c r="F318" s="272"/>
      <c r="G318" s="235"/>
      <c r="H318" s="235"/>
      <c r="I318" s="235"/>
      <c r="J318" s="235"/>
      <c r="K318" s="235"/>
      <c r="L318" s="230"/>
      <c r="M318" s="434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  <c r="AJ318" s="229"/>
      <c r="AK318" s="229"/>
      <c r="AL318" s="229"/>
      <c r="AM318" s="229"/>
      <c r="AN318" s="229"/>
      <c r="AO318" s="229"/>
      <c r="AP318" s="229"/>
      <c r="AQ318" s="229"/>
      <c r="AR318" s="229"/>
      <c r="AS318" s="229"/>
      <c r="AT318" s="229"/>
      <c r="AU318" s="229"/>
      <c r="AV318" s="229"/>
      <c r="AW318" s="229"/>
      <c r="AX318" s="229"/>
      <c r="AY318" s="229"/>
      <c r="AZ318" s="229"/>
      <c r="BA318" s="229"/>
      <c r="BB318" s="229"/>
      <c r="BC318" s="229"/>
      <c r="BD318" s="229"/>
      <c r="BE318" s="229"/>
      <c r="BF318" s="229"/>
      <c r="BG318" s="229"/>
      <c r="BH318" s="229"/>
      <c r="BI318" s="229"/>
      <c r="BJ318" s="229"/>
      <c r="BK318" s="229"/>
      <c r="BL318" s="229"/>
      <c r="BM318" s="229"/>
      <c r="BN318" s="229"/>
      <c r="BO318" s="229"/>
      <c r="BP318" s="229"/>
      <c r="BQ318" s="229"/>
      <c r="BR318" s="229"/>
      <c r="BS318" s="229"/>
      <c r="BT318" s="229"/>
      <c r="BU318" s="229"/>
      <c r="BV318" s="229"/>
      <c r="BW318" s="229"/>
      <c r="BX318" s="229"/>
      <c r="BY318" s="229"/>
      <c r="BZ318" s="229"/>
      <c r="CA318" s="229"/>
    </row>
    <row r="319" spans="2:79" x14ac:dyDescent="0.25">
      <c r="B319" s="271"/>
      <c r="C319" s="272"/>
      <c r="D319" s="272"/>
      <c r="E319" s="554"/>
      <c r="F319" s="272"/>
      <c r="G319" s="235"/>
      <c r="H319" s="235"/>
      <c r="I319" s="235"/>
      <c r="J319" s="235"/>
      <c r="K319" s="235"/>
      <c r="L319" s="230"/>
      <c r="M319" s="434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  <c r="AJ319" s="229"/>
      <c r="AK319" s="229"/>
      <c r="AL319" s="229"/>
      <c r="AM319" s="229"/>
      <c r="AN319" s="229"/>
      <c r="AO319" s="229"/>
      <c r="AP319" s="229"/>
      <c r="AQ319" s="229"/>
      <c r="AR319" s="229"/>
      <c r="AS319" s="229"/>
      <c r="AT319" s="229"/>
      <c r="AU319" s="229"/>
      <c r="AV319" s="229"/>
      <c r="AW319" s="229"/>
      <c r="AX319" s="229"/>
      <c r="AY319" s="229"/>
      <c r="AZ319" s="229"/>
      <c r="BA319" s="229"/>
      <c r="BB319" s="229"/>
      <c r="BC319" s="229"/>
      <c r="BD319" s="229"/>
      <c r="BE319" s="229"/>
      <c r="BF319" s="229"/>
      <c r="BG319" s="229"/>
      <c r="BH319" s="229"/>
      <c r="BI319" s="229"/>
      <c r="BJ319" s="229"/>
      <c r="BK319" s="229"/>
      <c r="BL319" s="229"/>
      <c r="BM319" s="229"/>
      <c r="BN319" s="229"/>
      <c r="BO319" s="229"/>
      <c r="BP319" s="229"/>
      <c r="BQ319" s="229"/>
      <c r="BR319" s="229"/>
      <c r="BS319" s="229"/>
      <c r="BT319" s="229"/>
      <c r="BU319" s="229"/>
      <c r="BV319" s="229"/>
      <c r="BW319" s="229"/>
      <c r="BX319" s="229"/>
      <c r="BY319" s="229"/>
      <c r="BZ319" s="229"/>
      <c r="CA319" s="229"/>
    </row>
    <row r="320" spans="2:79" x14ac:dyDescent="0.25">
      <c r="B320" s="239"/>
      <c r="C320" s="214"/>
      <c r="D320" s="214"/>
      <c r="E320" s="229"/>
      <c r="F320" s="214"/>
      <c r="G320" s="214"/>
      <c r="H320" s="214"/>
      <c r="I320" s="229"/>
      <c r="J320" s="214"/>
      <c r="K320" s="214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  <c r="AJ320" s="229"/>
      <c r="AK320" s="229"/>
      <c r="AL320" s="229"/>
      <c r="AM320" s="229"/>
      <c r="AN320" s="229"/>
      <c r="AO320" s="229"/>
      <c r="AP320" s="229"/>
      <c r="AQ320" s="229"/>
      <c r="AR320" s="229"/>
      <c r="AS320" s="229"/>
      <c r="AT320" s="229"/>
      <c r="AU320" s="229"/>
      <c r="AV320" s="229"/>
      <c r="AW320" s="229"/>
      <c r="AX320" s="229"/>
      <c r="AY320" s="229"/>
      <c r="AZ320" s="229"/>
      <c r="BA320" s="229"/>
      <c r="BB320" s="229"/>
      <c r="BC320" s="229"/>
      <c r="BD320" s="229"/>
      <c r="BE320" s="229"/>
      <c r="BF320" s="229"/>
      <c r="BG320" s="229"/>
      <c r="BH320" s="229"/>
      <c r="BI320" s="229"/>
      <c r="BJ320" s="229"/>
      <c r="BK320" s="229"/>
      <c r="BL320" s="229"/>
      <c r="BM320" s="229"/>
      <c r="BN320" s="229"/>
      <c r="BO320" s="229"/>
      <c r="BP320" s="229"/>
      <c r="BQ320" s="229"/>
      <c r="BR320" s="229"/>
      <c r="BS320" s="229"/>
      <c r="BT320" s="229"/>
      <c r="BU320" s="229"/>
      <c r="BV320" s="229"/>
      <c r="BW320" s="229"/>
      <c r="BX320" s="229"/>
      <c r="BY320" s="229"/>
      <c r="BZ320" s="229"/>
      <c r="CA320" s="229"/>
    </row>
    <row r="321" spans="2:79" x14ac:dyDescent="0.25">
      <c r="B321" s="239"/>
      <c r="C321" s="214"/>
      <c r="D321" s="214"/>
      <c r="E321" s="229"/>
      <c r="F321" s="214"/>
      <c r="G321" s="214"/>
      <c r="H321" s="214"/>
      <c r="I321" s="229"/>
      <c r="J321" s="214"/>
      <c r="K321" s="214"/>
      <c r="M321" s="432">
        <f>SUM(M13:M320)</f>
        <v>0</v>
      </c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  <c r="AJ321" s="229"/>
      <c r="AK321" s="229"/>
      <c r="AL321" s="229"/>
      <c r="AM321" s="229"/>
      <c r="AN321" s="229"/>
      <c r="AO321" s="229"/>
      <c r="AP321" s="229"/>
      <c r="AQ321" s="229"/>
      <c r="AR321" s="229"/>
      <c r="AS321" s="229"/>
      <c r="AT321" s="229"/>
      <c r="AU321" s="229"/>
      <c r="AV321" s="229"/>
      <c r="AW321" s="229"/>
      <c r="AX321" s="229"/>
      <c r="AY321" s="229"/>
      <c r="AZ321" s="229"/>
      <c r="BA321" s="229"/>
      <c r="BB321" s="229"/>
      <c r="BC321" s="229"/>
      <c r="BD321" s="229"/>
      <c r="BE321" s="229"/>
      <c r="BF321" s="229"/>
      <c r="BG321" s="229"/>
      <c r="BH321" s="229"/>
      <c r="BI321" s="229"/>
      <c r="BJ321" s="229"/>
      <c r="BK321" s="229"/>
      <c r="BL321" s="229"/>
      <c r="BM321" s="229"/>
      <c r="BN321" s="229"/>
      <c r="BO321" s="229"/>
      <c r="BP321" s="229"/>
      <c r="BQ321" s="229"/>
      <c r="BR321" s="229"/>
      <c r="BS321" s="229"/>
      <c r="BT321" s="229"/>
      <c r="BU321" s="229"/>
      <c r="BV321" s="229"/>
      <c r="BW321" s="229"/>
      <c r="BX321" s="229"/>
      <c r="BY321" s="229"/>
      <c r="BZ321" s="229"/>
      <c r="CA321" s="229"/>
    </row>
    <row r="322" spans="2:79" ht="14.5" x14ac:dyDescent="0.35">
      <c r="B322" s="239"/>
      <c r="C322" s="240"/>
      <c r="D322" s="241"/>
      <c r="E322" s="526"/>
      <c r="F322" s="242" t="str">
        <f>List!$B$95&amp;" "</f>
        <v xml:space="preserve">Cena celkem bez DPH </v>
      </c>
      <c r="G322" s="639" t="str">
        <f>List!B96&amp;"   "&amp;TEXT(M321,"# ##0,00")&amp;" "</f>
        <v xml:space="preserve">Kč   0,00 </v>
      </c>
      <c r="H322" s="639"/>
      <c r="I322" s="229"/>
      <c r="J322" s="214"/>
      <c r="K322" s="214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  <c r="AJ322" s="229"/>
      <c r="AK322" s="229"/>
      <c r="AL322" s="229"/>
      <c r="AM322" s="229"/>
      <c r="AN322" s="229"/>
      <c r="AO322" s="229"/>
      <c r="AP322" s="229"/>
      <c r="AQ322" s="229"/>
      <c r="AR322" s="229"/>
      <c r="AS322" s="229"/>
      <c r="AT322" s="229"/>
      <c r="AU322" s="229"/>
      <c r="AV322" s="229"/>
      <c r="AW322" s="229"/>
      <c r="AX322" s="229"/>
      <c r="AY322" s="229"/>
      <c r="AZ322" s="229"/>
      <c r="BA322" s="229"/>
      <c r="BB322" s="229"/>
      <c r="BC322" s="229"/>
      <c r="BD322" s="229"/>
      <c r="BE322" s="229"/>
      <c r="BF322" s="229"/>
      <c r="BG322" s="229"/>
      <c r="BH322" s="229"/>
      <c r="BI322" s="229"/>
      <c r="BJ322" s="229"/>
      <c r="BK322" s="229"/>
      <c r="BL322" s="229"/>
      <c r="BM322" s="229"/>
      <c r="BN322" s="229"/>
      <c r="BO322" s="229"/>
      <c r="BP322" s="229"/>
      <c r="BQ322" s="229"/>
      <c r="BR322" s="229"/>
      <c r="BS322" s="229"/>
      <c r="BT322" s="229"/>
      <c r="BU322" s="229"/>
      <c r="BV322" s="229"/>
      <c r="BW322" s="229"/>
      <c r="BX322" s="229"/>
      <c r="BY322" s="229"/>
      <c r="BZ322" s="229"/>
      <c r="CA322" s="229"/>
    </row>
    <row r="323" spans="2:79" x14ac:dyDescent="0.25">
      <c r="B323" s="239"/>
      <c r="C323" s="214"/>
      <c r="D323" s="214"/>
      <c r="E323" s="229"/>
      <c r="F323" s="214"/>
      <c r="G323" s="214"/>
      <c r="H323" s="214"/>
      <c r="I323" s="229"/>
      <c r="J323" s="214"/>
      <c r="K323" s="214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  <c r="AJ323" s="229"/>
      <c r="AK323" s="229"/>
      <c r="AL323" s="229"/>
      <c r="AM323" s="229"/>
      <c r="AN323" s="229"/>
      <c r="AO323" s="229"/>
      <c r="AP323" s="229"/>
      <c r="AQ323" s="229"/>
      <c r="AR323" s="229"/>
      <c r="AS323" s="229"/>
      <c r="AT323" s="229"/>
      <c r="AU323" s="229"/>
      <c r="AV323" s="229"/>
      <c r="AW323" s="229"/>
      <c r="AX323" s="229"/>
      <c r="AY323" s="229"/>
      <c r="AZ323" s="229"/>
      <c r="BA323" s="229"/>
      <c r="BB323" s="229"/>
      <c r="BC323" s="229"/>
      <c r="BD323" s="229"/>
      <c r="BE323" s="229"/>
      <c r="BF323" s="229"/>
      <c r="BG323" s="229"/>
      <c r="BH323" s="229"/>
      <c r="BI323" s="229"/>
      <c r="BJ323" s="229"/>
      <c r="BK323" s="229"/>
      <c r="BL323" s="229"/>
      <c r="BM323" s="229"/>
      <c r="BN323" s="229"/>
      <c r="BO323" s="229"/>
      <c r="BP323" s="229"/>
      <c r="BQ323" s="229"/>
      <c r="BR323" s="229"/>
      <c r="BS323" s="229"/>
      <c r="BT323" s="229"/>
      <c r="BU323" s="229"/>
      <c r="BV323" s="229"/>
      <c r="BW323" s="229"/>
      <c r="BX323" s="229"/>
      <c r="BY323" s="229"/>
      <c r="BZ323" s="229"/>
      <c r="CA323" s="229"/>
    </row>
    <row r="324" spans="2:79" x14ac:dyDescent="0.25">
      <c r="B324" s="14" t="str">
        <f>List!$B$219&amp;":"</f>
        <v>Poznámka:</v>
      </c>
      <c r="C324" s="214"/>
      <c r="D324" s="214"/>
      <c r="E324" s="229"/>
      <c r="F324" s="214"/>
      <c r="G324" s="214"/>
      <c r="H324" s="214"/>
      <c r="I324" s="229"/>
      <c r="J324" s="214"/>
      <c r="K324" s="214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  <c r="AJ324" s="229"/>
      <c r="AK324" s="229"/>
      <c r="AL324" s="229"/>
      <c r="AM324" s="229"/>
      <c r="AN324" s="229"/>
      <c r="AO324" s="229"/>
      <c r="AP324" s="229"/>
      <c r="AQ324" s="229"/>
      <c r="AR324" s="229"/>
      <c r="AS324" s="229"/>
      <c r="AT324" s="229"/>
      <c r="AU324" s="229"/>
      <c r="AV324" s="229"/>
      <c r="AW324" s="229"/>
      <c r="AX324" s="229"/>
      <c r="AY324" s="229"/>
      <c r="AZ324" s="229"/>
      <c r="BA324" s="229"/>
      <c r="BB324" s="229"/>
      <c r="BC324" s="229"/>
      <c r="BD324" s="229"/>
      <c r="BE324" s="229"/>
      <c r="BF324" s="229"/>
      <c r="BG324" s="229"/>
      <c r="BH324" s="229"/>
      <c r="BI324" s="229"/>
      <c r="BJ324" s="229"/>
      <c r="BK324" s="229"/>
      <c r="BL324" s="229"/>
      <c r="BM324" s="229"/>
      <c r="BN324" s="229"/>
      <c r="BO324" s="229"/>
      <c r="BP324" s="229"/>
      <c r="BQ324" s="229"/>
      <c r="BR324" s="229"/>
      <c r="BS324" s="229"/>
      <c r="BT324" s="229"/>
      <c r="BU324" s="229"/>
      <c r="BV324" s="229"/>
      <c r="BW324" s="229"/>
      <c r="BX324" s="229"/>
      <c r="BY324" s="229"/>
      <c r="BZ324" s="229"/>
      <c r="CA324" s="229"/>
    </row>
    <row r="325" spans="2:79" s="214" customFormat="1" ht="11.5" x14ac:dyDescent="0.25">
      <c r="B325" s="636"/>
      <c r="C325" s="636"/>
      <c r="D325" s="636"/>
      <c r="E325" s="636"/>
      <c r="F325" s="636"/>
      <c r="G325" s="636"/>
      <c r="H325" s="636"/>
      <c r="I325" s="636"/>
      <c r="J325" s="636"/>
      <c r="K325" s="636"/>
      <c r="M325" s="432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  <c r="AJ325" s="229"/>
      <c r="AK325" s="229"/>
      <c r="AL325" s="229"/>
      <c r="AM325" s="229"/>
      <c r="AN325" s="229"/>
      <c r="AO325" s="229"/>
      <c r="AP325" s="229"/>
      <c r="AQ325" s="229"/>
      <c r="AR325" s="229"/>
      <c r="AS325" s="229"/>
      <c r="AT325" s="229"/>
      <c r="AU325" s="229"/>
      <c r="AV325" s="229"/>
      <c r="AW325" s="229"/>
      <c r="AX325" s="229"/>
      <c r="AY325" s="229"/>
      <c r="AZ325" s="229"/>
      <c r="BA325" s="229"/>
      <c r="BB325" s="229"/>
      <c r="BC325" s="229"/>
      <c r="BD325" s="229"/>
      <c r="BE325" s="229"/>
      <c r="BF325" s="229"/>
      <c r="BG325" s="229"/>
      <c r="BH325" s="229"/>
      <c r="BI325" s="229"/>
      <c r="BJ325" s="229"/>
      <c r="BK325" s="229"/>
      <c r="BL325" s="229"/>
      <c r="BM325" s="229"/>
      <c r="BN325" s="229"/>
      <c r="BO325" s="229"/>
      <c r="BP325" s="229"/>
      <c r="BQ325" s="229"/>
      <c r="BR325" s="229"/>
      <c r="BS325" s="229"/>
      <c r="BT325" s="229"/>
      <c r="BU325" s="229"/>
      <c r="BV325" s="229"/>
      <c r="BW325" s="229"/>
      <c r="BX325" s="229"/>
      <c r="BY325" s="229"/>
      <c r="BZ325" s="229"/>
      <c r="CA325" s="229"/>
    </row>
    <row r="326" spans="2:79" s="214" customFormat="1" ht="11.5" x14ac:dyDescent="0.25">
      <c r="B326" s="636"/>
      <c r="C326" s="636"/>
      <c r="D326" s="636"/>
      <c r="E326" s="636"/>
      <c r="F326" s="636"/>
      <c r="G326" s="636"/>
      <c r="H326" s="636"/>
      <c r="I326" s="636"/>
      <c r="J326" s="636"/>
      <c r="K326" s="636"/>
      <c r="M326" s="432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  <c r="AJ326" s="229"/>
      <c r="AK326" s="229"/>
      <c r="AL326" s="229"/>
      <c r="AM326" s="229"/>
      <c r="AN326" s="229"/>
      <c r="AO326" s="229"/>
      <c r="AP326" s="229"/>
      <c r="AQ326" s="229"/>
      <c r="AR326" s="229"/>
      <c r="AS326" s="229"/>
      <c r="AT326" s="229"/>
      <c r="AU326" s="229"/>
      <c r="AV326" s="229"/>
      <c r="AW326" s="229"/>
      <c r="AX326" s="229"/>
      <c r="AY326" s="229"/>
      <c r="AZ326" s="229"/>
      <c r="BA326" s="229"/>
      <c r="BB326" s="229"/>
      <c r="BC326" s="229"/>
      <c r="BD326" s="229"/>
      <c r="BE326" s="229"/>
      <c r="BF326" s="229"/>
      <c r="BG326" s="229"/>
      <c r="BH326" s="229"/>
      <c r="BI326" s="229"/>
      <c r="BJ326" s="229"/>
      <c r="BK326" s="229"/>
      <c r="BL326" s="229"/>
      <c r="BM326" s="229"/>
      <c r="BN326" s="229"/>
      <c r="BO326" s="229"/>
      <c r="BP326" s="229"/>
      <c r="BQ326" s="229"/>
      <c r="BR326" s="229"/>
      <c r="BS326" s="229"/>
      <c r="BT326" s="229"/>
      <c r="BU326" s="229"/>
      <c r="BV326" s="229"/>
      <c r="BW326" s="229"/>
      <c r="BX326" s="229"/>
      <c r="BY326" s="229"/>
      <c r="BZ326" s="229"/>
      <c r="CA326" s="229"/>
    </row>
    <row r="327" spans="2:79" s="214" customFormat="1" ht="11.5" x14ac:dyDescent="0.25">
      <c r="B327" s="636"/>
      <c r="C327" s="636"/>
      <c r="D327" s="636"/>
      <c r="E327" s="636"/>
      <c r="F327" s="636"/>
      <c r="G327" s="636"/>
      <c r="H327" s="636"/>
      <c r="I327" s="636"/>
      <c r="J327" s="636"/>
      <c r="K327" s="636"/>
      <c r="M327" s="432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  <c r="AJ327" s="229"/>
      <c r="AK327" s="229"/>
      <c r="AL327" s="229"/>
      <c r="AM327" s="229"/>
      <c r="AN327" s="229"/>
      <c r="AO327" s="229"/>
      <c r="AP327" s="229"/>
      <c r="AQ327" s="229"/>
      <c r="AR327" s="229"/>
      <c r="AS327" s="229"/>
      <c r="AT327" s="229"/>
      <c r="AU327" s="229"/>
      <c r="AV327" s="229"/>
      <c r="AW327" s="229"/>
      <c r="AX327" s="229"/>
      <c r="AY327" s="229"/>
      <c r="AZ327" s="229"/>
      <c r="BA327" s="229"/>
      <c r="BB327" s="229"/>
      <c r="BC327" s="229"/>
      <c r="BD327" s="229"/>
      <c r="BE327" s="229"/>
      <c r="BF327" s="229"/>
      <c r="BG327" s="229"/>
      <c r="BH327" s="229"/>
      <c r="BI327" s="229"/>
      <c r="BJ327" s="229"/>
      <c r="BK327" s="229"/>
      <c r="BL327" s="229"/>
      <c r="BM327" s="229"/>
      <c r="BN327" s="229"/>
      <c r="BO327" s="229"/>
      <c r="BP327" s="229"/>
      <c r="BQ327" s="229"/>
      <c r="BR327" s="229"/>
      <c r="BS327" s="229"/>
      <c r="BT327" s="229"/>
      <c r="BU327" s="229"/>
      <c r="BV327" s="229"/>
      <c r="BW327" s="229"/>
      <c r="BX327" s="229"/>
      <c r="BY327" s="229"/>
      <c r="BZ327" s="229"/>
      <c r="CA327" s="229"/>
    </row>
    <row r="328" spans="2:79" s="214" customFormat="1" ht="11.5" x14ac:dyDescent="0.25">
      <c r="E328" s="229"/>
      <c r="I328" s="229"/>
      <c r="M328" s="432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  <c r="AJ328" s="229"/>
      <c r="AK328" s="229"/>
      <c r="AL328" s="229"/>
      <c r="AM328" s="229"/>
      <c r="AN328" s="229"/>
      <c r="AO328" s="229"/>
      <c r="AP328" s="229"/>
      <c r="AQ328" s="229"/>
      <c r="AR328" s="229"/>
      <c r="AS328" s="229"/>
      <c r="AT328" s="229"/>
      <c r="AU328" s="229"/>
      <c r="AV328" s="229"/>
      <c r="AW328" s="229"/>
      <c r="AX328" s="229"/>
      <c r="AY328" s="229"/>
      <c r="AZ328" s="229"/>
      <c r="BA328" s="229"/>
      <c r="BB328" s="229"/>
      <c r="BC328" s="229"/>
      <c r="BD328" s="229"/>
      <c r="BE328" s="229"/>
      <c r="BF328" s="229"/>
      <c r="BG328" s="229"/>
      <c r="BH328" s="229"/>
      <c r="BI328" s="229"/>
      <c r="BJ328" s="229"/>
      <c r="BK328" s="229"/>
      <c r="BL328" s="229"/>
      <c r="BM328" s="229"/>
      <c r="BN328" s="229"/>
      <c r="BO328" s="229"/>
      <c r="BP328" s="229"/>
      <c r="BQ328" s="229"/>
      <c r="BR328" s="229"/>
      <c r="BS328" s="229"/>
      <c r="BT328" s="229"/>
      <c r="BU328" s="229"/>
      <c r="BV328" s="229"/>
      <c r="BW328" s="229"/>
      <c r="BX328" s="229"/>
      <c r="BY328" s="229"/>
      <c r="BZ328" s="229"/>
      <c r="CA328" s="229"/>
    </row>
    <row r="329" spans="2:79" s="214" customFormat="1" ht="11.5" x14ac:dyDescent="0.25">
      <c r="B329" s="243"/>
      <c r="E329" s="229"/>
      <c r="I329" s="229"/>
      <c r="M329" s="432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  <c r="AJ329" s="229"/>
      <c r="AK329" s="229"/>
      <c r="AL329" s="229"/>
      <c r="AM329" s="229"/>
      <c r="AN329" s="229"/>
      <c r="AO329" s="229"/>
      <c r="AP329" s="229"/>
      <c r="AQ329" s="229"/>
      <c r="AR329" s="229"/>
      <c r="AS329" s="229"/>
      <c r="AT329" s="229"/>
      <c r="AU329" s="229"/>
      <c r="AV329" s="229"/>
      <c r="AW329" s="229"/>
      <c r="AX329" s="229"/>
      <c r="AY329" s="229"/>
      <c r="AZ329" s="229"/>
      <c r="BA329" s="229"/>
      <c r="BB329" s="229"/>
      <c r="BC329" s="229"/>
      <c r="BD329" s="229"/>
      <c r="BE329" s="229"/>
      <c r="BF329" s="229"/>
      <c r="BG329" s="229"/>
      <c r="BH329" s="229"/>
      <c r="BI329" s="229"/>
      <c r="BJ329" s="229"/>
      <c r="BK329" s="229"/>
      <c r="BL329" s="229"/>
      <c r="BM329" s="229"/>
      <c r="BN329" s="229"/>
      <c r="BO329" s="229"/>
      <c r="BP329" s="229"/>
      <c r="BQ329" s="229"/>
      <c r="BR329" s="229"/>
      <c r="BS329" s="229"/>
      <c r="BT329" s="229"/>
      <c r="BU329" s="229"/>
      <c r="BV329" s="229"/>
      <c r="BW329" s="229"/>
      <c r="BX329" s="229"/>
      <c r="BY329" s="229"/>
      <c r="BZ329" s="229"/>
      <c r="CA329" s="229"/>
    </row>
    <row r="330" spans="2:79" s="214" customFormat="1" ht="11.5" x14ac:dyDescent="0.25">
      <c r="E330" s="229"/>
      <c r="I330" s="229"/>
      <c r="M330" s="432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  <c r="AJ330" s="229"/>
      <c r="AK330" s="229"/>
      <c r="AL330" s="229"/>
      <c r="AM330" s="229"/>
      <c r="AN330" s="229"/>
      <c r="AO330" s="229"/>
      <c r="AP330" s="229"/>
      <c r="AQ330" s="229"/>
      <c r="AR330" s="229"/>
      <c r="AS330" s="229"/>
      <c r="AT330" s="229"/>
      <c r="AU330" s="229"/>
      <c r="AV330" s="229"/>
      <c r="AW330" s="229"/>
      <c r="AX330" s="229"/>
      <c r="AY330" s="229"/>
      <c r="AZ330" s="229"/>
      <c r="BA330" s="229"/>
      <c r="BB330" s="229"/>
      <c r="BC330" s="229"/>
      <c r="BD330" s="229"/>
      <c r="BE330" s="229"/>
      <c r="BF330" s="229"/>
      <c r="BG330" s="229"/>
      <c r="BH330" s="229"/>
      <c r="BI330" s="229"/>
      <c r="BJ330" s="229"/>
      <c r="BK330" s="229"/>
      <c r="BL330" s="229"/>
      <c r="BM330" s="229"/>
      <c r="BN330" s="229"/>
      <c r="BO330" s="229"/>
      <c r="BP330" s="229"/>
      <c r="BQ330" s="229"/>
      <c r="BR330" s="229"/>
      <c r="BS330" s="229"/>
      <c r="BT330" s="229"/>
      <c r="BU330" s="229"/>
      <c r="BV330" s="229"/>
      <c r="BW330" s="229"/>
      <c r="BX330" s="229"/>
      <c r="BY330" s="229"/>
      <c r="BZ330" s="229"/>
      <c r="CA330" s="229"/>
    </row>
    <row r="331" spans="2:79" s="214" customFormat="1" ht="11.5" x14ac:dyDescent="0.25">
      <c r="B331" s="214" t="str">
        <f>"       "&amp;List!$B$252</f>
        <v xml:space="preserve">       Po úpravě objenávky odfiltrujte pomocí filtru ve sloupci "Ks" prázné řádky.</v>
      </c>
      <c r="E331" s="229"/>
      <c r="I331" s="229"/>
      <c r="M331" s="432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  <c r="AJ331" s="229"/>
      <c r="AK331" s="229"/>
      <c r="AL331" s="229"/>
      <c r="AM331" s="229"/>
      <c r="AN331" s="229"/>
      <c r="AO331" s="229"/>
      <c r="AP331" s="229"/>
      <c r="AQ331" s="229"/>
      <c r="AR331" s="229"/>
      <c r="AS331" s="229"/>
      <c r="AT331" s="229"/>
      <c r="AU331" s="229"/>
      <c r="AV331" s="229"/>
      <c r="AW331" s="229"/>
      <c r="AX331" s="229"/>
      <c r="AY331" s="229"/>
      <c r="AZ331" s="229"/>
      <c r="BA331" s="229"/>
      <c r="BB331" s="229"/>
      <c r="BC331" s="229"/>
      <c r="BD331" s="229"/>
      <c r="BE331" s="229"/>
      <c r="BF331" s="229"/>
      <c r="BG331" s="229"/>
      <c r="BH331" s="229"/>
      <c r="BI331" s="229"/>
      <c r="BJ331" s="229"/>
      <c r="BK331" s="229"/>
      <c r="BL331" s="229"/>
      <c r="BM331" s="229"/>
      <c r="BN331" s="229"/>
      <c r="BO331" s="229"/>
      <c r="BP331" s="229"/>
      <c r="BQ331" s="229"/>
      <c r="BR331" s="229"/>
      <c r="BS331" s="229"/>
      <c r="BT331" s="229"/>
      <c r="BU331" s="229"/>
      <c r="BV331" s="229"/>
      <c r="BW331" s="229"/>
      <c r="BX331" s="229"/>
      <c r="BY331" s="229"/>
      <c r="BZ331" s="229"/>
      <c r="CA331" s="229"/>
    </row>
    <row r="332" spans="2:79" s="214" customFormat="1" ht="11.5" x14ac:dyDescent="0.25">
      <c r="E332" s="229"/>
      <c r="I332" s="229"/>
      <c r="M332" s="432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  <c r="AJ332" s="229"/>
      <c r="AK332" s="229"/>
      <c r="AL332" s="229"/>
      <c r="AM332" s="229"/>
      <c r="AN332" s="229"/>
      <c r="AO332" s="229"/>
      <c r="AP332" s="229"/>
      <c r="AQ332" s="229"/>
      <c r="AR332" s="229"/>
      <c r="AS332" s="229"/>
      <c r="AT332" s="229"/>
      <c r="AU332" s="229"/>
      <c r="AV332" s="229"/>
      <c r="AW332" s="229"/>
      <c r="AX332" s="229"/>
      <c r="AY332" s="229"/>
      <c r="AZ332" s="229"/>
      <c r="BA332" s="229"/>
      <c r="BB332" s="229"/>
      <c r="BC332" s="229"/>
      <c r="BD332" s="229"/>
      <c r="BE332" s="229"/>
      <c r="BF332" s="229"/>
      <c r="BG332" s="229"/>
      <c r="BH332" s="229"/>
      <c r="BI332" s="229"/>
      <c r="BJ332" s="229"/>
      <c r="BK332" s="229"/>
      <c r="BL332" s="229"/>
      <c r="BM332" s="229"/>
      <c r="BN332" s="229"/>
      <c r="BO332" s="229"/>
      <c r="BP332" s="229"/>
      <c r="BQ332" s="229"/>
      <c r="BR332" s="229"/>
      <c r="BS332" s="229"/>
      <c r="BT332" s="229"/>
      <c r="BU332" s="229"/>
      <c r="BV332" s="229"/>
      <c r="BW332" s="229"/>
      <c r="BX332" s="229"/>
      <c r="BY332" s="229"/>
      <c r="BZ332" s="229"/>
      <c r="CA332" s="229"/>
    </row>
    <row r="333" spans="2:79" s="214" customFormat="1" ht="11.5" x14ac:dyDescent="0.25">
      <c r="B333" s="214" t="str">
        <f>"       "&amp;List!$B$254&amp;" '"&amp;List!$B$256&amp;"'"</f>
        <v xml:space="preserve">       Chcete-li objednávku uložit nebo odeslat jako přílohu, vytvořte nový soubor kliknutím na odkaz 'Vytvořit objednávku'</v>
      </c>
      <c r="E333" s="229"/>
      <c r="I333" s="229"/>
      <c r="M333" s="432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  <c r="AJ333" s="229"/>
      <c r="AK333" s="229"/>
      <c r="AL333" s="229"/>
      <c r="AM333" s="229"/>
      <c r="AN333" s="229"/>
      <c r="AO333" s="229"/>
      <c r="AP333" s="229"/>
      <c r="AQ333" s="229"/>
      <c r="AR333" s="229"/>
      <c r="AS333" s="229"/>
      <c r="AT333" s="229"/>
      <c r="AU333" s="229"/>
      <c r="AV333" s="229"/>
      <c r="AW333" s="229"/>
      <c r="AX333" s="229"/>
      <c r="AY333" s="229"/>
      <c r="AZ333" s="229"/>
      <c r="BA333" s="229"/>
      <c r="BB333" s="229"/>
      <c r="BC333" s="229"/>
      <c r="BD333" s="229"/>
      <c r="BE333" s="229"/>
      <c r="BF333" s="229"/>
      <c r="BG333" s="229"/>
      <c r="BH333" s="229"/>
      <c r="BI333" s="229"/>
      <c r="BJ333" s="229"/>
      <c r="BK333" s="229"/>
      <c r="BL333" s="229"/>
      <c r="BM333" s="229"/>
      <c r="BN333" s="229"/>
      <c r="BO333" s="229"/>
      <c r="BP333" s="229"/>
      <c r="BQ333" s="229"/>
      <c r="BR333" s="229"/>
      <c r="BS333" s="229"/>
      <c r="BT333" s="229"/>
      <c r="BU333" s="229"/>
      <c r="BV333" s="229"/>
      <c r="BW333" s="229"/>
      <c r="BX333" s="229"/>
      <c r="BY333" s="229"/>
      <c r="BZ333" s="229"/>
      <c r="CA333" s="229"/>
    </row>
    <row r="334" spans="2:79" s="214" customFormat="1" ht="11.5" x14ac:dyDescent="0.25">
      <c r="E334" s="229"/>
      <c r="I334" s="229"/>
      <c r="M334" s="432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  <c r="AJ334" s="229"/>
      <c r="AK334" s="229"/>
      <c r="AL334" s="229"/>
      <c r="AM334" s="229"/>
      <c r="AN334" s="229"/>
      <c r="AO334" s="229"/>
      <c r="AP334" s="229"/>
      <c r="AQ334" s="229"/>
      <c r="AR334" s="229"/>
      <c r="AS334" s="229"/>
      <c r="AT334" s="229"/>
      <c r="AU334" s="229"/>
      <c r="AV334" s="229"/>
      <c r="AW334" s="229"/>
      <c r="AX334" s="229"/>
      <c r="AY334" s="229"/>
      <c r="AZ334" s="229"/>
      <c r="BA334" s="229"/>
      <c r="BB334" s="229"/>
      <c r="BC334" s="229"/>
      <c r="BD334" s="229"/>
      <c r="BE334" s="229"/>
      <c r="BF334" s="229"/>
      <c r="BG334" s="229"/>
      <c r="BH334" s="229"/>
      <c r="BI334" s="229"/>
      <c r="BJ334" s="229"/>
      <c r="BK334" s="229"/>
      <c r="BL334" s="229"/>
      <c r="BM334" s="229"/>
      <c r="BN334" s="229"/>
      <c r="BO334" s="229"/>
      <c r="BP334" s="229"/>
      <c r="BQ334" s="229"/>
      <c r="BR334" s="229"/>
      <c r="BS334" s="229"/>
      <c r="BT334" s="229"/>
      <c r="BU334" s="229"/>
      <c r="BV334" s="229"/>
      <c r="BW334" s="229"/>
      <c r="BX334" s="229"/>
      <c r="BY334" s="229"/>
      <c r="BZ334" s="229"/>
      <c r="CA334" s="229"/>
    </row>
    <row r="335" spans="2:79" s="214" customFormat="1" ht="11.5" x14ac:dyDescent="0.25">
      <c r="E335" s="229"/>
      <c r="I335" s="640" t="str">
        <f>List!B256</f>
        <v>Vytvořit objednávku</v>
      </c>
      <c r="J335" s="640"/>
      <c r="K335" s="640"/>
      <c r="M335" s="432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  <c r="AJ335" s="229"/>
      <c r="AK335" s="229"/>
      <c r="AL335" s="229"/>
      <c r="AM335" s="229"/>
      <c r="AN335" s="229"/>
      <c r="AO335" s="229"/>
      <c r="AP335" s="229"/>
      <c r="AQ335" s="229"/>
      <c r="AR335" s="229"/>
      <c r="AS335" s="229"/>
      <c r="AT335" s="229"/>
      <c r="AU335" s="229"/>
      <c r="AV335" s="229"/>
      <c r="AW335" s="229"/>
      <c r="AX335" s="229"/>
      <c r="AY335" s="229"/>
      <c r="AZ335" s="229"/>
      <c r="BA335" s="229"/>
      <c r="BB335" s="229"/>
      <c r="BC335" s="229"/>
      <c r="BD335" s="229"/>
      <c r="BE335" s="229"/>
      <c r="BF335" s="229"/>
      <c r="BG335" s="229"/>
      <c r="BH335" s="229"/>
      <c r="BI335" s="229"/>
      <c r="BJ335" s="229"/>
      <c r="BK335" s="229"/>
      <c r="BL335" s="229"/>
      <c r="BM335" s="229"/>
      <c r="BN335" s="229"/>
      <c r="BO335" s="229"/>
      <c r="BP335" s="229"/>
      <c r="BQ335" s="229"/>
      <c r="BR335" s="229"/>
      <c r="BS335" s="229"/>
      <c r="BT335" s="229"/>
      <c r="BU335" s="229"/>
      <c r="BV335" s="229"/>
      <c r="BW335" s="229"/>
      <c r="BX335" s="229"/>
      <c r="BY335" s="229"/>
      <c r="BZ335" s="229"/>
      <c r="CA335" s="229"/>
    </row>
    <row r="336" spans="2:79" s="214" customFormat="1" ht="11.5" x14ac:dyDescent="0.25">
      <c r="E336" s="229"/>
      <c r="I336" s="229"/>
      <c r="M336" s="432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  <c r="AJ336" s="229"/>
      <c r="AK336" s="229"/>
      <c r="AL336" s="229"/>
      <c r="AM336" s="229"/>
      <c r="AN336" s="229"/>
      <c r="AO336" s="229"/>
      <c r="AP336" s="229"/>
      <c r="AQ336" s="229"/>
      <c r="AR336" s="229"/>
      <c r="AS336" s="229"/>
      <c r="AT336" s="229"/>
      <c r="AU336" s="229"/>
      <c r="AV336" s="229"/>
      <c r="AW336" s="229"/>
      <c r="AX336" s="229"/>
      <c r="AY336" s="229"/>
      <c r="AZ336" s="229"/>
      <c r="BA336" s="229"/>
      <c r="BB336" s="229"/>
      <c r="BC336" s="229"/>
      <c r="BD336" s="229"/>
      <c r="BE336" s="229"/>
      <c r="BF336" s="229"/>
      <c r="BG336" s="229"/>
      <c r="BH336" s="229"/>
      <c r="BI336" s="229"/>
      <c r="BJ336" s="229"/>
      <c r="BK336" s="229"/>
      <c r="BL336" s="229"/>
      <c r="BM336" s="229"/>
      <c r="BN336" s="229"/>
      <c r="BO336" s="229"/>
      <c r="BP336" s="229"/>
      <c r="BQ336" s="229"/>
      <c r="BR336" s="229"/>
      <c r="BS336" s="229"/>
      <c r="BT336" s="229"/>
      <c r="BU336" s="229"/>
      <c r="BV336" s="229"/>
      <c r="BW336" s="229"/>
      <c r="BX336" s="229"/>
      <c r="BY336" s="229"/>
      <c r="BZ336" s="229"/>
      <c r="CA336" s="229"/>
    </row>
    <row r="337" spans="2:79" s="214" customFormat="1" ht="11.5" x14ac:dyDescent="0.25">
      <c r="E337" s="229"/>
      <c r="I337" s="229"/>
      <c r="M337" s="432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  <c r="AJ337" s="229"/>
      <c r="AK337" s="229"/>
      <c r="AL337" s="229"/>
      <c r="AM337" s="229"/>
      <c r="AN337" s="229"/>
      <c r="AO337" s="229"/>
      <c r="AP337" s="229"/>
      <c r="AQ337" s="229"/>
      <c r="AR337" s="229"/>
      <c r="AS337" s="229"/>
      <c r="AT337" s="229"/>
      <c r="AU337" s="229"/>
      <c r="AV337" s="229"/>
      <c r="AW337" s="229"/>
      <c r="AX337" s="229"/>
      <c r="AY337" s="229"/>
      <c r="AZ337" s="229"/>
      <c r="BA337" s="229"/>
      <c r="BB337" s="229"/>
      <c r="BC337" s="229"/>
      <c r="BD337" s="229"/>
      <c r="BE337" s="229"/>
      <c r="BF337" s="229"/>
      <c r="BG337" s="229"/>
      <c r="BH337" s="229"/>
      <c r="BI337" s="229"/>
      <c r="BJ337" s="229"/>
      <c r="BK337" s="229"/>
      <c r="BL337" s="229"/>
      <c r="BM337" s="229"/>
      <c r="BN337" s="229"/>
      <c r="BO337" s="229"/>
      <c r="BP337" s="229"/>
      <c r="BQ337" s="229"/>
      <c r="BR337" s="229"/>
      <c r="BS337" s="229"/>
      <c r="BT337" s="229"/>
      <c r="BU337" s="229"/>
      <c r="BV337" s="229"/>
      <c r="BW337" s="229"/>
      <c r="BX337" s="229"/>
      <c r="BY337" s="229"/>
      <c r="BZ337" s="229"/>
      <c r="CA337" s="229"/>
    </row>
    <row r="338" spans="2:79" s="214" customFormat="1" ht="11.5" x14ac:dyDescent="0.25">
      <c r="E338" s="229"/>
      <c r="I338" s="229"/>
      <c r="M338" s="432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  <c r="AJ338" s="229"/>
      <c r="AK338" s="229"/>
      <c r="AL338" s="229"/>
      <c r="AM338" s="229"/>
      <c r="AN338" s="229"/>
      <c r="AO338" s="229"/>
      <c r="AP338" s="229"/>
      <c r="AQ338" s="229"/>
      <c r="AR338" s="229"/>
      <c r="AS338" s="229"/>
      <c r="AT338" s="229"/>
      <c r="AU338" s="229"/>
      <c r="AV338" s="229"/>
      <c r="AW338" s="229"/>
      <c r="AX338" s="229"/>
      <c r="AY338" s="229"/>
      <c r="AZ338" s="229"/>
      <c r="BA338" s="229"/>
      <c r="BB338" s="229"/>
      <c r="BC338" s="229"/>
      <c r="BD338" s="229"/>
      <c r="BE338" s="229"/>
      <c r="BF338" s="229"/>
      <c r="BG338" s="229"/>
      <c r="BH338" s="229"/>
      <c r="BI338" s="229"/>
      <c r="BJ338" s="229"/>
      <c r="BK338" s="229"/>
      <c r="BL338" s="229"/>
      <c r="BM338" s="229"/>
      <c r="BN338" s="229"/>
      <c r="BO338" s="229"/>
      <c r="BP338" s="229"/>
      <c r="BQ338" s="229"/>
      <c r="BR338" s="229"/>
      <c r="BS338" s="229"/>
      <c r="BT338" s="229"/>
      <c r="BU338" s="229"/>
      <c r="BV338" s="229"/>
      <c r="BW338" s="229"/>
      <c r="BX338" s="229"/>
      <c r="BY338" s="229"/>
      <c r="BZ338" s="229"/>
      <c r="CA338" s="229"/>
    </row>
    <row r="339" spans="2:79" s="214" customFormat="1" ht="11.5" x14ac:dyDescent="0.25">
      <c r="E339" s="229"/>
      <c r="I339" s="229"/>
      <c r="M339" s="432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  <c r="AJ339" s="229"/>
      <c r="AK339" s="229"/>
      <c r="AL339" s="229"/>
      <c r="AM339" s="229"/>
      <c r="AN339" s="229"/>
      <c r="AO339" s="229"/>
      <c r="AP339" s="229"/>
      <c r="AQ339" s="229"/>
      <c r="AR339" s="229"/>
      <c r="AS339" s="229"/>
      <c r="AT339" s="229"/>
      <c r="AU339" s="229"/>
      <c r="AV339" s="229"/>
      <c r="AW339" s="229"/>
      <c r="AX339" s="229"/>
      <c r="AY339" s="229"/>
      <c r="AZ339" s="229"/>
      <c r="BA339" s="229"/>
      <c r="BB339" s="229"/>
      <c r="BC339" s="229"/>
      <c r="BD339" s="229"/>
      <c r="BE339" s="229"/>
      <c r="BF339" s="229"/>
      <c r="BG339" s="229"/>
      <c r="BH339" s="229"/>
      <c r="BI339" s="229"/>
      <c r="BJ339" s="229"/>
      <c r="BK339" s="229"/>
      <c r="BL339" s="229"/>
      <c r="BM339" s="229"/>
      <c r="BN339" s="229"/>
      <c r="BO339" s="229"/>
      <c r="BP339" s="229"/>
      <c r="BQ339" s="229"/>
      <c r="BR339" s="229"/>
      <c r="BS339" s="229"/>
      <c r="BT339" s="229"/>
      <c r="BU339" s="229"/>
      <c r="BV339" s="229"/>
      <c r="BW339" s="229"/>
      <c r="BX339" s="229"/>
      <c r="BY339" s="229"/>
      <c r="BZ339" s="229"/>
      <c r="CA339" s="229"/>
    </row>
    <row r="340" spans="2:79" s="214" customFormat="1" ht="11.5" x14ac:dyDescent="0.25">
      <c r="E340" s="229"/>
      <c r="I340" s="229"/>
      <c r="M340" s="432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  <c r="AJ340" s="229"/>
      <c r="AK340" s="229"/>
      <c r="AL340" s="229"/>
      <c r="AM340" s="229"/>
      <c r="AN340" s="229"/>
      <c r="AO340" s="229"/>
      <c r="AP340" s="229"/>
      <c r="AQ340" s="229"/>
      <c r="AR340" s="229"/>
      <c r="AS340" s="229"/>
      <c r="AT340" s="229"/>
      <c r="AU340" s="229"/>
      <c r="AV340" s="229"/>
      <c r="AW340" s="229"/>
      <c r="AX340" s="229"/>
      <c r="AY340" s="229"/>
      <c r="AZ340" s="229"/>
      <c r="BA340" s="229"/>
      <c r="BB340" s="229"/>
      <c r="BC340" s="229"/>
      <c r="BD340" s="229"/>
      <c r="BE340" s="229"/>
      <c r="BF340" s="229"/>
      <c r="BG340" s="229"/>
      <c r="BH340" s="229"/>
      <c r="BI340" s="229"/>
      <c r="BJ340" s="229"/>
      <c r="BK340" s="229"/>
      <c r="BL340" s="229"/>
      <c r="BM340" s="229"/>
      <c r="BN340" s="229"/>
      <c r="BO340" s="229"/>
      <c r="BP340" s="229"/>
      <c r="BQ340" s="229"/>
      <c r="BR340" s="229"/>
      <c r="BS340" s="229"/>
      <c r="BT340" s="229"/>
      <c r="BU340" s="229"/>
      <c r="BV340" s="229"/>
      <c r="BW340" s="229"/>
      <c r="BX340" s="229"/>
      <c r="BY340" s="229"/>
      <c r="BZ340" s="229"/>
      <c r="CA340" s="229"/>
    </row>
    <row r="341" spans="2:79" s="214" customFormat="1" ht="11.5" x14ac:dyDescent="0.25">
      <c r="E341" s="229"/>
      <c r="I341" s="229"/>
      <c r="M341" s="432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  <c r="AJ341" s="229"/>
      <c r="AK341" s="229"/>
      <c r="AL341" s="229"/>
      <c r="AM341" s="229"/>
      <c r="AN341" s="229"/>
      <c r="AO341" s="229"/>
      <c r="AP341" s="229"/>
      <c r="AQ341" s="229"/>
      <c r="AR341" s="229"/>
      <c r="AS341" s="229"/>
      <c r="AT341" s="229"/>
      <c r="AU341" s="229"/>
      <c r="AV341" s="229"/>
      <c r="AW341" s="229"/>
      <c r="AX341" s="229"/>
      <c r="AY341" s="229"/>
      <c r="AZ341" s="229"/>
      <c r="BA341" s="229"/>
      <c r="BB341" s="229"/>
      <c r="BC341" s="229"/>
      <c r="BD341" s="229"/>
      <c r="BE341" s="229"/>
      <c r="BF341" s="229"/>
      <c r="BG341" s="229"/>
      <c r="BH341" s="229"/>
      <c r="BI341" s="229"/>
      <c r="BJ341" s="229"/>
      <c r="BK341" s="229"/>
      <c r="BL341" s="229"/>
      <c r="BM341" s="229"/>
      <c r="BN341" s="229"/>
      <c r="BO341" s="229"/>
      <c r="BP341" s="229"/>
      <c r="BQ341" s="229"/>
      <c r="BR341" s="229"/>
      <c r="BS341" s="229"/>
      <c r="BT341" s="229"/>
      <c r="BU341" s="229"/>
      <c r="BV341" s="229"/>
      <c r="BW341" s="229"/>
      <c r="BX341" s="229"/>
      <c r="BY341" s="229"/>
      <c r="BZ341" s="229"/>
      <c r="CA341" s="229"/>
    </row>
    <row r="342" spans="2:79" s="214" customFormat="1" ht="11.5" x14ac:dyDescent="0.25">
      <c r="E342" s="229"/>
      <c r="I342" s="229"/>
      <c r="M342" s="432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  <c r="AJ342" s="229"/>
      <c r="AK342" s="229"/>
      <c r="AL342" s="229"/>
      <c r="AM342" s="229"/>
      <c r="AN342" s="229"/>
      <c r="AO342" s="229"/>
      <c r="AP342" s="229"/>
      <c r="AQ342" s="229"/>
      <c r="AR342" s="229"/>
      <c r="AS342" s="229"/>
      <c r="AT342" s="229"/>
      <c r="AU342" s="229"/>
      <c r="AV342" s="229"/>
      <c r="AW342" s="229"/>
      <c r="AX342" s="229"/>
      <c r="AY342" s="229"/>
      <c r="AZ342" s="229"/>
      <c r="BA342" s="229"/>
      <c r="BB342" s="229"/>
      <c r="BC342" s="229"/>
      <c r="BD342" s="229"/>
      <c r="BE342" s="229"/>
      <c r="BF342" s="229"/>
      <c r="BG342" s="229"/>
      <c r="BH342" s="229"/>
      <c r="BI342" s="229"/>
      <c r="BJ342" s="229"/>
      <c r="BK342" s="229"/>
      <c r="BL342" s="229"/>
      <c r="BM342" s="229"/>
      <c r="BN342" s="229"/>
      <c r="BO342" s="229"/>
      <c r="BP342" s="229"/>
      <c r="BQ342" s="229"/>
      <c r="BR342" s="229"/>
      <c r="BS342" s="229"/>
      <c r="BT342" s="229"/>
      <c r="BU342" s="229"/>
      <c r="BV342" s="229"/>
      <c r="BW342" s="229"/>
      <c r="BX342" s="229"/>
      <c r="BY342" s="229"/>
      <c r="BZ342" s="229"/>
      <c r="CA342" s="229"/>
    </row>
    <row r="343" spans="2:79" s="214" customFormat="1" ht="11.5" x14ac:dyDescent="0.25">
      <c r="E343" s="229"/>
      <c r="I343" s="229"/>
      <c r="M343" s="432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  <c r="AJ343" s="229"/>
      <c r="AK343" s="229"/>
      <c r="AL343" s="229"/>
      <c r="AM343" s="229"/>
      <c r="AN343" s="229"/>
      <c r="AO343" s="229"/>
      <c r="AP343" s="229"/>
      <c r="AQ343" s="229"/>
      <c r="AR343" s="229"/>
      <c r="AS343" s="229"/>
      <c r="AT343" s="229"/>
      <c r="AU343" s="229"/>
      <c r="AV343" s="229"/>
      <c r="AW343" s="229"/>
      <c r="AX343" s="229"/>
      <c r="AY343" s="229"/>
      <c r="AZ343" s="229"/>
      <c r="BA343" s="229"/>
      <c r="BB343" s="229"/>
      <c r="BC343" s="229"/>
      <c r="BD343" s="229"/>
      <c r="BE343" s="229"/>
      <c r="BF343" s="229"/>
      <c r="BG343" s="229"/>
      <c r="BH343" s="229"/>
      <c r="BI343" s="229"/>
      <c r="BJ343" s="229"/>
      <c r="BK343" s="229"/>
      <c r="BL343" s="229"/>
      <c r="BM343" s="229"/>
      <c r="BN343" s="229"/>
      <c r="BO343" s="229"/>
      <c r="BP343" s="229"/>
      <c r="BQ343" s="229"/>
      <c r="BR343" s="229"/>
      <c r="BS343" s="229"/>
      <c r="BT343" s="229"/>
      <c r="BU343" s="229"/>
      <c r="BV343" s="229"/>
      <c r="BW343" s="229"/>
      <c r="BX343" s="229"/>
      <c r="BY343" s="229"/>
      <c r="BZ343" s="229"/>
      <c r="CA343" s="229"/>
    </row>
    <row r="344" spans="2:79" s="214" customFormat="1" ht="11.5" x14ac:dyDescent="0.25">
      <c r="E344" s="229"/>
      <c r="I344" s="229"/>
      <c r="M344" s="432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  <c r="AJ344" s="229"/>
      <c r="AK344" s="229"/>
      <c r="AL344" s="229"/>
      <c r="AM344" s="229"/>
      <c r="AN344" s="229"/>
      <c r="AO344" s="229"/>
      <c r="AP344" s="229"/>
      <c r="AQ344" s="229"/>
      <c r="AR344" s="229"/>
      <c r="AS344" s="229"/>
      <c r="AT344" s="229"/>
      <c r="AU344" s="229"/>
      <c r="AV344" s="229"/>
      <c r="AW344" s="229"/>
      <c r="AX344" s="229"/>
      <c r="AY344" s="229"/>
      <c r="AZ344" s="229"/>
      <c r="BA344" s="229"/>
      <c r="BB344" s="229"/>
      <c r="BC344" s="229"/>
      <c r="BD344" s="229"/>
      <c r="BE344" s="229"/>
      <c r="BF344" s="229"/>
      <c r="BG344" s="229"/>
      <c r="BH344" s="229"/>
      <c r="BI344" s="229"/>
      <c r="BJ344" s="229"/>
      <c r="BK344" s="229"/>
      <c r="BL344" s="229"/>
      <c r="BM344" s="229"/>
      <c r="BN344" s="229"/>
      <c r="BO344" s="229"/>
      <c r="BP344" s="229"/>
      <c r="BQ344" s="229"/>
      <c r="BR344" s="229"/>
      <c r="BS344" s="229"/>
      <c r="BT344" s="229"/>
      <c r="BU344" s="229"/>
      <c r="BV344" s="229"/>
      <c r="BW344" s="229"/>
      <c r="BX344" s="229"/>
      <c r="BY344" s="229"/>
      <c r="BZ344" s="229"/>
      <c r="CA344" s="229"/>
    </row>
    <row r="345" spans="2:79" s="214" customFormat="1" ht="11.5" x14ac:dyDescent="0.25">
      <c r="E345" s="229"/>
      <c r="I345" s="229"/>
      <c r="M345" s="432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  <c r="AJ345" s="229"/>
      <c r="AK345" s="229"/>
      <c r="AL345" s="229"/>
      <c r="AM345" s="229"/>
      <c r="AN345" s="229"/>
      <c r="AO345" s="229"/>
      <c r="AP345" s="229"/>
      <c r="AQ345" s="229"/>
      <c r="AR345" s="229"/>
      <c r="AS345" s="229"/>
      <c r="AT345" s="229"/>
      <c r="AU345" s="229"/>
      <c r="AV345" s="229"/>
      <c r="AW345" s="229"/>
      <c r="AX345" s="229"/>
      <c r="AY345" s="229"/>
      <c r="AZ345" s="229"/>
      <c r="BA345" s="229"/>
      <c r="BB345" s="229"/>
      <c r="BC345" s="229"/>
      <c r="BD345" s="229"/>
      <c r="BE345" s="229"/>
      <c r="BF345" s="229"/>
      <c r="BG345" s="229"/>
      <c r="BH345" s="229"/>
      <c r="BI345" s="229"/>
      <c r="BJ345" s="229"/>
      <c r="BK345" s="229"/>
      <c r="BL345" s="229"/>
      <c r="BM345" s="229"/>
      <c r="BN345" s="229"/>
      <c r="BO345" s="229"/>
      <c r="BP345" s="229"/>
      <c r="BQ345" s="229"/>
      <c r="BR345" s="229"/>
      <c r="BS345" s="229"/>
      <c r="BT345" s="229"/>
      <c r="BU345" s="229"/>
      <c r="BV345" s="229"/>
      <c r="BW345" s="229"/>
      <c r="BX345" s="229"/>
      <c r="BY345" s="229"/>
      <c r="BZ345" s="229"/>
      <c r="CA345" s="229"/>
    </row>
    <row r="346" spans="2:79" s="214" customFormat="1" ht="11.5" x14ac:dyDescent="0.25">
      <c r="E346" s="229"/>
      <c r="I346" s="229"/>
      <c r="M346" s="432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  <c r="AJ346" s="229"/>
      <c r="AK346" s="229"/>
      <c r="AL346" s="229"/>
      <c r="AM346" s="229"/>
      <c r="AN346" s="229"/>
      <c r="AO346" s="229"/>
      <c r="AP346" s="229"/>
      <c r="AQ346" s="229"/>
      <c r="AR346" s="229"/>
      <c r="AS346" s="229"/>
      <c r="AT346" s="229"/>
      <c r="AU346" s="229"/>
      <c r="AV346" s="229"/>
      <c r="AW346" s="229"/>
      <c r="AX346" s="229"/>
      <c r="AY346" s="229"/>
      <c r="AZ346" s="229"/>
      <c r="BA346" s="229"/>
      <c r="BB346" s="229"/>
      <c r="BC346" s="229"/>
      <c r="BD346" s="229"/>
      <c r="BE346" s="229"/>
      <c r="BF346" s="229"/>
      <c r="BG346" s="229"/>
      <c r="BH346" s="229"/>
      <c r="BI346" s="229"/>
      <c r="BJ346" s="229"/>
      <c r="BK346" s="229"/>
      <c r="BL346" s="229"/>
      <c r="BM346" s="229"/>
      <c r="BN346" s="229"/>
      <c r="BO346" s="229"/>
      <c r="BP346" s="229"/>
      <c r="BQ346" s="229"/>
      <c r="BR346" s="229"/>
      <c r="BS346" s="229"/>
      <c r="BT346" s="229"/>
      <c r="BU346" s="229"/>
      <c r="BV346" s="229"/>
      <c r="BW346" s="229"/>
      <c r="BX346" s="229"/>
      <c r="BY346" s="229"/>
      <c r="BZ346" s="229"/>
      <c r="CA346" s="229"/>
    </row>
    <row r="347" spans="2:79" s="214" customFormat="1" ht="11.5" x14ac:dyDescent="0.25">
      <c r="E347" s="229"/>
      <c r="I347" s="229"/>
      <c r="M347" s="432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  <c r="AJ347" s="229"/>
      <c r="AK347" s="229"/>
      <c r="AL347" s="229"/>
      <c r="AM347" s="229"/>
      <c r="AN347" s="229"/>
      <c r="AO347" s="229"/>
      <c r="AP347" s="229"/>
      <c r="AQ347" s="229"/>
      <c r="AR347" s="229"/>
      <c r="AS347" s="229"/>
      <c r="AT347" s="229"/>
      <c r="AU347" s="229"/>
      <c r="AV347" s="229"/>
      <c r="AW347" s="229"/>
      <c r="AX347" s="229"/>
      <c r="AY347" s="229"/>
      <c r="AZ347" s="229"/>
      <c r="BA347" s="229"/>
      <c r="BB347" s="229"/>
      <c r="BC347" s="229"/>
      <c r="BD347" s="229"/>
      <c r="BE347" s="229"/>
      <c r="BF347" s="229"/>
      <c r="BG347" s="229"/>
      <c r="BH347" s="229"/>
      <c r="BI347" s="229"/>
      <c r="BJ347" s="229"/>
      <c r="BK347" s="229"/>
      <c r="BL347" s="229"/>
      <c r="BM347" s="229"/>
      <c r="BN347" s="229"/>
      <c r="BO347" s="229"/>
      <c r="BP347" s="229"/>
      <c r="BQ347" s="229"/>
      <c r="BR347" s="229"/>
      <c r="BS347" s="229"/>
      <c r="BT347" s="229"/>
      <c r="BU347" s="229"/>
      <c r="BV347" s="229"/>
      <c r="BW347" s="229"/>
      <c r="BX347" s="229"/>
      <c r="BY347" s="229"/>
      <c r="BZ347" s="229"/>
      <c r="CA347" s="229"/>
    </row>
    <row r="348" spans="2:79" s="214" customFormat="1" ht="11.5" x14ac:dyDescent="0.25">
      <c r="E348" s="229"/>
      <c r="I348" s="229"/>
      <c r="M348" s="432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  <c r="AJ348" s="229"/>
      <c r="AK348" s="229"/>
      <c r="AL348" s="229"/>
      <c r="AM348" s="229"/>
      <c r="AN348" s="229"/>
      <c r="AO348" s="229"/>
      <c r="AP348" s="229"/>
      <c r="AQ348" s="229"/>
      <c r="AR348" s="229"/>
      <c r="AS348" s="229"/>
      <c r="AT348" s="229"/>
      <c r="AU348" s="229"/>
      <c r="AV348" s="229"/>
      <c r="AW348" s="229"/>
      <c r="AX348" s="229"/>
      <c r="AY348" s="229"/>
      <c r="AZ348" s="229"/>
      <c r="BA348" s="229"/>
      <c r="BB348" s="229"/>
      <c r="BC348" s="229"/>
      <c r="BD348" s="229"/>
      <c r="BE348" s="229"/>
      <c r="BF348" s="229"/>
      <c r="BG348" s="229"/>
      <c r="BH348" s="229"/>
      <c r="BI348" s="229"/>
      <c r="BJ348" s="229"/>
      <c r="BK348" s="229"/>
      <c r="BL348" s="229"/>
      <c r="BM348" s="229"/>
      <c r="BN348" s="229"/>
      <c r="BO348" s="229"/>
      <c r="BP348" s="229"/>
      <c r="BQ348" s="229"/>
      <c r="BR348" s="229"/>
      <c r="BS348" s="229"/>
      <c r="BT348" s="229"/>
      <c r="BU348" s="229"/>
      <c r="BV348" s="229"/>
      <c r="BW348" s="229"/>
      <c r="BX348" s="229"/>
      <c r="BY348" s="229"/>
      <c r="BZ348" s="229"/>
      <c r="CA348" s="229"/>
    </row>
    <row r="349" spans="2:79" s="214" customFormat="1" ht="11.5" x14ac:dyDescent="0.25">
      <c r="E349" s="229"/>
      <c r="I349" s="229"/>
      <c r="M349" s="432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  <c r="AJ349" s="229"/>
      <c r="AK349" s="229"/>
      <c r="AL349" s="229"/>
      <c r="AM349" s="229"/>
      <c r="AN349" s="229"/>
      <c r="AO349" s="229"/>
      <c r="AP349" s="229"/>
      <c r="AQ349" s="229"/>
      <c r="AR349" s="229"/>
      <c r="AS349" s="229"/>
      <c r="AT349" s="229"/>
      <c r="AU349" s="229"/>
      <c r="AV349" s="229"/>
      <c r="AW349" s="229"/>
      <c r="AX349" s="229"/>
      <c r="AY349" s="229"/>
      <c r="AZ349" s="229"/>
      <c r="BA349" s="229"/>
      <c r="BB349" s="229"/>
      <c r="BC349" s="229"/>
      <c r="BD349" s="229"/>
      <c r="BE349" s="229"/>
      <c r="BF349" s="229"/>
      <c r="BG349" s="229"/>
      <c r="BH349" s="229"/>
      <c r="BI349" s="229"/>
      <c r="BJ349" s="229"/>
      <c r="BK349" s="229"/>
      <c r="BL349" s="229"/>
      <c r="BM349" s="229"/>
      <c r="BN349" s="229"/>
      <c r="BO349" s="229"/>
      <c r="BP349" s="229"/>
      <c r="BQ349" s="229"/>
      <c r="BR349" s="229"/>
      <c r="BS349" s="229"/>
      <c r="BT349" s="229"/>
      <c r="BU349" s="229"/>
      <c r="BV349" s="229"/>
      <c r="BW349" s="229"/>
      <c r="BX349" s="229"/>
      <c r="BY349" s="229"/>
      <c r="BZ349" s="229"/>
      <c r="CA349" s="229"/>
    </row>
    <row r="350" spans="2:79" s="214" customFormat="1" ht="11.5" x14ac:dyDescent="0.25">
      <c r="E350" s="229"/>
      <c r="I350" s="229"/>
      <c r="M350" s="432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  <c r="AJ350" s="229"/>
      <c r="AK350" s="229"/>
      <c r="AL350" s="229"/>
      <c r="AM350" s="229"/>
      <c r="AN350" s="229"/>
      <c r="AO350" s="229"/>
      <c r="AP350" s="229"/>
      <c r="AQ350" s="229"/>
      <c r="AR350" s="229"/>
      <c r="AS350" s="229"/>
      <c r="AT350" s="229"/>
      <c r="AU350" s="229"/>
      <c r="AV350" s="229"/>
      <c r="AW350" s="229"/>
      <c r="AX350" s="229"/>
      <c r="AY350" s="229"/>
      <c r="AZ350" s="229"/>
      <c r="BA350" s="229"/>
      <c r="BB350" s="229"/>
      <c r="BC350" s="229"/>
      <c r="BD350" s="229"/>
      <c r="BE350" s="229"/>
      <c r="BF350" s="229"/>
      <c r="BG350" s="229"/>
      <c r="BH350" s="229"/>
      <c r="BI350" s="229"/>
      <c r="BJ350" s="229"/>
      <c r="BK350" s="229"/>
      <c r="BL350" s="229"/>
      <c r="BM350" s="229"/>
      <c r="BN350" s="229"/>
      <c r="BO350" s="229"/>
      <c r="BP350" s="229"/>
      <c r="BQ350" s="229"/>
      <c r="BR350" s="229"/>
      <c r="BS350" s="229"/>
      <c r="BT350" s="229"/>
      <c r="BU350" s="229"/>
      <c r="BV350" s="229"/>
      <c r="BW350" s="229"/>
      <c r="BX350" s="229"/>
      <c r="BY350" s="229"/>
      <c r="BZ350" s="229"/>
      <c r="CA350" s="229"/>
    </row>
    <row r="351" spans="2:79" s="214" customFormat="1" ht="11.5" x14ac:dyDescent="0.25">
      <c r="E351" s="229"/>
      <c r="I351" s="229"/>
      <c r="M351" s="432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  <c r="AJ351" s="229"/>
      <c r="AK351" s="229"/>
      <c r="AL351" s="229"/>
      <c r="AM351" s="229"/>
      <c r="AN351" s="229"/>
      <c r="AO351" s="229"/>
      <c r="AP351" s="229"/>
      <c r="AQ351" s="229"/>
      <c r="AR351" s="229"/>
      <c r="AS351" s="229"/>
      <c r="AT351" s="229"/>
      <c r="AU351" s="229"/>
      <c r="AV351" s="229"/>
      <c r="AW351" s="229"/>
      <c r="AX351" s="229"/>
      <c r="AY351" s="229"/>
      <c r="AZ351" s="229"/>
      <c r="BA351" s="229"/>
      <c r="BB351" s="229"/>
      <c r="BC351" s="229"/>
      <c r="BD351" s="229"/>
      <c r="BE351" s="229"/>
      <c r="BF351" s="229"/>
      <c r="BG351" s="229"/>
      <c r="BH351" s="229"/>
      <c r="BI351" s="229"/>
      <c r="BJ351" s="229"/>
      <c r="BK351" s="229"/>
      <c r="BL351" s="229"/>
      <c r="BM351" s="229"/>
      <c r="BN351" s="229"/>
      <c r="BO351" s="229"/>
      <c r="BP351" s="229"/>
      <c r="BQ351" s="229"/>
      <c r="BR351" s="229"/>
      <c r="BS351" s="229"/>
      <c r="BT351" s="229"/>
      <c r="BU351" s="229"/>
      <c r="BV351" s="229"/>
      <c r="BW351" s="229"/>
      <c r="BX351" s="229"/>
      <c r="BY351" s="229"/>
      <c r="BZ351" s="229"/>
      <c r="CA351" s="229"/>
    </row>
    <row r="352" spans="2:79" x14ac:dyDescent="0.25">
      <c r="B352" s="214"/>
      <c r="C352" s="214"/>
      <c r="D352" s="214"/>
      <c r="E352" s="229"/>
      <c r="F352" s="214"/>
      <c r="G352" s="214"/>
      <c r="H352" s="214"/>
      <c r="I352" s="229"/>
      <c r="J352" s="214"/>
      <c r="K352" s="214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  <c r="AJ352" s="229"/>
      <c r="AK352" s="229"/>
      <c r="AL352" s="229"/>
      <c r="AM352" s="229"/>
      <c r="AN352" s="229"/>
      <c r="AO352" s="229"/>
      <c r="AP352" s="229"/>
      <c r="AQ352" s="229"/>
      <c r="AR352" s="229"/>
      <c r="AS352" s="229"/>
      <c r="AT352" s="229"/>
      <c r="AU352" s="229"/>
      <c r="AV352" s="229"/>
      <c r="AW352" s="229"/>
      <c r="AX352" s="229"/>
      <c r="AY352" s="229"/>
      <c r="AZ352" s="229"/>
      <c r="BA352" s="229"/>
      <c r="BB352" s="229"/>
      <c r="BC352" s="229"/>
      <c r="BD352" s="229"/>
      <c r="BE352" s="229"/>
      <c r="BF352" s="229"/>
      <c r="BG352" s="229"/>
      <c r="BH352" s="229"/>
      <c r="BI352" s="229"/>
      <c r="BJ352" s="229"/>
      <c r="BK352" s="229"/>
      <c r="BL352" s="229"/>
      <c r="BM352" s="229"/>
      <c r="BN352" s="229"/>
      <c r="BO352" s="229"/>
      <c r="BP352" s="229"/>
      <c r="BQ352" s="229"/>
      <c r="BR352" s="229"/>
      <c r="BS352" s="229"/>
      <c r="BT352" s="229"/>
      <c r="BU352" s="229"/>
      <c r="BV352" s="229"/>
      <c r="BW352" s="229"/>
      <c r="BX352" s="229"/>
      <c r="BY352" s="229"/>
      <c r="BZ352" s="229"/>
      <c r="CA352" s="229"/>
    </row>
    <row r="353" spans="14:79" x14ac:dyDescent="0.25"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  <c r="AJ353" s="229"/>
      <c r="AK353" s="229"/>
      <c r="AL353" s="229"/>
      <c r="AM353" s="229"/>
      <c r="AN353" s="229"/>
      <c r="AO353" s="229"/>
      <c r="AP353" s="229"/>
      <c r="AQ353" s="229"/>
      <c r="AR353" s="229"/>
      <c r="AS353" s="229"/>
      <c r="AT353" s="229"/>
      <c r="AU353" s="229"/>
      <c r="AV353" s="229"/>
      <c r="AW353" s="229"/>
      <c r="AX353" s="229"/>
      <c r="AY353" s="229"/>
      <c r="AZ353" s="229"/>
      <c r="BA353" s="229"/>
      <c r="BB353" s="229"/>
      <c r="BC353" s="229"/>
      <c r="BD353" s="229"/>
      <c r="BE353" s="229"/>
      <c r="BF353" s="229"/>
      <c r="BG353" s="229"/>
      <c r="BH353" s="229"/>
      <c r="BI353" s="229"/>
      <c r="BJ353" s="229"/>
      <c r="BK353" s="229"/>
      <c r="BL353" s="229"/>
      <c r="BM353" s="229"/>
      <c r="BN353" s="229"/>
      <c r="BO353" s="229"/>
      <c r="BP353" s="229"/>
      <c r="BQ353" s="229"/>
      <c r="BR353" s="229"/>
      <c r="BS353" s="229"/>
      <c r="BT353" s="229"/>
      <c r="BU353" s="229"/>
      <c r="BV353" s="229"/>
      <c r="BW353" s="229"/>
      <c r="BX353" s="229"/>
      <c r="BY353" s="229"/>
      <c r="BZ353" s="229"/>
      <c r="CA353" s="229"/>
    </row>
    <row r="354" spans="14:79" x14ac:dyDescent="0.25"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  <c r="AJ354" s="229"/>
      <c r="AK354" s="229"/>
      <c r="AL354" s="229"/>
      <c r="AM354" s="229"/>
      <c r="AN354" s="229"/>
      <c r="AO354" s="229"/>
      <c r="AP354" s="229"/>
      <c r="AQ354" s="229"/>
      <c r="AR354" s="229"/>
      <c r="AS354" s="229"/>
      <c r="AT354" s="229"/>
      <c r="AU354" s="229"/>
      <c r="AV354" s="229"/>
      <c r="AW354" s="229"/>
      <c r="AX354" s="229"/>
      <c r="AY354" s="229"/>
      <c r="AZ354" s="229"/>
      <c r="BA354" s="229"/>
      <c r="BB354" s="229"/>
      <c r="BC354" s="229"/>
      <c r="BD354" s="229"/>
      <c r="BE354" s="229"/>
      <c r="BF354" s="229"/>
      <c r="BG354" s="229"/>
      <c r="BH354" s="229"/>
      <c r="BI354" s="229"/>
      <c r="BJ354" s="229"/>
      <c r="BK354" s="229"/>
      <c r="BL354" s="229"/>
      <c r="BM354" s="229"/>
      <c r="BN354" s="229"/>
      <c r="BO354" s="229"/>
      <c r="BP354" s="229"/>
      <c r="BQ354" s="229"/>
      <c r="BR354" s="229"/>
      <c r="BS354" s="229"/>
      <c r="BT354" s="229"/>
      <c r="BU354" s="229"/>
      <c r="BV354" s="229"/>
      <c r="BW354" s="229"/>
      <c r="BX354" s="229"/>
      <c r="BY354" s="229"/>
      <c r="BZ354" s="229"/>
      <c r="CA354" s="229"/>
    </row>
    <row r="355" spans="14:79" x14ac:dyDescent="0.25"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  <c r="AJ355" s="229"/>
      <c r="AK355" s="229"/>
      <c r="AL355" s="229"/>
      <c r="AM355" s="229"/>
      <c r="AN355" s="229"/>
      <c r="AO355" s="229"/>
      <c r="AP355" s="229"/>
      <c r="AQ355" s="229"/>
      <c r="AR355" s="229"/>
      <c r="AS355" s="229"/>
      <c r="AT355" s="229"/>
      <c r="AU355" s="229"/>
      <c r="AV355" s="229"/>
      <c r="AW355" s="229"/>
      <c r="AX355" s="229"/>
      <c r="AY355" s="229"/>
      <c r="AZ355" s="229"/>
      <c r="BA355" s="229"/>
      <c r="BB355" s="229"/>
      <c r="BC355" s="229"/>
      <c r="BD355" s="229"/>
      <c r="BE355" s="229"/>
      <c r="BF355" s="229"/>
      <c r="BG355" s="229"/>
      <c r="BH355" s="229"/>
      <c r="BI355" s="229"/>
      <c r="BJ355" s="229"/>
      <c r="BK355" s="229"/>
      <c r="BL355" s="229"/>
      <c r="BM355" s="229"/>
      <c r="BN355" s="229"/>
      <c r="BO355" s="229"/>
      <c r="BP355" s="229"/>
      <c r="BQ355" s="229"/>
      <c r="BR355" s="229"/>
      <c r="BS355" s="229"/>
      <c r="BT355" s="229"/>
      <c r="BU355" s="229"/>
      <c r="BV355" s="229"/>
      <c r="BW355" s="229"/>
      <c r="BX355" s="229"/>
      <c r="BY355" s="229"/>
      <c r="BZ355" s="229"/>
      <c r="CA355" s="229"/>
    </row>
    <row r="356" spans="14:79" x14ac:dyDescent="0.25"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  <c r="AJ356" s="229"/>
      <c r="AK356" s="229"/>
      <c r="AL356" s="229"/>
      <c r="AM356" s="229"/>
      <c r="AN356" s="229"/>
      <c r="AO356" s="229"/>
      <c r="AP356" s="229"/>
      <c r="AQ356" s="229"/>
      <c r="AR356" s="229"/>
      <c r="AS356" s="229"/>
      <c r="AT356" s="229"/>
      <c r="AU356" s="229"/>
      <c r="AV356" s="229"/>
      <c r="AW356" s="229"/>
      <c r="AX356" s="229"/>
      <c r="AY356" s="229"/>
      <c r="AZ356" s="229"/>
      <c r="BA356" s="229"/>
      <c r="BB356" s="229"/>
      <c r="BC356" s="229"/>
      <c r="BD356" s="229"/>
      <c r="BE356" s="229"/>
      <c r="BF356" s="229"/>
      <c r="BG356" s="229"/>
      <c r="BH356" s="229"/>
      <c r="BI356" s="229"/>
      <c r="BJ356" s="229"/>
      <c r="BK356" s="229"/>
      <c r="BL356" s="229"/>
      <c r="BM356" s="229"/>
      <c r="BN356" s="229"/>
      <c r="BO356" s="229"/>
      <c r="BP356" s="229"/>
      <c r="BQ356" s="229"/>
      <c r="BR356" s="229"/>
      <c r="BS356" s="229"/>
      <c r="BT356" s="229"/>
      <c r="BU356" s="229"/>
      <c r="BV356" s="229"/>
      <c r="BW356" s="229"/>
      <c r="BX356" s="229"/>
      <c r="BY356" s="229"/>
      <c r="BZ356" s="229"/>
      <c r="CA356" s="229"/>
    </row>
    <row r="357" spans="14:79" x14ac:dyDescent="0.25"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  <c r="AJ357" s="229"/>
      <c r="AK357" s="229"/>
      <c r="AL357" s="229"/>
      <c r="AM357" s="229"/>
      <c r="AN357" s="229"/>
      <c r="AO357" s="229"/>
      <c r="AP357" s="229"/>
      <c r="AQ357" s="229"/>
      <c r="AR357" s="229"/>
      <c r="AS357" s="229"/>
      <c r="AT357" s="229"/>
      <c r="AU357" s="229"/>
      <c r="AV357" s="229"/>
      <c r="AW357" s="229"/>
      <c r="AX357" s="229"/>
      <c r="AY357" s="229"/>
      <c r="AZ357" s="229"/>
      <c r="BA357" s="229"/>
      <c r="BB357" s="229"/>
      <c r="BC357" s="229"/>
      <c r="BD357" s="229"/>
      <c r="BE357" s="229"/>
      <c r="BF357" s="229"/>
      <c r="BG357" s="229"/>
      <c r="BH357" s="229"/>
      <c r="BI357" s="229"/>
      <c r="BJ357" s="229"/>
      <c r="BK357" s="229"/>
      <c r="BL357" s="229"/>
      <c r="BM357" s="229"/>
      <c r="BN357" s="229"/>
      <c r="BO357" s="229"/>
      <c r="BP357" s="229"/>
      <c r="BQ357" s="229"/>
      <c r="BR357" s="229"/>
      <c r="BS357" s="229"/>
      <c r="BT357" s="229"/>
      <c r="BU357" s="229"/>
      <c r="BV357" s="229"/>
      <c r="BW357" s="229"/>
      <c r="BX357" s="229"/>
      <c r="BY357" s="229"/>
      <c r="BZ357" s="229"/>
      <c r="CA357" s="229"/>
    </row>
    <row r="358" spans="14:79" x14ac:dyDescent="0.25"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  <c r="AJ358" s="229"/>
      <c r="AK358" s="229"/>
      <c r="AL358" s="229"/>
      <c r="AM358" s="229"/>
      <c r="AN358" s="229"/>
      <c r="AO358" s="229"/>
      <c r="AP358" s="229"/>
      <c r="AQ358" s="229"/>
      <c r="AR358" s="229"/>
      <c r="AS358" s="229"/>
      <c r="AT358" s="229"/>
      <c r="AU358" s="229"/>
      <c r="AV358" s="229"/>
      <c r="AW358" s="229"/>
      <c r="AX358" s="229"/>
      <c r="AY358" s="229"/>
      <c r="AZ358" s="229"/>
      <c r="BA358" s="229"/>
      <c r="BB358" s="229"/>
      <c r="BC358" s="229"/>
      <c r="BD358" s="229"/>
      <c r="BE358" s="229"/>
      <c r="BF358" s="229"/>
      <c r="BG358" s="229"/>
      <c r="BH358" s="229"/>
      <c r="BI358" s="229"/>
      <c r="BJ358" s="229"/>
      <c r="BK358" s="229"/>
      <c r="BL358" s="229"/>
      <c r="BM358" s="229"/>
      <c r="BN358" s="229"/>
      <c r="BO358" s="229"/>
      <c r="BP358" s="229"/>
      <c r="BQ358" s="229"/>
      <c r="BR358" s="229"/>
      <c r="BS358" s="229"/>
      <c r="BT358" s="229"/>
      <c r="BU358" s="229"/>
      <c r="BV358" s="229"/>
      <c r="BW358" s="229"/>
      <c r="BX358" s="229"/>
      <c r="BY358" s="229"/>
      <c r="BZ358" s="229"/>
      <c r="CA358" s="229"/>
    </row>
    <row r="359" spans="14:79" x14ac:dyDescent="0.25"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  <c r="AJ359" s="229"/>
      <c r="AK359" s="229"/>
      <c r="AL359" s="229"/>
      <c r="AM359" s="229"/>
      <c r="AN359" s="229"/>
      <c r="AO359" s="229"/>
      <c r="AP359" s="229"/>
      <c r="AQ359" s="229"/>
      <c r="AR359" s="229"/>
      <c r="AS359" s="229"/>
      <c r="AT359" s="229"/>
      <c r="AU359" s="229"/>
      <c r="AV359" s="229"/>
      <c r="AW359" s="229"/>
      <c r="AX359" s="229"/>
      <c r="AY359" s="229"/>
      <c r="AZ359" s="229"/>
      <c r="BA359" s="229"/>
      <c r="BB359" s="229"/>
      <c r="BC359" s="229"/>
      <c r="BD359" s="229"/>
      <c r="BE359" s="229"/>
      <c r="BF359" s="229"/>
      <c r="BG359" s="229"/>
      <c r="BH359" s="229"/>
      <c r="BI359" s="229"/>
      <c r="BJ359" s="229"/>
      <c r="BK359" s="229"/>
      <c r="BL359" s="229"/>
      <c r="BM359" s="229"/>
      <c r="BN359" s="229"/>
      <c r="BO359" s="229"/>
      <c r="BP359" s="229"/>
      <c r="BQ359" s="229"/>
      <c r="BR359" s="229"/>
      <c r="BS359" s="229"/>
      <c r="BT359" s="229"/>
      <c r="BU359" s="229"/>
      <c r="BV359" s="229"/>
      <c r="BW359" s="229"/>
      <c r="BX359" s="229"/>
      <c r="BY359" s="229"/>
      <c r="BZ359" s="229"/>
      <c r="CA359" s="229"/>
    </row>
    <row r="360" spans="14:79" x14ac:dyDescent="0.25"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  <c r="AJ360" s="229"/>
      <c r="AK360" s="229"/>
      <c r="AL360" s="229"/>
      <c r="AM360" s="229"/>
      <c r="AN360" s="229"/>
      <c r="AO360" s="229"/>
      <c r="AP360" s="229"/>
      <c r="AQ360" s="229"/>
      <c r="AR360" s="229"/>
      <c r="AS360" s="229"/>
      <c r="AT360" s="229"/>
      <c r="AU360" s="229"/>
      <c r="AV360" s="229"/>
      <c r="AW360" s="229"/>
      <c r="AX360" s="229"/>
      <c r="AY360" s="229"/>
      <c r="AZ360" s="229"/>
      <c r="BA360" s="229"/>
      <c r="BB360" s="229"/>
      <c r="BC360" s="229"/>
      <c r="BD360" s="229"/>
      <c r="BE360" s="229"/>
      <c r="BF360" s="229"/>
      <c r="BG360" s="229"/>
      <c r="BH360" s="229"/>
      <c r="BI360" s="229"/>
      <c r="BJ360" s="229"/>
      <c r="BK360" s="229"/>
      <c r="BL360" s="229"/>
      <c r="BM360" s="229"/>
      <c r="BN360" s="229"/>
      <c r="BO360" s="229"/>
      <c r="BP360" s="229"/>
      <c r="BQ360" s="229"/>
      <c r="BR360" s="229"/>
      <c r="BS360" s="229"/>
      <c r="BT360" s="229"/>
      <c r="BU360" s="229"/>
      <c r="BV360" s="229"/>
      <c r="BW360" s="229"/>
      <c r="BX360" s="229"/>
      <c r="BY360" s="229"/>
      <c r="BZ360" s="229"/>
      <c r="CA360" s="229"/>
    </row>
    <row r="361" spans="14:79" x14ac:dyDescent="0.25"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  <c r="AJ361" s="229"/>
      <c r="AK361" s="229"/>
      <c r="AL361" s="229"/>
      <c r="AM361" s="229"/>
      <c r="AN361" s="229"/>
      <c r="AO361" s="229"/>
      <c r="AP361" s="229"/>
      <c r="AQ361" s="229"/>
      <c r="AR361" s="229"/>
      <c r="AS361" s="229"/>
      <c r="AT361" s="229"/>
      <c r="AU361" s="229"/>
      <c r="AV361" s="229"/>
      <c r="AW361" s="229"/>
      <c r="AX361" s="229"/>
      <c r="AY361" s="229"/>
      <c r="AZ361" s="229"/>
      <c r="BA361" s="229"/>
      <c r="BB361" s="229"/>
      <c r="BC361" s="229"/>
      <c r="BD361" s="229"/>
      <c r="BE361" s="229"/>
      <c r="BF361" s="229"/>
      <c r="BG361" s="229"/>
      <c r="BH361" s="229"/>
      <c r="BI361" s="229"/>
      <c r="BJ361" s="229"/>
      <c r="BK361" s="229"/>
      <c r="BL361" s="229"/>
      <c r="BM361" s="229"/>
      <c r="BN361" s="229"/>
      <c r="BO361" s="229"/>
      <c r="BP361" s="229"/>
      <c r="BQ361" s="229"/>
      <c r="BR361" s="229"/>
      <c r="BS361" s="229"/>
      <c r="BT361" s="229"/>
      <c r="BU361" s="229"/>
      <c r="BV361" s="229"/>
      <c r="BW361" s="229"/>
      <c r="BX361" s="229"/>
      <c r="BY361" s="229"/>
      <c r="BZ361" s="229"/>
      <c r="CA361" s="229"/>
    </row>
    <row r="362" spans="14:79" x14ac:dyDescent="0.25"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  <c r="AJ362" s="229"/>
      <c r="AK362" s="229"/>
      <c r="AL362" s="229"/>
      <c r="AM362" s="229"/>
      <c r="AN362" s="229"/>
      <c r="AO362" s="229"/>
      <c r="AP362" s="229"/>
      <c r="AQ362" s="229"/>
      <c r="AR362" s="229"/>
      <c r="AS362" s="229"/>
      <c r="AT362" s="229"/>
      <c r="AU362" s="229"/>
      <c r="AV362" s="229"/>
      <c r="AW362" s="229"/>
      <c r="AX362" s="229"/>
      <c r="AY362" s="229"/>
      <c r="AZ362" s="229"/>
      <c r="BA362" s="229"/>
      <c r="BB362" s="229"/>
      <c r="BC362" s="229"/>
      <c r="BD362" s="229"/>
      <c r="BE362" s="229"/>
      <c r="BF362" s="229"/>
      <c r="BG362" s="229"/>
      <c r="BH362" s="229"/>
      <c r="BI362" s="229"/>
      <c r="BJ362" s="229"/>
      <c r="BK362" s="229"/>
      <c r="BL362" s="229"/>
      <c r="BM362" s="229"/>
      <c r="BN362" s="229"/>
      <c r="BO362" s="229"/>
      <c r="BP362" s="229"/>
      <c r="BQ362" s="229"/>
      <c r="BR362" s="229"/>
      <c r="BS362" s="229"/>
      <c r="BT362" s="229"/>
      <c r="BU362" s="229"/>
      <c r="BV362" s="229"/>
      <c r="BW362" s="229"/>
      <c r="BX362" s="229"/>
      <c r="BY362" s="229"/>
      <c r="BZ362" s="229"/>
      <c r="CA362" s="229"/>
    </row>
    <row r="363" spans="14:79" x14ac:dyDescent="0.25"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  <c r="AJ363" s="229"/>
      <c r="AK363" s="229"/>
      <c r="AL363" s="229"/>
      <c r="AM363" s="229"/>
      <c r="AN363" s="229"/>
      <c r="AO363" s="229"/>
      <c r="AP363" s="229"/>
      <c r="AQ363" s="229"/>
      <c r="AR363" s="229"/>
      <c r="AS363" s="229"/>
      <c r="AT363" s="229"/>
      <c r="AU363" s="229"/>
      <c r="AV363" s="229"/>
      <c r="AW363" s="229"/>
      <c r="AX363" s="229"/>
      <c r="AY363" s="229"/>
      <c r="AZ363" s="229"/>
      <c r="BA363" s="229"/>
      <c r="BB363" s="229"/>
      <c r="BC363" s="229"/>
      <c r="BD363" s="229"/>
      <c r="BE363" s="229"/>
      <c r="BF363" s="229"/>
      <c r="BG363" s="229"/>
      <c r="BH363" s="229"/>
      <c r="BI363" s="229"/>
      <c r="BJ363" s="229"/>
      <c r="BK363" s="229"/>
      <c r="BL363" s="229"/>
      <c r="BM363" s="229"/>
      <c r="BN363" s="229"/>
      <c r="BO363" s="229"/>
      <c r="BP363" s="229"/>
      <c r="BQ363" s="229"/>
      <c r="BR363" s="229"/>
      <c r="BS363" s="229"/>
      <c r="BT363" s="229"/>
      <c r="BU363" s="229"/>
      <c r="BV363" s="229"/>
      <c r="BW363" s="229"/>
      <c r="BX363" s="229"/>
      <c r="BY363" s="229"/>
      <c r="BZ363" s="229"/>
      <c r="CA363" s="229"/>
    </row>
    <row r="364" spans="14:79" x14ac:dyDescent="0.25"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  <c r="AJ364" s="229"/>
      <c r="AK364" s="229"/>
      <c r="AL364" s="229"/>
      <c r="AM364" s="229"/>
      <c r="AN364" s="229"/>
      <c r="AO364" s="229"/>
      <c r="AP364" s="229"/>
      <c r="AQ364" s="229"/>
      <c r="AR364" s="229"/>
      <c r="AS364" s="229"/>
      <c r="AT364" s="229"/>
      <c r="AU364" s="229"/>
      <c r="AV364" s="229"/>
      <c r="AW364" s="229"/>
      <c r="AX364" s="229"/>
      <c r="AY364" s="229"/>
      <c r="AZ364" s="229"/>
      <c r="BA364" s="229"/>
      <c r="BB364" s="229"/>
      <c r="BC364" s="229"/>
      <c r="BD364" s="229"/>
      <c r="BE364" s="229"/>
      <c r="BF364" s="229"/>
      <c r="BG364" s="229"/>
      <c r="BH364" s="229"/>
      <c r="BI364" s="229"/>
      <c r="BJ364" s="229"/>
      <c r="BK364" s="229"/>
      <c r="BL364" s="229"/>
      <c r="BM364" s="229"/>
      <c r="BN364" s="229"/>
      <c r="BO364" s="229"/>
      <c r="BP364" s="229"/>
      <c r="BQ364" s="229"/>
      <c r="BR364" s="229"/>
      <c r="BS364" s="229"/>
      <c r="BT364" s="229"/>
      <c r="BU364" s="229"/>
      <c r="BV364" s="229"/>
      <c r="BW364" s="229"/>
      <c r="BX364" s="229"/>
      <c r="BY364" s="229"/>
      <c r="BZ364" s="229"/>
      <c r="CA364" s="229"/>
    </row>
    <row r="365" spans="14:79" x14ac:dyDescent="0.25"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  <c r="AJ365" s="229"/>
      <c r="AK365" s="229"/>
      <c r="AL365" s="229"/>
      <c r="AM365" s="229"/>
      <c r="AN365" s="229"/>
      <c r="AO365" s="229"/>
      <c r="AP365" s="229"/>
      <c r="AQ365" s="229"/>
      <c r="AR365" s="229"/>
      <c r="AS365" s="229"/>
      <c r="AT365" s="229"/>
      <c r="AU365" s="229"/>
      <c r="AV365" s="229"/>
      <c r="AW365" s="229"/>
      <c r="AX365" s="229"/>
      <c r="AY365" s="229"/>
      <c r="AZ365" s="229"/>
      <c r="BA365" s="229"/>
      <c r="BB365" s="229"/>
      <c r="BC365" s="229"/>
      <c r="BD365" s="229"/>
      <c r="BE365" s="229"/>
      <c r="BF365" s="229"/>
      <c r="BG365" s="229"/>
      <c r="BH365" s="229"/>
      <c r="BI365" s="229"/>
      <c r="BJ365" s="229"/>
      <c r="BK365" s="229"/>
      <c r="BL365" s="229"/>
      <c r="BM365" s="229"/>
      <c r="BN365" s="229"/>
      <c r="BO365" s="229"/>
      <c r="BP365" s="229"/>
      <c r="BQ365" s="229"/>
      <c r="BR365" s="229"/>
      <c r="BS365" s="229"/>
      <c r="BT365" s="229"/>
      <c r="BU365" s="229"/>
      <c r="BV365" s="229"/>
      <c r="BW365" s="229"/>
      <c r="BX365" s="229"/>
      <c r="BY365" s="229"/>
      <c r="BZ365" s="229"/>
      <c r="CA365" s="229"/>
    </row>
    <row r="366" spans="14:79" x14ac:dyDescent="0.25"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  <c r="AJ366" s="229"/>
      <c r="AK366" s="229"/>
      <c r="AL366" s="229"/>
      <c r="AM366" s="229"/>
      <c r="AN366" s="229"/>
      <c r="AO366" s="229"/>
      <c r="AP366" s="229"/>
      <c r="AQ366" s="229"/>
      <c r="AR366" s="229"/>
      <c r="AS366" s="229"/>
      <c r="AT366" s="229"/>
      <c r="AU366" s="229"/>
      <c r="AV366" s="229"/>
      <c r="AW366" s="229"/>
      <c r="AX366" s="229"/>
      <c r="AY366" s="229"/>
      <c r="AZ366" s="229"/>
      <c r="BA366" s="229"/>
      <c r="BB366" s="229"/>
      <c r="BC366" s="229"/>
      <c r="BD366" s="229"/>
      <c r="BE366" s="229"/>
      <c r="BF366" s="229"/>
      <c r="BG366" s="229"/>
      <c r="BH366" s="229"/>
      <c r="BI366" s="229"/>
      <c r="BJ366" s="229"/>
      <c r="BK366" s="229"/>
      <c r="BL366" s="229"/>
      <c r="BM366" s="229"/>
      <c r="BN366" s="229"/>
      <c r="BO366" s="229"/>
      <c r="BP366" s="229"/>
      <c r="BQ366" s="229"/>
      <c r="BR366" s="229"/>
      <c r="BS366" s="229"/>
      <c r="BT366" s="229"/>
      <c r="BU366" s="229"/>
      <c r="BV366" s="229"/>
      <c r="BW366" s="229"/>
      <c r="BX366" s="229"/>
      <c r="BY366" s="229"/>
      <c r="BZ366" s="229"/>
      <c r="CA366" s="229"/>
    </row>
    <row r="367" spans="14:79" x14ac:dyDescent="0.25"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  <c r="AJ367" s="229"/>
      <c r="AK367" s="229"/>
      <c r="AL367" s="229"/>
      <c r="AM367" s="229"/>
      <c r="AN367" s="229"/>
      <c r="AO367" s="229"/>
      <c r="AP367" s="229"/>
      <c r="AQ367" s="229"/>
      <c r="AR367" s="229"/>
      <c r="AS367" s="229"/>
      <c r="AT367" s="229"/>
      <c r="AU367" s="229"/>
      <c r="AV367" s="229"/>
      <c r="AW367" s="229"/>
      <c r="AX367" s="229"/>
      <c r="AY367" s="229"/>
      <c r="AZ367" s="229"/>
      <c r="BA367" s="229"/>
      <c r="BB367" s="229"/>
      <c r="BC367" s="229"/>
      <c r="BD367" s="229"/>
      <c r="BE367" s="229"/>
      <c r="BF367" s="229"/>
      <c r="BG367" s="229"/>
      <c r="BH367" s="229"/>
      <c r="BI367" s="229"/>
      <c r="BJ367" s="229"/>
      <c r="BK367" s="229"/>
      <c r="BL367" s="229"/>
      <c r="BM367" s="229"/>
      <c r="BN367" s="229"/>
      <c r="BO367" s="229"/>
      <c r="BP367" s="229"/>
      <c r="BQ367" s="229"/>
      <c r="BR367" s="229"/>
      <c r="BS367" s="229"/>
      <c r="BT367" s="229"/>
      <c r="BU367" s="229"/>
      <c r="BV367" s="229"/>
      <c r="BW367" s="229"/>
      <c r="BX367" s="229"/>
      <c r="BY367" s="229"/>
      <c r="BZ367" s="229"/>
      <c r="CA367" s="229"/>
    </row>
    <row r="368" spans="14:79" x14ac:dyDescent="0.25"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  <c r="AJ368" s="229"/>
      <c r="AK368" s="229"/>
      <c r="AL368" s="229"/>
      <c r="AM368" s="229"/>
      <c r="AN368" s="229"/>
      <c r="AO368" s="229"/>
      <c r="AP368" s="229"/>
      <c r="AQ368" s="229"/>
      <c r="AR368" s="229"/>
      <c r="AS368" s="229"/>
      <c r="AT368" s="229"/>
      <c r="AU368" s="229"/>
      <c r="AV368" s="229"/>
      <c r="AW368" s="229"/>
      <c r="AX368" s="229"/>
      <c r="AY368" s="229"/>
      <c r="AZ368" s="229"/>
      <c r="BA368" s="229"/>
      <c r="BB368" s="229"/>
      <c r="BC368" s="229"/>
      <c r="BD368" s="229"/>
      <c r="BE368" s="229"/>
      <c r="BF368" s="229"/>
      <c r="BG368" s="229"/>
      <c r="BH368" s="229"/>
      <c r="BI368" s="229"/>
      <c r="BJ368" s="229"/>
      <c r="BK368" s="229"/>
      <c r="BL368" s="229"/>
      <c r="BM368" s="229"/>
      <c r="BN368" s="229"/>
      <c r="BO368" s="229"/>
      <c r="BP368" s="229"/>
      <c r="BQ368" s="229"/>
      <c r="BR368" s="229"/>
      <c r="BS368" s="229"/>
      <c r="BT368" s="229"/>
      <c r="BU368" s="229"/>
      <c r="BV368" s="229"/>
      <c r="BW368" s="229"/>
      <c r="BX368" s="229"/>
      <c r="BY368" s="229"/>
      <c r="BZ368" s="229"/>
      <c r="CA368" s="229"/>
    </row>
    <row r="369" spans="14:79" x14ac:dyDescent="0.25"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  <c r="AJ369" s="229"/>
      <c r="AK369" s="229"/>
      <c r="AL369" s="229"/>
      <c r="AM369" s="229"/>
      <c r="AN369" s="229"/>
      <c r="AO369" s="229"/>
      <c r="AP369" s="229"/>
      <c r="AQ369" s="229"/>
      <c r="AR369" s="229"/>
      <c r="AS369" s="229"/>
      <c r="AT369" s="229"/>
      <c r="AU369" s="229"/>
      <c r="AV369" s="229"/>
      <c r="AW369" s="229"/>
      <c r="AX369" s="229"/>
      <c r="AY369" s="229"/>
      <c r="AZ369" s="229"/>
      <c r="BA369" s="229"/>
      <c r="BB369" s="229"/>
      <c r="BC369" s="229"/>
      <c r="BD369" s="229"/>
      <c r="BE369" s="229"/>
      <c r="BF369" s="229"/>
      <c r="BG369" s="229"/>
      <c r="BH369" s="229"/>
      <c r="BI369" s="229"/>
      <c r="BJ369" s="229"/>
      <c r="BK369" s="229"/>
      <c r="BL369" s="229"/>
      <c r="BM369" s="229"/>
      <c r="BN369" s="229"/>
      <c r="BO369" s="229"/>
      <c r="BP369" s="229"/>
      <c r="BQ369" s="229"/>
      <c r="BR369" s="229"/>
      <c r="BS369" s="229"/>
      <c r="BT369" s="229"/>
      <c r="BU369" s="229"/>
      <c r="BV369" s="229"/>
      <c r="BW369" s="229"/>
      <c r="BX369" s="229"/>
      <c r="BY369" s="229"/>
      <c r="BZ369" s="229"/>
      <c r="CA369" s="229"/>
    </row>
    <row r="370" spans="14:79" x14ac:dyDescent="0.25"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  <c r="AJ370" s="229"/>
      <c r="AK370" s="229"/>
      <c r="AL370" s="229"/>
      <c r="AM370" s="229"/>
      <c r="AN370" s="229"/>
      <c r="AO370" s="229"/>
      <c r="AP370" s="229"/>
      <c r="AQ370" s="229"/>
      <c r="AR370" s="229"/>
      <c r="AS370" s="229"/>
      <c r="AT370" s="229"/>
      <c r="AU370" s="229"/>
      <c r="AV370" s="229"/>
      <c r="AW370" s="229"/>
      <c r="AX370" s="229"/>
      <c r="AY370" s="229"/>
      <c r="AZ370" s="229"/>
      <c r="BA370" s="229"/>
      <c r="BB370" s="229"/>
      <c r="BC370" s="229"/>
      <c r="BD370" s="229"/>
      <c r="BE370" s="229"/>
      <c r="BF370" s="229"/>
      <c r="BG370" s="229"/>
      <c r="BH370" s="229"/>
      <c r="BI370" s="229"/>
      <c r="BJ370" s="229"/>
      <c r="BK370" s="229"/>
      <c r="BL370" s="229"/>
      <c r="BM370" s="229"/>
      <c r="BN370" s="229"/>
      <c r="BO370" s="229"/>
      <c r="BP370" s="229"/>
      <c r="BQ370" s="229"/>
      <c r="BR370" s="229"/>
      <c r="BS370" s="229"/>
      <c r="BT370" s="229"/>
      <c r="BU370" s="229"/>
      <c r="BV370" s="229"/>
      <c r="BW370" s="229"/>
      <c r="BX370" s="229"/>
      <c r="BY370" s="229"/>
      <c r="BZ370" s="229"/>
      <c r="CA370" s="229"/>
    </row>
    <row r="371" spans="14:79" x14ac:dyDescent="0.25"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  <c r="AJ371" s="229"/>
      <c r="AK371" s="229"/>
      <c r="AL371" s="229"/>
      <c r="AM371" s="229"/>
      <c r="AN371" s="229"/>
      <c r="AO371" s="229"/>
      <c r="AP371" s="229"/>
      <c r="AQ371" s="229"/>
      <c r="AR371" s="229"/>
      <c r="AS371" s="229"/>
      <c r="AT371" s="229"/>
      <c r="AU371" s="229"/>
      <c r="AV371" s="229"/>
      <c r="AW371" s="229"/>
      <c r="AX371" s="229"/>
      <c r="AY371" s="229"/>
      <c r="AZ371" s="229"/>
      <c r="BA371" s="229"/>
      <c r="BB371" s="229"/>
      <c r="BC371" s="229"/>
      <c r="BD371" s="229"/>
      <c r="BE371" s="229"/>
      <c r="BF371" s="229"/>
      <c r="BG371" s="229"/>
      <c r="BH371" s="229"/>
      <c r="BI371" s="229"/>
      <c r="BJ371" s="229"/>
      <c r="BK371" s="229"/>
      <c r="BL371" s="229"/>
      <c r="BM371" s="229"/>
      <c r="BN371" s="229"/>
      <c r="BO371" s="229"/>
      <c r="BP371" s="229"/>
      <c r="BQ371" s="229"/>
      <c r="BR371" s="229"/>
      <c r="BS371" s="229"/>
      <c r="BT371" s="229"/>
      <c r="BU371" s="229"/>
      <c r="BV371" s="229"/>
      <c r="BW371" s="229"/>
      <c r="BX371" s="229"/>
      <c r="BY371" s="229"/>
      <c r="BZ371" s="229"/>
      <c r="CA371" s="229"/>
    </row>
    <row r="372" spans="14:79" x14ac:dyDescent="0.25"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  <c r="AJ372" s="229"/>
      <c r="AK372" s="229"/>
      <c r="AL372" s="229"/>
      <c r="AM372" s="229"/>
      <c r="AN372" s="229"/>
      <c r="AO372" s="229"/>
      <c r="AP372" s="229"/>
      <c r="AQ372" s="229"/>
      <c r="AR372" s="229"/>
      <c r="AS372" s="229"/>
      <c r="AT372" s="229"/>
      <c r="AU372" s="229"/>
      <c r="AV372" s="229"/>
      <c r="AW372" s="229"/>
      <c r="AX372" s="229"/>
      <c r="AY372" s="229"/>
      <c r="AZ372" s="229"/>
      <c r="BA372" s="229"/>
      <c r="BB372" s="229"/>
      <c r="BC372" s="229"/>
      <c r="BD372" s="229"/>
      <c r="BE372" s="229"/>
      <c r="BF372" s="229"/>
      <c r="BG372" s="229"/>
      <c r="BH372" s="229"/>
      <c r="BI372" s="229"/>
      <c r="BJ372" s="229"/>
      <c r="BK372" s="229"/>
      <c r="BL372" s="229"/>
      <c r="BM372" s="229"/>
      <c r="BN372" s="229"/>
      <c r="BO372" s="229"/>
      <c r="BP372" s="229"/>
      <c r="BQ372" s="229"/>
      <c r="BR372" s="229"/>
      <c r="BS372" s="229"/>
      <c r="BT372" s="229"/>
      <c r="BU372" s="229"/>
      <c r="BV372" s="229"/>
      <c r="BW372" s="229"/>
      <c r="BX372" s="229"/>
      <c r="BY372" s="229"/>
      <c r="BZ372" s="229"/>
      <c r="CA372" s="229"/>
    </row>
    <row r="373" spans="14:79" x14ac:dyDescent="0.25"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  <c r="AJ373" s="229"/>
      <c r="AK373" s="229"/>
      <c r="AL373" s="229"/>
      <c r="AM373" s="229"/>
      <c r="AN373" s="229"/>
      <c r="AO373" s="229"/>
      <c r="AP373" s="229"/>
      <c r="AQ373" s="229"/>
      <c r="AR373" s="229"/>
      <c r="AS373" s="229"/>
      <c r="AT373" s="229"/>
      <c r="AU373" s="229"/>
      <c r="AV373" s="229"/>
      <c r="AW373" s="229"/>
      <c r="AX373" s="229"/>
      <c r="AY373" s="229"/>
      <c r="AZ373" s="229"/>
      <c r="BA373" s="229"/>
      <c r="BB373" s="229"/>
      <c r="BC373" s="229"/>
      <c r="BD373" s="229"/>
      <c r="BE373" s="229"/>
      <c r="BF373" s="229"/>
      <c r="BG373" s="229"/>
      <c r="BH373" s="229"/>
      <c r="BI373" s="229"/>
      <c r="BJ373" s="229"/>
      <c r="BK373" s="229"/>
      <c r="BL373" s="229"/>
      <c r="BM373" s="229"/>
      <c r="BN373" s="229"/>
      <c r="BO373" s="229"/>
      <c r="BP373" s="229"/>
      <c r="BQ373" s="229"/>
      <c r="BR373" s="229"/>
      <c r="BS373" s="229"/>
      <c r="BT373" s="229"/>
      <c r="BU373" s="229"/>
      <c r="BV373" s="229"/>
      <c r="BW373" s="229"/>
      <c r="BX373" s="229"/>
      <c r="BY373" s="229"/>
      <c r="BZ373" s="229"/>
      <c r="CA373" s="229"/>
    </row>
    <row r="374" spans="14:79" x14ac:dyDescent="0.25"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  <c r="AJ374" s="229"/>
      <c r="AK374" s="229"/>
      <c r="AL374" s="229"/>
      <c r="AM374" s="229"/>
      <c r="AN374" s="229"/>
      <c r="AO374" s="229"/>
      <c r="AP374" s="229"/>
      <c r="AQ374" s="229"/>
      <c r="AR374" s="229"/>
      <c r="AS374" s="229"/>
      <c r="AT374" s="229"/>
      <c r="AU374" s="229"/>
      <c r="AV374" s="229"/>
      <c r="AW374" s="229"/>
      <c r="AX374" s="229"/>
      <c r="AY374" s="229"/>
      <c r="AZ374" s="229"/>
      <c r="BA374" s="229"/>
      <c r="BB374" s="229"/>
      <c r="BC374" s="229"/>
      <c r="BD374" s="229"/>
      <c r="BE374" s="229"/>
      <c r="BF374" s="229"/>
      <c r="BG374" s="229"/>
      <c r="BH374" s="229"/>
      <c r="BI374" s="229"/>
      <c r="BJ374" s="229"/>
      <c r="BK374" s="229"/>
      <c r="BL374" s="229"/>
      <c r="BM374" s="229"/>
      <c r="BN374" s="229"/>
      <c r="BO374" s="229"/>
      <c r="BP374" s="229"/>
      <c r="BQ374" s="229"/>
      <c r="BR374" s="229"/>
      <c r="BS374" s="229"/>
      <c r="BT374" s="229"/>
      <c r="BU374" s="229"/>
      <c r="BV374" s="229"/>
      <c r="BW374" s="229"/>
      <c r="BX374" s="229"/>
      <c r="BY374" s="229"/>
      <c r="BZ374" s="229"/>
      <c r="CA374" s="229"/>
    </row>
    <row r="375" spans="14:79" x14ac:dyDescent="0.25"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  <c r="AJ375" s="229"/>
      <c r="AK375" s="229"/>
      <c r="AL375" s="229"/>
      <c r="AM375" s="229"/>
      <c r="AN375" s="229"/>
      <c r="AO375" s="229"/>
      <c r="AP375" s="229"/>
      <c r="AQ375" s="229"/>
      <c r="AR375" s="229"/>
      <c r="AS375" s="229"/>
      <c r="AT375" s="229"/>
      <c r="AU375" s="229"/>
      <c r="AV375" s="229"/>
      <c r="AW375" s="229"/>
      <c r="AX375" s="229"/>
      <c r="AY375" s="229"/>
      <c r="AZ375" s="229"/>
      <c r="BA375" s="229"/>
      <c r="BB375" s="229"/>
      <c r="BC375" s="229"/>
      <c r="BD375" s="229"/>
      <c r="BE375" s="229"/>
      <c r="BF375" s="229"/>
      <c r="BG375" s="229"/>
      <c r="BH375" s="229"/>
      <c r="BI375" s="229"/>
      <c r="BJ375" s="229"/>
      <c r="BK375" s="229"/>
      <c r="BL375" s="229"/>
      <c r="BM375" s="229"/>
      <c r="BN375" s="229"/>
      <c r="BO375" s="229"/>
      <c r="BP375" s="229"/>
      <c r="BQ375" s="229"/>
      <c r="BR375" s="229"/>
      <c r="BS375" s="229"/>
      <c r="BT375" s="229"/>
      <c r="BU375" s="229"/>
      <c r="BV375" s="229"/>
      <c r="BW375" s="229"/>
      <c r="BX375" s="229"/>
      <c r="BY375" s="229"/>
      <c r="BZ375" s="229"/>
      <c r="CA375" s="229"/>
    </row>
    <row r="376" spans="14:79" x14ac:dyDescent="0.25"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  <c r="AJ376" s="229"/>
      <c r="AK376" s="229"/>
      <c r="AL376" s="229"/>
      <c r="AM376" s="229"/>
      <c r="AN376" s="229"/>
      <c r="AO376" s="229"/>
      <c r="AP376" s="229"/>
      <c r="AQ376" s="229"/>
      <c r="AR376" s="229"/>
      <c r="AS376" s="229"/>
      <c r="AT376" s="229"/>
      <c r="AU376" s="229"/>
      <c r="AV376" s="229"/>
      <c r="AW376" s="229"/>
      <c r="AX376" s="229"/>
      <c r="AY376" s="229"/>
      <c r="AZ376" s="229"/>
      <c r="BA376" s="229"/>
      <c r="BB376" s="229"/>
      <c r="BC376" s="229"/>
      <c r="BD376" s="229"/>
      <c r="BE376" s="229"/>
      <c r="BF376" s="229"/>
      <c r="BG376" s="229"/>
      <c r="BH376" s="229"/>
      <c r="BI376" s="229"/>
      <c r="BJ376" s="229"/>
      <c r="BK376" s="229"/>
      <c r="BL376" s="229"/>
      <c r="BM376" s="229"/>
      <c r="BN376" s="229"/>
      <c r="BO376" s="229"/>
      <c r="BP376" s="229"/>
      <c r="BQ376" s="229"/>
      <c r="BR376" s="229"/>
      <c r="BS376" s="229"/>
      <c r="BT376" s="229"/>
      <c r="BU376" s="229"/>
      <c r="BV376" s="229"/>
      <c r="BW376" s="229"/>
      <c r="BX376" s="229"/>
      <c r="BY376" s="229"/>
      <c r="BZ376" s="229"/>
      <c r="CA376" s="229"/>
    </row>
    <row r="377" spans="14:79" x14ac:dyDescent="0.25"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  <c r="AJ377" s="229"/>
      <c r="AK377" s="229"/>
      <c r="AL377" s="229"/>
      <c r="AM377" s="229"/>
      <c r="AN377" s="229"/>
      <c r="AO377" s="229"/>
      <c r="AP377" s="229"/>
      <c r="AQ377" s="229"/>
      <c r="AR377" s="229"/>
      <c r="AS377" s="229"/>
      <c r="AT377" s="229"/>
      <c r="AU377" s="229"/>
      <c r="AV377" s="229"/>
      <c r="AW377" s="229"/>
      <c r="AX377" s="229"/>
      <c r="AY377" s="229"/>
      <c r="AZ377" s="229"/>
      <c r="BA377" s="229"/>
      <c r="BB377" s="229"/>
      <c r="BC377" s="229"/>
      <c r="BD377" s="229"/>
      <c r="BE377" s="229"/>
      <c r="BF377" s="229"/>
      <c r="BG377" s="229"/>
      <c r="BH377" s="229"/>
      <c r="BI377" s="229"/>
      <c r="BJ377" s="229"/>
      <c r="BK377" s="229"/>
      <c r="BL377" s="229"/>
      <c r="BM377" s="229"/>
      <c r="BN377" s="229"/>
      <c r="BO377" s="229"/>
      <c r="BP377" s="229"/>
      <c r="BQ377" s="229"/>
      <c r="BR377" s="229"/>
      <c r="BS377" s="229"/>
      <c r="BT377" s="229"/>
      <c r="BU377" s="229"/>
      <c r="BV377" s="229"/>
      <c r="BW377" s="229"/>
      <c r="BX377" s="229"/>
      <c r="BY377" s="229"/>
      <c r="BZ377" s="229"/>
      <c r="CA377" s="229"/>
    </row>
    <row r="378" spans="14:79" x14ac:dyDescent="0.25"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  <c r="AJ378" s="229"/>
      <c r="AK378" s="229"/>
      <c r="AL378" s="229"/>
      <c r="AM378" s="229"/>
      <c r="AN378" s="229"/>
      <c r="AO378" s="229"/>
      <c r="AP378" s="229"/>
      <c r="AQ378" s="229"/>
      <c r="AR378" s="229"/>
      <c r="AS378" s="229"/>
      <c r="AT378" s="229"/>
      <c r="AU378" s="229"/>
      <c r="AV378" s="229"/>
      <c r="AW378" s="229"/>
      <c r="AX378" s="229"/>
      <c r="AY378" s="229"/>
      <c r="AZ378" s="229"/>
      <c r="BA378" s="229"/>
      <c r="BB378" s="229"/>
      <c r="BC378" s="229"/>
      <c r="BD378" s="229"/>
      <c r="BE378" s="229"/>
      <c r="BF378" s="229"/>
      <c r="BG378" s="229"/>
      <c r="BH378" s="229"/>
      <c r="BI378" s="229"/>
      <c r="BJ378" s="229"/>
      <c r="BK378" s="229"/>
      <c r="BL378" s="229"/>
      <c r="BM378" s="229"/>
      <c r="BN378" s="229"/>
      <c r="BO378" s="229"/>
      <c r="BP378" s="229"/>
      <c r="BQ378" s="229"/>
      <c r="BR378" s="229"/>
      <c r="BS378" s="229"/>
      <c r="BT378" s="229"/>
      <c r="BU378" s="229"/>
      <c r="BV378" s="229"/>
      <c r="BW378" s="229"/>
      <c r="BX378" s="229"/>
      <c r="BY378" s="229"/>
      <c r="BZ378" s="229"/>
      <c r="CA378" s="229"/>
    </row>
    <row r="379" spans="14:79" x14ac:dyDescent="0.25"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  <c r="AJ379" s="229"/>
      <c r="AK379" s="229"/>
      <c r="AL379" s="229"/>
      <c r="AM379" s="229"/>
      <c r="AN379" s="229"/>
      <c r="AO379" s="229"/>
      <c r="AP379" s="229"/>
      <c r="AQ379" s="229"/>
      <c r="AR379" s="229"/>
      <c r="AS379" s="229"/>
      <c r="AT379" s="229"/>
      <c r="AU379" s="229"/>
      <c r="AV379" s="229"/>
      <c r="AW379" s="229"/>
      <c r="AX379" s="229"/>
      <c r="AY379" s="229"/>
      <c r="AZ379" s="229"/>
      <c r="BA379" s="229"/>
      <c r="BB379" s="229"/>
      <c r="BC379" s="229"/>
      <c r="BD379" s="229"/>
      <c r="BE379" s="229"/>
      <c r="BF379" s="229"/>
      <c r="BG379" s="229"/>
      <c r="BH379" s="229"/>
      <c r="BI379" s="229"/>
      <c r="BJ379" s="229"/>
      <c r="BK379" s="229"/>
      <c r="BL379" s="229"/>
      <c r="BM379" s="229"/>
      <c r="BN379" s="229"/>
      <c r="BO379" s="229"/>
      <c r="BP379" s="229"/>
      <c r="BQ379" s="229"/>
      <c r="BR379" s="229"/>
      <c r="BS379" s="229"/>
      <c r="BT379" s="229"/>
      <c r="BU379" s="229"/>
      <c r="BV379" s="229"/>
      <c r="BW379" s="229"/>
      <c r="BX379" s="229"/>
      <c r="BY379" s="229"/>
      <c r="BZ379" s="229"/>
      <c r="CA379" s="229"/>
    </row>
    <row r="380" spans="14:79" x14ac:dyDescent="0.25"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  <c r="AJ380" s="229"/>
      <c r="AK380" s="229"/>
      <c r="AL380" s="229"/>
      <c r="AM380" s="229"/>
      <c r="AN380" s="229"/>
      <c r="AO380" s="229"/>
      <c r="AP380" s="229"/>
      <c r="AQ380" s="229"/>
      <c r="AR380" s="229"/>
      <c r="AS380" s="229"/>
      <c r="AT380" s="229"/>
      <c r="AU380" s="229"/>
      <c r="AV380" s="229"/>
      <c r="AW380" s="229"/>
      <c r="AX380" s="229"/>
      <c r="AY380" s="229"/>
      <c r="AZ380" s="229"/>
      <c r="BA380" s="229"/>
      <c r="BB380" s="229"/>
      <c r="BC380" s="229"/>
      <c r="BD380" s="229"/>
      <c r="BE380" s="229"/>
      <c r="BF380" s="229"/>
      <c r="BG380" s="229"/>
      <c r="BH380" s="229"/>
      <c r="BI380" s="229"/>
      <c r="BJ380" s="229"/>
      <c r="BK380" s="229"/>
      <c r="BL380" s="229"/>
      <c r="BM380" s="229"/>
      <c r="BN380" s="229"/>
      <c r="BO380" s="229"/>
      <c r="BP380" s="229"/>
      <c r="BQ380" s="229"/>
      <c r="BR380" s="229"/>
      <c r="BS380" s="229"/>
      <c r="BT380" s="229"/>
      <c r="BU380" s="229"/>
      <c r="BV380" s="229"/>
      <c r="BW380" s="229"/>
      <c r="BX380" s="229"/>
      <c r="BY380" s="229"/>
      <c r="BZ380" s="229"/>
      <c r="CA380" s="229"/>
    </row>
    <row r="381" spans="14:79" x14ac:dyDescent="0.25"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  <c r="AJ381" s="229"/>
      <c r="AK381" s="229"/>
      <c r="AL381" s="229"/>
      <c r="AM381" s="229"/>
      <c r="AN381" s="229"/>
      <c r="AO381" s="229"/>
      <c r="AP381" s="229"/>
      <c r="AQ381" s="229"/>
      <c r="AR381" s="229"/>
      <c r="AS381" s="229"/>
      <c r="AT381" s="229"/>
      <c r="AU381" s="229"/>
      <c r="AV381" s="229"/>
      <c r="AW381" s="229"/>
      <c r="AX381" s="229"/>
      <c r="AY381" s="229"/>
      <c r="AZ381" s="229"/>
      <c r="BA381" s="229"/>
      <c r="BB381" s="229"/>
      <c r="BC381" s="229"/>
      <c r="BD381" s="229"/>
      <c r="BE381" s="229"/>
      <c r="BF381" s="229"/>
      <c r="BG381" s="229"/>
      <c r="BH381" s="229"/>
      <c r="BI381" s="229"/>
      <c r="BJ381" s="229"/>
      <c r="BK381" s="229"/>
      <c r="BL381" s="229"/>
      <c r="BM381" s="229"/>
      <c r="BN381" s="229"/>
      <c r="BO381" s="229"/>
      <c r="BP381" s="229"/>
      <c r="BQ381" s="229"/>
      <c r="BR381" s="229"/>
      <c r="BS381" s="229"/>
      <c r="BT381" s="229"/>
      <c r="BU381" s="229"/>
      <c r="BV381" s="229"/>
      <c r="BW381" s="229"/>
      <c r="BX381" s="229"/>
      <c r="BY381" s="229"/>
      <c r="BZ381" s="229"/>
      <c r="CA381" s="229"/>
    </row>
    <row r="382" spans="14:79" x14ac:dyDescent="0.25"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  <c r="AJ382" s="229"/>
      <c r="AK382" s="229"/>
      <c r="AL382" s="229"/>
      <c r="AM382" s="229"/>
      <c r="AN382" s="229"/>
      <c r="AO382" s="229"/>
      <c r="AP382" s="229"/>
      <c r="AQ382" s="229"/>
      <c r="AR382" s="229"/>
      <c r="AS382" s="229"/>
      <c r="AT382" s="229"/>
      <c r="AU382" s="229"/>
      <c r="AV382" s="229"/>
      <c r="AW382" s="229"/>
      <c r="AX382" s="229"/>
      <c r="AY382" s="229"/>
      <c r="AZ382" s="229"/>
      <c r="BA382" s="229"/>
      <c r="BB382" s="229"/>
      <c r="BC382" s="229"/>
      <c r="BD382" s="229"/>
      <c r="BE382" s="229"/>
      <c r="BF382" s="229"/>
      <c r="BG382" s="229"/>
      <c r="BH382" s="229"/>
      <c r="BI382" s="229"/>
      <c r="BJ382" s="229"/>
      <c r="BK382" s="229"/>
      <c r="BL382" s="229"/>
      <c r="BM382" s="229"/>
      <c r="BN382" s="229"/>
      <c r="BO382" s="229"/>
      <c r="BP382" s="229"/>
      <c r="BQ382" s="229"/>
      <c r="BR382" s="229"/>
      <c r="BS382" s="229"/>
      <c r="BT382" s="229"/>
      <c r="BU382" s="229"/>
      <c r="BV382" s="229"/>
      <c r="BW382" s="229"/>
      <c r="BX382" s="229"/>
      <c r="BY382" s="229"/>
      <c r="BZ382" s="229"/>
      <c r="CA382" s="229"/>
    </row>
    <row r="383" spans="14:79" x14ac:dyDescent="0.25"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  <c r="AJ383" s="229"/>
      <c r="AK383" s="229"/>
      <c r="AL383" s="229"/>
      <c r="AM383" s="229"/>
      <c r="AN383" s="229"/>
      <c r="AO383" s="229"/>
      <c r="AP383" s="229"/>
      <c r="AQ383" s="229"/>
      <c r="AR383" s="229"/>
      <c r="AS383" s="229"/>
      <c r="AT383" s="229"/>
      <c r="AU383" s="229"/>
      <c r="AV383" s="229"/>
      <c r="AW383" s="229"/>
      <c r="AX383" s="229"/>
      <c r="AY383" s="229"/>
      <c r="AZ383" s="229"/>
      <c r="BA383" s="229"/>
      <c r="BB383" s="229"/>
      <c r="BC383" s="229"/>
      <c r="BD383" s="229"/>
      <c r="BE383" s="229"/>
      <c r="BF383" s="229"/>
      <c r="BG383" s="229"/>
      <c r="BH383" s="229"/>
      <c r="BI383" s="229"/>
      <c r="BJ383" s="229"/>
      <c r="BK383" s="229"/>
      <c r="BL383" s="229"/>
      <c r="BM383" s="229"/>
      <c r="BN383" s="229"/>
      <c r="BO383" s="229"/>
      <c r="BP383" s="229"/>
      <c r="BQ383" s="229"/>
      <c r="BR383" s="229"/>
      <c r="BS383" s="229"/>
      <c r="BT383" s="229"/>
      <c r="BU383" s="229"/>
      <c r="BV383" s="229"/>
      <c r="BW383" s="229"/>
      <c r="BX383" s="229"/>
      <c r="BY383" s="229"/>
      <c r="BZ383" s="229"/>
      <c r="CA383" s="229"/>
    </row>
    <row r="384" spans="14:79" x14ac:dyDescent="0.25"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  <c r="AJ384" s="229"/>
      <c r="AK384" s="229"/>
      <c r="AL384" s="229"/>
      <c r="AM384" s="229"/>
      <c r="AN384" s="229"/>
      <c r="AO384" s="229"/>
      <c r="AP384" s="229"/>
      <c r="AQ384" s="229"/>
      <c r="AR384" s="229"/>
      <c r="AS384" s="229"/>
      <c r="AT384" s="229"/>
      <c r="AU384" s="229"/>
      <c r="AV384" s="229"/>
      <c r="AW384" s="229"/>
      <c r="AX384" s="229"/>
      <c r="AY384" s="229"/>
      <c r="AZ384" s="229"/>
      <c r="BA384" s="229"/>
      <c r="BB384" s="229"/>
      <c r="BC384" s="229"/>
      <c r="BD384" s="229"/>
      <c r="BE384" s="229"/>
      <c r="BF384" s="229"/>
      <c r="BG384" s="229"/>
      <c r="BH384" s="229"/>
      <c r="BI384" s="229"/>
      <c r="BJ384" s="229"/>
      <c r="BK384" s="229"/>
      <c r="BL384" s="229"/>
      <c r="BM384" s="229"/>
      <c r="BN384" s="229"/>
      <c r="BO384" s="229"/>
      <c r="BP384" s="229"/>
      <c r="BQ384" s="229"/>
      <c r="BR384" s="229"/>
      <c r="BS384" s="229"/>
      <c r="BT384" s="229"/>
      <c r="BU384" s="229"/>
      <c r="BV384" s="229"/>
      <c r="BW384" s="229"/>
      <c r="BX384" s="229"/>
      <c r="BY384" s="229"/>
      <c r="BZ384" s="229"/>
      <c r="CA384" s="229"/>
    </row>
    <row r="385" spans="14:79" x14ac:dyDescent="0.25"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  <c r="AJ385" s="229"/>
      <c r="AK385" s="229"/>
      <c r="AL385" s="229"/>
      <c r="AM385" s="229"/>
      <c r="AN385" s="229"/>
      <c r="AO385" s="229"/>
      <c r="AP385" s="229"/>
      <c r="AQ385" s="229"/>
      <c r="AR385" s="229"/>
      <c r="AS385" s="229"/>
      <c r="AT385" s="229"/>
      <c r="AU385" s="229"/>
      <c r="AV385" s="229"/>
      <c r="AW385" s="229"/>
      <c r="AX385" s="229"/>
      <c r="AY385" s="229"/>
      <c r="AZ385" s="229"/>
      <c r="BA385" s="229"/>
      <c r="BB385" s="229"/>
      <c r="BC385" s="229"/>
      <c r="BD385" s="229"/>
      <c r="BE385" s="229"/>
      <c r="BF385" s="229"/>
      <c r="BG385" s="229"/>
      <c r="BH385" s="229"/>
      <c r="BI385" s="229"/>
      <c r="BJ385" s="229"/>
      <c r="BK385" s="229"/>
      <c r="BL385" s="229"/>
      <c r="BM385" s="229"/>
      <c r="BN385" s="229"/>
      <c r="BO385" s="229"/>
      <c r="BP385" s="229"/>
      <c r="BQ385" s="229"/>
      <c r="BR385" s="229"/>
      <c r="BS385" s="229"/>
      <c r="BT385" s="229"/>
      <c r="BU385" s="229"/>
      <c r="BV385" s="229"/>
      <c r="BW385" s="229"/>
      <c r="BX385" s="229"/>
      <c r="BY385" s="229"/>
      <c r="BZ385" s="229"/>
      <c r="CA385" s="229"/>
    </row>
    <row r="386" spans="14:79" x14ac:dyDescent="0.25"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  <c r="AJ386" s="229"/>
      <c r="AK386" s="229"/>
      <c r="AL386" s="229"/>
      <c r="AM386" s="229"/>
      <c r="AN386" s="229"/>
      <c r="AO386" s="229"/>
      <c r="AP386" s="229"/>
      <c r="AQ386" s="229"/>
      <c r="AR386" s="229"/>
      <c r="AS386" s="229"/>
      <c r="AT386" s="229"/>
      <c r="AU386" s="229"/>
      <c r="AV386" s="229"/>
      <c r="AW386" s="229"/>
      <c r="AX386" s="229"/>
      <c r="AY386" s="229"/>
      <c r="AZ386" s="229"/>
      <c r="BA386" s="229"/>
      <c r="BB386" s="229"/>
      <c r="BC386" s="229"/>
      <c r="BD386" s="229"/>
      <c r="BE386" s="229"/>
      <c r="BF386" s="229"/>
      <c r="BG386" s="229"/>
      <c r="BH386" s="229"/>
      <c r="BI386" s="229"/>
      <c r="BJ386" s="229"/>
      <c r="BK386" s="229"/>
      <c r="BL386" s="229"/>
      <c r="BM386" s="229"/>
      <c r="BN386" s="229"/>
      <c r="BO386" s="229"/>
      <c r="BP386" s="229"/>
      <c r="BQ386" s="229"/>
      <c r="BR386" s="229"/>
      <c r="BS386" s="229"/>
      <c r="BT386" s="229"/>
      <c r="BU386" s="229"/>
      <c r="BV386" s="229"/>
      <c r="BW386" s="229"/>
      <c r="BX386" s="229"/>
      <c r="BY386" s="229"/>
      <c r="BZ386" s="229"/>
      <c r="CA386" s="229"/>
    </row>
    <row r="387" spans="14:79" x14ac:dyDescent="0.25"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  <c r="AJ387" s="229"/>
      <c r="AK387" s="229"/>
      <c r="AL387" s="229"/>
      <c r="AM387" s="229"/>
      <c r="AN387" s="229"/>
      <c r="AO387" s="229"/>
      <c r="AP387" s="229"/>
      <c r="AQ387" s="229"/>
      <c r="AR387" s="229"/>
      <c r="AS387" s="229"/>
      <c r="AT387" s="229"/>
      <c r="AU387" s="229"/>
      <c r="AV387" s="229"/>
      <c r="AW387" s="229"/>
      <c r="AX387" s="229"/>
      <c r="AY387" s="229"/>
      <c r="AZ387" s="229"/>
      <c r="BA387" s="229"/>
      <c r="BB387" s="229"/>
      <c r="BC387" s="229"/>
      <c r="BD387" s="229"/>
      <c r="BE387" s="229"/>
      <c r="BF387" s="229"/>
      <c r="BG387" s="229"/>
      <c r="BH387" s="229"/>
      <c r="BI387" s="229"/>
      <c r="BJ387" s="229"/>
      <c r="BK387" s="229"/>
      <c r="BL387" s="229"/>
      <c r="BM387" s="229"/>
      <c r="BN387" s="229"/>
      <c r="BO387" s="229"/>
      <c r="BP387" s="229"/>
      <c r="BQ387" s="229"/>
      <c r="BR387" s="229"/>
      <c r="BS387" s="229"/>
      <c r="BT387" s="229"/>
      <c r="BU387" s="229"/>
      <c r="BV387" s="229"/>
      <c r="BW387" s="229"/>
      <c r="BX387" s="229"/>
      <c r="BY387" s="229"/>
      <c r="BZ387" s="229"/>
      <c r="CA387" s="229"/>
    </row>
    <row r="388" spans="14:79" x14ac:dyDescent="0.25"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  <c r="AJ388" s="229"/>
      <c r="AK388" s="229"/>
      <c r="AL388" s="229"/>
      <c r="AM388" s="229"/>
      <c r="AN388" s="229"/>
      <c r="AO388" s="229"/>
      <c r="AP388" s="229"/>
      <c r="AQ388" s="229"/>
      <c r="AR388" s="229"/>
      <c r="AS388" s="229"/>
      <c r="AT388" s="229"/>
      <c r="AU388" s="229"/>
      <c r="AV388" s="229"/>
      <c r="AW388" s="229"/>
      <c r="AX388" s="229"/>
      <c r="AY388" s="229"/>
      <c r="AZ388" s="229"/>
      <c r="BA388" s="229"/>
      <c r="BB388" s="229"/>
      <c r="BC388" s="229"/>
      <c r="BD388" s="229"/>
      <c r="BE388" s="229"/>
      <c r="BF388" s="229"/>
      <c r="BG388" s="229"/>
      <c r="BH388" s="229"/>
      <c r="BI388" s="229"/>
      <c r="BJ388" s="229"/>
      <c r="BK388" s="229"/>
      <c r="BL388" s="229"/>
      <c r="BM388" s="229"/>
      <c r="BN388" s="229"/>
      <c r="BO388" s="229"/>
      <c r="BP388" s="229"/>
      <c r="BQ388" s="229"/>
      <c r="BR388" s="229"/>
      <c r="BS388" s="229"/>
      <c r="BT388" s="229"/>
      <c r="BU388" s="229"/>
      <c r="BV388" s="229"/>
      <c r="BW388" s="229"/>
      <c r="BX388" s="229"/>
      <c r="BY388" s="229"/>
      <c r="BZ388" s="229"/>
      <c r="CA388" s="229"/>
    </row>
    <row r="389" spans="14:79" x14ac:dyDescent="0.25"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  <c r="AJ389" s="229"/>
      <c r="AK389" s="229"/>
      <c r="AL389" s="229"/>
      <c r="AM389" s="229"/>
      <c r="AN389" s="229"/>
      <c r="AO389" s="229"/>
      <c r="AP389" s="229"/>
      <c r="AQ389" s="229"/>
      <c r="AR389" s="229"/>
      <c r="AS389" s="229"/>
      <c r="AT389" s="229"/>
      <c r="AU389" s="229"/>
      <c r="AV389" s="229"/>
      <c r="AW389" s="229"/>
      <c r="AX389" s="229"/>
      <c r="AY389" s="229"/>
      <c r="AZ389" s="229"/>
      <c r="BA389" s="229"/>
      <c r="BB389" s="229"/>
      <c r="BC389" s="229"/>
      <c r="BD389" s="229"/>
      <c r="BE389" s="229"/>
      <c r="BF389" s="229"/>
      <c r="BG389" s="229"/>
      <c r="BH389" s="229"/>
      <c r="BI389" s="229"/>
      <c r="BJ389" s="229"/>
      <c r="BK389" s="229"/>
      <c r="BL389" s="229"/>
      <c r="BM389" s="229"/>
      <c r="BN389" s="229"/>
      <c r="BO389" s="229"/>
      <c r="BP389" s="229"/>
      <c r="BQ389" s="229"/>
      <c r="BR389" s="229"/>
      <c r="BS389" s="229"/>
      <c r="BT389" s="229"/>
      <c r="BU389" s="229"/>
      <c r="BV389" s="229"/>
      <c r="BW389" s="229"/>
      <c r="BX389" s="229"/>
      <c r="BY389" s="229"/>
      <c r="BZ389" s="229"/>
      <c r="CA389" s="229"/>
    </row>
    <row r="390" spans="14:79" x14ac:dyDescent="0.25"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  <c r="AJ390" s="229"/>
      <c r="AK390" s="229"/>
      <c r="AL390" s="229"/>
      <c r="AM390" s="229"/>
      <c r="AN390" s="229"/>
      <c r="AO390" s="229"/>
      <c r="AP390" s="229"/>
      <c r="AQ390" s="229"/>
      <c r="AR390" s="229"/>
      <c r="AS390" s="229"/>
      <c r="AT390" s="229"/>
      <c r="AU390" s="229"/>
      <c r="AV390" s="229"/>
      <c r="AW390" s="229"/>
      <c r="AX390" s="229"/>
      <c r="AY390" s="229"/>
      <c r="AZ390" s="229"/>
      <c r="BA390" s="229"/>
      <c r="BB390" s="229"/>
      <c r="BC390" s="229"/>
      <c r="BD390" s="229"/>
      <c r="BE390" s="229"/>
      <c r="BF390" s="229"/>
      <c r="BG390" s="229"/>
      <c r="BH390" s="229"/>
      <c r="BI390" s="229"/>
      <c r="BJ390" s="229"/>
      <c r="BK390" s="229"/>
      <c r="BL390" s="229"/>
      <c r="BM390" s="229"/>
      <c r="BN390" s="229"/>
      <c r="BO390" s="229"/>
      <c r="BP390" s="229"/>
      <c r="BQ390" s="229"/>
      <c r="BR390" s="229"/>
      <c r="BS390" s="229"/>
      <c r="BT390" s="229"/>
      <c r="BU390" s="229"/>
      <c r="BV390" s="229"/>
      <c r="BW390" s="229"/>
      <c r="BX390" s="229"/>
      <c r="BY390" s="229"/>
      <c r="BZ390" s="229"/>
      <c r="CA390" s="229"/>
    </row>
    <row r="391" spans="14:79" x14ac:dyDescent="0.25"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  <c r="AJ391" s="229"/>
      <c r="AK391" s="229"/>
      <c r="AL391" s="229"/>
      <c r="AM391" s="229"/>
      <c r="AN391" s="229"/>
      <c r="AO391" s="229"/>
      <c r="AP391" s="229"/>
      <c r="AQ391" s="229"/>
      <c r="AR391" s="229"/>
      <c r="AS391" s="229"/>
      <c r="AT391" s="229"/>
      <c r="AU391" s="229"/>
      <c r="AV391" s="229"/>
      <c r="AW391" s="229"/>
      <c r="AX391" s="229"/>
      <c r="AY391" s="229"/>
      <c r="AZ391" s="229"/>
      <c r="BA391" s="229"/>
      <c r="BB391" s="229"/>
      <c r="BC391" s="229"/>
      <c r="BD391" s="229"/>
      <c r="BE391" s="229"/>
      <c r="BF391" s="229"/>
      <c r="BG391" s="229"/>
      <c r="BH391" s="229"/>
      <c r="BI391" s="229"/>
      <c r="BJ391" s="229"/>
      <c r="BK391" s="229"/>
      <c r="BL391" s="229"/>
      <c r="BM391" s="229"/>
      <c r="BN391" s="229"/>
      <c r="BO391" s="229"/>
      <c r="BP391" s="229"/>
      <c r="BQ391" s="229"/>
      <c r="BR391" s="229"/>
      <c r="BS391" s="229"/>
      <c r="BT391" s="229"/>
      <c r="BU391" s="229"/>
      <c r="BV391" s="229"/>
      <c r="BW391" s="229"/>
      <c r="BX391" s="229"/>
      <c r="BY391" s="229"/>
      <c r="BZ391" s="229"/>
      <c r="CA391" s="229"/>
    </row>
    <row r="392" spans="14:79" x14ac:dyDescent="0.25"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  <c r="AJ392" s="229"/>
      <c r="AK392" s="229"/>
      <c r="AL392" s="229"/>
      <c r="AM392" s="229"/>
      <c r="AN392" s="229"/>
      <c r="AO392" s="229"/>
      <c r="AP392" s="229"/>
      <c r="AQ392" s="229"/>
      <c r="AR392" s="229"/>
      <c r="AS392" s="229"/>
      <c r="AT392" s="229"/>
      <c r="AU392" s="229"/>
      <c r="AV392" s="229"/>
      <c r="AW392" s="229"/>
      <c r="AX392" s="229"/>
      <c r="AY392" s="229"/>
      <c r="AZ392" s="229"/>
      <c r="BA392" s="229"/>
      <c r="BB392" s="229"/>
      <c r="BC392" s="229"/>
      <c r="BD392" s="229"/>
      <c r="BE392" s="229"/>
      <c r="BF392" s="229"/>
      <c r="BG392" s="229"/>
      <c r="BH392" s="229"/>
      <c r="BI392" s="229"/>
      <c r="BJ392" s="229"/>
      <c r="BK392" s="229"/>
      <c r="BL392" s="229"/>
      <c r="BM392" s="229"/>
      <c r="BN392" s="229"/>
      <c r="BO392" s="229"/>
      <c r="BP392" s="229"/>
      <c r="BQ392" s="229"/>
      <c r="BR392" s="229"/>
      <c r="BS392" s="229"/>
      <c r="BT392" s="229"/>
      <c r="BU392" s="229"/>
      <c r="BV392" s="229"/>
      <c r="BW392" s="229"/>
      <c r="BX392" s="229"/>
      <c r="BY392" s="229"/>
      <c r="BZ392" s="229"/>
      <c r="CA392" s="229"/>
    </row>
    <row r="393" spans="14:79" x14ac:dyDescent="0.25"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  <c r="AJ393" s="229"/>
      <c r="AK393" s="229"/>
      <c r="AL393" s="229"/>
      <c r="AM393" s="229"/>
      <c r="AN393" s="229"/>
      <c r="AO393" s="229"/>
      <c r="AP393" s="229"/>
      <c r="AQ393" s="229"/>
      <c r="AR393" s="229"/>
      <c r="AS393" s="229"/>
      <c r="AT393" s="229"/>
      <c r="AU393" s="229"/>
      <c r="AV393" s="229"/>
      <c r="AW393" s="229"/>
      <c r="AX393" s="229"/>
      <c r="AY393" s="229"/>
      <c r="AZ393" s="229"/>
      <c r="BA393" s="229"/>
      <c r="BB393" s="229"/>
      <c r="BC393" s="229"/>
      <c r="BD393" s="229"/>
      <c r="BE393" s="229"/>
      <c r="BF393" s="229"/>
      <c r="BG393" s="229"/>
      <c r="BH393" s="229"/>
      <c r="BI393" s="229"/>
      <c r="BJ393" s="229"/>
      <c r="BK393" s="229"/>
      <c r="BL393" s="229"/>
      <c r="BM393" s="229"/>
      <c r="BN393" s="229"/>
      <c r="BO393" s="229"/>
      <c r="BP393" s="229"/>
      <c r="BQ393" s="229"/>
      <c r="BR393" s="229"/>
      <c r="BS393" s="229"/>
      <c r="BT393" s="229"/>
      <c r="BU393" s="229"/>
      <c r="BV393" s="229"/>
      <c r="BW393" s="229"/>
      <c r="BX393" s="229"/>
      <c r="BY393" s="229"/>
      <c r="BZ393" s="229"/>
      <c r="CA393" s="229"/>
    </row>
    <row r="394" spans="14:79" x14ac:dyDescent="0.25"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  <c r="AJ394" s="229"/>
      <c r="AK394" s="229"/>
      <c r="AL394" s="229"/>
      <c r="AM394" s="229"/>
      <c r="AN394" s="229"/>
      <c r="AO394" s="229"/>
      <c r="AP394" s="229"/>
      <c r="AQ394" s="229"/>
      <c r="AR394" s="229"/>
      <c r="AS394" s="229"/>
      <c r="AT394" s="229"/>
      <c r="AU394" s="229"/>
      <c r="AV394" s="229"/>
      <c r="AW394" s="229"/>
      <c r="AX394" s="229"/>
      <c r="AY394" s="229"/>
      <c r="AZ394" s="229"/>
      <c r="BA394" s="229"/>
      <c r="BB394" s="229"/>
      <c r="BC394" s="229"/>
      <c r="BD394" s="229"/>
      <c r="BE394" s="229"/>
      <c r="BF394" s="229"/>
      <c r="BG394" s="229"/>
      <c r="BH394" s="229"/>
      <c r="BI394" s="229"/>
      <c r="BJ394" s="229"/>
      <c r="BK394" s="229"/>
      <c r="BL394" s="229"/>
      <c r="BM394" s="229"/>
      <c r="BN394" s="229"/>
      <c r="BO394" s="229"/>
      <c r="BP394" s="229"/>
      <c r="BQ394" s="229"/>
      <c r="BR394" s="229"/>
      <c r="BS394" s="229"/>
      <c r="BT394" s="229"/>
      <c r="BU394" s="229"/>
      <c r="BV394" s="229"/>
      <c r="BW394" s="229"/>
      <c r="BX394" s="229"/>
      <c r="BY394" s="229"/>
      <c r="BZ394" s="229"/>
      <c r="CA394" s="229"/>
    </row>
    <row r="395" spans="14:79" x14ac:dyDescent="0.25"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  <c r="AJ395" s="229"/>
      <c r="AK395" s="229"/>
      <c r="AL395" s="229"/>
      <c r="AM395" s="229"/>
      <c r="AN395" s="229"/>
      <c r="AO395" s="229"/>
      <c r="AP395" s="229"/>
      <c r="AQ395" s="229"/>
      <c r="AR395" s="229"/>
      <c r="AS395" s="229"/>
      <c r="AT395" s="229"/>
      <c r="AU395" s="229"/>
      <c r="AV395" s="229"/>
      <c r="AW395" s="229"/>
      <c r="AX395" s="229"/>
      <c r="AY395" s="229"/>
      <c r="AZ395" s="229"/>
      <c r="BA395" s="229"/>
      <c r="BB395" s="229"/>
      <c r="BC395" s="229"/>
      <c r="BD395" s="229"/>
      <c r="BE395" s="229"/>
      <c r="BF395" s="229"/>
      <c r="BG395" s="229"/>
      <c r="BH395" s="229"/>
      <c r="BI395" s="229"/>
      <c r="BJ395" s="229"/>
      <c r="BK395" s="229"/>
      <c r="BL395" s="229"/>
      <c r="BM395" s="229"/>
      <c r="BN395" s="229"/>
      <c r="BO395" s="229"/>
      <c r="BP395" s="229"/>
      <c r="BQ395" s="229"/>
      <c r="BR395" s="229"/>
      <c r="BS395" s="229"/>
      <c r="BT395" s="229"/>
      <c r="BU395" s="229"/>
      <c r="BV395" s="229"/>
      <c r="BW395" s="229"/>
      <c r="BX395" s="229"/>
      <c r="BY395" s="229"/>
      <c r="BZ395" s="229"/>
      <c r="CA395" s="229"/>
    </row>
  </sheetData>
  <sheetProtection algorithmName="SHA-512" hashValue="xuKP1otbgXY9JR9Qt511ZXrjk6JQwiYLQK+KvnRcig0iCJ+zrF9IYyF+TXKFPu25udt3FcQGE9XDqvxucB2Fog==" saltValue="mhIm6+tiRV4Kf4wEaTJ0Eg==" spinCount="100000" sheet="1" formatColumns="0" autoFilter="0"/>
  <autoFilter ref="F10:F320"/>
  <mergeCells count="62">
    <mergeCell ref="BG8:BG10"/>
    <mergeCell ref="BH8:BH10"/>
    <mergeCell ref="BI8:BI10"/>
    <mergeCell ref="I335:K335"/>
    <mergeCell ref="BA8:BA10"/>
    <mergeCell ref="BB8:BB10"/>
    <mergeCell ref="AW8:AW10"/>
    <mergeCell ref="AX8:AX10"/>
    <mergeCell ref="AY8:AY10"/>
    <mergeCell ref="AZ8:AZ10"/>
    <mergeCell ref="AP8:AP10"/>
    <mergeCell ref="AM8:AM10"/>
    <mergeCell ref="AS8:AS10"/>
    <mergeCell ref="AT8:AT10"/>
    <mergeCell ref="AU8:AU10"/>
    <mergeCell ref="AR8:AR10"/>
    <mergeCell ref="BP8:BP10"/>
    <mergeCell ref="BQ8:BQ10"/>
    <mergeCell ref="BV8:BV10"/>
    <mergeCell ref="BY8:BY10"/>
    <mergeCell ref="BR8:BR10"/>
    <mergeCell ref="BS8:BS10"/>
    <mergeCell ref="BT8:BT10"/>
    <mergeCell ref="BU8:BU10"/>
    <mergeCell ref="BW8:BW10"/>
    <mergeCell ref="BK8:BK10"/>
    <mergeCell ref="BL8:BL10"/>
    <mergeCell ref="BM8:BM10"/>
    <mergeCell ref="BN8:BN10"/>
    <mergeCell ref="BO8:BO10"/>
    <mergeCell ref="AH8:AH10"/>
    <mergeCell ref="AN8:AN10"/>
    <mergeCell ref="AO8:AO10"/>
    <mergeCell ref="Y8:Y10"/>
    <mergeCell ref="N8:N10"/>
    <mergeCell ref="AA8:AA10"/>
    <mergeCell ref="T8:T10"/>
    <mergeCell ref="U8:U10"/>
    <mergeCell ref="V8:V10"/>
    <mergeCell ref="W8:W10"/>
    <mergeCell ref="X8:X10"/>
    <mergeCell ref="B327:K327"/>
    <mergeCell ref="H7:K7"/>
    <mergeCell ref="H9:K9"/>
    <mergeCell ref="G322:H322"/>
    <mergeCell ref="B325:K325"/>
    <mergeCell ref="BD8:BD10"/>
    <mergeCell ref="BE8:BE10"/>
    <mergeCell ref="BF8:BF10"/>
    <mergeCell ref="B326:K326"/>
    <mergeCell ref="AF8:AF10"/>
    <mergeCell ref="AI8:AI10"/>
    <mergeCell ref="AJ8:AJ10"/>
    <mergeCell ref="AB8:AB10"/>
    <mergeCell ref="AC8:AC10"/>
    <mergeCell ref="AD8:AD10"/>
    <mergeCell ref="AE8:AE10"/>
    <mergeCell ref="O8:O10"/>
    <mergeCell ref="P8:P10"/>
    <mergeCell ref="Q8:Q10"/>
    <mergeCell ref="R8:R10"/>
    <mergeCell ref="AK8:AK10"/>
  </mergeCells>
  <phoneticPr fontId="53" type="noConversion"/>
  <hyperlinks>
    <hyperlink ref="CC2" location="Form!A1" tooltip=" " display="Form!A1"/>
    <hyperlink ref="CC3" location="Menu!A1" tooltip=" " display="Menu!A1"/>
    <hyperlink ref="CC6" location="OL!A1" tooltip=" " display="ORGA-LINE"/>
    <hyperlink ref="CC7" location="Sum!A1" tooltip=" " display="Sum!A1"/>
    <hyperlink ref="CC4" location="Acs!A1" tooltip=" " display="Acs!A1"/>
    <hyperlink ref="CC5" location="SD!A1" tooltip=" " display="SD!A1"/>
  </hyperlinks>
  <pageMargins left="0.19685039370078741" right="0.19685039370078741" top="0.19685039370078741" bottom="0.59055118110236227" header="0" footer="0"/>
  <pageSetup paperSize="9" scale="90" orientation="portrait" horizontalDpi="300" verticalDpi="300" r:id="rId1"/>
  <headerFooter alignWithMargins="0"/>
  <cellWatches>
    <cellWatch r="M2"/>
  </cellWatches>
  <ignoredErrors>
    <ignoredError sqref="F300:H309 J300:K309 I305:I309 B300:D309" unlockedFormula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B1:E392"/>
  <sheetViews>
    <sheetView workbookViewId="0">
      <selection activeCell="C1" sqref="C1"/>
    </sheetView>
  </sheetViews>
  <sheetFormatPr defaultColWidth="9.1796875" defaultRowHeight="11.5" x14ac:dyDescent="0.25"/>
  <cols>
    <col min="1" max="1" width="3.453125" style="88" customWidth="1"/>
    <col min="2" max="2" width="67.54296875" style="90" customWidth="1"/>
    <col min="3" max="3" width="69.26953125" style="88" customWidth="1"/>
    <col min="4" max="16384" width="9.1796875" style="88"/>
  </cols>
  <sheetData>
    <row r="1" spans="2:3" ht="12.5" x14ac:dyDescent="0.25">
      <c r="B1" s="87">
        <f>Form!$S$3</f>
        <v>2</v>
      </c>
      <c r="C1" s="105" t="str">
        <f>$B$100</f>
        <v>Zpět na úvod</v>
      </c>
    </row>
    <row r="2" spans="2:3" x14ac:dyDescent="0.25">
      <c r="B2" s="89"/>
    </row>
    <row r="3" spans="2:3" x14ac:dyDescent="0.25">
      <c r="B3" s="98" t="str">
        <f>IF($B$1=1,#REF!,C3)</f>
        <v>Údaje pro objednávku, zadání slevy od prodejce</v>
      </c>
      <c r="C3" s="88" t="s">
        <v>325</v>
      </c>
    </row>
    <row r="4" spans="2:3" x14ac:dyDescent="0.25">
      <c r="B4" s="98" t="str">
        <f>IF($B$1=1,#REF!,C4)</f>
        <v>Výběr zásuvek a výsuvů</v>
      </c>
      <c r="C4" s="88" t="s">
        <v>392</v>
      </c>
    </row>
    <row r="5" spans="2:3" x14ac:dyDescent="0.25">
      <c r="B5" s="98" t="str">
        <f>IF($B$1=1,#REF!,C5)</f>
        <v>Výběr doplňků</v>
      </c>
      <c r="C5" s="88" t="s">
        <v>419</v>
      </c>
    </row>
    <row r="6" spans="2:3" x14ac:dyDescent="0.25">
      <c r="B6" s="263" t="s">
        <v>717</v>
      </c>
      <c r="C6" s="187" t="s">
        <v>717</v>
      </c>
    </row>
    <row r="7" spans="2:3" x14ac:dyDescent="0.25">
      <c r="B7" s="98" t="str">
        <f>IF($B$1=1,#REF!,C7)</f>
        <v>Výběr ORGA-LINE</v>
      </c>
      <c r="C7" s="88" t="s">
        <v>420</v>
      </c>
    </row>
    <row r="8" spans="2:3" x14ac:dyDescent="0.25">
      <c r="B8" s="89">
        <f>IF($B$1=1,#REF!,C8)</f>
        <v>0</v>
      </c>
    </row>
    <row r="9" spans="2:3" x14ac:dyDescent="0.25">
      <c r="B9" s="98" t="str">
        <f>IF($B$1=1,#REF!,C9)</f>
        <v>Tato aplikace slouží k snadnějšímu objednávání kování.</v>
      </c>
      <c r="C9" s="88" t="s">
        <v>327</v>
      </c>
    </row>
    <row r="10" spans="2:3" x14ac:dyDescent="0.25">
      <c r="B10" s="89">
        <f>IF($B$1=1,#REF!,C10)</f>
        <v>0</v>
      </c>
    </row>
    <row r="11" spans="2:3" x14ac:dyDescent="0.25">
      <c r="B11" s="98" t="str">
        <f>IF($B$1=1,#REF!,C11)</f>
        <v>Zpět na</v>
      </c>
      <c r="C11" s="88" t="s">
        <v>415</v>
      </c>
    </row>
    <row r="12" spans="2:3" x14ac:dyDescent="0.25">
      <c r="B12" s="98" t="str">
        <f>IF($B$1=1,#REF!,C12)</f>
        <v>Pokračovat na</v>
      </c>
      <c r="C12" s="88" t="s">
        <v>416</v>
      </c>
    </row>
    <row r="13" spans="2:3" x14ac:dyDescent="0.25">
      <c r="B13" s="98" t="str">
        <f>IF($B$1=1,#REF!,C13)</f>
        <v>Úvod</v>
      </c>
      <c r="C13" s="88" t="s">
        <v>352</v>
      </c>
    </row>
    <row r="14" spans="2:3" x14ac:dyDescent="0.25">
      <c r="B14" s="98" t="str">
        <f>IF($B$1=1,#REF!,C14)</f>
        <v>Zásuvky a výsuvy</v>
      </c>
      <c r="C14" s="88" t="s">
        <v>417</v>
      </c>
    </row>
    <row r="15" spans="2:3" x14ac:dyDescent="0.25">
      <c r="B15" s="98" t="str">
        <f>IF($B$1=1,#REF!,C15)</f>
        <v>Přehled</v>
      </c>
      <c r="C15" s="88" t="s">
        <v>380</v>
      </c>
    </row>
    <row r="16" spans="2:3" x14ac:dyDescent="0.25">
      <c r="B16" s="98" t="str">
        <f>IF($B$1=1,#REF!,C16)</f>
        <v>Nápověda</v>
      </c>
      <c r="C16" s="88" t="s">
        <v>252</v>
      </c>
    </row>
    <row r="17" spans="2:3" x14ac:dyDescent="0.25">
      <c r="B17" s="90" t="str">
        <f>IF($B$1=1,#REF!,C17)</f>
        <v>Odkazy</v>
      </c>
      <c r="C17" s="88" t="s">
        <v>253</v>
      </c>
    </row>
    <row r="18" spans="2:3" x14ac:dyDescent="0.25">
      <c r="B18" s="98" t="str">
        <f>IF($B$1=1,#REF!,C18)</f>
        <v>Souhrn</v>
      </c>
      <c r="C18" s="88" t="s">
        <v>418</v>
      </c>
    </row>
    <row r="19" spans="2:3" x14ac:dyDescent="0.25">
      <c r="B19" s="98" t="str">
        <f>IF($B$1=1,#REF!,C19)</f>
        <v>Vybrané zásuvky</v>
      </c>
      <c r="C19" s="88" t="s">
        <v>381</v>
      </c>
    </row>
    <row r="20" spans="2:3" x14ac:dyDescent="0.25">
      <c r="B20" s="98" t="str">
        <f>IF($B$1=1,#REF!,C20)</f>
        <v>Objednávka</v>
      </c>
      <c r="C20" s="88" t="s">
        <v>254</v>
      </c>
    </row>
    <row r="21" spans="2:3" x14ac:dyDescent="0.25">
      <c r="B21" s="98" t="str">
        <f>IF($B$1=1,#REF!,C21)</f>
        <v>Doplňky</v>
      </c>
      <c r="C21" s="88" t="s">
        <v>255</v>
      </c>
    </row>
    <row r="22" spans="2:3" x14ac:dyDescent="0.25">
      <c r="B22" s="98" t="str">
        <f>IF($B$1=1,#REF!,C22)</f>
        <v>Soupis kování</v>
      </c>
      <c r="C22" s="88" t="s">
        <v>256</v>
      </c>
    </row>
    <row r="23" spans="2:3" x14ac:dyDescent="0.25">
      <c r="B23" s="98" t="str">
        <f>IF($B$1=1,#REF!,C23)</f>
        <v>Volitelně</v>
      </c>
      <c r="C23" s="88" t="s">
        <v>421</v>
      </c>
    </row>
    <row r="24" spans="2:3" x14ac:dyDescent="0.25">
      <c r="B24" s="98" t="str">
        <f>IF($B$1=1,#REF!,C24)</f>
        <v>Základní údaje</v>
      </c>
      <c r="C24" s="88" t="s">
        <v>257</v>
      </c>
    </row>
    <row r="25" spans="2:3" x14ac:dyDescent="0.25">
      <c r="B25" s="98" t="str">
        <f>IF($B$1=1,#REF!,C25)</f>
        <v>Informace k objednávání</v>
      </c>
      <c r="C25" s="88" t="s">
        <v>93</v>
      </c>
    </row>
    <row r="26" spans="2:3" x14ac:dyDescent="0.25">
      <c r="B26" s="89">
        <f>IF($B$1=1,#REF!,C26)</f>
        <v>0</v>
      </c>
    </row>
    <row r="27" spans="2:3" x14ac:dyDescent="0.25">
      <c r="B27" s="98" t="str">
        <f>IF($B$1=1,#REF!,C27)</f>
        <v>barva</v>
      </c>
      <c r="C27" s="88" t="s">
        <v>389</v>
      </c>
    </row>
    <row r="28" spans="2:3" x14ac:dyDescent="0.25">
      <c r="B28" s="98" t="str">
        <f>IF($B$1=1,#REF!,C28)</f>
        <v>šedá</v>
      </c>
      <c r="C28" s="88" t="s">
        <v>384</v>
      </c>
    </row>
    <row r="29" spans="2:3" x14ac:dyDescent="0.25">
      <c r="B29" s="98" t="str">
        <f>IF($B$1=1,#REF!,C29)</f>
        <v>hedvábně bílá</v>
      </c>
      <c r="C29" s="88" t="s">
        <v>385</v>
      </c>
    </row>
    <row r="30" spans="2:3" x14ac:dyDescent="0.25">
      <c r="B30" s="98" t="str">
        <f>IF($B$1=1,#REF!,C30)</f>
        <v>černá Terra</v>
      </c>
      <c r="C30" s="88" t="s">
        <v>386</v>
      </c>
    </row>
    <row r="31" spans="2:3" x14ac:dyDescent="0.25">
      <c r="B31" s="89"/>
    </row>
    <row r="32" spans="2:3" x14ac:dyDescent="0.25">
      <c r="B32" s="98" t="str">
        <f>IF($B$1=1,#REF!,C32)</f>
        <v>sklo</v>
      </c>
      <c r="C32" s="88" t="s">
        <v>390</v>
      </c>
    </row>
    <row r="33" spans="2:3" x14ac:dyDescent="0.25">
      <c r="B33" s="98" t="str">
        <f>IF($B$1=1,#REF!,C33)</f>
        <v>čiré</v>
      </c>
      <c r="C33" s="88" t="s">
        <v>387</v>
      </c>
    </row>
    <row r="34" spans="2:3" x14ac:dyDescent="0.25">
      <c r="B34" s="98" t="str">
        <f>IF($B$1=1,#REF!,C34)</f>
        <v>saténované</v>
      </c>
      <c r="C34" s="88" t="s">
        <v>388</v>
      </c>
    </row>
    <row r="35" spans="2:3" x14ac:dyDescent="0.25">
      <c r="B35" s="89"/>
    </row>
    <row r="36" spans="2:3" x14ac:dyDescent="0.25">
      <c r="B36" s="98" t="str">
        <f>IF($B$1=1,#REF!,C36)</f>
        <v>čelní kování</v>
      </c>
      <c r="C36" s="88" t="s">
        <v>391</v>
      </c>
    </row>
    <row r="37" spans="2:3" x14ac:dyDescent="0.25">
      <c r="B37" s="98" t="str">
        <f>IF($B$1=1,#REF!,C37)</f>
        <v>na vruty</v>
      </c>
      <c r="C37" s="88" t="s">
        <v>251</v>
      </c>
    </row>
    <row r="38" spans="2:3" x14ac:dyDescent="0.25">
      <c r="B38" s="98" t="str">
        <f>IF($B$1=1,#REF!,C38)</f>
        <v>Úchytka pro vnitřní zásuvky</v>
      </c>
      <c r="C38" s="88" t="s">
        <v>1213</v>
      </c>
    </row>
    <row r="39" spans="2:3" x14ac:dyDescent="0.25">
      <c r="B39" s="89">
        <f>IF($B$1=1,#REF!,C39)</f>
        <v>0</v>
      </c>
    </row>
    <row r="40" spans="2:3" x14ac:dyDescent="0.25">
      <c r="B40" s="89">
        <f>IF($B$1=1,#REF!,C40)</f>
        <v>0</v>
      </c>
    </row>
    <row r="41" spans="2:3" x14ac:dyDescent="0.25">
      <c r="B41" s="89">
        <f>IF($B$1=1,#REF!,C41)</f>
        <v>0</v>
      </c>
    </row>
    <row r="42" spans="2:3" x14ac:dyDescent="0.25">
      <c r="B42" s="89">
        <f>IF($B$1=1,#REF!,C42)</f>
        <v>0</v>
      </c>
    </row>
    <row r="43" spans="2:3" x14ac:dyDescent="0.25">
      <c r="B43" s="89">
        <f>IF($B$1=1,#REF!,C43)</f>
        <v>0</v>
      </c>
    </row>
    <row r="44" spans="2:3" x14ac:dyDescent="0.25">
      <c r="B44" s="89">
        <f>IF($B$1=1,#REF!,C44)</f>
        <v>0</v>
      </c>
    </row>
    <row r="45" spans="2:3" ht="12.75" customHeight="1" x14ac:dyDescent="0.25">
      <c r="B45" s="98" t="str">
        <f>IF($B$1=1,#REF!,C45)</f>
        <v>Jmenovitá délka</v>
      </c>
      <c r="C45" s="300" t="s">
        <v>828</v>
      </c>
    </row>
    <row r="46" spans="2:3" x14ac:dyDescent="0.25">
      <c r="B46" s="98" t="str">
        <f>IF($B$1=1,#REF!,C46)</f>
        <v>Zásuvka</v>
      </c>
      <c r="C46" s="88" t="s">
        <v>330</v>
      </c>
    </row>
    <row r="47" spans="2:3" x14ac:dyDescent="0.25">
      <c r="B47" s="98" t="str">
        <f>IF($B$1=1,#REF!,C47)</f>
        <v>Vnitřní zásuvka</v>
      </c>
      <c r="C47" s="88" t="s">
        <v>331</v>
      </c>
    </row>
    <row r="48" spans="2:3" x14ac:dyDescent="0.25">
      <c r="B48" s="98" t="str">
        <f>IF($B$1=1,#REF!,C48)</f>
        <v>Čelní výsuv</v>
      </c>
      <c r="C48" s="88" t="s">
        <v>332</v>
      </c>
    </row>
    <row r="49" spans="2:3" x14ac:dyDescent="0.25">
      <c r="B49" s="98" t="str">
        <f>IF($B$1=1,#REF!,C49)</f>
        <v>Vnitřní výsuv</v>
      </c>
      <c r="C49" s="88" t="s">
        <v>333</v>
      </c>
    </row>
    <row r="50" spans="2:3" s="89" customFormat="1" x14ac:dyDescent="0.25">
      <c r="B50" s="98" t="str">
        <f>IF($B$1=1,#REF!,C50)</f>
        <v>Dřezová zásuvka</v>
      </c>
      <c r="C50" s="89" t="s">
        <v>334</v>
      </c>
    </row>
    <row r="51" spans="2:3" s="89" customFormat="1" x14ac:dyDescent="0.25">
      <c r="B51" s="98" t="str">
        <f>IF($B$1=1,#REF!,C51)</f>
        <v>Dřezový výsuv</v>
      </c>
      <c r="C51" s="89" t="s">
        <v>335</v>
      </c>
    </row>
    <row r="52" spans="2:3" s="89" customFormat="1" x14ac:dyDescent="0.25"/>
    <row r="53" spans="2:3" x14ac:dyDescent="0.25">
      <c r="B53" s="98" t="str">
        <f>IF($B$1=1,#REF!,C53)</f>
        <v>Zásuvky</v>
      </c>
      <c r="C53" s="88" t="s">
        <v>361</v>
      </c>
    </row>
    <row r="54" spans="2:3" x14ac:dyDescent="0.25">
      <c r="B54" s="98" t="str">
        <f>IF($B$1=1,#REF!,C54)</f>
        <v>Vnitřní zásuvky</v>
      </c>
      <c r="C54" s="88" t="s">
        <v>362</v>
      </c>
    </row>
    <row r="55" spans="2:3" x14ac:dyDescent="0.25">
      <c r="B55" s="98" t="str">
        <f>IF($B$1=1,#REF!,C55)</f>
        <v>Čelní výsuvy</v>
      </c>
      <c r="C55" s="88" t="s">
        <v>363</v>
      </c>
    </row>
    <row r="56" spans="2:3" x14ac:dyDescent="0.25">
      <c r="B56" s="98" t="str">
        <f>IF($B$1=1,#REF!,C56)</f>
        <v>Vnitřní výsuvy</v>
      </c>
      <c r="C56" s="88" t="s">
        <v>364</v>
      </c>
    </row>
    <row r="57" spans="2:3" s="89" customFormat="1" x14ac:dyDescent="0.25">
      <c r="B57" s="98" t="str">
        <f>IF($B$1=1,#REF!,C57)</f>
        <v>Dřezové zásuvky</v>
      </c>
      <c r="C57" s="89" t="s">
        <v>365</v>
      </c>
    </row>
    <row r="58" spans="2:3" s="89" customFormat="1" x14ac:dyDescent="0.25">
      <c r="B58" s="98" t="str">
        <f>IF($B$1=1,#REF!,C58)</f>
        <v>Dřezové výsuvy</v>
      </c>
      <c r="C58" s="89" t="s">
        <v>366</v>
      </c>
    </row>
    <row r="59" spans="2:3" s="89" customFormat="1" x14ac:dyDescent="0.25">
      <c r="B59" s="98" t="str">
        <f>IF($B$1=1,#REF!,C59)</f>
        <v>pro úzké korpusy</v>
      </c>
      <c r="C59" s="166" t="s">
        <v>260</v>
      </c>
    </row>
    <row r="60" spans="2:3" s="89" customFormat="1" x14ac:dyDescent="0.25">
      <c r="B60" s="98" t="str">
        <f>IF($B$1=1,#REF!,C60)</f>
        <v>sestava</v>
      </c>
      <c r="C60" s="166" t="s">
        <v>261</v>
      </c>
    </row>
    <row r="61" spans="2:3" s="89" customFormat="1" x14ac:dyDescent="0.25"/>
    <row r="62" spans="2:3" s="89" customFormat="1" x14ac:dyDescent="0.25">
      <c r="B62" s="98" t="str">
        <f>IF($B$1=1,#REF!,C62)</f>
        <v>zásuvný prvek sklo</v>
      </c>
      <c r="C62" s="89" t="s">
        <v>340</v>
      </c>
    </row>
    <row r="63" spans="2:3" s="89" customFormat="1" x14ac:dyDescent="0.25">
      <c r="B63" s="98" t="str">
        <f>IF($B$1=1,#REF!,C63)</f>
        <v>kovový zásuvný prvek</v>
      </c>
      <c r="C63" s="89" t="s">
        <v>341</v>
      </c>
    </row>
    <row r="64" spans="2:3" x14ac:dyDescent="0.25">
      <c r="B64" s="98" t="str">
        <f>IF($B$1=1,#REF!,C64)</f>
        <v>podélný reling</v>
      </c>
      <c r="C64" s="88" t="s">
        <v>339</v>
      </c>
    </row>
    <row r="65" spans="2:3" s="89" customFormat="1" x14ac:dyDescent="0.25"/>
    <row r="66" spans="2:3" s="89" customFormat="1" x14ac:dyDescent="0.25"/>
    <row r="67" spans="2:3" s="89" customFormat="1" x14ac:dyDescent="0.25">
      <c r="B67" s="98" t="str">
        <f>IF($B$1=1,#REF!,C67)</f>
        <v>se SYNCROMOTION</v>
      </c>
      <c r="C67" s="89" t="s">
        <v>373</v>
      </c>
    </row>
    <row r="68" spans="2:3" s="89" customFormat="1" x14ac:dyDescent="0.25">
      <c r="B68" s="98" t="str">
        <f>IF($B$1=1,#REF!,C68)</f>
        <v>s nehybnými čely</v>
      </c>
      <c r="C68" s="89" t="s">
        <v>367</v>
      </c>
    </row>
    <row r="69" spans="2:3" s="89" customFormat="1" x14ac:dyDescent="0.25">
      <c r="B69" s="98">
        <f>IF($B$1=1,#REF!,C69)</f>
        <v>0</v>
      </c>
    </row>
    <row r="70" spans="2:3" x14ac:dyDescent="0.25">
      <c r="B70" s="89">
        <f>IF($B$1=1,#REF!,C70)</f>
        <v>0</v>
      </c>
    </row>
    <row r="71" spans="2:3" x14ac:dyDescent="0.25">
      <c r="B71" s="98" t="str">
        <f>IF($B$1=1,#REF!,C71)</f>
        <v>označení</v>
      </c>
      <c r="C71" s="88" t="s">
        <v>374</v>
      </c>
    </row>
    <row r="72" spans="2:3" x14ac:dyDescent="0.25">
      <c r="B72" s="98" t="str">
        <f>IF($B$1=1,#REF!,C72)</f>
        <v>bočnice</v>
      </c>
      <c r="C72" s="88" t="s">
        <v>375</v>
      </c>
    </row>
    <row r="73" spans="2:3" s="89" customFormat="1" x14ac:dyDescent="0.25">
      <c r="B73" s="98" t="str">
        <f>IF($B$1=1,#REF!,C73)</f>
        <v>potřebný prostor</v>
      </c>
      <c r="C73" s="89" t="s">
        <v>376</v>
      </c>
    </row>
    <row r="74" spans="2:3" s="89" customFormat="1" x14ac:dyDescent="0.25">
      <c r="B74" s="98" t="str">
        <f>IF($B$1=1,#REF!,C74)</f>
        <v>Vhodné pro</v>
      </c>
      <c r="C74" s="188" t="s">
        <v>126</v>
      </c>
    </row>
    <row r="75" spans="2:3" s="89" customFormat="1" x14ac:dyDescent="0.25"/>
    <row r="76" spans="2:3" x14ac:dyDescent="0.25">
      <c r="B76" s="89">
        <f>IF($B$1=1,#REF!,C76)</f>
        <v>0</v>
      </c>
    </row>
    <row r="77" spans="2:3" x14ac:dyDescent="0.25">
      <c r="B77" s="98" t="str">
        <f>IF($B$1=1,#REF!,C77)</f>
        <v>Cenová hladina</v>
      </c>
      <c r="C77" s="88" t="s">
        <v>228</v>
      </c>
    </row>
    <row r="78" spans="2:3" x14ac:dyDescent="0.25">
      <c r="B78" s="98" t="str">
        <f>IF($B$1=1,#REF!,C78)</f>
        <v>Základní ceny</v>
      </c>
      <c r="C78" s="88" t="s">
        <v>229</v>
      </c>
    </row>
    <row r="79" spans="2:3" x14ac:dyDescent="0.25">
      <c r="B79" s="98" t="str">
        <f>IF($B$1=1,#REF!,C79)</f>
        <v>Nákupní ceny</v>
      </c>
      <c r="C79" s="88" t="s">
        <v>230</v>
      </c>
    </row>
    <row r="80" spans="2:3" s="89" customFormat="1" x14ac:dyDescent="0.25">
      <c r="B80" s="98" t="str">
        <f>IF($B$1=1,#REF!,C80)</f>
        <v>Se slevou</v>
      </c>
      <c r="C80" s="89" t="s">
        <v>231</v>
      </c>
    </row>
    <row r="81" spans="2:3" s="89" customFormat="1" x14ac:dyDescent="0.25">
      <c r="B81" s="98" t="str">
        <f>IF($B$1=1,#REF!,C81)</f>
        <v>Zadejte výši slevy</v>
      </c>
      <c r="C81" s="89" t="s">
        <v>232</v>
      </c>
    </row>
    <row r="82" spans="2:3" s="89" customFormat="1" x14ac:dyDescent="0.25">
      <c r="B82" s="98" t="str">
        <f>IF($B$1=1,#REF!,C82)</f>
        <v>Ceny s volitelnou slevou</v>
      </c>
      <c r="C82" s="88" t="s">
        <v>233</v>
      </c>
    </row>
    <row r="83" spans="2:3" x14ac:dyDescent="0.25">
      <c r="B83" s="98" t="str">
        <f>IF($B$1=1,#REF!,C83)</f>
        <v>Ceny se slevou od prodejce</v>
      </c>
      <c r="C83" s="88" t="s">
        <v>234</v>
      </c>
    </row>
    <row r="84" spans="2:3" x14ac:dyDescent="0.25">
      <c r="B84" s="98" t="str">
        <f>IF($B$1=1,#REF!,C84)</f>
        <v>Nastavit</v>
      </c>
      <c r="C84" s="88" t="s">
        <v>235</v>
      </c>
    </row>
    <row r="85" spans="2:3" x14ac:dyDescent="0.25">
      <c r="B85" s="92"/>
    </row>
    <row r="86" spans="2:3" x14ac:dyDescent="0.25">
      <c r="B86" s="98" t="str">
        <f>IF($B$1=1,#REF!,C86)</f>
        <v>Cena kování</v>
      </c>
      <c r="C86" s="88" t="s">
        <v>236</v>
      </c>
    </row>
    <row r="87" spans="2:3" x14ac:dyDescent="0.25">
      <c r="B87" s="98" t="str">
        <f>IF($B$1=1,#REF!,C87)</f>
        <v>Název</v>
      </c>
      <c r="C87" s="88" t="s">
        <v>237</v>
      </c>
    </row>
    <row r="88" spans="2:3" x14ac:dyDescent="0.25">
      <c r="B88" s="98" t="str">
        <f>IF($B$1=1,#REF!,C88)</f>
        <v>Číslo artiklu</v>
      </c>
      <c r="C88" s="88" t="s">
        <v>238</v>
      </c>
    </row>
    <row r="89" spans="2:3" x14ac:dyDescent="0.25">
      <c r="B89" s="98" t="str">
        <f>IF($B$1=1,#REF!,C89)</f>
        <v>Barva</v>
      </c>
      <c r="C89" s="88" t="s">
        <v>466</v>
      </c>
    </row>
    <row r="90" spans="2:3" x14ac:dyDescent="0.25">
      <c r="B90" s="98" t="str">
        <f>IF($B$1=1,#REF!,C90)</f>
        <v>Počet</v>
      </c>
      <c r="C90" s="88" t="s">
        <v>451</v>
      </c>
    </row>
    <row r="91" spans="2:3" x14ac:dyDescent="0.25">
      <c r="B91" s="98" t="str">
        <f>IF($B$1=1,#REF!,C91)</f>
        <v>Ks</v>
      </c>
      <c r="C91" s="88" t="s">
        <v>239</v>
      </c>
    </row>
    <row r="92" spans="2:3" x14ac:dyDescent="0.25">
      <c r="B92" s="98" t="str">
        <f>IF($B$1=1,#REF!,C92)</f>
        <v>Jednotková cena</v>
      </c>
      <c r="C92" s="88" t="s">
        <v>240</v>
      </c>
    </row>
    <row r="93" spans="2:3" x14ac:dyDescent="0.25">
      <c r="B93" s="98" t="str">
        <f>IF($B$1=1,#REF!,C93)</f>
        <v>Celkem</v>
      </c>
      <c r="C93" s="88" t="s">
        <v>241</v>
      </c>
    </row>
    <row r="94" spans="2:3" x14ac:dyDescent="0.25">
      <c r="B94" s="98" t="str">
        <f>IF($B$1=1,#REF!,C94)</f>
        <v>Změna</v>
      </c>
      <c r="C94" s="88" t="s">
        <v>242</v>
      </c>
    </row>
    <row r="95" spans="2:3" x14ac:dyDescent="0.25">
      <c r="B95" s="98" t="str">
        <f>IF($B$1=1,#REF!,C95)</f>
        <v>Cena celkem bez DPH</v>
      </c>
      <c r="C95" s="88" t="s">
        <v>243</v>
      </c>
    </row>
    <row r="96" spans="2:3" x14ac:dyDescent="0.25">
      <c r="B96" s="98" t="str">
        <f>IF($B$1=1,#REF!,C96)</f>
        <v>Kč</v>
      </c>
      <c r="C96" s="88" t="s">
        <v>244</v>
      </c>
    </row>
    <row r="97" spans="2:3" x14ac:dyDescent="0.25">
      <c r="B97" s="98" t="str">
        <f>IF($B$1=1,#REF!,C97)</f>
        <v>Dostupnost</v>
      </c>
      <c r="C97" s="300" t="s">
        <v>1350</v>
      </c>
    </row>
    <row r="98" spans="2:3" x14ac:dyDescent="0.25">
      <c r="B98" s="89"/>
    </row>
    <row r="99" spans="2:3" x14ac:dyDescent="0.25">
      <c r="B99" s="98" t="str">
        <f>IF($B$1=1,#REF!,C99)</f>
        <v>Zpět</v>
      </c>
      <c r="C99" s="88" t="s">
        <v>258</v>
      </c>
    </row>
    <row r="100" spans="2:3" x14ac:dyDescent="0.25">
      <c r="B100" s="98" t="str">
        <f>IF($B$1=1,#REF!,C100)</f>
        <v>Zpět na úvod</v>
      </c>
      <c r="C100" s="88" t="s">
        <v>467</v>
      </c>
    </row>
    <row r="101" spans="2:3" x14ac:dyDescent="0.25">
      <c r="B101" s="89">
        <f>IF($B$1=1,#REF!,C101)</f>
        <v>0</v>
      </c>
    </row>
    <row r="102" spans="2:3" x14ac:dyDescent="0.25">
      <c r="B102" s="98" t="str">
        <f>IF($B$1=1,#REF!,C102)</f>
        <v>Šířka korpusu</v>
      </c>
      <c r="C102" s="88" t="s">
        <v>245</v>
      </c>
    </row>
    <row r="103" spans="2:3" x14ac:dyDescent="0.25">
      <c r="B103" s="98" t="str">
        <f>IF($B$1=1,#REF!,C103)</f>
        <v>pro zásuvky</v>
      </c>
      <c r="C103" s="187" t="s">
        <v>108</v>
      </c>
    </row>
    <row r="104" spans="2:3" x14ac:dyDescent="0.25">
      <c r="B104" s="98" t="str">
        <f>IF($B$1=1,#REF!,C104)</f>
        <v>pro čelní výsuvy</v>
      </c>
      <c r="C104" s="187" t="s">
        <v>109</v>
      </c>
    </row>
    <row r="105" spans="2:3" x14ac:dyDescent="0.25">
      <c r="B105" s="98"/>
      <c r="C105" s="187"/>
    </row>
    <row r="106" spans="2:3" x14ac:dyDescent="0.25">
      <c r="B106" s="98" t="str">
        <f>IF($B$1=1,#REF!,C106)</f>
        <v>Sady misek</v>
      </c>
      <c r="C106" s="88" t="s">
        <v>91</v>
      </c>
    </row>
    <row r="107" spans="2:3" x14ac:dyDescent="0.25">
      <c r="B107" s="98" t="str">
        <f>IF($B$1=1,#REF!,C107)</f>
        <v>Sady rozdělovníků</v>
      </c>
      <c r="C107" s="88" t="s">
        <v>97</v>
      </c>
    </row>
    <row r="108" spans="2:3" x14ac:dyDescent="0.25">
      <c r="B108" s="98" t="str">
        <f>IF($B$1=1,#REF!,C108)</f>
        <v>Samostatné sady</v>
      </c>
      <c r="C108" s="187" t="s">
        <v>224</v>
      </c>
    </row>
    <row r="109" spans="2:3" x14ac:dyDescent="0.25">
      <c r="B109" s="98" t="str">
        <f>IF($B$1=1,#REF!,C109)</f>
        <v>Misky</v>
      </c>
      <c r="C109" s="187" t="s">
        <v>225</v>
      </c>
    </row>
    <row r="110" spans="2:3" x14ac:dyDescent="0.25">
      <c r="B110" s="98" t="str">
        <f>IF($B$1=1,#REF!,C110)</f>
        <v>Příčné dělící prvky</v>
      </c>
      <c r="C110" s="187" t="s">
        <v>226</v>
      </c>
    </row>
    <row r="111" spans="2:3" x14ac:dyDescent="0.25">
      <c r="B111" s="98" t="str">
        <f>IF($B$1=1,#REF!,C111)</f>
        <v>Pomůcky do kuchyně</v>
      </c>
      <c r="C111" s="187" t="s">
        <v>227</v>
      </c>
    </row>
    <row r="112" spans="2:3" x14ac:dyDescent="0.25">
      <c r="B112" s="98"/>
    </row>
    <row r="113" spans="2:3" ht="12.5" x14ac:dyDescent="0.25">
      <c r="B113" s="98" t="str">
        <f>IF($B$1=1,#REF!,C113)</f>
        <v>Příčka ke zkrácení</v>
      </c>
      <c r="C113" s="2" t="s">
        <v>461</v>
      </c>
    </row>
    <row r="114" spans="2:3" ht="12.5" x14ac:dyDescent="0.25">
      <c r="B114" s="98" t="str">
        <f>IF($B$1=1,#REF!,C114)</f>
        <v>Koncovka pro příčku</v>
      </c>
      <c r="C114" s="2" t="s">
        <v>400</v>
      </c>
    </row>
    <row r="115" spans="2:3" ht="12.5" x14ac:dyDescent="0.25">
      <c r="B115" s="98" t="str">
        <f>IF($B$1=1,#REF!,C115)</f>
        <v>pro reling</v>
      </c>
      <c r="C115" s="2" t="s">
        <v>401</v>
      </c>
    </row>
    <row r="116" spans="2:3" ht="12.5" x14ac:dyDescent="0.25">
      <c r="B116" s="98" t="str">
        <f>IF($B$1=1,#REF!,C116)</f>
        <v>pro mezistěnu</v>
      </c>
      <c r="C116" s="2" t="s">
        <v>402</v>
      </c>
    </row>
    <row r="117" spans="2:3" ht="12.5" x14ac:dyDescent="0.25">
      <c r="B117" s="98" t="str">
        <f>IF($B$1=1,#REF!,C117)</f>
        <v>Příčné dělení</v>
      </c>
      <c r="C117" s="2" t="s">
        <v>100</v>
      </c>
    </row>
    <row r="118" spans="2:3" ht="12.5" x14ac:dyDescent="0.25">
      <c r="B118" s="98" t="str">
        <f>IF($B$1=1,#REF!,C118)</f>
        <v>Podélné dělení</v>
      </c>
      <c r="C118" s="2" t="s">
        <v>450</v>
      </c>
    </row>
    <row r="119" spans="2:3" ht="12.5" x14ac:dyDescent="0.25">
      <c r="B119" s="98" t="str">
        <f>IF($B$1=1,#REF!,C119)</f>
        <v>Držák talířů</v>
      </c>
      <c r="C119" s="2" t="s">
        <v>512</v>
      </c>
    </row>
    <row r="120" spans="2:3" ht="12.5" x14ac:dyDescent="0.25">
      <c r="B120" s="98" t="str">
        <f>IF($B$1=1,#REF!,C120)</f>
        <v>Držáky talířů</v>
      </c>
      <c r="C120" s="2" t="s">
        <v>101</v>
      </c>
    </row>
    <row r="121" spans="2:3" ht="12.5" x14ac:dyDescent="0.25">
      <c r="B121" s="98" t="str">
        <f>IF($B$1=1,#REF!,C121)</f>
        <v>Vana na láhve</v>
      </c>
      <c r="C121" s="2" t="s">
        <v>449</v>
      </c>
    </row>
    <row r="122" spans="2:3" ht="12.5" x14ac:dyDescent="0.25">
      <c r="B122" s="98" t="str">
        <f>IF($B$1=1,#REF!,C122)</f>
        <v>Mezistěna</v>
      </c>
      <c r="C122" s="2" t="s">
        <v>455</v>
      </c>
    </row>
    <row r="123" spans="2:3" ht="12.5" x14ac:dyDescent="0.25">
      <c r="B123" s="98" t="str">
        <f>IF($B$1=1,#REF!,C123)</f>
        <v>Mezistěny</v>
      </c>
      <c r="C123" s="2" t="s">
        <v>102</v>
      </c>
    </row>
    <row r="124" spans="2:3" ht="12.5" x14ac:dyDescent="0.25">
      <c r="B124" s="98" t="str">
        <f>IF($B$1=1,#REF!,C124)</f>
        <v>Držák na kořenky</v>
      </c>
      <c r="C124" s="2" t="s">
        <v>404</v>
      </c>
    </row>
    <row r="125" spans="2:3" ht="12.5" x14ac:dyDescent="0.25">
      <c r="B125" s="98" t="str">
        <f>IF($B$1=1,#REF!,C125)</f>
        <v>Držáky na kořenky</v>
      </c>
      <c r="C125" s="2" t="s">
        <v>103</v>
      </c>
    </row>
    <row r="126" spans="2:3" ht="12.5" x14ac:dyDescent="0.25">
      <c r="B126" s="98" t="str">
        <f>IF($B$1=1,#REF!,C126)</f>
        <v>Držák s řezákem na potravinové folie</v>
      </c>
      <c r="C126" s="2" t="s">
        <v>72</v>
      </c>
    </row>
    <row r="127" spans="2:3" ht="12.5" x14ac:dyDescent="0.25">
      <c r="B127" s="98" t="str">
        <f>IF($B$1=1,#REF!,C127)</f>
        <v>Držák s řezákem alufolie</v>
      </c>
      <c r="C127" s="2" t="s">
        <v>403</v>
      </c>
    </row>
    <row r="128" spans="2:3" ht="12.5" x14ac:dyDescent="0.25">
      <c r="B128" s="98">
        <f>IF($B$1=1,#REF!,C128)</f>
        <v>0</v>
      </c>
      <c r="C128" s="2"/>
    </row>
    <row r="129" spans="2:3" ht="12.5" x14ac:dyDescent="0.25">
      <c r="B129" s="98" t="str">
        <f>IF($B$1=1,#REF!,C129)</f>
        <v>Základní prvek</v>
      </c>
      <c r="C129" s="2" t="s">
        <v>412</v>
      </c>
    </row>
    <row r="130" spans="2:3" ht="12.5" x14ac:dyDescent="0.25">
      <c r="B130" s="98" t="str">
        <f>IF($B$1=1,#REF!,C130)</f>
        <v>Přířezy příčky</v>
      </c>
      <c r="C130" s="2" t="s">
        <v>405</v>
      </c>
    </row>
    <row r="131" spans="2:3" ht="12.5" x14ac:dyDescent="0.25">
      <c r="B131" s="98" t="str">
        <f>IF($B$1=1,#REF!,C131)</f>
        <v>Přířezy relingu</v>
      </c>
      <c r="C131" s="2" t="s">
        <v>133</v>
      </c>
    </row>
    <row r="132" spans="2:3" x14ac:dyDescent="0.25">
      <c r="B132" s="98" t="str">
        <f>IF($B$1=1,#REF!,C132)</f>
        <v>Přířezy prvků</v>
      </c>
      <c r="C132" s="93" t="s">
        <v>422</v>
      </c>
    </row>
    <row r="133" spans="2:3" x14ac:dyDescent="0.25">
      <c r="B133" s="98" t="str">
        <f>IF($B$1=1,#REF!,C133)</f>
        <v>Délky příček</v>
      </c>
      <c r="C133" s="93" t="s">
        <v>406</v>
      </c>
    </row>
    <row r="134" spans="2:3" x14ac:dyDescent="0.25">
      <c r="B134" s="98" t="str">
        <f>IF($B$1=1,#REF!,C134)</f>
        <v>Délka relingu</v>
      </c>
      <c r="C134" s="93" t="s">
        <v>132</v>
      </c>
    </row>
    <row r="135" spans="2:3" ht="12.5" x14ac:dyDescent="0.25">
      <c r="B135" s="98" t="str">
        <f>IF($B$1=1,#REF!,C135)</f>
        <v>Příčky</v>
      </c>
      <c r="C135" s="2" t="s">
        <v>414</v>
      </c>
    </row>
    <row r="136" spans="2:3" ht="12.5" x14ac:dyDescent="0.25">
      <c r="B136" s="98" t="str">
        <f>IF($B$1=1,#REF!,C136)</f>
        <v>Přední díl</v>
      </c>
      <c r="C136" s="2" t="s">
        <v>423</v>
      </c>
    </row>
    <row r="137" spans="2:3" ht="12.5" x14ac:dyDescent="0.25">
      <c r="B137" s="98" t="str">
        <f>IF($B$1=1,#REF!,C137)</f>
        <v>Příčný reling</v>
      </c>
      <c r="C137" s="2" t="s">
        <v>424</v>
      </c>
    </row>
    <row r="138" spans="2:3" ht="12.5" x14ac:dyDescent="0.25">
      <c r="B138" s="98" t="str">
        <f>IF($B$1=1,#REF!,C138)</f>
        <v>Příčný reling ke zkrácení</v>
      </c>
      <c r="C138" s="2" t="s">
        <v>131</v>
      </c>
    </row>
    <row r="139" spans="2:3" ht="12.5" x14ac:dyDescent="0.25">
      <c r="B139" s="98" t="str">
        <f>IF($B$1=1,#REF!,C139)</f>
        <v>Koncovka pro reling</v>
      </c>
      <c r="C139" s="2" t="s">
        <v>136</v>
      </c>
    </row>
    <row r="140" spans="2:3" ht="12.5" x14ac:dyDescent="0.25">
      <c r="B140" s="98" t="str">
        <f>IF($B$1=1,#REF!,C140)</f>
        <v>Podélné dělení pro reling</v>
      </c>
      <c r="C140" s="2" t="s">
        <v>137</v>
      </c>
    </row>
    <row r="141" spans="2:3" ht="12.5" x14ac:dyDescent="0.25">
      <c r="B141" s="98" t="str">
        <f>IF($B$1=1,#REF!,C141)</f>
        <v>Ostatní</v>
      </c>
      <c r="C141" s="2" t="s">
        <v>14</v>
      </c>
    </row>
    <row r="142" spans="2:3" ht="12.5" x14ac:dyDescent="0.25">
      <c r="B142" s="98" t="str">
        <f>IF($B$1=1,#REF!,C142)</f>
        <v>Závěsy pro potravinové skříně</v>
      </c>
      <c r="C142" s="2" t="s">
        <v>642</v>
      </c>
    </row>
    <row r="143" spans="2:3" x14ac:dyDescent="0.25">
      <c r="B143" s="89"/>
    </row>
    <row r="144" spans="2:3" x14ac:dyDescent="0.25">
      <c r="B144" s="98" t="str">
        <f>IF($B$1=1,#REF!,C144)</f>
        <v>Pro každý výsuv je započítán jeden přední díl</v>
      </c>
      <c r="C144" s="88" t="s">
        <v>427</v>
      </c>
    </row>
    <row r="145" spans="2:3" x14ac:dyDescent="0.25">
      <c r="B145" s="98" t="str">
        <f>IF($B$1=1,#REF!,C145)</f>
        <v>Pro každý výsuv je započítán jeden přední díl a jeden příčný reling</v>
      </c>
      <c r="C145" s="88" t="s">
        <v>425</v>
      </c>
    </row>
    <row r="146" spans="2:3" x14ac:dyDescent="0.25">
      <c r="B146" s="98" t="str">
        <f>IF($B$1=1,#REF!,C146)</f>
        <v>Potřebný počet předních dílů upravte v objednávce</v>
      </c>
      <c r="C146" s="88" t="s">
        <v>428</v>
      </c>
    </row>
    <row r="147" spans="2:3" x14ac:dyDescent="0.25">
      <c r="B147" s="98" t="str">
        <f>IF($B$1=1,#REF!,C147)</f>
        <v>Potřebný počet předních dílů a relingů upravte v objednávce</v>
      </c>
      <c r="C147" s="88" t="s">
        <v>426</v>
      </c>
    </row>
    <row r="148" spans="2:3" x14ac:dyDescent="0.25">
      <c r="B148" s="98" t="str">
        <f>IF($B$1=1,#REF!,C148)</f>
        <v>Sada držáků, pro vlastní zásuvný prvek</v>
      </c>
      <c r="C148" s="187" t="s">
        <v>39</v>
      </c>
    </row>
    <row r="149" spans="2:3" x14ac:dyDescent="0.25">
      <c r="B149" s="89"/>
    </row>
    <row r="150" spans="2:3" x14ac:dyDescent="0.25">
      <c r="B150" s="98" t="str">
        <f>IF($B$1=1,#REF!,C150)</f>
        <v>Cena držáků zásuvného prvku není zahrnuta do cen jednotlivých výsuvů</v>
      </c>
      <c r="C150" s="187" t="s">
        <v>632</v>
      </c>
    </row>
    <row r="151" spans="2:3" x14ac:dyDescent="0.25">
      <c r="B151" s="98" t="str">
        <f>IF($B$1=1,#REF!,C151)</f>
        <v>Cena úchytek není zahrnuta do cen jednotlivých výsuvů</v>
      </c>
      <c r="C151" s="187" t="s">
        <v>633</v>
      </c>
    </row>
    <row r="152" spans="2:3" x14ac:dyDescent="0.25">
      <c r="B152" s="89"/>
    </row>
    <row r="153" spans="2:3" x14ac:dyDescent="0.25">
      <c r="B153" s="98" t="str">
        <f>IF($B$1=1,#REF!,C153)</f>
        <v>Příčný reling nelze kombinovat s mezistěnou</v>
      </c>
      <c r="C153" s="187" t="s">
        <v>110</v>
      </c>
    </row>
    <row r="154" spans="2:3" x14ac:dyDescent="0.25">
      <c r="B154" s="98" t="str">
        <f>IF($B$1=1,#REF!,C154)</f>
        <v>Mezistěnu nelze použít pro vnitřní výsuv</v>
      </c>
      <c r="C154" s="187" t="s">
        <v>310</v>
      </c>
    </row>
    <row r="155" spans="2:3" x14ac:dyDescent="0.25">
      <c r="B155" s="98"/>
      <c r="C155" s="187"/>
    </row>
    <row r="156" spans="2:3" x14ac:dyDescent="0.25">
      <c r="B156" s="98" t="str">
        <f>IF($B$1=1,#REF!,C156)</f>
        <v>Zóny DYNAMIC SPACE</v>
      </c>
      <c r="C156" s="187" t="s">
        <v>111</v>
      </c>
    </row>
    <row r="157" spans="2:3" x14ac:dyDescent="0.25">
      <c r="B157" s="98" t="str">
        <f>IF($B$1=1,#REF!,C157)</f>
        <v>Zásoby</v>
      </c>
      <c r="C157" s="187" t="s">
        <v>432</v>
      </c>
    </row>
    <row r="158" spans="2:3" x14ac:dyDescent="0.25">
      <c r="B158" s="98" t="str">
        <f>IF($B$1=1,#REF!,C158)</f>
        <v>Ukládání</v>
      </c>
      <c r="C158" s="187" t="s">
        <v>435</v>
      </c>
    </row>
    <row r="159" spans="2:3" x14ac:dyDescent="0.25">
      <c r="B159" s="98" t="str">
        <f>IF($B$1=1,#REF!,C159)</f>
        <v>Mytí</v>
      </c>
      <c r="C159" s="187" t="s">
        <v>436</v>
      </c>
    </row>
    <row r="160" spans="2:3" x14ac:dyDescent="0.25">
      <c r="B160" s="98" t="str">
        <f>IF($B$1=1,#REF!,C160)</f>
        <v>Příprava</v>
      </c>
      <c r="C160" s="187" t="s">
        <v>437</v>
      </c>
    </row>
    <row r="161" spans="2:5" x14ac:dyDescent="0.25">
      <c r="B161" s="98" t="str">
        <f>IF($B$1=1,#REF!,C161)</f>
        <v>Vaření / pečení</v>
      </c>
      <c r="C161" s="187" t="s">
        <v>114</v>
      </c>
    </row>
    <row r="162" spans="2:5" customFormat="1" ht="12" customHeight="1" x14ac:dyDescent="0.35"/>
    <row r="163" spans="2:5" x14ac:dyDescent="0.25">
      <c r="B163" s="90" t="str">
        <f>IF($B$1=1,#REF!,C163)</f>
        <v>Doporučená hodnota</v>
      </c>
      <c r="C163" s="88" t="s">
        <v>250</v>
      </c>
    </row>
    <row r="164" spans="2:5" x14ac:dyDescent="0.25">
      <c r="B164" s="89">
        <f>IF($B$1=1,#REF!,C164)</f>
        <v>0</v>
      </c>
    </row>
    <row r="165" spans="2:5" x14ac:dyDescent="0.25">
      <c r="B165" s="89">
        <f>IF($B$1=1,#REF!,C165)</f>
        <v>0</v>
      </c>
    </row>
    <row r="166" spans="2:5" x14ac:dyDescent="0.25">
      <c r="B166" s="98" t="str">
        <f>IF($B$1=1,#REF!,C166)</f>
        <v>Jídelní příbory</v>
      </c>
      <c r="C166" s="204" t="s">
        <v>643</v>
      </c>
    </row>
    <row r="167" spans="2:5" ht="12.5" x14ac:dyDescent="0.25">
      <c r="B167" s="98" t="str">
        <f>IF($B$1=1,#REF!,C167)</f>
        <v>Drobné předměty</v>
      </c>
      <c r="C167" s="204" t="s">
        <v>644</v>
      </c>
      <c r="E167" s="2"/>
    </row>
    <row r="168" spans="2:5" x14ac:dyDescent="0.25">
      <c r="B168" s="98" t="str">
        <f>IF($B$1=1,#REF!,C168)</f>
        <v>Pracovní příbory, náčiní, nože</v>
      </c>
      <c r="C168" s="94" t="s">
        <v>645</v>
      </c>
    </row>
    <row r="169" spans="2:5" ht="12.5" x14ac:dyDescent="0.25">
      <c r="B169" s="98" t="str">
        <f>IF($B$1=1,#REF!,C169)</f>
        <v>Řezáky na fólie</v>
      </c>
      <c r="C169" s="93" t="s">
        <v>646</v>
      </c>
      <c r="E169" s="2"/>
    </row>
    <row r="170" spans="2:5" x14ac:dyDescent="0.25">
      <c r="B170" s="98" t="str">
        <f>IF($B$1=1,#REF!,C170)</f>
        <v>Pracovní náčiní</v>
      </c>
      <c r="C170" s="93" t="s">
        <v>647</v>
      </c>
    </row>
    <row r="171" spans="2:5" ht="12.5" x14ac:dyDescent="0.25">
      <c r="B171" s="98" t="str">
        <f>IF($B$1=1,#REF!,C171)</f>
        <v>Plastové dózy</v>
      </c>
      <c r="C171" s="95" t="s">
        <v>648</v>
      </c>
      <c r="E171" s="2"/>
    </row>
    <row r="172" spans="2:5" ht="12.5" x14ac:dyDescent="0.25">
      <c r="B172" s="98" t="str">
        <f>IF($B$1=1,#REF!,C172)</f>
        <v>Misky a mísy, elektrospotřebiče</v>
      </c>
      <c r="C172" s="93" t="s">
        <v>649</v>
      </c>
      <c r="D172" s="96"/>
      <c r="E172" s="2"/>
    </row>
    <row r="173" spans="2:5" x14ac:dyDescent="0.25">
      <c r="B173" s="98" t="str">
        <f>IF($B$1=1,#REF!,C173)</f>
        <v>Hrnce, poklice</v>
      </c>
      <c r="C173" s="93" t="s">
        <v>650</v>
      </c>
    </row>
    <row r="174" spans="2:5" ht="12.5" x14ac:dyDescent="0.25">
      <c r="B174" s="98" t="str">
        <f>IF($B$1=1,#REF!,C174)</f>
        <v xml:space="preserve">Ukládání potravin </v>
      </c>
      <c r="C174" s="2" t="s">
        <v>651</v>
      </c>
      <c r="D174" s="96"/>
    </row>
    <row r="175" spans="2:5" ht="12.5" x14ac:dyDescent="0.25">
      <c r="B175" s="98" t="str">
        <f>IF($B$1=1,#REF!,C175)</f>
        <v>Načatá balení potravin</v>
      </c>
      <c r="C175" s="2" t="s">
        <v>654</v>
      </c>
      <c r="D175" s="96"/>
    </row>
    <row r="176" spans="2:5" s="89" customFormat="1" ht="12.5" x14ac:dyDescent="0.25">
      <c r="B176" s="98" t="str">
        <f>IF($B$1=1,#REF!,C176)</f>
        <v>Misky a mísy</v>
      </c>
      <c r="C176" s="2" t="s">
        <v>652</v>
      </c>
      <c r="D176" s="97"/>
    </row>
    <row r="177" spans="2:4" ht="12.5" x14ac:dyDescent="0.25">
      <c r="B177" s="98" t="str">
        <f>IF($B$1=1,#REF!,C177)</f>
        <v>Hrnce, poklice, náčiní</v>
      </c>
      <c r="C177" s="2" t="s">
        <v>653</v>
      </c>
      <c r="D177" s="96"/>
    </row>
    <row r="178" spans="2:4" x14ac:dyDescent="0.25">
      <c r="B178" s="98" t="str">
        <f>IF($B$1=1,#REF!,C178)</f>
        <v>Ukládání talířů</v>
      </c>
      <c r="C178" s="93" t="s">
        <v>655</v>
      </c>
      <c r="D178" s="96"/>
    </row>
    <row r="179" spans="2:4" ht="12.5" x14ac:dyDescent="0.25">
      <c r="B179" s="98" t="str">
        <f>IF($B$1=1,#REF!,C179)</f>
        <v>Odpadkové koše, mycí prostředky</v>
      </c>
      <c r="C179" s="2" t="s">
        <v>656</v>
      </c>
    </row>
    <row r="180" spans="2:4" ht="12.5" x14ac:dyDescent="0.25">
      <c r="B180" s="98" t="str">
        <f>IF($B$1=1,#REF!,C180)</f>
        <v>Láhve, načatá balení potravin</v>
      </c>
      <c r="C180" s="2" t="s">
        <v>657</v>
      </c>
    </row>
    <row r="181" spans="2:4" ht="12.5" x14ac:dyDescent="0.25">
      <c r="B181" s="98" t="str">
        <f>IF($B$1=1,#REF!,C181)</f>
        <v>Koření, načatá balení potravin</v>
      </c>
      <c r="C181" s="2" t="s">
        <v>658</v>
      </c>
    </row>
    <row r="182" spans="2:4" ht="12.5" x14ac:dyDescent="0.25">
      <c r="B182" s="98" t="str">
        <f>IF($B$1=1,#REF!,C182)</f>
        <v>Koření</v>
      </c>
      <c r="C182" s="2" t="s">
        <v>659</v>
      </c>
    </row>
    <row r="183" spans="2:4" ht="12.5" x14ac:dyDescent="0.25">
      <c r="B183" s="98" t="str">
        <f>IF($B$1=1,#REF!,C183)</f>
        <v>Láhve, prkýnka na krájení</v>
      </c>
      <c r="C183" s="2" t="s">
        <v>660</v>
      </c>
    </row>
    <row r="184" spans="2:4" ht="12.5" x14ac:dyDescent="0.25">
      <c r="B184" s="98" t="str">
        <f>IF($B$1=1,#REF!,C184)</f>
        <v>Láhve (oleje, octy)</v>
      </c>
      <c r="C184" s="2" t="s">
        <v>661</v>
      </c>
    </row>
    <row r="185" spans="2:4" ht="12.5" x14ac:dyDescent="0.25">
      <c r="B185" s="98" t="str">
        <f>IF($B$1=1,#REF!,C185)</f>
        <v>Formy, plechy na pečení</v>
      </c>
      <c r="C185" s="2" t="s">
        <v>662</v>
      </c>
    </row>
    <row r="186" spans="2:4" ht="12.5" x14ac:dyDescent="0.25">
      <c r="B186" s="98" t="str">
        <f>IF($B$1=1,#REF!,C186)</f>
        <v>Sada</v>
      </c>
      <c r="C186" s="2" t="s">
        <v>1351</v>
      </c>
    </row>
    <row r="187" spans="2:4" ht="12.5" x14ac:dyDescent="0.25">
      <c r="B187" s="98" t="str">
        <f>IF($B$1=1,#REF!,C187)</f>
        <v>Sada pro korpus</v>
      </c>
      <c r="C187" s="2" t="s">
        <v>1352</v>
      </c>
    </row>
    <row r="188" spans="2:4" ht="12.5" x14ac:dyDescent="0.25">
      <c r="B188" s="98" t="str">
        <f>IF($B$1=1,#REF!,C188)</f>
        <v>Sada pro SPACE CORNER</v>
      </c>
      <c r="C188" s="2" t="s">
        <v>1353</v>
      </c>
    </row>
    <row r="189" spans="2:4" ht="12.5" x14ac:dyDescent="0.25">
      <c r="B189" s="98"/>
      <c r="C189" s="2"/>
    </row>
    <row r="190" spans="2:4" x14ac:dyDescent="0.25">
      <c r="B190" s="98" t="str">
        <f>IF($B$1=1,#REF!,C190)</f>
        <v>Nahoru</v>
      </c>
      <c r="C190" s="187" t="s">
        <v>664</v>
      </c>
    </row>
    <row r="191" spans="2:4" x14ac:dyDescent="0.25">
      <c r="B191" s="98" t="str">
        <f>IF($B$1=1,#REF!,C191)</f>
        <v>od</v>
      </c>
      <c r="C191" s="88" t="s">
        <v>266</v>
      </c>
    </row>
    <row r="192" spans="2:4" x14ac:dyDescent="0.25">
      <c r="B192" s="98" t="str">
        <f>IF($B$1=1,#REF!,C192)</f>
        <v>do</v>
      </c>
      <c r="C192" s="88" t="s">
        <v>259</v>
      </c>
    </row>
    <row r="193" spans="2:3" x14ac:dyDescent="0.25">
      <c r="B193" s="89">
        <f>IF($B$1=1,#REF!,C193)</f>
        <v>0</v>
      </c>
    </row>
    <row r="194" spans="2:3" x14ac:dyDescent="0.25">
      <c r="B194" s="98">
        <f>IF($B$1=1,#REF!,C194)</f>
        <v>0</v>
      </c>
      <c r="C194" s="165"/>
    </row>
    <row r="195" spans="2:3" x14ac:dyDescent="0.25">
      <c r="B195" s="98" t="str">
        <f>IF($B$1=1,#REF!,C195)</f>
        <v>Věnujte pozornost pokynům - zde</v>
      </c>
      <c r="C195" s="165" t="s">
        <v>277</v>
      </c>
    </row>
    <row r="196" spans="2:3" x14ac:dyDescent="0.25">
      <c r="B196" s="98">
        <f>IF($B$1=1,#REF!,C196)</f>
        <v>0</v>
      </c>
      <c r="C196" s="278"/>
    </row>
    <row r="197" spans="2:3" ht="13.5" customHeight="1" x14ac:dyDescent="0.25">
      <c r="B197" s="98" t="str">
        <f>IF($B$1=1,#REF!,C197)</f>
        <v>Minimální rozměry přířezu dna</v>
      </c>
      <c r="C197" s="91" t="s">
        <v>278</v>
      </c>
    </row>
    <row r="198" spans="2:3" x14ac:dyDescent="0.25">
      <c r="B198" s="98" t="str">
        <f>IF($B$1=1,#REF!,C198)</f>
        <v>Není-li možné minimální rozměry dodržet, nelze použít výsuvy s TIP-ON BLUMOTION</v>
      </c>
      <c r="C198" s="406" t="s">
        <v>1203</v>
      </c>
    </row>
    <row r="199" spans="2:3" x14ac:dyDescent="0.25">
      <c r="B199" s="90" t="str">
        <f>IF($B$1=1,#REF!,C199)</f>
        <v>Firma Blum ani prodejci neručí za jejich správnost.</v>
      </c>
      <c r="C199" s="88" t="s">
        <v>279</v>
      </c>
    </row>
    <row r="200" spans="2:3" x14ac:dyDescent="0.25">
      <c r="B200" s="98">
        <f>IF($B$1=1,#REF!,C200)</f>
        <v>0</v>
      </c>
    </row>
    <row r="201" spans="2:3" x14ac:dyDescent="0.25">
      <c r="B201" s="89">
        <f>IF($B$1=1,#REF!,C201)</f>
        <v>0</v>
      </c>
    </row>
    <row r="202" spans="2:3" x14ac:dyDescent="0.25">
      <c r="B202" s="98" t="str">
        <f>IF($B$1=1,#REF!,C202)</f>
        <v>Formulář pro identifikační údaje</v>
      </c>
      <c r="C202" s="88" t="s">
        <v>280</v>
      </c>
    </row>
    <row r="203" spans="2:3" x14ac:dyDescent="0.25">
      <c r="B203" s="98" t="str">
        <f>IF($B$1=1,#REF!,C203)</f>
        <v>Odběratel</v>
      </c>
      <c r="C203" s="88" t="s">
        <v>281</v>
      </c>
    </row>
    <row r="204" spans="2:3" x14ac:dyDescent="0.25">
      <c r="B204" s="98" t="str">
        <f>IF($B$1=1,#REF!,C204)</f>
        <v>Adresa</v>
      </c>
      <c r="C204" s="88" t="s">
        <v>282</v>
      </c>
    </row>
    <row r="205" spans="2:3" x14ac:dyDescent="0.25">
      <c r="B205" s="98" t="str">
        <f>IF($B$1=1,#REF!,C205)</f>
        <v>Dodací adresa</v>
      </c>
      <c r="C205" s="88" t="s">
        <v>283</v>
      </c>
    </row>
    <row r="206" spans="2:3" x14ac:dyDescent="0.25">
      <c r="B206" s="98" t="str">
        <f>IF($B$1=1,#REF!,C206)</f>
        <v>IČO, DIČ</v>
      </c>
      <c r="C206" s="88" t="s">
        <v>284</v>
      </c>
    </row>
    <row r="207" spans="2:3" x14ac:dyDescent="0.25">
      <c r="B207" s="98" t="str">
        <f>IF($B$1=1,#REF!,C207)</f>
        <v>Telefon, fax, e-mail</v>
      </c>
      <c r="C207" s="88" t="s">
        <v>285</v>
      </c>
    </row>
    <row r="208" spans="2:3" x14ac:dyDescent="0.25">
      <c r="B208" s="98" t="str">
        <f>IF($B$1=1,#REF!,C208)</f>
        <v>Číslo objednávky</v>
      </c>
      <c r="C208" s="88" t="s">
        <v>286</v>
      </c>
    </row>
    <row r="209" spans="2:3" x14ac:dyDescent="0.25">
      <c r="B209" s="98" t="str">
        <f>IF($B$1=1,#REF!,C209)</f>
        <v>Zakázka</v>
      </c>
      <c r="C209" s="88" t="s">
        <v>287</v>
      </c>
    </row>
    <row r="210" spans="2:3" x14ac:dyDescent="0.25">
      <c r="B210" s="89">
        <f>IF($B$1=1,#REF!,C210)</f>
        <v>0</v>
      </c>
    </row>
    <row r="211" spans="2:3" x14ac:dyDescent="0.25">
      <c r="B211" s="98" t="str">
        <f>IF($B$1=1,#REF!,C211)</f>
        <v>Verze</v>
      </c>
      <c r="C211" s="88" t="s">
        <v>267</v>
      </c>
    </row>
    <row r="212" spans="2:3" x14ac:dyDescent="0.25">
      <c r="B212" s="98" t="str">
        <f>IF($B$1=1,#REF!,C212)</f>
        <v>Platnost ceníku od</v>
      </c>
      <c r="C212" s="88" t="s">
        <v>268</v>
      </c>
    </row>
    <row r="213" spans="2:3" x14ac:dyDescent="0.25">
      <c r="B213" s="98" t="str">
        <f>IF($B$1=1,#REF!,C213)</f>
        <v>Sleva</v>
      </c>
      <c r="C213" s="88" t="s">
        <v>269</v>
      </c>
    </row>
    <row r="214" spans="2:3" x14ac:dyDescent="0.25">
      <c r="B214" s="98" t="str">
        <f>IF($B$1=1,#REF!,C214)</f>
        <v>Prodejce</v>
      </c>
      <c r="C214" s="88" t="s">
        <v>270</v>
      </c>
    </row>
    <row r="215" spans="2:3" x14ac:dyDescent="0.25">
      <c r="B215" s="98" t="str">
        <f>IF($B$1=1,#REF!,C215)</f>
        <v>Sleva od prodejce</v>
      </c>
      <c r="C215" s="88" t="s">
        <v>271</v>
      </c>
    </row>
    <row r="216" spans="2:3" x14ac:dyDescent="0.25">
      <c r="B216" s="98" t="str">
        <f>IF($B$1=1,#REF!,C216)</f>
        <v>Ceník</v>
      </c>
      <c r="C216" s="88" t="s">
        <v>272</v>
      </c>
    </row>
    <row r="217" spans="2:3" x14ac:dyDescent="0.25">
      <c r="B217" s="89"/>
    </row>
    <row r="218" spans="2:3" x14ac:dyDescent="0.25">
      <c r="B218" s="89">
        <f>IF($B$1=1,#REF!,C218)</f>
        <v>0</v>
      </c>
    </row>
    <row r="219" spans="2:3" x14ac:dyDescent="0.25">
      <c r="B219" s="98" t="str">
        <f>IF($B$1=1,#REF!,C219)</f>
        <v>Poznámka</v>
      </c>
      <c r="C219" s="88" t="s">
        <v>288</v>
      </c>
    </row>
    <row r="220" spans="2:3" x14ac:dyDescent="0.25">
      <c r="B220" s="89">
        <f>IF($B$1=1,#REF!,C220)</f>
        <v>0</v>
      </c>
    </row>
    <row r="221" spans="2:3" x14ac:dyDescent="0.25">
      <c r="B221" s="98" t="str">
        <f>IF($B$1=1,#REF!,C221)</f>
        <v>Zde můžete vložit vlastní položky (následujících 10 řádků, zobrazí se v objednávce)</v>
      </c>
      <c r="C221" s="88" t="s">
        <v>289</v>
      </c>
    </row>
    <row r="222" spans="2:3" x14ac:dyDescent="0.25">
      <c r="B222" s="89">
        <f>IF($B$1=1,#REF!,C222)</f>
        <v>0</v>
      </c>
    </row>
    <row r="223" spans="2:3" x14ac:dyDescent="0.25">
      <c r="B223" s="89">
        <f>IF($B$1=1,#REF!,C223)</f>
        <v>0</v>
      </c>
    </row>
    <row r="224" spans="2:3" x14ac:dyDescent="0.25">
      <c r="B224" s="89">
        <f>IF($B$1=1,#REF!,C224)</f>
        <v>0</v>
      </c>
    </row>
    <row r="225" spans="2:3" x14ac:dyDescent="0.25">
      <c r="B225" s="98" t="str">
        <f>IF($B$1=1,#REF!,C225)</f>
        <v>Vítejte v aplikaci BOXPLAN</v>
      </c>
      <c r="C225" s="88" t="s">
        <v>393</v>
      </c>
    </row>
    <row r="226" spans="2:3" x14ac:dyDescent="0.25">
      <c r="B226" s="98" t="str">
        <f>IF($B$1=1,#REF!,C226)</f>
        <v>Před prvním spuštěním</v>
      </c>
      <c r="C226" s="88" t="s">
        <v>292</v>
      </c>
    </row>
    <row r="227" spans="2:3" x14ac:dyDescent="0.25">
      <c r="B227" s="98" t="str">
        <f>IF($B$1=1,#REF!,C227)</f>
        <v xml:space="preserve">Přejděte na </v>
      </c>
      <c r="C227" s="88" t="s">
        <v>293</v>
      </c>
    </row>
    <row r="228" spans="2:3" x14ac:dyDescent="0.25">
      <c r="B228" s="98" t="str">
        <f>IF($B$1=1,#REF!,C228)</f>
        <v>Vyplňte identifikační údaje a výši slevy od prodejce</v>
      </c>
      <c r="C228" s="187" t="s">
        <v>433</v>
      </c>
    </row>
    <row r="229" spans="2:3" x14ac:dyDescent="0.25">
      <c r="B229" s="98" t="str">
        <f>IF($B$1=1,#REF!,C229)</f>
        <v>Po vyplnění se vraťte na úvod a subor uložte nebo zavřete s potvrzením změn</v>
      </c>
      <c r="C229" s="187" t="s">
        <v>434</v>
      </c>
    </row>
    <row r="230" spans="2:3" x14ac:dyDescent="0.25">
      <c r="B230" s="98" t="str">
        <f>IF($B$1=1,#REF!,C230)</f>
        <v>Identifikační údaje se budou zobrazovat v objednávkách</v>
      </c>
      <c r="C230" s="88" t="s">
        <v>294</v>
      </c>
    </row>
    <row r="231" spans="2:3" x14ac:dyDescent="0.25">
      <c r="B231" s="89">
        <f>IF($B$1=1,#REF!,C231)</f>
        <v>0</v>
      </c>
    </row>
    <row r="232" spans="2:3" x14ac:dyDescent="0.25">
      <c r="B232" s="98" t="str">
        <f>IF($B$1=1,#REF!,C232)</f>
        <v>Na úvodní obrazovce vyberte, jaké ceny se budou zobrazovat:</v>
      </c>
      <c r="C232" s="88" t="s">
        <v>295</v>
      </c>
    </row>
    <row r="233" spans="2:3" x14ac:dyDescent="0.25">
      <c r="B233" s="98" t="str">
        <f>IF($B$1=1,#REF!,C233)</f>
        <v>Základní (ceníkové) ceny bez slevy</v>
      </c>
      <c r="C233" s="88" t="s">
        <v>296</v>
      </c>
    </row>
    <row r="234" spans="2:3" x14ac:dyDescent="0.25">
      <c r="B234" s="98" t="str">
        <f>IF($B$1=1,#REF!,C234)</f>
        <v xml:space="preserve">Zadáte-li slevu s mínusovým znamínkem, zobrazí se ceny o tuto hodnotu vyšší </v>
      </c>
      <c r="C234" s="187" t="s">
        <v>42</v>
      </c>
    </row>
    <row r="235" spans="2:3" x14ac:dyDescent="0.25">
      <c r="B235" s="89">
        <f>IF($B$1=1,#REF!,C235)</f>
        <v>0</v>
      </c>
    </row>
    <row r="236" spans="2:3" x14ac:dyDescent="0.25">
      <c r="B236" s="98" t="str">
        <f>IF($B$1=1,#REF!,C236)</f>
        <v>Vyberte barvu povrchové úpravy</v>
      </c>
      <c r="C236" s="187" t="s">
        <v>41</v>
      </c>
    </row>
    <row r="237" spans="2:3" x14ac:dyDescent="0.25">
      <c r="B237" s="98" t="str">
        <f>IF($B$1=1,#REF!,C237)</f>
        <v>Vyberte způsob montáže čelního kování</v>
      </c>
      <c r="C237" s="187" t="s">
        <v>40</v>
      </c>
    </row>
    <row r="238" spans="2:3" x14ac:dyDescent="0.25">
      <c r="B238" s="89">
        <f>IF($B$1=1,#REF!,C238)</f>
        <v>0</v>
      </c>
    </row>
    <row r="239" spans="2:3" x14ac:dyDescent="0.25">
      <c r="B239" s="98" t="str">
        <f>IF($B$1=1,#REF!,C239)</f>
        <v>Kliknutím na označení vyberte požadovaný výsuv</v>
      </c>
      <c r="C239" s="187" t="s">
        <v>43</v>
      </c>
    </row>
    <row r="240" spans="2:3" x14ac:dyDescent="0.25">
      <c r="B240" s="89"/>
    </row>
    <row r="241" spans="2:3" x14ac:dyDescent="0.25">
      <c r="B241" s="90" t="str">
        <f>IF($B$1=1,#REF!,C241)</f>
        <v>Legenda</v>
      </c>
      <c r="C241" s="88" t="s">
        <v>297</v>
      </c>
    </row>
    <row r="242" spans="2:3" x14ac:dyDescent="0.25">
      <c r="B242" s="90" t="str">
        <f>IF($B$1=1,#REF!,C242)</f>
        <v>Změna zobrazovaných hodnot</v>
      </c>
      <c r="C242" s="88" t="s">
        <v>298</v>
      </c>
    </row>
    <row r="243" spans="2:3" x14ac:dyDescent="0.25">
      <c r="B243" s="90" t="str">
        <f>IF($B$1=1,#REF!,C243)</f>
        <v>Výpočet hmotnosti</v>
      </c>
      <c r="C243" s="88" t="s">
        <v>265</v>
      </c>
    </row>
    <row r="244" spans="2:3" x14ac:dyDescent="0.25">
      <c r="B244" s="90" t="str">
        <f>IF($B$1=1,#REF!,C244)</f>
        <v>Upozornění</v>
      </c>
      <c r="C244" s="88" t="s">
        <v>299</v>
      </c>
    </row>
    <row r="245" spans="2:3" x14ac:dyDescent="0.25">
      <c r="B245" s="90" t="str">
        <f>IF($B$1=1,#REF!,C245)</f>
        <v>Informace a vysvětlivky</v>
      </c>
      <c r="C245" s="88" t="s">
        <v>300</v>
      </c>
    </row>
    <row r="246" spans="2:3" x14ac:dyDescent="0.25">
      <c r="B246" s="90" t="str">
        <f>IF($B$1=1,#REF!,C246)</f>
        <v>Tip</v>
      </c>
      <c r="C246" s="88" t="s">
        <v>301</v>
      </c>
    </row>
    <row r="247" spans="2:3" x14ac:dyDescent="0.25">
      <c r="B247" s="90" t="str">
        <f>IF($B$1=1,#REF!,C247)</f>
        <v>Nápověda</v>
      </c>
      <c r="C247" s="88" t="s">
        <v>252</v>
      </c>
    </row>
    <row r="248" spans="2:3" x14ac:dyDescent="0.25">
      <c r="B248" s="90" t="str">
        <f>IF($B$1=1,#REF!,C248)</f>
        <v>Odkazy na brožury, montážní návody a instrukážní videa</v>
      </c>
      <c r="C248" s="88" t="s">
        <v>302</v>
      </c>
    </row>
    <row r="249" spans="2:3" x14ac:dyDescent="0.25">
      <c r="B249" s="90" t="str">
        <f>IF($B$1=1,#REF!,C249)</f>
        <v>Soubory PDF</v>
      </c>
      <c r="C249" s="88" t="s">
        <v>303</v>
      </c>
    </row>
    <row r="250" spans="2:3" x14ac:dyDescent="0.25">
      <c r="B250" s="89">
        <f>IF($B$1=1,#REF!,C250)</f>
        <v>0</v>
      </c>
    </row>
    <row r="251" spans="2:3" x14ac:dyDescent="0.25">
      <c r="B251" s="89">
        <f>IF($B$1=1,#REF!,C251)</f>
        <v>0</v>
      </c>
    </row>
    <row r="252" spans="2:3" x14ac:dyDescent="0.25">
      <c r="B252" s="98" t="str">
        <f>IF($B$1=1,#REF!,C252)</f>
        <v>Po úpravě objenávky odfiltrujte pomocí filtru ve sloupci "Ks" prázné řádky.</v>
      </c>
      <c r="C252" s="88" t="s">
        <v>324</v>
      </c>
    </row>
    <row r="253" spans="2:3" x14ac:dyDescent="0.25">
      <c r="B253" s="89">
        <f>IF($B$1=1,#REF!,C253)</f>
        <v>0</v>
      </c>
    </row>
    <row r="254" spans="2:3" ht="23" x14ac:dyDescent="0.25">
      <c r="B254" s="98" t="str">
        <f>IF($B$1=1,#REF!,C254)</f>
        <v>Chcete-li objednávku uložit nebo odeslat jako přílohu, vytvořte nový soubor kliknutím na odkaz</v>
      </c>
      <c r="C254" s="211" t="s">
        <v>291</v>
      </c>
    </row>
    <row r="255" spans="2:3" x14ac:dyDescent="0.25">
      <c r="B255" s="89"/>
    </row>
    <row r="256" spans="2:3" x14ac:dyDescent="0.25">
      <c r="B256" s="98" t="str">
        <f>IF($B$1=1,#REF!,C256)</f>
        <v>Vytvořit objednávku</v>
      </c>
      <c r="C256" s="187" t="s">
        <v>290</v>
      </c>
    </row>
    <row r="257" spans="2:3" x14ac:dyDescent="0.25">
      <c r="B257" s="89">
        <f>IF($B$1=1,#REF!,C257)</f>
        <v>0</v>
      </c>
    </row>
    <row r="258" spans="2:3" x14ac:dyDescent="0.25">
      <c r="B258" s="89"/>
      <c r="C258" s="93"/>
    </row>
    <row r="259" spans="2:3" x14ac:dyDescent="0.25">
      <c r="B259" s="98" t="str">
        <f>IF($B$1=1,#REF!,C259)</f>
        <v>Výběr sady jednotek</v>
      </c>
      <c r="C259" s="324" t="s">
        <v>867</v>
      </c>
    </row>
    <row r="260" spans="2:3" x14ac:dyDescent="0.25">
      <c r="B260" s="98" t="str">
        <f>IF($B$1=1,#REF!,C260)</f>
        <v>Počet skříní</v>
      </c>
      <c r="C260" s="324" t="s">
        <v>886</v>
      </c>
    </row>
    <row r="261" spans="2:3" x14ac:dyDescent="0.25">
      <c r="B261" s="98" t="str">
        <f>IF($B$1=1,#REF!,C261)</f>
        <v>Zadejte počty skříní podle šířky korpusu a délky výsuvů</v>
      </c>
      <c r="C261" s="324" t="s">
        <v>868</v>
      </c>
    </row>
    <row r="262" spans="2:3" x14ac:dyDescent="0.25">
      <c r="B262" s="98" t="str">
        <f>IF($B$1=1,#REF!,C262)</f>
        <v>Poté zadejte požadované složení korpusových lišt</v>
      </c>
      <c r="C262" s="324" t="s">
        <v>869</v>
      </c>
    </row>
    <row r="263" spans="2:3" x14ac:dyDescent="0.25">
      <c r="B263" s="98" t="str">
        <f>IF($B$1=1,#REF!,C263)</f>
        <v>Zadejte počty 30kg korpusových lišt, 65kg lišty se dopočítají</v>
      </c>
      <c r="C263" s="324" t="s">
        <v>881</v>
      </c>
    </row>
    <row r="264" spans="2:3" x14ac:dyDescent="0.25">
      <c r="B264" s="98" t="str">
        <f>IF($B$1=1,#REF!,C264)</f>
        <v>Korpusové lišty</v>
      </c>
      <c r="C264" s="324" t="s">
        <v>887</v>
      </c>
    </row>
    <row r="265" spans="2:3" x14ac:dyDescent="0.25">
      <c r="B265" s="98" t="str">
        <f>IF($B$1=1,#REF!,C265)</f>
        <v>Zadejte počet korpusových lišt, pokud chcete jiné, než přednastavené složení</v>
      </c>
      <c r="C265" s="324" t="s">
        <v>870</v>
      </c>
    </row>
    <row r="266" spans="2:3" x14ac:dyDescent="0.25">
      <c r="B266" s="98" t="str">
        <f>IF($B$1=1,#REF!,C266)</f>
        <v>Nastavené počty korpusových lišt</v>
      </c>
      <c r="C266" s="324" t="s">
        <v>888</v>
      </c>
    </row>
    <row r="267" spans="2:3" x14ac:dyDescent="0.25">
      <c r="B267" s="89"/>
    </row>
    <row r="268" spans="2:3" x14ac:dyDescent="0.25">
      <c r="B268" s="98" t="str">
        <f>IF($B$1=1,#REF!,C268)</f>
        <v>Sada jednotek TIP-ON BLUMOTION</v>
      </c>
      <c r="C268" s="324" t="s">
        <v>871</v>
      </c>
    </row>
    <row r="269" spans="2:3" x14ac:dyDescent="0.25">
      <c r="B269" s="98" t="str">
        <f>IF($B$1=1,#REF!,C269)</f>
        <v>Jednotky TIP-ON BLUMOTION jsou přidány automaticky</v>
      </c>
      <c r="C269" s="324" t="s">
        <v>1210</v>
      </c>
    </row>
    <row r="270" spans="2:3" x14ac:dyDescent="0.25">
      <c r="B270" s="98" t="str">
        <f>IF($B$1=1,#REF!,C270)</f>
        <v xml:space="preserve">Synchronizace je přidána automaticky. </v>
      </c>
      <c r="C270" s="324" t="s">
        <v>930</v>
      </c>
    </row>
    <row r="271" spans="2:3" x14ac:dyDescent="0.25">
      <c r="B271" s="98" t="str">
        <f>IF($B$1=1,#REF!,C271)</f>
        <v>Pozor! Pro každý výsuv je započítána jedna hřídel. Počet hřídelí upravte v objednávce!</v>
      </c>
      <c r="C271" s="324" t="s">
        <v>931</v>
      </c>
    </row>
    <row r="272" spans="2:3" x14ac:dyDescent="0.25">
      <c r="B272" s="98" t="str">
        <f>IF($B$1=1,#REF!,C272)</f>
        <v>Pro korpusy šířky ≥ 750 mm použijte podpěru dna a podpěru synchronizační hřídele.</v>
      </c>
      <c r="C272" s="324" t="s">
        <v>937</v>
      </c>
    </row>
    <row r="273" spans="2:3" x14ac:dyDescent="0.25">
      <c r="B273" s="98" t="str">
        <f>IF($B$1=1,#REF!,C273)</f>
        <v>Podpěry přidejte v sekci "Výběr doplňků"</v>
      </c>
      <c r="C273" s="324" t="s">
        <v>938</v>
      </c>
    </row>
    <row r="274" spans="2:3" x14ac:dyDescent="0.25">
      <c r="B274" s="98" t="str">
        <f>IF($B$1=1,#REF!,C274)</f>
        <v>Podpěry jsou přidány automaticky</v>
      </c>
      <c r="C274" s="324" t="s">
        <v>1211</v>
      </c>
    </row>
    <row r="275" spans="2:3" x14ac:dyDescent="0.25">
      <c r="B275" s="98" t="str">
        <f>IF($B$1=1,#REF!,C275)</f>
        <v>Jednotka</v>
      </c>
      <c r="C275" s="324" t="s">
        <v>872</v>
      </c>
    </row>
    <row r="276" spans="2:3" x14ac:dyDescent="0.25">
      <c r="B276" s="98" t="str">
        <f>IF($B$1=1,#REF!,C276)</f>
        <v>S0 a S1 pouze pro jmenovitou délku 270 a 300 mm</v>
      </c>
      <c r="C276" s="324" t="s">
        <v>878</v>
      </c>
    </row>
    <row r="277" spans="2:3" x14ac:dyDescent="0.25">
      <c r="B277" s="98" t="str">
        <f>IF($B$1=1,#REF!,C277)</f>
        <v>Pro výsuvy délky 270 a 300 mm vyberte jednotky S0 nebo S1</v>
      </c>
      <c r="C277" s="324" t="s">
        <v>879</v>
      </c>
    </row>
    <row r="278" spans="2:3" x14ac:dyDescent="0.25">
      <c r="B278" s="98" t="str">
        <f>IF($B$1=1,#REF!,C278)</f>
        <v>Počet jednotek L neodpovídá počtu korpusových lišt</v>
      </c>
      <c r="C278" s="324" t="s">
        <v>873</v>
      </c>
    </row>
    <row r="279" spans="2:3" x14ac:dyDescent="0.25">
      <c r="B279" s="98" t="str">
        <f>IF($B$1=1,#REF!,C279)</f>
        <v>Počet jednotek S neodpovídá počtu korpusových lišt</v>
      </c>
      <c r="C279" s="324" t="s">
        <v>880</v>
      </c>
    </row>
    <row r="280" spans="2:3" x14ac:dyDescent="0.25">
      <c r="B280" s="98" t="str">
        <f>IF($B$1=1,#REF!,C280)</f>
        <v>Využití pro</v>
      </c>
      <c r="C280" s="324" t="s">
        <v>874</v>
      </c>
    </row>
    <row r="281" spans="2:3" x14ac:dyDescent="0.25">
      <c r="B281" s="98" t="str">
        <f>IF($B$1=1,#REF!,C281)</f>
        <v>Doporučené hodnoty hmotnosti</v>
      </c>
      <c r="C281" s="324" t="s">
        <v>875</v>
      </c>
    </row>
    <row r="282" spans="2:3" x14ac:dyDescent="0.25">
      <c r="B282" s="98" t="str">
        <f>IF($B$1=1,#REF!,C282)</f>
        <v>Celková hmotnost výsuvu (hmotnost výsuvu včetně náplně)</v>
      </c>
      <c r="C282" s="324" t="s">
        <v>876</v>
      </c>
    </row>
    <row r="283" spans="2:3" x14ac:dyDescent="0.25">
      <c r="B283" s="98" t="str">
        <f>IF($B$1=1,#REF!,C283)</f>
        <v>a sada unašečů TIP-ON BLUMOTION</v>
      </c>
      <c r="C283" s="324" t="s">
        <v>877</v>
      </c>
    </row>
    <row r="284" spans="2:3" x14ac:dyDescent="0.25">
      <c r="B284" s="98" t="str">
        <f>IF($B$1=1,#REF!,C284)</f>
        <v>Kovové zásuvné prvky pro NL 270 až 400mm se nevyrábí.</v>
      </c>
      <c r="C284" s="324" t="s">
        <v>1204</v>
      </c>
    </row>
    <row r="285" spans="2:3" x14ac:dyDescent="0.25">
      <c r="B285" s="98" t="str">
        <f>IF($B$1=1,#REF!,C285)</f>
        <v>Do objednávky budou přidány prvky pro 450mm, které je potřeba na danou délku zkrátit.</v>
      </c>
      <c r="C285" s="324" t="s">
        <v>1202</v>
      </c>
    </row>
    <row r="286" spans="2:3" x14ac:dyDescent="0.25">
      <c r="B286" s="98" t="str">
        <f>IF($B$1=1,#REF!,C286)</f>
        <v>Nerez (Inox) není běžně skladem.</v>
      </c>
      <c r="C286" s="324" t="s">
        <v>1411</v>
      </c>
    </row>
    <row r="287" spans="2:3" x14ac:dyDescent="0.25">
      <c r="B287" s="98" t="str">
        <f>IF($B$1=1,#REF!,C287)</f>
        <v>Dostupnost ověřte u svého dodavatele.</v>
      </c>
      <c r="C287" s="324" t="s">
        <v>1412</v>
      </c>
    </row>
    <row r="288" spans="2:3" x14ac:dyDescent="0.25">
      <c r="B288" s="98" t="str">
        <f>IF($B$1=1,#REF!,C288)</f>
        <v>Zásuvky K se v provedení nerez (Inox) nevyrábí</v>
      </c>
      <c r="C288" s="324" t="s">
        <v>1480</v>
      </c>
    </row>
    <row r="289" spans="2:3" x14ac:dyDescent="0.25">
      <c r="B289" s="98" t="str">
        <f>IF($B$1=1,#REF!,C289)</f>
        <v>Kovové zásuvné prvky pro nerez (Inox) se nevyrábí</v>
      </c>
      <c r="C289" s="324" t="s">
        <v>1481</v>
      </c>
    </row>
    <row r="290" spans="2:3" x14ac:dyDescent="0.25">
      <c r="B290" s="98" t="str">
        <f>IF($B$1=1,#REF!,C290)</f>
        <v>Kování naplánované na tomto listu se neprojeví v objednávce</v>
      </c>
      <c r="C290" s="324" t="s">
        <v>1479</v>
      </c>
    </row>
    <row r="291" spans="2:3" x14ac:dyDescent="0.25">
      <c r="B291" s="89"/>
    </row>
    <row r="292" spans="2:3" x14ac:dyDescent="0.25">
      <c r="B292" s="89"/>
    </row>
    <row r="293" spans="2:3" x14ac:dyDescent="0.25">
      <c r="B293" s="89"/>
    </row>
    <row r="294" spans="2:3" x14ac:dyDescent="0.25">
      <c r="B294" s="89"/>
    </row>
    <row r="295" spans="2:3" x14ac:dyDescent="0.25">
      <c r="B295" s="89"/>
    </row>
    <row r="296" spans="2:3" x14ac:dyDescent="0.25">
      <c r="B296" s="89"/>
    </row>
    <row r="297" spans="2:3" x14ac:dyDescent="0.25">
      <c r="B297" s="89"/>
    </row>
    <row r="298" spans="2:3" x14ac:dyDescent="0.25">
      <c r="B298" s="89"/>
    </row>
    <row r="299" spans="2:3" x14ac:dyDescent="0.25">
      <c r="B299" s="89"/>
    </row>
    <row r="300" spans="2:3" x14ac:dyDescent="0.25">
      <c r="B300" s="89"/>
    </row>
    <row r="301" spans="2:3" x14ac:dyDescent="0.25">
      <c r="B301" s="89"/>
    </row>
    <row r="302" spans="2:3" x14ac:dyDescent="0.25">
      <c r="B302" s="89"/>
    </row>
    <row r="303" spans="2:3" x14ac:dyDescent="0.25">
      <c r="B303" s="89"/>
    </row>
    <row r="304" spans="2:3" x14ac:dyDescent="0.25">
      <c r="B304" s="89"/>
    </row>
    <row r="305" spans="2:2" x14ac:dyDescent="0.25">
      <c r="B305" s="89"/>
    </row>
    <row r="306" spans="2:2" x14ac:dyDescent="0.25">
      <c r="B306" s="89"/>
    </row>
    <row r="307" spans="2:2" x14ac:dyDescent="0.25">
      <c r="B307" s="89"/>
    </row>
    <row r="308" spans="2:2" x14ac:dyDescent="0.25">
      <c r="B308" s="89"/>
    </row>
    <row r="309" spans="2:2" x14ac:dyDescent="0.25">
      <c r="B309" s="89"/>
    </row>
    <row r="310" spans="2:2" x14ac:dyDescent="0.25">
      <c r="B310" s="89"/>
    </row>
    <row r="311" spans="2:2" x14ac:dyDescent="0.25">
      <c r="B311" s="89"/>
    </row>
    <row r="312" spans="2:2" x14ac:dyDescent="0.25">
      <c r="B312" s="89"/>
    </row>
    <row r="313" spans="2:2" x14ac:dyDescent="0.25">
      <c r="B313" s="89"/>
    </row>
    <row r="314" spans="2:2" x14ac:dyDescent="0.25">
      <c r="B314" s="89"/>
    </row>
    <row r="315" spans="2:2" x14ac:dyDescent="0.25">
      <c r="B315" s="89"/>
    </row>
    <row r="316" spans="2:2" x14ac:dyDescent="0.25">
      <c r="B316" s="89"/>
    </row>
    <row r="317" spans="2:2" x14ac:dyDescent="0.25">
      <c r="B317" s="89"/>
    </row>
    <row r="318" spans="2:2" x14ac:dyDescent="0.25">
      <c r="B318" s="89"/>
    </row>
    <row r="319" spans="2:2" x14ac:dyDescent="0.25">
      <c r="B319" s="89"/>
    </row>
    <row r="320" spans="2:2" x14ac:dyDescent="0.25">
      <c r="B320" s="89"/>
    </row>
    <row r="321" spans="2:2" x14ac:dyDescent="0.25">
      <c r="B321" s="89"/>
    </row>
    <row r="322" spans="2:2" x14ac:dyDescent="0.25">
      <c r="B322" s="89"/>
    </row>
    <row r="323" spans="2:2" x14ac:dyDescent="0.25">
      <c r="B323" s="89"/>
    </row>
    <row r="324" spans="2:2" x14ac:dyDescent="0.25">
      <c r="B324" s="89"/>
    </row>
    <row r="325" spans="2:2" x14ac:dyDescent="0.25">
      <c r="B325" s="89"/>
    </row>
    <row r="326" spans="2:2" x14ac:dyDescent="0.25">
      <c r="B326" s="89"/>
    </row>
    <row r="327" spans="2:2" x14ac:dyDescent="0.25">
      <c r="B327" s="89"/>
    </row>
    <row r="328" spans="2:2" x14ac:dyDescent="0.25">
      <c r="B328" s="89"/>
    </row>
    <row r="329" spans="2:2" x14ac:dyDescent="0.25">
      <c r="B329" s="89"/>
    </row>
    <row r="330" spans="2:2" x14ac:dyDescent="0.25">
      <c r="B330" s="89"/>
    </row>
    <row r="331" spans="2:2" x14ac:dyDescent="0.25">
      <c r="B331" s="89"/>
    </row>
    <row r="332" spans="2:2" x14ac:dyDescent="0.25">
      <c r="B332" s="89"/>
    </row>
    <row r="333" spans="2:2" x14ac:dyDescent="0.25">
      <c r="B333" s="89"/>
    </row>
    <row r="334" spans="2:2" x14ac:dyDescent="0.25">
      <c r="B334" s="89"/>
    </row>
    <row r="335" spans="2:2" x14ac:dyDescent="0.25">
      <c r="B335" s="89"/>
    </row>
    <row r="336" spans="2:2" x14ac:dyDescent="0.25">
      <c r="B336" s="89"/>
    </row>
    <row r="337" spans="2:2" x14ac:dyDescent="0.25">
      <c r="B337" s="89"/>
    </row>
    <row r="338" spans="2:2" x14ac:dyDescent="0.25">
      <c r="B338" s="89"/>
    </row>
    <row r="339" spans="2:2" x14ac:dyDescent="0.25">
      <c r="B339" s="89"/>
    </row>
    <row r="340" spans="2:2" x14ac:dyDescent="0.25">
      <c r="B340" s="89"/>
    </row>
    <row r="341" spans="2:2" x14ac:dyDescent="0.25">
      <c r="B341" s="89"/>
    </row>
    <row r="342" spans="2:2" x14ac:dyDescent="0.25">
      <c r="B342" s="89"/>
    </row>
    <row r="343" spans="2:2" x14ac:dyDescent="0.25">
      <c r="B343" s="89"/>
    </row>
    <row r="344" spans="2:2" x14ac:dyDescent="0.25">
      <c r="B344" s="89"/>
    </row>
    <row r="345" spans="2:2" x14ac:dyDescent="0.25">
      <c r="B345" s="89"/>
    </row>
    <row r="346" spans="2:2" x14ac:dyDescent="0.25">
      <c r="B346" s="89"/>
    </row>
    <row r="347" spans="2:2" x14ac:dyDescent="0.25">
      <c r="B347" s="89"/>
    </row>
    <row r="348" spans="2:2" x14ac:dyDescent="0.25">
      <c r="B348" s="89"/>
    </row>
    <row r="349" spans="2:2" x14ac:dyDescent="0.25">
      <c r="B349" s="89"/>
    </row>
    <row r="350" spans="2:2" x14ac:dyDescent="0.25">
      <c r="B350" s="89"/>
    </row>
    <row r="351" spans="2:2" x14ac:dyDescent="0.25">
      <c r="B351" s="89"/>
    </row>
    <row r="352" spans="2:2" x14ac:dyDescent="0.25">
      <c r="B352" s="89"/>
    </row>
    <row r="353" spans="2:2" x14ac:dyDescent="0.25">
      <c r="B353" s="89"/>
    </row>
    <row r="354" spans="2:2" x14ac:dyDescent="0.25">
      <c r="B354" s="89"/>
    </row>
    <row r="355" spans="2:2" x14ac:dyDescent="0.25">
      <c r="B355" s="89"/>
    </row>
    <row r="356" spans="2:2" x14ac:dyDescent="0.25">
      <c r="B356" s="89"/>
    </row>
    <row r="357" spans="2:2" x14ac:dyDescent="0.25">
      <c r="B357" s="89"/>
    </row>
    <row r="358" spans="2:2" x14ac:dyDescent="0.25">
      <c r="B358" s="89"/>
    </row>
    <row r="359" spans="2:2" x14ac:dyDescent="0.25">
      <c r="B359" s="89"/>
    </row>
    <row r="360" spans="2:2" x14ac:dyDescent="0.25">
      <c r="B360" s="89"/>
    </row>
    <row r="361" spans="2:2" x14ac:dyDescent="0.25">
      <c r="B361" s="89"/>
    </row>
    <row r="362" spans="2:2" x14ac:dyDescent="0.25">
      <c r="B362" s="89"/>
    </row>
    <row r="363" spans="2:2" x14ac:dyDescent="0.25">
      <c r="B363" s="89"/>
    </row>
    <row r="364" spans="2:2" x14ac:dyDescent="0.25">
      <c r="B364" s="89"/>
    </row>
    <row r="365" spans="2:2" x14ac:dyDescent="0.25">
      <c r="B365" s="89"/>
    </row>
    <row r="366" spans="2:2" x14ac:dyDescent="0.25">
      <c r="B366" s="89"/>
    </row>
    <row r="367" spans="2:2" x14ac:dyDescent="0.25">
      <c r="B367" s="89"/>
    </row>
    <row r="368" spans="2:2" x14ac:dyDescent="0.25">
      <c r="B368" s="89"/>
    </row>
    <row r="369" spans="2:2" x14ac:dyDescent="0.25">
      <c r="B369" s="89"/>
    </row>
    <row r="370" spans="2:2" x14ac:dyDescent="0.25">
      <c r="B370" s="89"/>
    </row>
    <row r="371" spans="2:2" x14ac:dyDescent="0.25">
      <c r="B371" s="89"/>
    </row>
    <row r="372" spans="2:2" x14ac:dyDescent="0.25">
      <c r="B372" s="89"/>
    </row>
    <row r="373" spans="2:2" x14ac:dyDescent="0.25">
      <c r="B373" s="89"/>
    </row>
    <row r="374" spans="2:2" x14ac:dyDescent="0.25">
      <c r="B374" s="89"/>
    </row>
    <row r="375" spans="2:2" x14ac:dyDescent="0.25">
      <c r="B375" s="89"/>
    </row>
    <row r="376" spans="2:2" x14ac:dyDescent="0.25">
      <c r="B376" s="89"/>
    </row>
    <row r="377" spans="2:2" x14ac:dyDescent="0.25">
      <c r="B377" s="89"/>
    </row>
    <row r="378" spans="2:2" x14ac:dyDescent="0.25">
      <c r="B378" s="89"/>
    </row>
    <row r="379" spans="2:2" x14ac:dyDescent="0.25">
      <c r="B379" s="89"/>
    </row>
    <row r="380" spans="2:2" x14ac:dyDescent="0.25">
      <c r="B380" s="89"/>
    </row>
    <row r="381" spans="2:2" x14ac:dyDescent="0.25">
      <c r="B381" s="89"/>
    </row>
    <row r="382" spans="2:2" x14ac:dyDescent="0.25">
      <c r="B382" s="89"/>
    </row>
    <row r="383" spans="2:2" x14ac:dyDescent="0.25">
      <c r="B383" s="89"/>
    </row>
    <row r="384" spans="2:2" x14ac:dyDescent="0.25">
      <c r="B384" s="89"/>
    </row>
    <row r="385" spans="2:2" x14ac:dyDescent="0.25">
      <c r="B385" s="89"/>
    </row>
    <row r="386" spans="2:2" x14ac:dyDescent="0.25">
      <c r="B386" s="89"/>
    </row>
    <row r="387" spans="2:2" x14ac:dyDescent="0.25">
      <c r="B387" s="89"/>
    </row>
    <row r="388" spans="2:2" x14ac:dyDescent="0.25">
      <c r="B388" s="89"/>
    </row>
    <row r="389" spans="2:2" x14ac:dyDescent="0.25">
      <c r="B389" s="89"/>
    </row>
    <row r="390" spans="2:2" x14ac:dyDescent="0.25">
      <c r="B390" s="89"/>
    </row>
    <row r="391" spans="2:2" x14ac:dyDescent="0.25">
      <c r="B391" s="89"/>
    </row>
    <row r="392" spans="2:2" x14ac:dyDescent="0.25">
      <c r="B392" s="89"/>
    </row>
  </sheetData>
  <sheetProtection algorithmName="SHA-512" hashValue="L65UkeMyRyyhS79HKzIaN/9mwJGRVLmKY2Th/2+ONLMaoEPyzLLRTIPzOxjWJX0x8Hobp0qJRDzlBi2kthk1Og==" saltValue="93VtV2pB+vZf5oP6No3OKA==" spinCount="100000" sheet="1" objects="1" scenarios="1"/>
  <phoneticPr fontId="53" type="noConversion"/>
  <hyperlinks>
    <hyperlink ref="C1" location="Form!A1" tooltip=" " display="Form!A1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1" tint="0.499984740745262"/>
  </sheetPr>
  <dimension ref="A1:Z676"/>
  <sheetViews>
    <sheetView topLeftCell="AA1" workbookViewId="0">
      <selection activeCell="AI8" sqref="AI8"/>
    </sheetView>
  </sheetViews>
  <sheetFormatPr defaultRowHeight="14.5" x14ac:dyDescent="0.35"/>
  <cols>
    <col min="1" max="1" width="44.26953125" hidden="1" customWidth="1"/>
    <col min="2" max="2" width="17.7265625" hidden="1" customWidth="1"/>
    <col min="3" max="3" width="9.1796875" hidden="1" customWidth="1"/>
    <col min="4" max="5" width="2.1796875" hidden="1" customWidth="1"/>
    <col min="6" max="6" width="13.7265625" hidden="1" customWidth="1"/>
    <col min="7" max="8" width="2.1796875" hidden="1" customWidth="1"/>
    <col min="9" max="9" width="9.453125" hidden="1" customWidth="1"/>
    <col min="10" max="10" width="5" hidden="1" customWidth="1"/>
    <col min="11" max="11" width="4.26953125" style="25" hidden="1" customWidth="1"/>
    <col min="12" max="12" width="44.26953125" hidden="1" customWidth="1"/>
    <col min="13" max="13" width="17.7265625" hidden="1" customWidth="1"/>
    <col min="14" max="14" width="9.1796875" hidden="1" customWidth="1"/>
    <col min="15" max="15" width="2" style="471" hidden="1" customWidth="1"/>
    <col min="16" max="16" width="1.54296875" hidden="1" customWidth="1"/>
    <col min="17" max="17" width="13.7265625" hidden="1" customWidth="1"/>
    <col min="18" max="19" width="2" hidden="1" customWidth="1"/>
    <col min="20" max="21" width="13.7265625" hidden="1" customWidth="1"/>
    <col min="22" max="22" width="9.1796875" hidden="1" customWidth="1"/>
    <col min="23" max="23" width="17.54296875" hidden="1" customWidth="1"/>
    <col min="24" max="26" width="9.1796875" hidden="1" customWidth="1"/>
  </cols>
  <sheetData>
    <row r="1" spans="1:25" ht="15" thickBot="1" x14ac:dyDescent="0.4">
      <c r="A1" s="2"/>
      <c r="B1" s="2"/>
      <c r="C1" s="2"/>
      <c r="D1" s="2"/>
      <c r="E1" s="2"/>
      <c r="F1" s="2"/>
      <c r="G1" s="2"/>
      <c r="H1" s="2"/>
      <c r="I1" s="2"/>
      <c r="J1" s="2"/>
    </row>
    <row r="2" spans="1:25" ht="15" thickBot="1" x14ac:dyDescent="0.4">
      <c r="A2" s="59" t="s">
        <v>172</v>
      </c>
      <c r="B2" s="60" t="str">
        <f>IF(C2=1,"šedá",IF(C2=2,"hedvábně bílá",IF(C2=3,"černá Terra", IF(C2=4, "Inox", "x"))))</f>
        <v>šedá</v>
      </c>
      <c r="C2" s="61">
        <f>Form!$N$2</f>
        <v>1</v>
      </c>
      <c r="D2" s="473"/>
      <c r="E2" s="2"/>
      <c r="F2" s="2"/>
      <c r="G2" s="2"/>
      <c r="H2" s="2"/>
      <c r="I2" s="2"/>
      <c r="J2" s="2"/>
      <c r="L2" s="160" t="str">
        <f>List!$B$100</f>
        <v>Zpět na úvod</v>
      </c>
    </row>
    <row r="3" spans="1:25" ht="15" thickBot="1" x14ac:dyDescent="0.4">
      <c r="A3" s="59" t="s">
        <v>174</v>
      </c>
      <c r="B3" s="60" t="str">
        <f>IF(C3=1,"čiré",IF(C3=2,"saténované","chyba"))</f>
        <v>čiré</v>
      </c>
      <c r="C3" s="61">
        <f>Form!$N$8</f>
        <v>1</v>
      </c>
      <c r="D3" s="473"/>
      <c r="E3" s="2"/>
      <c r="F3" s="2"/>
      <c r="G3" s="2"/>
      <c r="H3" s="2"/>
      <c r="I3" s="2"/>
      <c r="J3" s="2"/>
      <c r="K3" s="39"/>
    </row>
    <row r="4" spans="1:25" ht="15" thickBot="1" x14ac:dyDescent="0.4">
      <c r="A4" s="59" t="s">
        <v>193</v>
      </c>
      <c r="B4" s="60" t="str">
        <f>IF(C4=1,"na vruty",IF(C4=2,"INSERTA","chyba"))</f>
        <v>INSERTA</v>
      </c>
      <c r="C4" s="61">
        <f>Form!$N$13</f>
        <v>2</v>
      </c>
      <c r="D4" s="473"/>
      <c r="E4" s="2"/>
      <c r="F4" s="2"/>
      <c r="G4" s="2"/>
      <c r="H4" s="2"/>
      <c r="I4" s="2"/>
      <c r="J4" s="2"/>
    </row>
    <row r="5" spans="1:25" ht="15" thickBo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W5" s="12" t="s">
        <v>469</v>
      </c>
    </row>
    <row r="6" spans="1:25" ht="15" thickBot="1" x14ac:dyDescent="0.4">
      <c r="A6" s="59" t="s">
        <v>173</v>
      </c>
      <c r="B6" s="2"/>
      <c r="C6" s="61">
        <f>Form!$N$19</f>
        <v>1</v>
      </c>
      <c r="D6" s="442"/>
      <c r="E6" s="2"/>
      <c r="F6" s="82">
        <f>Form!$I$19</f>
        <v>0</v>
      </c>
      <c r="G6" s="168"/>
      <c r="H6" s="168"/>
      <c r="I6" s="168"/>
      <c r="J6" s="168"/>
      <c r="W6" s="18">
        <f>Price!H8</f>
        <v>43009</v>
      </c>
    </row>
    <row r="7" spans="1:25" x14ac:dyDescent="0.35">
      <c r="A7" s="2"/>
      <c r="B7" s="2"/>
      <c r="C7" s="2"/>
      <c r="D7" s="2"/>
      <c r="E7" s="2"/>
      <c r="F7" s="2"/>
      <c r="G7" s="2"/>
      <c r="H7" s="2"/>
      <c r="I7" s="2"/>
      <c r="J7" s="2"/>
    </row>
    <row r="8" spans="1:25" x14ac:dyDescent="0.35">
      <c r="A8" s="2"/>
      <c r="B8" s="2"/>
      <c r="C8" s="2"/>
      <c r="D8" s="2"/>
      <c r="E8" s="2"/>
      <c r="F8" s="2"/>
      <c r="G8" s="2"/>
      <c r="H8" s="2"/>
      <c r="I8" s="2"/>
      <c r="J8" s="2"/>
    </row>
    <row r="9" spans="1:25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25" ht="44.5" x14ac:dyDescent="0.35">
      <c r="A10" s="73" t="str">
        <f>List!$B$87</f>
        <v>Název</v>
      </c>
      <c r="B10" s="74" t="str">
        <f>List!$B$88</f>
        <v>Číslo artiklu</v>
      </c>
      <c r="C10" s="74" t="str">
        <f>List!$B$89</f>
        <v>Barva</v>
      </c>
      <c r="D10" s="474" t="str">
        <f>List!$B$97</f>
        <v>Dostupnost</v>
      </c>
      <c r="E10" s="474" t="str">
        <f>List!$B$90</f>
        <v>Počet</v>
      </c>
      <c r="F10" s="38" t="str">
        <f>List!$B$92</f>
        <v>Jednotková cena</v>
      </c>
      <c r="G10" s="474" t="str">
        <f>List!$B$93</f>
        <v>Celkem</v>
      </c>
      <c r="H10" s="474" t="str">
        <f>List!$B$94</f>
        <v>Změna</v>
      </c>
      <c r="I10" s="38" t="s">
        <v>395</v>
      </c>
      <c r="J10" s="170">
        <f>Price!$H$10</f>
        <v>0</v>
      </c>
      <c r="K10" s="20"/>
      <c r="L10" s="45" t="str">
        <f>Price!A10</f>
        <v>Název</v>
      </c>
      <c r="M10" s="45" t="str">
        <f>Price!B10</f>
        <v>Číslo artiklu</v>
      </c>
      <c r="N10" s="45" t="str">
        <f>Price!C10</f>
        <v>Barva</v>
      </c>
      <c r="O10" s="470" t="str">
        <f>List!B97</f>
        <v>Dostupnost</v>
      </c>
      <c r="P10" s="470" t="str">
        <f>List!B90</f>
        <v>Počet</v>
      </c>
      <c r="Q10" s="45" t="str">
        <f>Price!F10</f>
        <v>Jednotková cena</v>
      </c>
      <c r="R10" s="45"/>
      <c r="S10" s="45"/>
      <c r="T10" s="167" t="str">
        <f>Price!G10</f>
        <v>IDNr.</v>
      </c>
      <c r="U10" s="167">
        <f>Price!H10</f>
        <v>0</v>
      </c>
      <c r="V10" s="13"/>
      <c r="X10" s="14"/>
      <c r="Y10" s="14"/>
    </row>
    <row r="11" spans="1:25" ht="15" thickBot="1" x14ac:dyDescent="0.4">
      <c r="A11" s="75" t="str">
        <f>IF($C$2=1,L11,IF($C$2=2,L12,IF($C$2=3,L13, IF($C$2=4, L14, "  chyba"))))</f>
        <v>Bočnice N 400mm, šedé</v>
      </c>
      <c r="B11" s="76" t="str">
        <f t="shared" ref="B11:J11" si="0">IF($C$2=1,M11,IF($C$2=2,M12,IF($C$2=3,M13, IF($C$2=4, M14, "  chyba"))))</f>
        <v>378N4002SA</v>
      </c>
      <c r="C11" s="76" t="str">
        <f t="shared" si="0"/>
        <v>R906</v>
      </c>
      <c r="D11" s="172" t="str">
        <f t="shared" si="0"/>
        <v>!</v>
      </c>
      <c r="E11" s="77">
        <f t="shared" si="0"/>
        <v>0</v>
      </c>
      <c r="F11" s="78">
        <f>IF($C$2=1,Q11,IF($C$2=2,Q12,IF($C$2=3,Q13, IF($C$2=4, Q14, "  chyba"))))*(100-$F$6)/100</f>
        <v>14.71672</v>
      </c>
      <c r="G11" s="50"/>
      <c r="H11" s="50"/>
      <c r="I11" s="172">
        <f t="shared" si="0"/>
        <v>7931180</v>
      </c>
      <c r="J11" s="172">
        <f t="shared" si="0"/>
        <v>203391</v>
      </c>
      <c r="K11" s="20"/>
      <c r="L11" s="46" t="str">
        <f>Price!A11</f>
        <v>Bočnice N 400mm, šedé</v>
      </c>
      <c r="M11" s="15" t="str">
        <f>Price!B11</f>
        <v>378N4002SA</v>
      </c>
      <c r="N11" s="15" t="str">
        <f>Price!C11</f>
        <v>R906</v>
      </c>
      <c r="O11" s="472" t="str">
        <f>Price!D11</f>
        <v>!</v>
      </c>
      <c r="P11" s="15">
        <f>Price!E11</f>
        <v>0</v>
      </c>
      <c r="Q11" s="17">
        <f>Price!F11</f>
        <v>14.71672</v>
      </c>
      <c r="R11" s="171"/>
      <c r="S11" s="171"/>
      <c r="T11" s="12">
        <f>Price!G11</f>
        <v>7931180</v>
      </c>
      <c r="U11" s="12">
        <f>Price!H11</f>
        <v>203391</v>
      </c>
      <c r="V11" s="13"/>
      <c r="X11" s="14"/>
      <c r="Y11" s="14"/>
    </row>
    <row r="12" spans="1:25" x14ac:dyDescent="0.35">
      <c r="A12" s="73"/>
      <c r="B12" s="74"/>
      <c r="C12" s="74"/>
      <c r="D12" s="74"/>
      <c r="E12" s="74"/>
      <c r="F12" s="38"/>
      <c r="G12" s="38"/>
      <c r="H12" s="38"/>
      <c r="I12" s="38"/>
      <c r="J12" s="170"/>
      <c r="K12" s="20"/>
      <c r="L12" s="46" t="str">
        <f>Price!A12</f>
        <v>Bočnice N 400mm, hedvábně bílé</v>
      </c>
      <c r="M12" s="15" t="str">
        <f>Price!B12</f>
        <v>378N4002SA</v>
      </c>
      <c r="N12" s="15" t="str">
        <f>Price!C12</f>
        <v>SEIW</v>
      </c>
      <c r="O12" s="472" t="str">
        <f>Price!D12</f>
        <v>!</v>
      </c>
      <c r="P12" s="15">
        <f>Price!E12</f>
        <v>0</v>
      </c>
      <c r="Q12" s="17">
        <f>Price!F12</f>
        <v>16.366499999999998</v>
      </c>
      <c r="R12" s="171"/>
      <c r="S12" s="171"/>
      <c r="T12" s="12">
        <f>Price!G12</f>
        <v>7636322</v>
      </c>
      <c r="U12" s="12" t="str">
        <f>Price!H12</f>
        <v>IN033B</v>
      </c>
      <c r="V12" s="13"/>
      <c r="X12" s="14"/>
      <c r="Y12" s="14"/>
    </row>
    <row r="13" spans="1:25" x14ac:dyDescent="0.35">
      <c r="A13" s="73"/>
      <c r="B13" s="74"/>
      <c r="C13" s="74"/>
      <c r="D13" s="74"/>
      <c r="E13" s="74"/>
      <c r="F13" s="38"/>
      <c r="G13" s="38"/>
      <c r="H13" s="38"/>
      <c r="I13" s="38"/>
      <c r="J13" s="170"/>
      <c r="K13" s="20"/>
      <c r="L13" s="46" t="str">
        <f>Price!A13</f>
        <v>Bočnice N 400mm, černé Terra</v>
      </c>
      <c r="M13" s="15" t="str">
        <f>Price!B13</f>
        <v>378N4002SA</v>
      </c>
      <c r="N13" s="15" t="str">
        <f>Price!C13</f>
        <v>TERS</v>
      </c>
      <c r="O13" s="472" t="str">
        <f>Price!D13</f>
        <v>!</v>
      </c>
      <c r="P13" s="15">
        <f>Price!E13</f>
        <v>0</v>
      </c>
      <c r="Q13" s="17">
        <f>Price!F13</f>
        <v>16.561399999999999</v>
      </c>
      <c r="R13" s="171"/>
      <c r="S13" s="171"/>
      <c r="T13" s="12">
        <f>Price!G13</f>
        <v>8672861</v>
      </c>
      <c r="U13" s="12" t="str">
        <f>Price!H13</f>
        <v>IN033C</v>
      </c>
      <c r="V13" s="13"/>
      <c r="X13" s="14"/>
      <c r="Y13" s="14"/>
    </row>
    <row r="14" spans="1:25" x14ac:dyDescent="0.35">
      <c r="A14" s="73"/>
      <c r="B14" s="74"/>
      <c r="C14" s="74"/>
      <c r="D14" s="74"/>
      <c r="E14" s="74"/>
      <c r="F14" s="38"/>
      <c r="G14" s="38"/>
      <c r="H14" s="38"/>
      <c r="I14" s="38"/>
      <c r="J14" s="170"/>
      <c r="K14" s="20"/>
      <c r="L14" s="46" t="str">
        <f>Price!A14</f>
        <v>Bočnice N 400mm, nerez (Inox)</v>
      </c>
      <c r="M14" s="15" t="str">
        <f>Price!B14</f>
        <v>378N4002IA</v>
      </c>
      <c r="N14" s="15" t="str">
        <f>Price!C14</f>
        <v>INGL</v>
      </c>
      <c r="O14" s="472" t="str">
        <f>Price!D14</f>
        <v>!</v>
      </c>
      <c r="P14" s="15">
        <f>Price!E14</f>
        <v>0</v>
      </c>
      <c r="Q14" s="17">
        <f>Price!F14</f>
        <v>27.51277</v>
      </c>
      <c r="R14" s="171"/>
      <c r="S14" s="171"/>
      <c r="T14" s="12">
        <f>Price!G14</f>
        <v>9633400</v>
      </c>
      <c r="U14" s="12">
        <f>Price!H14</f>
        <v>288496</v>
      </c>
      <c r="V14" s="13"/>
      <c r="X14" s="14"/>
      <c r="Y14" s="14"/>
    </row>
    <row r="15" spans="1:25" ht="15" thickBot="1" x14ac:dyDescent="0.4">
      <c r="A15" s="75" t="str">
        <f>IF($C$2=1,L15,IF($C$2=2,L16,IF($C$2=3,L17, IF($C$2=4, L18, "  chyba"))))</f>
        <v>Bočnice N 450mm, šedé</v>
      </c>
      <c r="B15" s="76" t="str">
        <f t="shared" ref="B15" si="1">IF($C$2=1,M15,IF($C$2=2,M16,IF($C$2=3,M17, IF($C$2=4, M18, "  chyba"))))</f>
        <v>378N4502SA</v>
      </c>
      <c r="C15" s="76" t="str">
        <f t="shared" ref="C15" si="2">IF($C$2=1,N15,IF($C$2=2,N16,IF($C$2=3,N17, IF($C$2=4, N18, "  chyba"))))</f>
        <v>R906</v>
      </c>
      <c r="D15" s="172" t="str">
        <f t="shared" ref="D15" si="3">IF($C$2=1,O15,IF($C$2=2,O16,IF($C$2=3,O17, IF($C$2=4, O18, "  chyba"))))</f>
        <v>!</v>
      </c>
      <c r="E15" s="77">
        <f t="shared" ref="E15" si="4">IF($C$2=1,P15,IF($C$2=2,P16,IF($C$2=3,P17, IF($C$2=4, P18, "  chyba"))))</f>
        <v>0</v>
      </c>
      <c r="F15" s="78">
        <f>IF($C$2=1,Q15,IF($C$2=2,Q16,IF($C$2=3,Q17, IF($C$2=4, Q18, "  chyba"))))*(100-$F$6)/100</f>
        <v>16.513190000000002</v>
      </c>
      <c r="G15" s="50"/>
      <c r="H15" s="50"/>
      <c r="I15" s="172">
        <f t="shared" ref="I15" si="5">IF($C$2=1,T15,IF($C$2=2,T16,IF($C$2=3,T17, IF($C$2=4, T18, "  chyba"))))</f>
        <v>7931884</v>
      </c>
      <c r="J15" s="172">
        <f t="shared" ref="J15" si="6">IF($C$2=1,U15,IF($C$2=2,U16,IF($C$2=3,U17, IF($C$2=4, U18, "  chyba"))))</f>
        <v>203084</v>
      </c>
      <c r="K15" s="20"/>
      <c r="L15" s="46" t="str">
        <f>Price!A15</f>
        <v>Bočnice N 450mm, šedé</v>
      </c>
      <c r="M15" s="15" t="str">
        <f>Price!B15</f>
        <v>378N4502SA</v>
      </c>
      <c r="N15" s="15" t="str">
        <f>Price!C15</f>
        <v>R906</v>
      </c>
      <c r="O15" s="472" t="str">
        <f>Price!D15</f>
        <v>!</v>
      </c>
      <c r="P15" s="15">
        <f>Price!E15</f>
        <v>0</v>
      </c>
      <c r="Q15" s="17">
        <f>Price!F15</f>
        <v>16.513190000000002</v>
      </c>
      <c r="R15" s="171"/>
      <c r="S15" s="171"/>
      <c r="T15" s="12">
        <f>Price!G15</f>
        <v>7931884</v>
      </c>
      <c r="U15" s="12">
        <f>Price!H15</f>
        <v>203084</v>
      </c>
      <c r="V15" s="13"/>
      <c r="X15" s="14"/>
      <c r="Y15" s="14"/>
    </row>
    <row r="16" spans="1:25" x14ac:dyDescent="0.35">
      <c r="A16" s="73"/>
      <c r="B16" s="74"/>
      <c r="C16" s="74"/>
      <c r="D16" s="74"/>
      <c r="E16" s="74"/>
      <c r="F16" s="38"/>
      <c r="G16" s="38"/>
      <c r="H16" s="38"/>
      <c r="I16" s="38"/>
      <c r="J16" s="170"/>
      <c r="K16" s="20"/>
      <c r="L16" s="46" t="str">
        <f>Price!A16</f>
        <v>Bočnice N 450mm, hedvábně bílé</v>
      </c>
      <c r="M16" s="15" t="str">
        <f>Price!B16</f>
        <v>378N4502SA</v>
      </c>
      <c r="N16" s="15" t="str">
        <f>Price!C16</f>
        <v>SEIW</v>
      </c>
      <c r="O16" s="472" t="str">
        <f>Price!D16</f>
        <v>!</v>
      </c>
      <c r="P16" s="15">
        <f>Price!E16</f>
        <v>0</v>
      </c>
      <c r="Q16" s="17">
        <f>Price!F16</f>
        <v>16.513190000000002</v>
      </c>
      <c r="R16" s="171"/>
      <c r="S16" s="171"/>
      <c r="T16" s="12">
        <f>Price!G16</f>
        <v>7639774</v>
      </c>
      <c r="U16" s="12" t="str">
        <f>Price!H16</f>
        <v>IN034B</v>
      </c>
      <c r="V16" s="13"/>
      <c r="X16" s="14"/>
      <c r="Y16" s="14"/>
    </row>
    <row r="17" spans="1:25" x14ac:dyDescent="0.35">
      <c r="A17" s="73"/>
      <c r="B17" s="74"/>
      <c r="C17" s="74"/>
      <c r="D17" s="74"/>
      <c r="E17" s="74"/>
      <c r="F17" s="38"/>
      <c r="G17" s="38"/>
      <c r="H17" s="38"/>
      <c r="I17" s="38"/>
      <c r="J17" s="170"/>
      <c r="K17" s="20"/>
      <c r="L17" s="46" t="str">
        <f>Price!A17</f>
        <v>Bočnice N 450mm, černé Terra</v>
      </c>
      <c r="M17" s="15" t="str">
        <f>Price!B17</f>
        <v>378N4502SA</v>
      </c>
      <c r="N17" s="15" t="str">
        <f>Price!C17</f>
        <v>TERS</v>
      </c>
      <c r="O17" s="472" t="str">
        <f>Price!D17</f>
        <v>!</v>
      </c>
      <c r="P17" s="15">
        <f>Price!E17</f>
        <v>0</v>
      </c>
      <c r="Q17" s="17">
        <f>Price!F17</f>
        <v>16.708279999999998</v>
      </c>
      <c r="R17" s="171"/>
      <c r="S17" s="171"/>
      <c r="T17" s="12">
        <f>Price!G17</f>
        <v>8726323</v>
      </c>
      <c r="U17" s="12" t="str">
        <f>Price!H17</f>
        <v>IN034C</v>
      </c>
      <c r="V17" s="13"/>
      <c r="X17" s="14"/>
      <c r="Y17" s="14"/>
    </row>
    <row r="18" spans="1:25" x14ac:dyDescent="0.35">
      <c r="A18" s="73"/>
      <c r="B18" s="74"/>
      <c r="C18" s="74"/>
      <c r="D18" s="74"/>
      <c r="E18" s="74"/>
      <c r="F18" s="38"/>
      <c r="G18" s="38"/>
      <c r="H18" s="38"/>
      <c r="I18" s="38"/>
      <c r="J18" s="170"/>
      <c r="K18" s="20"/>
      <c r="L18" s="46" t="str">
        <f>Price!A18</f>
        <v>Bočnice N 450mm, nerez (Inox)</v>
      </c>
      <c r="M18" s="15" t="str">
        <f>Price!B18</f>
        <v>378N4502IA</v>
      </c>
      <c r="N18" s="15" t="str">
        <f>Price!C18</f>
        <v>INGL</v>
      </c>
      <c r="O18" s="472" t="str">
        <f>Price!D18</f>
        <v>!</v>
      </c>
      <c r="P18" s="15">
        <f>Price!E18</f>
        <v>0</v>
      </c>
      <c r="Q18" s="17">
        <f>Price!F18</f>
        <v>28.299800000000001</v>
      </c>
      <c r="R18" s="171"/>
      <c r="S18" s="171"/>
      <c r="T18" s="12">
        <f>Price!G18</f>
        <v>9636840</v>
      </c>
      <c r="U18" s="12">
        <f>Price!H18</f>
        <v>288498</v>
      </c>
      <c r="V18" s="13"/>
      <c r="X18" s="14"/>
      <c r="Y18" s="14"/>
    </row>
    <row r="19" spans="1:25" ht="15" thickBot="1" x14ac:dyDescent="0.4">
      <c r="A19" s="75" t="str">
        <f>IF($C$2=1,L19,IF($C$2=2,L20,IF($C$2=3,L21, IF($C$2=4, L22, "  chyba"))))</f>
        <v>Bočnice N 500mm, šedé</v>
      </c>
      <c r="B19" s="76" t="str">
        <f t="shared" ref="B19" si="7">IF($C$2=1,M19,IF($C$2=2,M20,IF($C$2=3,M21, IF($C$2=4, M22, "  chyba"))))</f>
        <v>378N5002SA</v>
      </c>
      <c r="C19" s="76" t="str">
        <f t="shared" ref="C19" si="8">IF($C$2=1,N19,IF($C$2=2,N20,IF($C$2=3,N21, IF($C$2=4, N22, "  chyba"))))</f>
        <v>R906</v>
      </c>
      <c r="D19" s="172">
        <f t="shared" ref="D19" si="9">IF($C$2=1,O19,IF($C$2=2,O20,IF($C$2=3,O21, IF($C$2=4, O22, "  chyba"))))</f>
        <v>0</v>
      </c>
      <c r="E19" s="77">
        <f t="shared" ref="E19" si="10">IF($C$2=1,P19,IF($C$2=2,P20,IF($C$2=3,P21, IF($C$2=4, P22, "  chyba"))))</f>
        <v>0</v>
      </c>
      <c r="F19" s="78">
        <f>IF($C$2=1,Q19,IF($C$2=2,Q20,IF($C$2=3,Q21, IF($C$2=4, Q22, "  chyba"))))*(100-$F$6)/100</f>
        <v>16.659890000000001</v>
      </c>
      <c r="G19" s="50"/>
      <c r="H19" s="50"/>
      <c r="I19" s="172">
        <f t="shared" ref="I19" si="11">IF($C$2=1,T19,IF($C$2=2,T20,IF($C$2=3,T21, IF($C$2=4, T22, "  chyba"))))</f>
        <v>7947477</v>
      </c>
      <c r="J19" s="172">
        <f t="shared" ref="J19" si="12">IF($C$2=1,U19,IF($C$2=2,U20,IF($C$2=3,U21, IF($C$2=4, U22, "  chyba"))))</f>
        <v>203083</v>
      </c>
      <c r="K19" s="20"/>
      <c r="L19" s="46" t="str">
        <f>Price!A19</f>
        <v>Bočnice N 500mm, šedé</v>
      </c>
      <c r="M19" s="15" t="str">
        <f>Price!B19</f>
        <v>378N5002SA</v>
      </c>
      <c r="N19" s="15" t="str">
        <f>Price!C19</f>
        <v>R906</v>
      </c>
      <c r="O19" s="472">
        <f>Price!D19</f>
        <v>0</v>
      </c>
      <c r="P19" s="15">
        <f>Price!E19</f>
        <v>0</v>
      </c>
      <c r="Q19" s="17">
        <f>Price!F19</f>
        <v>16.659890000000001</v>
      </c>
      <c r="R19" s="171"/>
      <c r="S19" s="171"/>
      <c r="T19" s="12">
        <f>Price!G19</f>
        <v>7947477</v>
      </c>
      <c r="U19" s="12">
        <f>Price!H19</f>
        <v>203083</v>
      </c>
      <c r="V19" s="13"/>
      <c r="W19" s="14"/>
      <c r="X19" s="14"/>
      <c r="Y19" s="14"/>
    </row>
    <row r="20" spans="1:25" x14ac:dyDescent="0.35">
      <c r="A20" s="62"/>
      <c r="B20" s="161"/>
      <c r="C20" s="161"/>
      <c r="D20" s="161"/>
      <c r="E20" s="64"/>
      <c r="F20" s="50"/>
      <c r="G20" s="50"/>
      <c r="H20" s="50"/>
      <c r="I20" s="50"/>
      <c r="J20" s="50"/>
      <c r="K20" s="20"/>
      <c r="L20" s="46" t="str">
        <f>Price!A20</f>
        <v>Bočnice N 500mm, hedvábně bílé</v>
      </c>
      <c r="M20" s="15" t="str">
        <f>Price!B20</f>
        <v>378N5002SA</v>
      </c>
      <c r="N20" s="15" t="str">
        <f>Price!C20</f>
        <v>SEIW</v>
      </c>
      <c r="O20" s="472">
        <f>Price!D20</f>
        <v>0</v>
      </c>
      <c r="P20" s="15">
        <f>Price!E20</f>
        <v>0</v>
      </c>
      <c r="Q20" s="17">
        <f>Price!F20</f>
        <v>16.659890000000001</v>
      </c>
      <c r="R20" s="171"/>
      <c r="S20" s="171"/>
      <c r="T20" s="12">
        <f>Price!G20</f>
        <v>7641097</v>
      </c>
      <c r="U20" s="12" t="str">
        <f>Price!H20</f>
        <v>IN035B</v>
      </c>
      <c r="V20" s="13"/>
      <c r="X20" s="14"/>
      <c r="Y20" s="14"/>
    </row>
    <row r="21" spans="1:25" x14ac:dyDescent="0.35">
      <c r="A21" s="65"/>
      <c r="B21" s="162"/>
      <c r="C21" s="162"/>
      <c r="D21" s="162"/>
      <c r="E21" s="64"/>
      <c r="F21" s="52"/>
      <c r="G21" s="52"/>
      <c r="H21" s="52"/>
      <c r="I21" s="52"/>
      <c r="J21" s="52"/>
      <c r="K21" s="47"/>
      <c r="L21" s="46" t="str">
        <f>Price!A21</f>
        <v>Bočnice N 500mm, černé Terra</v>
      </c>
      <c r="M21" s="15" t="str">
        <f>Price!B21</f>
        <v>378N5002SA</v>
      </c>
      <c r="N21" s="15" t="str">
        <f>Price!C21</f>
        <v>TERS</v>
      </c>
      <c r="O21" s="472">
        <f>Price!D21</f>
        <v>0</v>
      </c>
      <c r="P21" s="15">
        <f>Price!E21</f>
        <v>0</v>
      </c>
      <c r="Q21" s="17">
        <f>Price!F21</f>
        <v>16.854970000000002</v>
      </c>
      <c r="R21" s="171"/>
      <c r="S21" s="171"/>
      <c r="T21" s="12">
        <f>Price!G21</f>
        <v>8740815</v>
      </c>
      <c r="U21" s="12" t="str">
        <f>Price!H21</f>
        <v>IN035C</v>
      </c>
      <c r="V21" s="13"/>
      <c r="X21" s="14"/>
      <c r="Y21" s="14"/>
    </row>
    <row r="22" spans="1:25" x14ac:dyDescent="0.35">
      <c r="A22" s="65"/>
      <c r="B22" s="162"/>
      <c r="C22" s="162"/>
      <c r="D22" s="162"/>
      <c r="E22" s="64"/>
      <c r="F22" s="52"/>
      <c r="G22" s="52"/>
      <c r="H22" s="52"/>
      <c r="I22" s="52"/>
      <c r="J22" s="52"/>
      <c r="K22" s="47"/>
      <c r="L22" s="46" t="str">
        <f>Price!A22</f>
        <v>Bočnice N 500mm, nerez (Inox)</v>
      </c>
      <c r="M22" s="15" t="str">
        <f>Price!B22</f>
        <v>378N5002IA</v>
      </c>
      <c r="N22" s="15" t="str">
        <f>Price!C22</f>
        <v>INGL</v>
      </c>
      <c r="O22" s="472" t="str">
        <f>Price!D22</f>
        <v>!</v>
      </c>
      <c r="P22" s="15">
        <f>Price!E22</f>
        <v>0</v>
      </c>
      <c r="Q22" s="17">
        <f>Price!F22</f>
        <v>29.086829999999999</v>
      </c>
      <c r="R22" s="171"/>
      <c r="S22" s="171"/>
      <c r="T22" s="12">
        <f>Price!G22</f>
        <v>9657015</v>
      </c>
      <c r="U22" s="12">
        <f>Price!H22</f>
        <v>288500</v>
      </c>
      <c r="V22" s="13"/>
      <c r="W22" s="378"/>
      <c r="X22" s="14"/>
      <c r="Y22" s="14"/>
    </row>
    <row r="23" spans="1:25" ht="15" thickBot="1" x14ac:dyDescent="0.4">
      <c r="A23" s="75" t="str">
        <f>IF($C$2=1,L23,IF($C$2=2,L24,IF($C$2=3,L25, IF($C$2=4, L26, "  chyba"))))</f>
        <v>Bočnice N 550mm, šedé</v>
      </c>
      <c r="B23" s="76" t="str">
        <f t="shared" ref="B23" si="13">IF($C$2=1,M23,IF($C$2=2,M24,IF($C$2=3,M25, IF($C$2=4, M26, "  chyba"))))</f>
        <v>378N5502SA</v>
      </c>
      <c r="C23" s="76" t="str">
        <f t="shared" ref="C23" si="14">IF($C$2=1,N23,IF($C$2=2,N24,IF($C$2=3,N25, IF($C$2=4, N26, "  chyba"))))</f>
        <v>R906</v>
      </c>
      <c r="D23" s="172" t="str">
        <f t="shared" ref="D23" si="15">IF($C$2=1,O23,IF($C$2=2,O24,IF($C$2=3,O25, IF($C$2=4, O26, "  chyba"))))</f>
        <v>!</v>
      </c>
      <c r="E23" s="77">
        <f t="shared" ref="E23" si="16">IF($C$2=1,P23,IF($C$2=2,P24,IF($C$2=3,P25, IF($C$2=4, P26, "  chyba"))))</f>
        <v>0</v>
      </c>
      <c r="F23" s="78">
        <f>IF($C$2=1,Q23,IF($C$2=2,Q24,IF($C$2=3,Q25, IF($C$2=4, Q26, "  chyba"))))*(100-$F$6)/100</f>
        <v>16.301120000000001</v>
      </c>
      <c r="G23" s="50"/>
      <c r="H23" s="50"/>
      <c r="I23" s="172">
        <f t="shared" ref="I23" si="17">IF($C$2=1,T23,IF($C$2=2,T24,IF($C$2=3,T25, IF($C$2=4, T26, "  chyba"))))</f>
        <v>7952690</v>
      </c>
      <c r="J23" s="172">
        <f t="shared" ref="J23" si="18">IF($C$2=1,U23,IF($C$2=2,U24,IF($C$2=3,U25, IF($C$2=4, U26, "  chyba"))))</f>
        <v>203393</v>
      </c>
      <c r="K23" s="47"/>
      <c r="L23" s="46" t="str">
        <f>Price!A23</f>
        <v>Bočnice N 550mm, šedé</v>
      </c>
      <c r="M23" s="15" t="str">
        <f>Price!B23</f>
        <v>378N5502SA</v>
      </c>
      <c r="N23" s="15" t="str">
        <f>Price!C23</f>
        <v>R906</v>
      </c>
      <c r="O23" s="472" t="str">
        <f>Price!D23</f>
        <v>!</v>
      </c>
      <c r="P23" s="15">
        <f>Price!E23</f>
        <v>0</v>
      </c>
      <c r="Q23" s="17">
        <f>Price!F23</f>
        <v>16.301120000000001</v>
      </c>
      <c r="R23" s="171"/>
      <c r="S23" s="171"/>
      <c r="T23" s="12">
        <f>Price!G23</f>
        <v>7952690</v>
      </c>
      <c r="U23" s="12">
        <f>Price!H23</f>
        <v>203393</v>
      </c>
      <c r="V23" s="13"/>
      <c r="W23" s="378"/>
      <c r="X23" s="14"/>
      <c r="Y23" s="14"/>
    </row>
    <row r="24" spans="1:25" x14ac:dyDescent="0.35">
      <c r="A24" s="65"/>
      <c r="B24" s="162"/>
      <c r="C24" s="162"/>
      <c r="D24" s="162"/>
      <c r="E24" s="64"/>
      <c r="F24" s="52"/>
      <c r="G24" s="52"/>
      <c r="H24" s="52"/>
      <c r="I24" s="52"/>
      <c r="J24" s="52"/>
      <c r="K24" s="47"/>
      <c r="L24" s="46" t="str">
        <f>Price!A24</f>
        <v>Bočnice N 550mm, hedvábně bílé</v>
      </c>
      <c r="M24" s="15" t="str">
        <f>Price!B24</f>
        <v>378N5502SA</v>
      </c>
      <c r="N24" s="15" t="str">
        <f>Price!C24</f>
        <v>SEIW</v>
      </c>
      <c r="O24" s="472" t="str">
        <f>Price!D24</f>
        <v>!</v>
      </c>
      <c r="P24" s="15">
        <f>Price!E24</f>
        <v>0</v>
      </c>
      <c r="Q24" s="17">
        <f>Price!F24</f>
        <v>18.128509999999999</v>
      </c>
      <c r="R24" s="171"/>
      <c r="S24" s="171"/>
      <c r="T24" s="12">
        <f>Price!G24</f>
        <v>7720758</v>
      </c>
      <c r="U24" s="12" t="str">
        <f>Price!H24</f>
        <v>IN036B</v>
      </c>
      <c r="V24" s="13"/>
      <c r="W24" s="378"/>
      <c r="X24" s="14"/>
      <c r="Y24" s="14"/>
    </row>
    <row r="25" spans="1:25" x14ac:dyDescent="0.35">
      <c r="A25" s="65"/>
      <c r="B25" s="162"/>
      <c r="C25" s="162"/>
      <c r="D25" s="162"/>
      <c r="E25" s="64"/>
      <c r="F25" s="52"/>
      <c r="G25" s="52"/>
      <c r="H25" s="52"/>
      <c r="I25" s="52"/>
      <c r="J25" s="52"/>
      <c r="K25" s="47"/>
      <c r="L25" s="46" t="str">
        <f>Price!A25</f>
        <v>Bočnice N 550mm, černé Terra</v>
      </c>
      <c r="M25" s="15" t="str">
        <f>Price!B25</f>
        <v>378N5502SA</v>
      </c>
      <c r="N25" s="15" t="str">
        <f>Price!C25</f>
        <v>TERS</v>
      </c>
      <c r="O25" s="472" t="str">
        <f>Price!D25</f>
        <v>!</v>
      </c>
      <c r="P25" s="15">
        <f>Price!E25</f>
        <v>0</v>
      </c>
      <c r="Q25" s="17">
        <f>Price!F25</f>
        <v>17.53</v>
      </c>
      <c r="R25" s="171"/>
      <c r="S25" s="171"/>
      <c r="T25" s="12">
        <f>Price!G25</f>
        <v>8742836</v>
      </c>
      <c r="U25" s="12" t="str">
        <f>Price!H25</f>
        <v>IN036C</v>
      </c>
      <c r="V25" s="13"/>
      <c r="W25" s="378"/>
      <c r="X25" s="14"/>
      <c r="Y25" s="14"/>
    </row>
    <row r="26" spans="1:25" x14ac:dyDescent="0.35">
      <c r="A26" s="43"/>
      <c r="B26" s="161"/>
      <c r="C26" s="161"/>
      <c r="D26" s="161"/>
      <c r="E26" s="64"/>
      <c r="F26" s="50"/>
      <c r="G26" s="50"/>
      <c r="H26" s="50"/>
      <c r="I26" s="50"/>
      <c r="J26" s="50"/>
      <c r="K26" s="48"/>
      <c r="L26" s="46" t="str">
        <f>Price!A26</f>
        <v>Bočnice N 550mm, nerez (Inox)</v>
      </c>
      <c r="M26" s="15" t="str">
        <f>Price!B26</f>
        <v>378N5502IA</v>
      </c>
      <c r="N26" s="15" t="str">
        <f>Price!C26</f>
        <v>INGL</v>
      </c>
      <c r="O26" s="472" t="str">
        <f>Price!D26</f>
        <v>!</v>
      </c>
      <c r="P26" s="15">
        <f>Price!E26</f>
        <v>0</v>
      </c>
      <c r="Q26" s="17">
        <f>Price!F26</f>
        <v>31.305019999999999</v>
      </c>
      <c r="R26" s="171"/>
      <c r="S26" s="171"/>
      <c r="T26" s="12">
        <f>Price!G26</f>
        <v>9688679</v>
      </c>
      <c r="U26" s="12">
        <f>Price!H26</f>
        <v>288502</v>
      </c>
      <c r="V26" s="13"/>
      <c r="W26" s="13"/>
      <c r="X26" s="14"/>
      <c r="Y26" s="14"/>
    </row>
    <row r="27" spans="1:25" x14ac:dyDescent="0.35">
      <c r="A27" s="43"/>
      <c r="B27" s="161"/>
      <c r="C27" s="161"/>
      <c r="D27" s="161"/>
      <c r="E27" s="64"/>
      <c r="F27" s="50"/>
      <c r="G27" s="50"/>
      <c r="H27" s="50"/>
      <c r="I27" s="50"/>
      <c r="J27" s="50"/>
      <c r="K27" s="48"/>
      <c r="L27" s="46">
        <f>Price!A27</f>
        <v>0</v>
      </c>
      <c r="M27" s="15">
        <f>Price!B27</f>
        <v>0</v>
      </c>
      <c r="N27" s="15">
        <f>Price!C27</f>
        <v>0</v>
      </c>
      <c r="O27" s="472">
        <f>Price!D27</f>
        <v>0</v>
      </c>
      <c r="P27" s="15">
        <f>Price!E27</f>
        <v>0</v>
      </c>
      <c r="Q27" s="17">
        <f>Price!F27</f>
        <v>0</v>
      </c>
      <c r="R27" s="171"/>
      <c r="S27" s="171"/>
      <c r="T27" s="12">
        <f>Price!G27</f>
        <v>0</v>
      </c>
      <c r="U27" s="12">
        <f>Price!H27</f>
        <v>0</v>
      </c>
      <c r="V27" s="13"/>
      <c r="W27" s="13"/>
      <c r="X27" s="14"/>
      <c r="Y27" s="14"/>
    </row>
    <row r="28" spans="1:25" ht="15" thickBot="1" x14ac:dyDescent="0.4">
      <c r="A28" s="75" t="str">
        <f>IF($C$2=1,L28,IF($C$2=2,L29,IF($C$2=3,L30, IF($C$2=4, L31, "  chyba"))))</f>
        <v>Bočnice M 270mm, šedé</v>
      </c>
      <c r="B28" s="76" t="str">
        <f t="shared" ref="B28" si="19">IF($C$2=1,M28,IF($C$2=2,M29,IF($C$2=3,M30, IF($C$2=4, M31, "  chyba"))))</f>
        <v>378M2702SA</v>
      </c>
      <c r="C28" s="76" t="str">
        <f t="shared" ref="C28" si="20">IF($C$2=1,N28,IF($C$2=2,N29,IF($C$2=3,N30, IF($C$2=4, N31, "  chyba"))))</f>
        <v>R906</v>
      </c>
      <c r="D28" s="172">
        <f t="shared" ref="D28" si="21">IF($C$2=1,O28,IF($C$2=2,O29,IF($C$2=3,O30, IF($C$2=4, O31, "  chyba"))))</f>
        <v>0</v>
      </c>
      <c r="E28" s="77">
        <f t="shared" ref="E28" si="22">IF($C$2=1,P28,IF($C$2=2,P29,IF($C$2=3,P30, IF($C$2=4, P31, "  chyba"))))</f>
        <v>0</v>
      </c>
      <c r="F28" s="78">
        <f>IF($C$2=1,Q28,IF($C$2=2,Q29,IF($C$2=3,Q30, IF($C$2=4, Q31, "  chyba"))))*(100-$F$6)/100</f>
        <v>16.219809999999999</v>
      </c>
      <c r="G28" s="50"/>
      <c r="H28" s="50"/>
      <c r="I28" s="172">
        <f t="shared" ref="I28" si="23">IF($C$2=1,T28,IF($C$2=2,T29,IF($C$2=3,T30, IF($C$2=4, T31, "  chyba"))))</f>
        <v>7878776</v>
      </c>
      <c r="J28" s="172">
        <f t="shared" ref="J28" si="24">IF($C$2=1,U28,IF($C$2=2,U29,IF($C$2=3,U30, IF($C$2=4, U31, "  chyba"))))</f>
        <v>202505</v>
      </c>
      <c r="K28" s="48"/>
      <c r="L28" s="46" t="str">
        <f>Price!A28</f>
        <v>Bočnice M 270mm, šedé</v>
      </c>
      <c r="M28" s="15" t="str">
        <f>Price!B28</f>
        <v>378M2702SA</v>
      </c>
      <c r="N28" s="15" t="str">
        <f>Price!C28</f>
        <v>R906</v>
      </c>
      <c r="O28" s="472">
        <f>Price!D28</f>
        <v>0</v>
      </c>
      <c r="P28" s="15">
        <f>Price!E28</f>
        <v>0</v>
      </c>
      <c r="Q28" s="17">
        <f>Price!F28</f>
        <v>16.219809999999999</v>
      </c>
      <c r="R28" s="171"/>
      <c r="S28" s="171"/>
      <c r="T28" s="12">
        <f>Price!G28</f>
        <v>7878776</v>
      </c>
      <c r="U28" s="12">
        <f>Price!H28</f>
        <v>202505</v>
      </c>
      <c r="V28" s="13"/>
      <c r="W28" s="13"/>
      <c r="X28" s="14"/>
      <c r="Y28" s="14"/>
    </row>
    <row r="29" spans="1:25" x14ac:dyDescent="0.35">
      <c r="A29" s="43"/>
      <c r="B29" s="161"/>
      <c r="C29" s="161"/>
      <c r="D29" s="161"/>
      <c r="E29" s="64"/>
      <c r="F29" s="50"/>
      <c r="G29" s="50"/>
      <c r="H29" s="50"/>
      <c r="I29" s="50"/>
      <c r="J29" s="50"/>
      <c r="K29" s="48"/>
      <c r="L29" s="46" t="str">
        <f>Price!A29</f>
        <v>Bočnice M 270mm, hedvábně bílé</v>
      </c>
      <c r="M29" s="15" t="str">
        <f>Price!B29</f>
        <v>378M2702SA</v>
      </c>
      <c r="N29" s="15" t="str">
        <f>Price!C29</f>
        <v>SEIW</v>
      </c>
      <c r="O29" s="472">
        <f>Price!D29</f>
        <v>0</v>
      </c>
      <c r="P29" s="15">
        <f>Price!E29</f>
        <v>0</v>
      </c>
      <c r="Q29" s="17">
        <f>Price!F29</f>
        <v>16.219809999999999</v>
      </c>
      <c r="R29" s="171"/>
      <c r="S29" s="171"/>
      <c r="T29" s="12">
        <f>Price!G29</f>
        <v>7353106</v>
      </c>
      <c r="U29" s="12">
        <f>Price!H29</f>
        <v>303428</v>
      </c>
      <c r="V29" s="13"/>
      <c r="W29" s="13"/>
      <c r="X29" s="14"/>
      <c r="Y29" s="14"/>
    </row>
    <row r="30" spans="1:25" x14ac:dyDescent="0.35">
      <c r="A30" s="43"/>
      <c r="B30" s="161"/>
      <c r="C30" s="161"/>
      <c r="D30" s="161"/>
      <c r="E30" s="64"/>
      <c r="F30" s="50"/>
      <c r="G30" s="50"/>
      <c r="H30" s="50"/>
      <c r="I30" s="50"/>
      <c r="J30" s="50"/>
      <c r="K30" s="48"/>
      <c r="L30" s="46" t="str">
        <f>Price!A30</f>
        <v>Bočnice M 270mm, černé Terra</v>
      </c>
      <c r="M30" s="15" t="str">
        <f>Price!B30</f>
        <v>378M2702SA</v>
      </c>
      <c r="N30" s="15" t="str">
        <f>Price!C30</f>
        <v>TERS</v>
      </c>
      <c r="O30" s="472">
        <f>Price!D30</f>
        <v>0</v>
      </c>
      <c r="P30" s="15">
        <f>Price!E30</f>
        <v>0</v>
      </c>
      <c r="Q30" s="17">
        <f>Price!F30</f>
        <v>16.414709999999999</v>
      </c>
      <c r="R30" s="171"/>
      <c r="S30" s="171"/>
      <c r="T30" s="12">
        <f>Price!G30</f>
        <v>8396367</v>
      </c>
      <c r="U30" s="12" t="str">
        <f>Price!H30</f>
        <v>IN020C</v>
      </c>
      <c r="V30" s="13"/>
      <c r="W30" s="13"/>
      <c r="X30" s="14"/>
      <c r="Y30" s="14"/>
    </row>
    <row r="31" spans="1:25" x14ac:dyDescent="0.35">
      <c r="A31" s="43"/>
      <c r="B31" s="161"/>
      <c r="C31" s="161"/>
      <c r="D31" s="161"/>
      <c r="E31" s="64"/>
      <c r="F31" s="50"/>
      <c r="G31" s="50"/>
      <c r="H31" s="50"/>
      <c r="I31" s="50"/>
      <c r="J31" s="50"/>
      <c r="K31" s="48"/>
      <c r="L31" s="46" t="str">
        <f>Price!A31</f>
        <v>Bočnice M 270mm, nerez (Inox)</v>
      </c>
      <c r="M31" s="15" t="str">
        <f>Price!B31</f>
        <v>378M2702IA</v>
      </c>
      <c r="N31" s="15" t="str">
        <f>Price!C31</f>
        <v>INGL</v>
      </c>
      <c r="O31" s="472" t="str">
        <f>Price!D31</f>
        <v>!</v>
      </c>
      <c r="P31" s="15">
        <f>Price!E31</f>
        <v>0</v>
      </c>
      <c r="Q31" s="17">
        <f>Price!F31</f>
        <v>26.725570000000001</v>
      </c>
      <c r="R31" s="171"/>
      <c r="S31" s="171"/>
      <c r="T31" s="12">
        <f>Price!G31</f>
        <v>9278317</v>
      </c>
      <c r="U31" s="12">
        <f>Price!H31</f>
        <v>288478</v>
      </c>
      <c r="V31" s="13"/>
      <c r="W31" s="13"/>
      <c r="X31" s="14"/>
      <c r="Y31" s="14"/>
    </row>
    <row r="32" spans="1:25" ht="15" thickBot="1" x14ac:dyDescent="0.4">
      <c r="A32" s="75" t="str">
        <f>IF($C$2=1,L32,IF($C$2=2,L33,IF($C$2=3,L34, IF($C$2=4, L35, "  chyba"))))</f>
        <v>Bočnice M 300mm, šedé</v>
      </c>
      <c r="B32" s="76" t="str">
        <f t="shared" ref="B32" si="25">IF($C$2=1,M32,IF($C$2=2,M33,IF($C$2=3,M34, IF($C$2=4, M35, "  chyba"))))</f>
        <v>378M3002SA</v>
      </c>
      <c r="C32" s="76" t="str">
        <f t="shared" ref="C32" si="26">IF($C$2=1,N32,IF($C$2=2,N33,IF($C$2=3,N34, IF($C$2=4, N35, "  chyba"))))</f>
        <v>R906</v>
      </c>
      <c r="D32" s="172">
        <f t="shared" ref="D32" si="27">IF($C$2=1,O32,IF($C$2=2,O33,IF($C$2=3,O34, IF($C$2=4, O35, "  chyba"))))</f>
        <v>0</v>
      </c>
      <c r="E32" s="77">
        <f t="shared" ref="E32" si="28">IF($C$2=1,P32,IF($C$2=2,P33,IF($C$2=3,P34, IF($C$2=4, P35, "  chyba"))))</f>
        <v>0</v>
      </c>
      <c r="F32" s="78">
        <f>IF($C$2=1,Q32,IF($C$2=2,Q33,IF($C$2=3,Q34, IF($C$2=4, Q35, "  chyba"))))*(100-$F$6)/100</f>
        <v>16.219809999999999</v>
      </c>
      <c r="G32" s="50"/>
      <c r="H32" s="50"/>
      <c r="I32" s="172">
        <f t="shared" ref="I32" si="29">IF($C$2=1,T32,IF($C$2=2,T33,IF($C$2=3,T34, IF($C$2=4, T35, "  chyba"))))</f>
        <v>7879328</v>
      </c>
      <c r="J32" s="172">
        <f t="shared" ref="J32" si="30">IF($C$2=1,U32,IF($C$2=2,U33,IF($C$2=3,U34, IF($C$2=4, U35, "  chyba"))))</f>
        <v>202506</v>
      </c>
      <c r="K32" s="48"/>
      <c r="L32" s="46" t="str">
        <f>Price!A32</f>
        <v>Bočnice M 300mm, šedé</v>
      </c>
      <c r="M32" s="15" t="str">
        <f>Price!B32</f>
        <v>378M3002SA</v>
      </c>
      <c r="N32" s="15" t="str">
        <f>Price!C32</f>
        <v>R906</v>
      </c>
      <c r="O32" s="472">
        <f>Price!D32</f>
        <v>0</v>
      </c>
      <c r="P32" s="15">
        <f>Price!E32</f>
        <v>0</v>
      </c>
      <c r="Q32" s="17">
        <f>Price!F32</f>
        <v>16.219809999999999</v>
      </c>
      <c r="R32" s="171"/>
      <c r="S32" s="171"/>
      <c r="T32" s="12">
        <f>Price!G32</f>
        <v>7879328</v>
      </c>
      <c r="U32" s="12">
        <f>Price!H32</f>
        <v>202506</v>
      </c>
      <c r="V32" s="13"/>
      <c r="W32" s="13"/>
      <c r="X32" s="14"/>
      <c r="Y32" s="14"/>
    </row>
    <row r="33" spans="1:26" x14ac:dyDescent="0.35">
      <c r="A33" s="43"/>
      <c r="B33" s="161"/>
      <c r="C33" s="161"/>
      <c r="D33" s="161"/>
      <c r="E33" s="64"/>
      <c r="F33" s="50"/>
      <c r="G33" s="50"/>
      <c r="H33" s="50"/>
      <c r="I33" s="50"/>
      <c r="J33" s="50"/>
      <c r="K33" s="48"/>
      <c r="L33" s="46" t="str">
        <f>Price!A33</f>
        <v>Bočnice M 300mm, hedvábně bílé</v>
      </c>
      <c r="M33" s="15" t="str">
        <f>Price!B33</f>
        <v>378M3002SA</v>
      </c>
      <c r="N33" s="15" t="str">
        <f>Price!C33</f>
        <v>SEIW</v>
      </c>
      <c r="O33" s="472">
        <f>Price!D33</f>
        <v>0</v>
      </c>
      <c r="P33" s="15">
        <f>Price!E33</f>
        <v>0</v>
      </c>
      <c r="Q33" s="17">
        <f>Price!F33</f>
        <v>16.219809999999999</v>
      </c>
      <c r="R33" s="171"/>
      <c r="S33" s="171"/>
      <c r="T33" s="12">
        <f>Price!G33</f>
        <v>7416089</v>
      </c>
      <c r="U33" s="12" t="str">
        <f>Price!H33</f>
        <v>IN021B</v>
      </c>
      <c r="V33" s="13"/>
      <c r="W33" s="13"/>
      <c r="X33" s="14"/>
      <c r="Y33" s="14"/>
    </row>
    <row r="34" spans="1:26" x14ac:dyDescent="0.35">
      <c r="A34" s="43"/>
      <c r="B34" s="161"/>
      <c r="C34" s="161"/>
      <c r="D34" s="161"/>
      <c r="E34" s="64"/>
      <c r="F34" s="50"/>
      <c r="G34" s="50"/>
      <c r="H34" s="50"/>
      <c r="I34" s="50"/>
      <c r="J34" s="50"/>
      <c r="K34" s="48"/>
      <c r="L34" s="46" t="str">
        <f>Price!A34</f>
        <v>Bočnice M 300mm, černé Terra</v>
      </c>
      <c r="M34" s="15" t="str">
        <f>Price!B34</f>
        <v>378M3002SA</v>
      </c>
      <c r="N34" s="15" t="str">
        <f>Price!C34</f>
        <v>TERS</v>
      </c>
      <c r="O34" s="472">
        <f>Price!D34</f>
        <v>0</v>
      </c>
      <c r="P34" s="15">
        <f>Price!E34</f>
        <v>0</v>
      </c>
      <c r="Q34" s="17">
        <f>Price!F34</f>
        <v>16.414709999999999</v>
      </c>
      <c r="R34" s="171"/>
      <c r="S34" s="171"/>
      <c r="T34" s="12">
        <f>Price!G34</f>
        <v>8410449</v>
      </c>
      <c r="U34" s="12" t="str">
        <f>Price!H34</f>
        <v>IN021C</v>
      </c>
      <c r="V34" s="13"/>
      <c r="W34" s="13"/>
      <c r="X34" s="14"/>
      <c r="Y34" s="14"/>
    </row>
    <row r="35" spans="1:26" x14ac:dyDescent="0.35">
      <c r="A35" s="43"/>
      <c r="B35" s="161"/>
      <c r="C35" s="161"/>
      <c r="D35" s="161"/>
      <c r="E35" s="64"/>
      <c r="F35" s="50"/>
      <c r="G35" s="50"/>
      <c r="H35" s="50"/>
      <c r="I35" s="50"/>
      <c r="J35" s="50"/>
      <c r="K35" s="48"/>
      <c r="L35" s="46" t="str">
        <f>Price!A35</f>
        <v>Bočnice M 300mm, nerez (Inox)</v>
      </c>
      <c r="M35" s="15" t="str">
        <f>Price!B35</f>
        <v>378M3002IA</v>
      </c>
      <c r="N35" s="15" t="str">
        <f>Price!C35</f>
        <v>INGL</v>
      </c>
      <c r="O35" s="472" t="str">
        <f>Price!D35</f>
        <v>!</v>
      </c>
      <c r="P35" s="15">
        <f>Price!E35</f>
        <v>0</v>
      </c>
      <c r="Q35" s="17">
        <f>Price!F35</f>
        <v>29.72156</v>
      </c>
      <c r="R35" s="171"/>
      <c r="S35" s="171"/>
      <c r="T35" s="12">
        <f>Price!G35</f>
        <v>9282144</v>
      </c>
      <c r="U35" s="12" t="str">
        <f>Price!H35</f>
        <v>IN021N</v>
      </c>
      <c r="V35" s="13"/>
      <c r="W35" s="13"/>
      <c r="X35" s="14"/>
      <c r="Y35" s="14"/>
    </row>
    <row r="36" spans="1:26" ht="15" thickBot="1" x14ac:dyDescent="0.4">
      <c r="A36" s="75" t="str">
        <f>IF($C$2=1,L36,IF($C$2=2,L37,IF($C$2=3,L38, IF($C$2=4, L39, "  chyba"))))</f>
        <v>Bočnice M 350mm, šedé</v>
      </c>
      <c r="B36" s="76" t="str">
        <f t="shared" ref="B36" si="31">IF($C$2=1,M36,IF($C$2=2,M37,IF($C$2=3,M38, IF($C$2=4, M39, "  chyba"))))</f>
        <v>378M3502SA</v>
      </c>
      <c r="C36" s="76" t="str">
        <f t="shared" ref="C36" si="32">IF($C$2=1,N36,IF($C$2=2,N37,IF($C$2=3,N38, IF($C$2=4, N39, "  chyba"))))</f>
        <v>R906</v>
      </c>
      <c r="D36" s="172">
        <f t="shared" ref="D36" si="33">IF($C$2=1,O36,IF($C$2=2,O37,IF($C$2=3,O38, IF($C$2=4, O39, "  chyba"))))</f>
        <v>0</v>
      </c>
      <c r="E36" s="77">
        <f t="shared" ref="E36" si="34">IF($C$2=1,P36,IF($C$2=2,P37,IF($C$2=3,P38, IF($C$2=4, P39, "  chyba"))))</f>
        <v>0</v>
      </c>
      <c r="F36" s="78">
        <f>IF($C$2=1,Q36,IF($C$2=2,Q37,IF($C$2=3,Q38, IF($C$2=4, Q39, "  chyba"))))*(100-$F$6)/100</f>
        <v>16.219809999999999</v>
      </c>
      <c r="G36" s="50"/>
      <c r="H36" s="50"/>
      <c r="I36" s="172">
        <f t="shared" ref="I36" si="35">IF($C$2=1,T36,IF($C$2=2,T37,IF($C$2=3,T38, IF($C$2=4, T39, "  chyba"))))</f>
        <v>7880418</v>
      </c>
      <c r="J36" s="172">
        <f t="shared" ref="J36" si="36">IF($C$2=1,U36,IF($C$2=2,U37,IF($C$2=3,U38, IF($C$2=4, U39, "  chyba"))))</f>
        <v>202507</v>
      </c>
      <c r="K36" s="48"/>
      <c r="L36" s="46" t="str">
        <f>Price!A36</f>
        <v>Bočnice M 350mm, šedé</v>
      </c>
      <c r="M36" s="15" t="str">
        <f>Price!B36</f>
        <v>378M3502SA</v>
      </c>
      <c r="N36" s="15" t="str">
        <f>Price!C36</f>
        <v>R906</v>
      </c>
      <c r="O36" s="472">
        <f>Price!D36</f>
        <v>0</v>
      </c>
      <c r="P36" s="15">
        <f>Price!E36</f>
        <v>0</v>
      </c>
      <c r="Q36" s="17">
        <f>Price!F36</f>
        <v>16.219809999999999</v>
      </c>
      <c r="R36" s="171"/>
      <c r="S36" s="171"/>
      <c r="T36" s="12">
        <f>Price!G36</f>
        <v>7880418</v>
      </c>
      <c r="U36" s="12">
        <f>Price!H36</f>
        <v>202507</v>
      </c>
      <c r="V36" s="13"/>
      <c r="W36" s="13"/>
      <c r="X36" s="14"/>
      <c r="Y36" s="14"/>
    </row>
    <row r="37" spans="1:26" x14ac:dyDescent="0.35">
      <c r="A37" s="43"/>
      <c r="B37" s="161"/>
      <c r="C37" s="161"/>
      <c r="D37" s="161"/>
      <c r="E37" s="64"/>
      <c r="F37" s="50"/>
      <c r="G37" s="50"/>
      <c r="H37" s="50"/>
      <c r="I37" s="50"/>
      <c r="J37" s="50"/>
      <c r="K37" s="48"/>
      <c r="L37" s="46" t="str">
        <f>Price!A37</f>
        <v>Bočnice M 350mm, hedvábně bílé</v>
      </c>
      <c r="M37" s="15" t="str">
        <f>Price!B37</f>
        <v>378M3502SA</v>
      </c>
      <c r="N37" s="15" t="str">
        <f>Price!C37</f>
        <v>SEIW</v>
      </c>
      <c r="O37" s="472">
        <f>Price!D37</f>
        <v>0</v>
      </c>
      <c r="P37" s="15">
        <f>Price!E37</f>
        <v>0</v>
      </c>
      <c r="Q37" s="17">
        <f>Price!F37</f>
        <v>16.219809999999999</v>
      </c>
      <c r="R37" s="171"/>
      <c r="S37" s="171"/>
      <c r="T37" s="12">
        <f>Price!G37</f>
        <v>7432656</v>
      </c>
      <c r="U37" s="12" t="str">
        <f>Price!H37</f>
        <v>IN022B</v>
      </c>
      <c r="V37" s="13"/>
      <c r="W37" s="13"/>
      <c r="X37" s="14"/>
      <c r="Y37" s="14"/>
    </row>
    <row r="38" spans="1:26" x14ac:dyDescent="0.35">
      <c r="A38" s="43"/>
      <c r="B38" s="161"/>
      <c r="C38" s="161"/>
      <c r="D38" s="161"/>
      <c r="E38" s="64"/>
      <c r="F38" s="50"/>
      <c r="G38" s="50"/>
      <c r="H38" s="50"/>
      <c r="I38" s="50"/>
      <c r="J38" s="50"/>
      <c r="K38" s="48"/>
      <c r="L38" s="46" t="str">
        <f>Price!A38</f>
        <v>Bočnice M 350mm, černé Terra</v>
      </c>
      <c r="M38" s="15" t="str">
        <f>Price!B38</f>
        <v>378M3502SA</v>
      </c>
      <c r="N38" s="15" t="str">
        <f>Price!C38</f>
        <v>TERS</v>
      </c>
      <c r="O38" s="472">
        <f>Price!D38</f>
        <v>0</v>
      </c>
      <c r="P38" s="15">
        <f>Price!E38</f>
        <v>0</v>
      </c>
      <c r="Q38" s="17">
        <f>Price!F38</f>
        <v>16.414709999999999</v>
      </c>
      <c r="R38" s="171"/>
      <c r="S38" s="171"/>
      <c r="T38" s="12">
        <f>Price!G38</f>
        <v>8451477</v>
      </c>
      <c r="U38" s="12" t="str">
        <f>Price!H38</f>
        <v>IN022C</v>
      </c>
      <c r="V38" s="13"/>
      <c r="W38" s="13"/>
      <c r="X38" s="14"/>
      <c r="Y38" s="14"/>
    </row>
    <row r="39" spans="1:26" x14ac:dyDescent="0.35">
      <c r="A39" s="43"/>
      <c r="B39" s="161"/>
      <c r="C39" s="161"/>
      <c r="D39" s="161"/>
      <c r="E39" s="64"/>
      <c r="F39" s="50"/>
      <c r="G39" s="50"/>
      <c r="H39" s="50"/>
      <c r="I39" s="50"/>
      <c r="J39" s="50"/>
      <c r="K39" s="48"/>
      <c r="L39" s="46" t="str">
        <f>Price!A39</f>
        <v>Bočnice M 350mm, nerez (Inox)</v>
      </c>
      <c r="M39" s="15" t="str">
        <f>Price!B39</f>
        <v>378M3502IA</v>
      </c>
      <c r="N39" s="15" t="str">
        <f>Price!C39</f>
        <v>INGL</v>
      </c>
      <c r="O39" s="472" t="str">
        <f>Price!D39</f>
        <v>!</v>
      </c>
      <c r="P39" s="15">
        <f>Price!E39</f>
        <v>0</v>
      </c>
      <c r="Q39" s="17">
        <f>Price!F39</f>
        <v>31.711790000000001</v>
      </c>
      <c r="R39" s="171"/>
      <c r="S39" s="171"/>
      <c r="T39" s="12">
        <f>Price!G39</f>
        <v>9396757</v>
      </c>
      <c r="U39" s="12" t="str">
        <f>Price!H39</f>
        <v>IN022N</v>
      </c>
      <c r="V39" s="13"/>
      <c r="W39" s="13"/>
      <c r="X39" s="14"/>
      <c r="Y39" s="14"/>
    </row>
    <row r="40" spans="1:26" ht="15" thickBot="1" x14ac:dyDescent="0.4">
      <c r="A40" s="75" t="str">
        <f>IF($C$2=1,L40,IF($C$2=2,L41,IF($C$2=3,L42, IF($C$2=4, L43, "  chyba"))))</f>
        <v>Bočnice M 400mm, šedé</v>
      </c>
      <c r="B40" s="76" t="str">
        <f t="shared" ref="B40" si="37">IF($C$2=1,M40,IF($C$2=2,M41,IF($C$2=3,M42, IF($C$2=4, M43, "  chyba"))))</f>
        <v>378M4002SA</v>
      </c>
      <c r="C40" s="76" t="str">
        <f t="shared" ref="C40" si="38">IF($C$2=1,N40,IF($C$2=2,N41,IF($C$2=3,N42, IF($C$2=4, N43, "  chyba"))))</f>
        <v>R906</v>
      </c>
      <c r="D40" s="172">
        <f t="shared" ref="D40" si="39">IF($C$2=1,O40,IF($C$2=2,O41,IF($C$2=3,O42, IF($C$2=4, O43, "  chyba"))))</f>
        <v>0</v>
      </c>
      <c r="E40" s="77">
        <f t="shared" ref="E40" si="40">IF($C$2=1,P40,IF($C$2=2,P41,IF($C$2=3,P42, IF($C$2=4, P43, "  chyba"))))</f>
        <v>0</v>
      </c>
      <c r="F40" s="78">
        <f>IF($C$2=1,Q40,IF($C$2=2,Q41,IF($C$2=3,Q42, IF($C$2=4, Q43, "  chyba"))))*(100-$F$6)/100</f>
        <v>16.366499999999998</v>
      </c>
      <c r="G40" s="50"/>
      <c r="H40" s="50"/>
      <c r="I40" s="172">
        <f t="shared" ref="I40" si="41">IF($C$2=1,T40,IF($C$2=2,T41,IF($C$2=3,T42, IF($C$2=4, T43, "  chyba"))))</f>
        <v>7892695</v>
      </c>
      <c r="J40" s="172">
        <f t="shared" ref="J40" si="42">IF($C$2=1,U40,IF($C$2=2,U41,IF($C$2=3,U42, IF($C$2=4, U43, "  chyba"))))</f>
        <v>202508</v>
      </c>
      <c r="K40" s="48"/>
      <c r="L40" s="46" t="str">
        <f>Price!A40</f>
        <v>Bočnice M 400mm, šedé</v>
      </c>
      <c r="M40" s="15" t="str">
        <f>Price!B40</f>
        <v>378M4002SA</v>
      </c>
      <c r="N40" s="15" t="str">
        <f>Price!C40</f>
        <v>R906</v>
      </c>
      <c r="O40" s="472">
        <f>Price!D40</f>
        <v>0</v>
      </c>
      <c r="P40" s="15">
        <f>Price!E40</f>
        <v>0</v>
      </c>
      <c r="Q40" s="17">
        <f>Price!F40</f>
        <v>16.366499999999998</v>
      </c>
      <c r="R40" s="171"/>
      <c r="S40" s="171"/>
      <c r="T40" s="12">
        <f>Price!G40</f>
        <v>7892695</v>
      </c>
      <c r="U40" s="12">
        <f>Price!H40</f>
        <v>202508</v>
      </c>
      <c r="V40" s="13"/>
      <c r="W40" s="13"/>
      <c r="X40" s="14"/>
      <c r="Y40" s="14"/>
    </row>
    <row r="41" spans="1:26" x14ac:dyDescent="0.35">
      <c r="A41" s="43"/>
      <c r="B41" s="161"/>
      <c r="C41" s="161"/>
      <c r="D41" s="161"/>
      <c r="E41" s="64"/>
      <c r="F41" s="50"/>
      <c r="G41" s="50"/>
      <c r="H41" s="50"/>
      <c r="I41" s="50"/>
      <c r="J41" s="50"/>
      <c r="K41" s="48"/>
      <c r="L41" s="46" t="str">
        <f>Price!A41</f>
        <v>Bočnice M 400mm, hedvábně bílé</v>
      </c>
      <c r="M41" s="15" t="str">
        <f>Price!B41</f>
        <v>378M4002SA</v>
      </c>
      <c r="N41" s="15" t="str">
        <f>Price!C41</f>
        <v>SEIW</v>
      </c>
      <c r="O41" s="472">
        <f>Price!D41</f>
        <v>0</v>
      </c>
      <c r="P41" s="15">
        <f>Price!E41</f>
        <v>0</v>
      </c>
      <c r="Q41" s="17">
        <f>Price!F41</f>
        <v>16.366499999999998</v>
      </c>
      <c r="R41" s="171"/>
      <c r="S41" s="171"/>
      <c r="T41" s="12">
        <f>Price!G41</f>
        <v>7453939</v>
      </c>
      <c r="U41" s="12" t="str">
        <f>Price!H41</f>
        <v>IN023B</v>
      </c>
      <c r="V41" s="13"/>
      <c r="W41" s="13"/>
      <c r="X41" s="14"/>
      <c r="Y41" s="14"/>
    </row>
    <row r="42" spans="1:26" x14ac:dyDescent="0.35">
      <c r="A42" s="43"/>
      <c r="B42" s="161"/>
      <c r="C42" s="161"/>
      <c r="D42" s="161"/>
      <c r="E42" s="64"/>
      <c r="F42" s="50"/>
      <c r="G42" s="50"/>
      <c r="H42" s="50"/>
      <c r="I42" s="50"/>
      <c r="J42" s="50"/>
      <c r="K42" s="48"/>
      <c r="L42" s="46" t="str">
        <f>Price!A42</f>
        <v>Bočnice M 400mm, černé Terra</v>
      </c>
      <c r="M42" s="15" t="str">
        <f>Price!B42</f>
        <v>378M4002SA</v>
      </c>
      <c r="N42" s="15" t="str">
        <f>Price!C42</f>
        <v>TERS</v>
      </c>
      <c r="O42" s="472">
        <f>Price!D42</f>
        <v>0</v>
      </c>
      <c r="P42" s="15">
        <f>Price!E42</f>
        <v>0</v>
      </c>
      <c r="Q42" s="17">
        <f>Price!F42</f>
        <v>16.561399999999999</v>
      </c>
      <c r="R42" s="171"/>
      <c r="S42" s="171"/>
      <c r="T42" s="12">
        <f>Price!G42</f>
        <v>8456024</v>
      </c>
      <c r="U42" s="12" t="str">
        <f>Price!H42</f>
        <v>IN023C</v>
      </c>
      <c r="V42" s="13"/>
      <c r="W42" s="13"/>
      <c r="X42" s="14"/>
      <c r="Y42" s="14"/>
    </row>
    <row r="43" spans="1:26" x14ac:dyDescent="0.35">
      <c r="A43" s="43"/>
      <c r="B43" s="161"/>
      <c r="C43" s="161"/>
      <c r="D43" s="161"/>
      <c r="E43" s="64"/>
      <c r="F43" s="50"/>
      <c r="G43" s="50"/>
      <c r="H43" s="50"/>
      <c r="I43" s="50"/>
      <c r="J43" s="50"/>
      <c r="K43" s="48"/>
      <c r="L43" s="46" t="str">
        <f>Price!A43</f>
        <v>Bočnice M 400mm, nerez (Inox)</v>
      </c>
      <c r="M43" s="15" t="str">
        <f>Price!B43</f>
        <v>378M4002IA</v>
      </c>
      <c r="N43" s="15" t="str">
        <f>Price!C43</f>
        <v>INGL</v>
      </c>
      <c r="O43" s="472" t="str">
        <f>Price!D43</f>
        <v>!</v>
      </c>
      <c r="P43" s="15">
        <f>Price!E43</f>
        <v>0</v>
      </c>
      <c r="Q43" s="17">
        <f>Price!F43</f>
        <v>30.597010000000001</v>
      </c>
      <c r="R43" s="171"/>
      <c r="S43" s="171"/>
      <c r="T43" s="12">
        <f>Price!G43</f>
        <v>9424604</v>
      </c>
      <c r="U43" s="12" t="str">
        <f>Price!H43</f>
        <v>IN023N</v>
      </c>
      <c r="V43" s="13"/>
      <c r="W43" s="13"/>
      <c r="X43" s="14"/>
      <c r="Y43" s="14"/>
    </row>
    <row r="44" spans="1:26" ht="15" thickBot="1" x14ac:dyDescent="0.4">
      <c r="A44" s="75" t="str">
        <f>IF($C$2=1,L44,IF($C$2=2,L45,IF($C$2=3,L46, IF($C$2=4, L47, "  chyba"))))</f>
        <v>Bočnice M 450mm, šedé</v>
      </c>
      <c r="B44" s="76" t="str">
        <f t="shared" ref="B44" si="43">IF($C$2=1,M44,IF($C$2=2,M45,IF($C$2=3,M46, IF($C$2=4, M47, "  chyba"))))</f>
        <v>378M4502SA</v>
      </c>
      <c r="C44" s="76" t="str">
        <f t="shared" ref="C44" si="44">IF($C$2=1,N44,IF($C$2=2,N45,IF($C$2=3,N46, IF($C$2=4, N47, "  chyba"))))</f>
        <v>R906</v>
      </c>
      <c r="D44" s="172">
        <f t="shared" ref="D44" si="45">IF($C$2=1,O44,IF($C$2=2,O45,IF($C$2=3,O46, IF($C$2=4, O47, "  chyba"))))</f>
        <v>0</v>
      </c>
      <c r="E44" s="77">
        <f t="shared" ref="E44" si="46">IF($C$2=1,P44,IF($C$2=2,P45,IF($C$2=3,P46, IF($C$2=4, P47, "  chyba"))))</f>
        <v>0</v>
      </c>
      <c r="F44" s="78">
        <f>IF($C$2=1,Q44,IF($C$2=2,Q45,IF($C$2=3,Q46, IF($C$2=4, Q47, "  chyba"))))*(100-$F$6)/100</f>
        <v>16.513179999999998</v>
      </c>
      <c r="G44" s="50"/>
      <c r="H44" s="50"/>
      <c r="I44" s="172">
        <f t="shared" ref="I44" si="47">IF($C$2=1,T44,IF($C$2=2,T45,IF($C$2=3,T46, IF($C$2=4, T47, "  chyba"))))</f>
        <v>7893644</v>
      </c>
      <c r="J44" s="172">
        <f t="shared" ref="J44" si="48">IF($C$2=1,U44,IF($C$2=2,U45,IF($C$2=3,U46, IF($C$2=4, U47, "  chyba"))))</f>
        <v>202509</v>
      </c>
      <c r="K44" s="48"/>
      <c r="L44" s="46" t="str">
        <f>Price!A44</f>
        <v>Bočnice M 450mm, šedé</v>
      </c>
      <c r="M44" s="15" t="str">
        <f>Price!B44</f>
        <v>378M4502SA</v>
      </c>
      <c r="N44" s="15" t="str">
        <f>Price!C44</f>
        <v>R906</v>
      </c>
      <c r="O44" s="472">
        <f>Price!D44</f>
        <v>0</v>
      </c>
      <c r="P44" s="15">
        <f>Price!E44</f>
        <v>0</v>
      </c>
      <c r="Q44" s="17">
        <f>Price!F44</f>
        <v>16.513179999999998</v>
      </c>
      <c r="R44" s="171"/>
      <c r="S44" s="171"/>
      <c r="T44" s="12">
        <f>Price!G44</f>
        <v>7893644</v>
      </c>
      <c r="U44" s="12">
        <f>Price!H44</f>
        <v>202509</v>
      </c>
      <c r="V44" s="13"/>
      <c r="W44" s="13"/>
      <c r="X44" s="14"/>
      <c r="Y44" s="14"/>
    </row>
    <row r="45" spans="1:26" x14ac:dyDescent="0.35">
      <c r="A45" s="43"/>
      <c r="B45" s="161"/>
      <c r="C45" s="161"/>
      <c r="D45" s="161"/>
      <c r="E45" s="64"/>
      <c r="F45" s="50"/>
      <c r="G45" s="50"/>
      <c r="H45" s="50"/>
      <c r="I45" s="50"/>
      <c r="J45" s="50"/>
      <c r="K45" s="48"/>
      <c r="L45" s="46" t="str">
        <f>Price!A45</f>
        <v>Bočnice M 450mm, hedvábně bílé</v>
      </c>
      <c r="M45" s="15" t="str">
        <f>Price!B45</f>
        <v>378M4502SA</v>
      </c>
      <c r="N45" s="15" t="str">
        <f>Price!C45</f>
        <v>SEIW</v>
      </c>
      <c r="O45" s="472">
        <f>Price!D45</f>
        <v>0</v>
      </c>
      <c r="P45" s="15">
        <f>Price!E45</f>
        <v>0</v>
      </c>
      <c r="Q45" s="17">
        <f>Price!F45</f>
        <v>16.513179999999998</v>
      </c>
      <c r="R45" s="171"/>
      <c r="S45" s="171"/>
      <c r="T45" s="12">
        <f>Price!G45</f>
        <v>7461528</v>
      </c>
      <c r="U45" s="12" t="str">
        <f>Price!H45</f>
        <v>IN024B</v>
      </c>
      <c r="V45" s="13"/>
      <c r="W45" s="13"/>
      <c r="X45" s="14"/>
      <c r="Y45" s="14"/>
    </row>
    <row r="46" spans="1:26" x14ac:dyDescent="0.35">
      <c r="A46" s="43"/>
      <c r="B46" s="161"/>
      <c r="C46" s="161"/>
      <c r="D46" s="161"/>
      <c r="E46" s="64"/>
      <c r="F46" s="50"/>
      <c r="G46" s="50"/>
      <c r="H46" s="50"/>
      <c r="I46" s="50"/>
      <c r="J46" s="50"/>
      <c r="K46" s="48"/>
      <c r="L46" s="46" t="str">
        <f>Price!A46</f>
        <v>Bočnice M 450mm, černé Terra</v>
      </c>
      <c r="M46" s="15" t="str">
        <f>Price!B46</f>
        <v>378M4502SA</v>
      </c>
      <c r="N46" s="15" t="str">
        <f>Price!C46</f>
        <v>TERS</v>
      </c>
      <c r="O46" s="472">
        <f>Price!D46</f>
        <v>0</v>
      </c>
      <c r="P46" s="15">
        <f>Price!E46</f>
        <v>0</v>
      </c>
      <c r="Q46" s="17">
        <f>Price!F46</f>
        <v>15.872870000000001</v>
      </c>
      <c r="R46" s="171"/>
      <c r="S46" s="171"/>
      <c r="T46" s="12">
        <f>Price!G46</f>
        <v>8459116</v>
      </c>
      <c r="U46" s="12" t="str">
        <f>Price!H46</f>
        <v>IN024C</v>
      </c>
      <c r="V46" s="13"/>
      <c r="W46" s="13"/>
      <c r="X46" s="14"/>
      <c r="Y46" s="14"/>
    </row>
    <row r="47" spans="1:26" x14ac:dyDescent="0.35">
      <c r="A47" s="43"/>
      <c r="B47" s="161"/>
      <c r="C47" s="161"/>
      <c r="D47" s="161"/>
      <c r="E47" s="64"/>
      <c r="F47" s="50"/>
      <c r="G47" s="50"/>
      <c r="H47" s="50"/>
      <c r="I47" s="50"/>
      <c r="J47" s="50"/>
      <c r="K47" s="48"/>
      <c r="L47" s="46" t="str">
        <f>Price!A47</f>
        <v>Bočnice M 450mm, nerez (Inox)</v>
      </c>
      <c r="M47" s="15" t="str">
        <f>Price!B47</f>
        <v>378M4502IA</v>
      </c>
      <c r="N47" s="15" t="str">
        <f>Price!C47</f>
        <v>INGL</v>
      </c>
      <c r="O47" s="472" t="str">
        <f>Price!D47</f>
        <v>!</v>
      </c>
      <c r="P47" s="15">
        <f>Price!E47</f>
        <v>0</v>
      </c>
      <c r="Q47" s="17">
        <f>Price!F47</f>
        <v>28.299800000000001</v>
      </c>
      <c r="R47" s="171"/>
      <c r="S47" s="171"/>
      <c r="T47" s="12">
        <f>Price!G47</f>
        <v>9447452</v>
      </c>
      <c r="U47" s="12">
        <f>Price!H47</f>
        <v>288483</v>
      </c>
      <c r="V47" s="13"/>
      <c r="W47" s="13"/>
      <c r="X47" s="14"/>
      <c r="Y47" s="14"/>
    </row>
    <row r="48" spans="1:26" ht="15" thickBot="1" x14ac:dyDescent="0.4">
      <c r="A48" s="75" t="str">
        <f>IF($C$2=1,L48,IF($C$2=2,L49,IF($C$2=3,L50, IF($C$2=4, L51, "  chyba"))))</f>
        <v>Bočnice M 500mm, šedé</v>
      </c>
      <c r="B48" s="76" t="str">
        <f t="shared" ref="B48" si="49">IF($C$2=1,M48,IF($C$2=2,M49,IF($C$2=3,M50, IF($C$2=4, M51, "  chyba"))))</f>
        <v>378M5002SA</v>
      </c>
      <c r="C48" s="76" t="str">
        <f t="shared" ref="C48" si="50">IF($C$2=1,N48,IF($C$2=2,N49,IF($C$2=3,N50, IF($C$2=4, N51, "  chyba"))))</f>
        <v>R906</v>
      </c>
      <c r="D48" s="172">
        <f t="shared" ref="D48" si="51">IF($C$2=1,O48,IF($C$2=2,O49,IF($C$2=3,O50, IF($C$2=4, O51, "  chyba"))))</f>
        <v>0</v>
      </c>
      <c r="E48" s="77">
        <f t="shared" ref="E48" si="52">IF($C$2=1,P48,IF($C$2=2,P49,IF($C$2=3,P50, IF($C$2=4, P51, "  chyba"))))</f>
        <v>0</v>
      </c>
      <c r="F48" s="78">
        <f>IF($C$2=1,Q48,IF($C$2=2,Q49,IF($C$2=3,Q50, IF($C$2=4, Q51, "  chyba"))))*(100-$F$6)/100</f>
        <v>16.6599</v>
      </c>
      <c r="G48" s="50"/>
      <c r="H48" s="50"/>
      <c r="I48" s="172">
        <f t="shared" ref="I48" si="53">IF($C$2=1,T48,IF($C$2=2,T49,IF($C$2=3,T50, IF($C$2=4, T51, "  chyba"))))</f>
        <v>7907526</v>
      </c>
      <c r="J48" s="172">
        <f t="shared" ref="J48" si="54">IF($C$2=1,U48,IF($C$2=2,U49,IF($C$2=3,U50, IF($C$2=4, U51, "  chyba"))))</f>
        <v>202510</v>
      </c>
      <c r="K48" s="20"/>
      <c r="L48" s="46" t="str">
        <f>Price!A48</f>
        <v>Bočnice M 500mm, šedé</v>
      </c>
      <c r="M48" s="15" t="str">
        <f>Price!B48</f>
        <v>378M5002SA</v>
      </c>
      <c r="N48" s="15" t="str">
        <f>Price!C48</f>
        <v>R906</v>
      </c>
      <c r="O48" s="472">
        <f>Price!D48</f>
        <v>0</v>
      </c>
      <c r="P48" s="15">
        <f>Price!E48</f>
        <v>0</v>
      </c>
      <c r="Q48" s="17">
        <f>Price!F48</f>
        <v>16.6599</v>
      </c>
      <c r="R48" s="171"/>
      <c r="S48" s="171"/>
      <c r="T48" s="12">
        <f>Price!G48</f>
        <v>7907526</v>
      </c>
      <c r="U48" s="12">
        <f>Price!H48</f>
        <v>202510</v>
      </c>
      <c r="V48" s="13"/>
      <c r="W48" s="42"/>
      <c r="X48" s="43"/>
      <c r="Y48" s="43"/>
      <c r="Z48" s="25"/>
    </row>
    <row r="49" spans="1:26" x14ac:dyDescent="0.35">
      <c r="A49" s="62"/>
      <c r="B49" s="161"/>
      <c r="C49" s="161"/>
      <c r="D49" s="161"/>
      <c r="E49" s="64"/>
      <c r="F49" s="50"/>
      <c r="G49" s="50"/>
      <c r="H49" s="50"/>
      <c r="I49" s="161"/>
      <c r="J49" s="161"/>
      <c r="K49" s="20"/>
      <c r="L49" s="46" t="str">
        <f>Price!A49</f>
        <v>Bočnice M 500mm, hedvábně bílé</v>
      </c>
      <c r="M49" s="15" t="str">
        <f>Price!B49</f>
        <v>378M5002SA</v>
      </c>
      <c r="N49" s="15" t="str">
        <f>Price!C49</f>
        <v>SEIW</v>
      </c>
      <c r="O49" s="472">
        <f>Price!D49</f>
        <v>0</v>
      </c>
      <c r="P49" s="15">
        <f>Price!E49</f>
        <v>0</v>
      </c>
      <c r="Q49" s="17">
        <f>Price!F49</f>
        <v>16.6599</v>
      </c>
      <c r="R49" s="171"/>
      <c r="S49" s="171"/>
      <c r="T49" s="12">
        <f>Price!G49</f>
        <v>7473074</v>
      </c>
      <c r="U49" s="12" t="str">
        <f>Price!H49</f>
        <v>IN025B</v>
      </c>
      <c r="V49" s="13"/>
      <c r="W49" s="44"/>
      <c r="X49" s="44"/>
      <c r="Y49" s="44"/>
      <c r="Z49" s="25"/>
    </row>
    <row r="50" spans="1:26" x14ac:dyDescent="0.35">
      <c r="A50" s="65"/>
      <c r="B50" s="162"/>
      <c r="C50" s="162"/>
      <c r="D50" s="162"/>
      <c r="E50" s="64"/>
      <c r="F50" s="52"/>
      <c r="G50" s="52"/>
      <c r="H50" s="52"/>
      <c r="I50" s="162"/>
      <c r="J50" s="162"/>
      <c r="K50" s="47"/>
      <c r="L50" s="46" t="str">
        <f>Price!A50</f>
        <v>Bočnice M 500mm, černé Terra</v>
      </c>
      <c r="M50" s="15" t="str">
        <f>Price!B50</f>
        <v>378M5002SA</v>
      </c>
      <c r="N50" s="15" t="str">
        <f>Price!C50</f>
        <v>TERS</v>
      </c>
      <c r="O50" s="472">
        <f>Price!D50</f>
        <v>0</v>
      </c>
      <c r="P50" s="15">
        <f>Price!E50</f>
        <v>0</v>
      </c>
      <c r="Q50" s="17">
        <f>Price!F50</f>
        <v>16.854980000000001</v>
      </c>
      <c r="R50" s="171"/>
      <c r="S50" s="171"/>
      <c r="T50" s="12">
        <f>Price!G50</f>
        <v>8474260</v>
      </c>
      <c r="U50" s="12" t="str">
        <f>Price!H50</f>
        <v>IN025C</v>
      </c>
      <c r="V50" s="13"/>
      <c r="W50" s="44"/>
      <c r="X50" s="44"/>
      <c r="Y50" s="44"/>
      <c r="Z50" s="25"/>
    </row>
    <row r="51" spans="1:26" x14ac:dyDescent="0.35">
      <c r="A51" s="65"/>
      <c r="B51" s="162"/>
      <c r="C51" s="162"/>
      <c r="D51" s="162"/>
      <c r="E51" s="64"/>
      <c r="F51" s="52"/>
      <c r="G51" s="52"/>
      <c r="H51" s="52"/>
      <c r="I51" s="162"/>
      <c r="J51" s="162"/>
      <c r="K51" s="47"/>
      <c r="L51" s="46" t="str">
        <f>Price!A51</f>
        <v>Bočnice M 500mm, nerez (Inox)</v>
      </c>
      <c r="M51" s="15" t="str">
        <f>Price!B51</f>
        <v>378M5002IA</v>
      </c>
      <c r="N51" s="15" t="str">
        <f>Price!C51</f>
        <v>INGL</v>
      </c>
      <c r="O51" s="472" t="str">
        <f>Price!D51</f>
        <v>!</v>
      </c>
      <c r="P51" s="15">
        <f>Price!E51</f>
        <v>0</v>
      </c>
      <c r="Q51" s="17">
        <f>Price!F51</f>
        <v>32.347529999999999</v>
      </c>
      <c r="R51" s="171"/>
      <c r="S51" s="171"/>
      <c r="T51" s="12">
        <f>Price!G51</f>
        <v>9455785</v>
      </c>
      <c r="U51" s="12" t="str">
        <f>Price!H51</f>
        <v>IN025N</v>
      </c>
      <c r="V51" s="13"/>
      <c r="W51" s="44"/>
      <c r="X51" s="44"/>
      <c r="Y51" s="44"/>
      <c r="Z51" s="25"/>
    </row>
    <row r="52" spans="1:26" ht="15" thickBot="1" x14ac:dyDescent="0.4">
      <c r="A52" s="75" t="str">
        <f>IF($C$2=1,L52,IF($C$2=2,L53,IF($C$2=3,L54, IF($C$2=4, L55, "  chyba"))))</f>
        <v>Bočnice M 550mm, šedé</v>
      </c>
      <c r="B52" s="76" t="str">
        <f t="shared" ref="B52" si="55">IF($C$2=1,M52,IF($C$2=2,M53,IF($C$2=3,M54, IF($C$2=4, M55, "  chyba"))))</f>
        <v>378M5502SA</v>
      </c>
      <c r="C52" s="76" t="str">
        <f t="shared" ref="C52" si="56">IF($C$2=1,N52,IF($C$2=2,N53,IF($C$2=3,N54, IF($C$2=4, N55, "  chyba"))))</f>
        <v>R906</v>
      </c>
      <c r="D52" s="172">
        <f t="shared" ref="D52" si="57">IF($C$2=1,O52,IF($C$2=2,O53,IF($C$2=3,O54, IF($C$2=4, O55, "  chyba"))))</f>
        <v>0</v>
      </c>
      <c r="E52" s="77">
        <f t="shared" ref="E52" si="58">IF($C$2=1,P52,IF($C$2=2,P53,IF($C$2=3,P54, IF($C$2=4, P55, "  chyba"))))</f>
        <v>0</v>
      </c>
      <c r="F52" s="78">
        <f>IF($C$2=1,Q52,IF($C$2=2,Q53,IF($C$2=3,Q54, IF($C$2=4, Q55, "  chyba"))))*(100-$F$6)/100</f>
        <v>18.128509999999999</v>
      </c>
      <c r="G52" s="50"/>
      <c r="H52" s="50"/>
      <c r="I52" s="172">
        <f t="shared" ref="I52" si="59">IF($C$2=1,T52,IF($C$2=2,T53,IF($C$2=3,T54, IF($C$2=4, T55, "  chyba"))))</f>
        <v>7915701</v>
      </c>
      <c r="J52" s="172">
        <f t="shared" ref="J52" si="60">IF($C$2=1,U52,IF($C$2=2,U53,IF($C$2=3,U54, IF($C$2=4, U55, "  chyba"))))</f>
        <v>202511</v>
      </c>
      <c r="K52" s="47"/>
      <c r="L52" s="46" t="str">
        <f>Price!A52</f>
        <v>Bočnice M 550mm, šedé</v>
      </c>
      <c r="M52" s="15" t="str">
        <f>Price!B52</f>
        <v>378M5502SA</v>
      </c>
      <c r="N52" s="15" t="str">
        <f>Price!C52</f>
        <v>R906</v>
      </c>
      <c r="O52" s="472">
        <f>Price!D52</f>
        <v>0</v>
      </c>
      <c r="P52" s="15">
        <f>Price!E52</f>
        <v>0</v>
      </c>
      <c r="Q52" s="17">
        <f>Price!F52</f>
        <v>18.128509999999999</v>
      </c>
      <c r="R52" s="171"/>
      <c r="S52" s="171"/>
      <c r="T52" s="12">
        <f>Price!G52</f>
        <v>7915701</v>
      </c>
      <c r="U52" s="12">
        <f>Price!H52</f>
        <v>202511</v>
      </c>
      <c r="V52" s="13"/>
      <c r="W52" s="44"/>
      <c r="X52" s="44"/>
      <c r="Y52" s="44"/>
      <c r="Z52" s="25"/>
    </row>
    <row r="53" spans="1:26" x14ac:dyDescent="0.35">
      <c r="A53" s="65"/>
      <c r="B53" s="162"/>
      <c r="C53" s="162"/>
      <c r="D53" s="162"/>
      <c r="E53" s="64"/>
      <c r="F53" s="52"/>
      <c r="G53" s="52"/>
      <c r="H53" s="52"/>
      <c r="I53" s="162"/>
      <c r="J53" s="162"/>
      <c r="K53" s="47"/>
      <c r="L53" s="46" t="str">
        <f>Price!A53</f>
        <v>Bočnice M 550mm, hedvábně bílé</v>
      </c>
      <c r="M53" s="15" t="str">
        <f>Price!B53</f>
        <v>378M5502SA</v>
      </c>
      <c r="N53" s="15" t="str">
        <f>Price!C53</f>
        <v>SEIW</v>
      </c>
      <c r="O53" s="472">
        <f>Price!D53</f>
        <v>0</v>
      </c>
      <c r="P53" s="15">
        <f>Price!E53</f>
        <v>0</v>
      </c>
      <c r="Q53" s="17">
        <f>Price!F53</f>
        <v>18.128509999999999</v>
      </c>
      <c r="R53" s="171"/>
      <c r="S53" s="171"/>
      <c r="T53" s="12">
        <f>Price!G53</f>
        <v>7478517</v>
      </c>
      <c r="U53" s="12" t="str">
        <f>Price!H53</f>
        <v>IN026B</v>
      </c>
      <c r="V53" s="13"/>
      <c r="W53" s="44"/>
      <c r="X53" s="44"/>
      <c r="Y53" s="44"/>
      <c r="Z53" s="25"/>
    </row>
    <row r="54" spans="1:26" x14ac:dyDescent="0.35">
      <c r="A54" s="65"/>
      <c r="B54" s="162"/>
      <c r="C54" s="162"/>
      <c r="D54" s="162"/>
      <c r="E54" s="64"/>
      <c r="F54" s="52"/>
      <c r="G54" s="52"/>
      <c r="H54" s="52"/>
      <c r="I54" s="162"/>
      <c r="J54" s="162"/>
      <c r="K54" s="47"/>
      <c r="L54" s="46" t="str">
        <f>Price!A54</f>
        <v>Bočnice M 550mm, černé Terra</v>
      </c>
      <c r="M54" s="15" t="str">
        <f>Price!B54</f>
        <v>378M5502SA</v>
      </c>
      <c r="N54" s="15" t="str">
        <f>Price!C54</f>
        <v>TERS</v>
      </c>
      <c r="O54" s="472">
        <f>Price!D54</f>
        <v>0</v>
      </c>
      <c r="P54" s="15">
        <f>Price!E54</f>
        <v>0</v>
      </c>
      <c r="Q54" s="17">
        <f>Price!F54</f>
        <v>18.323409999999999</v>
      </c>
      <c r="R54" s="171"/>
      <c r="S54" s="171"/>
      <c r="T54" s="12">
        <f>Price!G54</f>
        <v>8492382</v>
      </c>
      <c r="U54" s="12" t="str">
        <f>Price!H54</f>
        <v>IN026C</v>
      </c>
      <c r="V54" s="13"/>
      <c r="W54" s="44"/>
      <c r="X54" s="44"/>
      <c r="Y54" s="44"/>
      <c r="Z54" s="25"/>
    </row>
    <row r="55" spans="1:26" x14ac:dyDescent="0.35">
      <c r="A55" s="65"/>
      <c r="B55" s="162"/>
      <c r="C55" s="162"/>
      <c r="D55" s="162"/>
      <c r="E55" s="64"/>
      <c r="F55" s="52"/>
      <c r="G55" s="52"/>
      <c r="H55" s="52"/>
      <c r="I55" s="162"/>
      <c r="J55" s="162"/>
      <c r="K55" s="47"/>
      <c r="L55" s="46" t="str">
        <f>Price!A55</f>
        <v>Bočnice M 550mm, nerez (Inox)</v>
      </c>
      <c r="M55" s="15" t="str">
        <f>Price!B55</f>
        <v>378M5502IA</v>
      </c>
      <c r="N55" s="15" t="str">
        <f>Price!C55</f>
        <v>INGL</v>
      </c>
      <c r="O55" s="472" t="str">
        <f>Price!D55</f>
        <v>!</v>
      </c>
      <c r="P55" s="15">
        <f>Price!E55</f>
        <v>0</v>
      </c>
      <c r="Q55" s="17">
        <f>Price!F55</f>
        <v>34.81438</v>
      </c>
      <c r="R55" s="171"/>
      <c r="S55" s="171"/>
      <c r="T55" s="12">
        <f>Price!G55</f>
        <v>9486323</v>
      </c>
      <c r="U55" s="12" t="str">
        <f>Price!H55</f>
        <v>IN026N</v>
      </c>
      <c r="V55" s="13"/>
      <c r="W55" s="44"/>
      <c r="X55" s="44"/>
      <c r="Y55" s="44"/>
      <c r="Z55" s="25"/>
    </row>
    <row r="56" spans="1:26" ht="15" thickBot="1" x14ac:dyDescent="0.4">
      <c r="A56" s="75" t="str">
        <f>IF($C$2=1,L56,IF($C$2=2,L57,IF($C$2=3,L58, IF($C$2=4, L59, "  chyba"))))</f>
        <v>Bočnice M 600mm, šedé</v>
      </c>
      <c r="B56" s="76" t="str">
        <f t="shared" ref="B56" si="61">IF($C$2=1,M56,IF($C$2=2,M57,IF($C$2=3,M58, IF($C$2=4, M59, "  chyba"))))</f>
        <v>378M6002SA</v>
      </c>
      <c r="C56" s="76" t="str">
        <f t="shared" ref="C56" si="62">IF($C$2=1,N56,IF($C$2=2,N57,IF($C$2=3,N58, IF($C$2=4, N59, "  chyba"))))</f>
        <v>R906</v>
      </c>
      <c r="D56" s="172">
        <f t="shared" ref="D56" si="63">IF($C$2=1,O56,IF($C$2=2,O57,IF($C$2=3,O58, IF($C$2=4, O59, "  chyba"))))</f>
        <v>0</v>
      </c>
      <c r="E56" s="77">
        <f t="shared" ref="E56" si="64">IF($C$2=1,P56,IF($C$2=2,P57,IF($C$2=3,P58, IF($C$2=4, P59, "  chyba"))))</f>
        <v>0</v>
      </c>
      <c r="F56" s="78">
        <f>IF($C$2=1,Q56,IF($C$2=2,Q57,IF($C$2=3,Q58, IF($C$2=4, Q59, "  chyba"))))*(100-$F$6)/100</f>
        <v>22.41141</v>
      </c>
      <c r="G56" s="50"/>
      <c r="H56" s="50"/>
      <c r="I56" s="172">
        <f t="shared" ref="I56" si="65">IF($C$2=1,T56,IF($C$2=2,T57,IF($C$2=3,T58, IF($C$2=4, T59, "  chyba"))))</f>
        <v>7921510</v>
      </c>
      <c r="J56" s="172">
        <f t="shared" ref="J56" si="66">IF($C$2=1,U56,IF($C$2=2,U57,IF($C$2=3,U58, IF($C$2=4, U59, "  chyba"))))</f>
        <v>203394</v>
      </c>
      <c r="K56" s="47"/>
      <c r="L56" s="46" t="str">
        <f>Price!A56</f>
        <v>Bočnice M 600mm, šedé</v>
      </c>
      <c r="M56" s="15" t="str">
        <f>Price!B56</f>
        <v>378M6002SA</v>
      </c>
      <c r="N56" s="15" t="str">
        <f>Price!C56</f>
        <v>R906</v>
      </c>
      <c r="O56" s="472">
        <f>Price!D56</f>
        <v>0</v>
      </c>
      <c r="P56" s="15">
        <f>Price!E56</f>
        <v>0</v>
      </c>
      <c r="Q56" s="17">
        <f>Price!F56</f>
        <v>22.41141</v>
      </c>
      <c r="R56" s="171"/>
      <c r="S56" s="171"/>
      <c r="T56" s="12">
        <f>Price!G56</f>
        <v>7921510</v>
      </c>
      <c r="U56" s="12">
        <f>Price!H56</f>
        <v>203394</v>
      </c>
      <c r="V56" s="13"/>
      <c r="W56" s="44"/>
      <c r="X56" s="44"/>
      <c r="Y56" s="44"/>
      <c r="Z56" s="25"/>
    </row>
    <row r="57" spans="1:26" x14ac:dyDescent="0.35">
      <c r="A57" s="65"/>
      <c r="B57" s="162"/>
      <c r="C57" s="162"/>
      <c r="D57" s="162"/>
      <c r="E57" s="64"/>
      <c r="F57" s="52"/>
      <c r="G57" s="52"/>
      <c r="H57" s="52"/>
      <c r="I57" s="162"/>
      <c r="J57" s="162"/>
      <c r="K57" s="47"/>
      <c r="L57" s="46" t="str">
        <f>Price!A57</f>
        <v>Bočnice M 600mm, hedvábně bílé</v>
      </c>
      <c r="M57" s="15" t="str">
        <f>Price!B57</f>
        <v>378M6002SA</v>
      </c>
      <c r="N57" s="15" t="str">
        <f>Price!C57</f>
        <v>SEIW</v>
      </c>
      <c r="O57" s="472">
        <f>Price!D57</f>
        <v>0</v>
      </c>
      <c r="P57" s="15">
        <f>Price!E57</f>
        <v>0</v>
      </c>
      <c r="Q57" s="17">
        <f>Price!F57</f>
        <v>22.41141</v>
      </c>
      <c r="R57" s="171"/>
      <c r="S57" s="171"/>
      <c r="T57" s="12">
        <f>Price!G57</f>
        <v>7509352</v>
      </c>
      <c r="U57" s="12" t="str">
        <f>Price!H57</f>
        <v>IN027B</v>
      </c>
      <c r="V57" s="13"/>
      <c r="W57" s="44"/>
      <c r="X57" s="44"/>
      <c r="Y57" s="44"/>
      <c r="Z57" s="25"/>
    </row>
    <row r="58" spans="1:26" x14ac:dyDescent="0.35">
      <c r="A58" s="65"/>
      <c r="B58" s="162"/>
      <c r="C58" s="162"/>
      <c r="D58" s="162"/>
      <c r="E58" s="64"/>
      <c r="F58" s="52"/>
      <c r="G58" s="52"/>
      <c r="H58" s="52"/>
      <c r="I58" s="162"/>
      <c r="J58" s="162"/>
      <c r="K58" s="47"/>
      <c r="L58" s="46" t="str">
        <f>Price!A58</f>
        <v>Bočnice M 600mm, černé Terra</v>
      </c>
      <c r="M58" s="15" t="str">
        <f>Price!B58</f>
        <v>378M6002SA</v>
      </c>
      <c r="N58" s="15" t="str">
        <f>Price!C58</f>
        <v>TERS</v>
      </c>
      <c r="O58" s="472">
        <f>Price!D58</f>
        <v>0</v>
      </c>
      <c r="P58" s="15">
        <f>Price!E58</f>
        <v>0</v>
      </c>
      <c r="Q58" s="17">
        <f>Price!F58</f>
        <v>22.6065</v>
      </c>
      <c r="R58" s="171"/>
      <c r="S58" s="171"/>
      <c r="T58" s="12">
        <f>Price!G58</f>
        <v>8495666</v>
      </c>
      <c r="U58" s="12" t="str">
        <f>Price!H58</f>
        <v>IN027C</v>
      </c>
      <c r="V58" s="13"/>
      <c r="W58" s="44"/>
      <c r="X58" s="44"/>
      <c r="Y58" s="44"/>
      <c r="Z58" s="25"/>
    </row>
    <row r="59" spans="1:26" x14ac:dyDescent="0.35">
      <c r="A59" s="65"/>
      <c r="B59" s="162"/>
      <c r="C59" s="162"/>
      <c r="D59" s="162"/>
      <c r="E59" s="64"/>
      <c r="F59" s="52"/>
      <c r="G59" s="52"/>
      <c r="H59" s="52"/>
      <c r="I59" s="162"/>
      <c r="J59" s="162"/>
      <c r="K59" s="47"/>
      <c r="L59" s="46" t="str">
        <f>Price!A59</f>
        <v>Bočnice M 600mm, nerez (Inox)</v>
      </c>
      <c r="M59" s="15" t="str">
        <f>Price!B59</f>
        <v>378M6002IA</v>
      </c>
      <c r="N59" s="15" t="str">
        <f>Price!C59</f>
        <v>INGL</v>
      </c>
      <c r="O59" s="472" t="str">
        <f>Price!D59</f>
        <v>!</v>
      </c>
      <c r="P59" s="15">
        <f>Price!E59</f>
        <v>0</v>
      </c>
      <c r="Q59" s="17">
        <f>Price!F59</f>
        <v>35.680259999999997</v>
      </c>
      <c r="R59" s="171"/>
      <c r="S59" s="171"/>
      <c r="T59" s="12">
        <f>Price!G59</f>
        <v>9580294</v>
      </c>
      <c r="U59" s="12">
        <f>Price!H59</f>
        <v>288493</v>
      </c>
      <c r="V59" s="13"/>
      <c r="W59" s="44"/>
      <c r="X59" s="44"/>
      <c r="Y59" s="44"/>
      <c r="Z59" s="25"/>
    </row>
    <row r="60" spans="1:26" ht="15" thickBot="1" x14ac:dyDescent="0.4">
      <c r="A60" s="75" t="str">
        <f>IF($C$2=1,L60,IF($C$2=2,L61,IF($C$2=3,L62, IF($C$2=4, L63, "  chyba"))))</f>
        <v>Bočnice M 650mm, šedé</v>
      </c>
      <c r="B60" s="76" t="str">
        <f t="shared" ref="B60" si="67">IF($C$2=1,M60,IF($C$2=2,M61,IF($C$2=3,M62, IF($C$2=4, M63, "  chyba"))))</f>
        <v>378M6502SA</v>
      </c>
      <c r="C60" s="76" t="str">
        <f t="shared" ref="C60" si="68">IF($C$2=1,N60,IF($C$2=2,N61,IF($C$2=3,N62, IF($C$2=4, N63, "  chyba"))))</f>
        <v>R906</v>
      </c>
      <c r="D60" s="172">
        <f t="shared" ref="D60" si="69">IF($C$2=1,O60,IF($C$2=2,O61,IF($C$2=3,O62, IF($C$2=4, O63, "  chyba"))))</f>
        <v>0</v>
      </c>
      <c r="E60" s="77">
        <f t="shared" ref="E60" si="70">IF($C$2=1,P60,IF($C$2=2,P61,IF($C$2=3,P62, IF($C$2=4, P63, "  chyba"))))</f>
        <v>0</v>
      </c>
      <c r="F60" s="78">
        <f>IF($C$2=1,Q60,IF($C$2=2,Q61,IF($C$2=3,Q62, IF($C$2=4, Q63, "  chyba"))))*(100-$F$6)/100</f>
        <v>23.512640000000001</v>
      </c>
      <c r="G60" s="50"/>
      <c r="H60" s="50"/>
      <c r="I60" s="172">
        <f t="shared" ref="I60" si="71">IF($C$2=1,T60,IF($C$2=2,T61,IF($C$2=3,T62, IF($C$2=4, T63, "  chyba"))))</f>
        <v>7927885</v>
      </c>
      <c r="J60" s="172">
        <f t="shared" ref="J60" si="72">IF($C$2=1,U60,IF($C$2=2,U61,IF($C$2=3,U62, IF($C$2=4, U63, "  chyba"))))</f>
        <v>301611</v>
      </c>
      <c r="K60" s="47"/>
      <c r="L60" s="46" t="str">
        <f>Price!A60</f>
        <v>Bočnice M 650mm, šedé</v>
      </c>
      <c r="M60" s="15" t="str">
        <f>Price!B60</f>
        <v>378M6502SA</v>
      </c>
      <c r="N60" s="15" t="str">
        <f>Price!C60</f>
        <v>R906</v>
      </c>
      <c r="O60" s="472">
        <f>Price!D60</f>
        <v>0</v>
      </c>
      <c r="P60" s="15">
        <f>Price!E60</f>
        <v>0</v>
      </c>
      <c r="Q60" s="17">
        <f>Price!F60</f>
        <v>23.512640000000001</v>
      </c>
      <c r="R60" s="171"/>
      <c r="S60" s="171"/>
      <c r="T60" s="12">
        <f>Price!G60</f>
        <v>7927885</v>
      </c>
      <c r="U60" s="12">
        <f>Price!H60</f>
        <v>301611</v>
      </c>
      <c r="V60" s="13"/>
      <c r="W60" s="44"/>
      <c r="X60" s="44"/>
      <c r="Y60" s="44"/>
      <c r="Z60" s="25"/>
    </row>
    <row r="61" spans="1:26" x14ac:dyDescent="0.35">
      <c r="A61" s="65"/>
      <c r="B61" s="162"/>
      <c r="C61" s="162"/>
      <c r="D61" s="162"/>
      <c r="E61" s="64"/>
      <c r="F61" s="52"/>
      <c r="G61" s="52"/>
      <c r="H61" s="52"/>
      <c r="I61" s="162"/>
      <c r="J61" s="162"/>
      <c r="K61" s="47"/>
      <c r="L61" s="46" t="str">
        <f>Price!A61</f>
        <v>Bočnice M 650mm, hedvábně bílé</v>
      </c>
      <c r="M61" s="15" t="str">
        <f>Price!B61</f>
        <v>378M6502SA</v>
      </c>
      <c r="N61" s="15" t="str">
        <f>Price!C61</f>
        <v>SEIW</v>
      </c>
      <c r="O61" s="472">
        <f>Price!D61</f>
        <v>0</v>
      </c>
      <c r="P61" s="15">
        <f>Price!E61</f>
        <v>0</v>
      </c>
      <c r="Q61" s="17">
        <f>Price!F61</f>
        <v>23.512640000000001</v>
      </c>
      <c r="R61" s="171"/>
      <c r="S61" s="171"/>
      <c r="T61" s="12">
        <f>Price!G61</f>
        <v>7631232</v>
      </c>
      <c r="U61" s="12" t="str">
        <f>Price!H61</f>
        <v>IN028B</v>
      </c>
      <c r="V61" s="13"/>
      <c r="W61" s="44"/>
      <c r="X61" s="44"/>
      <c r="Y61" s="44"/>
      <c r="Z61" s="25"/>
    </row>
    <row r="62" spans="1:26" x14ac:dyDescent="0.35">
      <c r="A62" s="65"/>
      <c r="B62" s="162"/>
      <c r="C62" s="162"/>
      <c r="D62" s="162"/>
      <c r="E62" s="64"/>
      <c r="F62" s="52"/>
      <c r="G62" s="52"/>
      <c r="H62" s="52"/>
      <c r="I62" s="162"/>
      <c r="J62" s="162"/>
      <c r="K62" s="47"/>
      <c r="L62" s="46" t="str">
        <f>Price!A62</f>
        <v>Bočnice M 650mm, černé Terra</v>
      </c>
      <c r="M62" s="15" t="str">
        <f>Price!B62</f>
        <v>378M6502SA</v>
      </c>
      <c r="N62" s="15" t="str">
        <f>Price!C62</f>
        <v>TERS</v>
      </c>
      <c r="O62" s="472">
        <f>Price!D62</f>
        <v>0</v>
      </c>
      <c r="P62" s="15">
        <f>Price!E62</f>
        <v>0</v>
      </c>
      <c r="Q62" s="17">
        <f>Price!F62</f>
        <v>23.707730000000002</v>
      </c>
      <c r="R62" s="171"/>
      <c r="S62" s="171"/>
      <c r="T62" s="12">
        <f>Price!G62</f>
        <v>8561178</v>
      </c>
      <c r="U62" s="12" t="str">
        <f>Price!H62</f>
        <v>IN028C</v>
      </c>
      <c r="V62" s="13"/>
      <c r="W62" s="44"/>
      <c r="X62" s="44"/>
      <c r="Y62" s="44"/>
      <c r="Z62" s="25"/>
    </row>
    <row r="63" spans="1:26" x14ac:dyDescent="0.35">
      <c r="A63" s="43"/>
      <c r="B63" s="161"/>
      <c r="C63" s="161"/>
      <c r="D63" s="161"/>
      <c r="E63" s="64"/>
      <c r="F63" s="50"/>
      <c r="G63" s="50"/>
      <c r="H63" s="50"/>
      <c r="I63" s="161"/>
      <c r="J63" s="161"/>
      <c r="K63" s="48"/>
      <c r="L63" s="46" t="str">
        <f>Price!A63</f>
        <v>Bočnice M 650mm, nerez (Inox)</v>
      </c>
      <c r="M63" s="15" t="str">
        <f>Price!B63</f>
        <v>378M6502IA</v>
      </c>
      <c r="N63" s="15" t="str">
        <f>Price!C63</f>
        <v>INGL</v>
      </c>
      <c r="O63" s="472" t="str">
        <f>Price!D63</f>
        <v>!</v>
      </c>
      <c r="P63" s="15">
        <f>Price!E63</f>
        <v>0</v>
      </c>
      <c r="Q63" s="17">
        <f>Price!F63</f>
        <v>38.035260000000001</v>
      </c>
      <c r="R63" s="171"/>
      <c r="S63" s="171"/>
      <c r="T63" s="12">
        <f>Price!G63</f>
        <v>9631204</v>
      </c>
      <c r="U63" s="12">
        <f>Price!H63</f>
        <v>288495</v>
      </c>
      <c r="V63" s="13"/>
      <c r="W63" s="44"/>
      <c r="X63" s="44"/>
      <c r="Y63" s="44"/>
      <c r="Z63" s="25"/>
    </row>
    <row r="64" spans="1:26" x14ac:dyDescent="0.35">
      <c r="A64" s="43"/>
      <c r="B64" s="161"/>
      <c r="C64" s="161"/>
      <c r="D64" s="161"/>
      <c r="E64" s="64"/>
      <c r="F64" s="50"/>
      <c r="G64" s="50"/>
      <c r="H64" s="50"/>
      <c r="I64" s="161"/>
      <c r="J64" s="161"/>
      <c r="K64" s="48"/>
      <c r="L64" s="46"/>
      <c r="M64" s="15"/>
      <c r="N64" s="15"/>
      <c r="O64" s="472"/>
      <c r="P64" s="15"/>
      <c r="Q64" s="17"/>
      <c r="R64" s="171"/>
      <c r="S64" s="171"/>
      <c r="T64" s="12"/>
      <c r="U64" s="12"/>
      <c r="V64" s="13"/>
      <c r="W64" s="44"/>
      <c r="X64" s="44"/>
      <c r="Y64" s="44"/>
      <c r="Z64" s="25"/>
    </row>
    <row r="65" spans="1:26" ht="15" thickBot="1" x14ac:dyDescent="0.4">
      <c r="A65" s="547" t="str">
        <f>IF($C$2=1,L65,IF($C$2=2,L66,IF($C$2=3,L67,IF($C$2=4," ","  chyba"))))</f>
        <v>Bočnice K 270mm, šedé</v>
      </c>
      <c r="B65" s="547" t="str">
        <f t="shared" ref="B65:J65" si="73">IF($C$2=1,M65,IF($C$2=2,M66,IF($C$2=3,M67,IF($C$2=4," ","  chyba"))))</f>
        <v>378K2702SA</v>
      </c>
      <c r="C65" s="547" t="str">
        <f t="shared" si="73"/>
        <v>R906</v>
      </c>
      <c r="D65" s="547" t="str">
        <f t="shared" si="73"/>
        <v>!</v>
      </c>
      <c r="E65" s="547">
        <f t="shared" si="73"/>
        <v>0</v>
      </c>
      <c r="F65" s="548">
        <f>IF($C$2=1,Q65,IF($C$2=2,Q66,IF($C$2=3,Q67,IF($C$2=4,0,"  chyba"))))*(100-$F$6)/100</f>
        <v>23.526759999999999</v>
      </c>
      <c r="G65" s="549"/>
      <c r="H65" s="549"/>
      <c r="I65" s="547">
        <f t="shared" si="73"/>
        <v>7735870</v>
      </c>
      <c r="J65" s="547">
        <f t="shared" si="73"/>
        <v>210749</v>
      </c>
      <c r="K65" s="48"/>
      <c r="L65" s="46" t="str">
        <f>Price!A65</f>
        <v>Bočnice K 270mm, šedé</v>
      </c>
      <c r="M65" s="15" t="str">
        <f>Price!B65</f>
        <v>378K2702SA</v>
      </c>
      <c r="N65" s="15" t="str">
        <f>Price!C65</f>
        <v>R906</v>
      </c>
      <c r="O65" s="472" t="str">
        <f>Price!D65</f>
        <v>!</v>
      </c>
      <c r="P65" s="15">
        <f>Price!E65</f>
        <v>0</v>
      </c>
      <c r="Q65" s="17">
        <f>Price!F65</f>
        <v>23.526759999999999</v>
      </c>
      <c r="R65" s="171"/>
      <c r="S65" s="171"/>
      <c r="T65" s="12">
        <f>Price!G65</f>
        <v>7735870</v>
      </c>
      <c r="U65" s="12">
        <f>Price!H65</f>
        <v>210749</v>
      </c>
      <c r="V65" s="13"/>
      <c r="W65" s="44"/>
      <c r="X65" s="44"/>
      <c r="Y65" s="44"/>
      <c r="Z65" s="25"/>
    </row>
    <row r="66" spans="1:26" x14ac:dyDescent="0.35">
      <c r="A66" s="43"/>
      <c r="B66" s="161"/>
      <c r="C66" s="161"/>
      <c r="D66" s="161"/>
      <c r="E66" s="64"/>
      <c r="F66" s="50"/>
      <c r="G66" s="50"/>
      <c r="H66" s="50"/>
      <c r="I66" s="161"/>
      <c r="J66" s="161"/>
      <c r="K66" s="48"/>
      <c r="L66" s="46" t="str">
        <f>Price!A66</f>
        <v>Bočnice K 270mm, hedvábně bílé</v>
      </c>
      <c r="M66" s="15" t="str">
        <f>Price!B66</f>
        <v>378K2702SA</v>
      </c>
      <c r="N66" s="15" t="str">
        <f>Price!C66</f>
        <v>SEIW</v>
      </c>
      <c r="O66" s="472" t="str">
        <f>Price!D66</f>
        <v>!</v>
      </c>
      <c r="P66" s="15">
        <f>Price!E66</f>
        <v>0</v>
      </c>
      <c r="Q66" s="17">
        <f>Price!F66</f>
        <v>23.526759999999999</v>
      </c>
      <c r="R66" s="171"/>
      <c r="S66" s="171"/>
      <c r="T66" s="12">
        <f>Price!G66</f>
        <v>7006683</v>
      </c>
      <c r="U66" s="12">
        <f>Price!H66</f>
        <v>210750</v>
      </c>
      <c r="V66" s="13"/>
      <c r="W66" s="44"/>
      <c r="X66" s="44"/>
      <c r="Y66" s="44"/>
      <c r="Z66" s="25"/>
    </row>
    <row r="67" spans="1:26" x14ac:dyDescent="0.35">
      <c r="A67" s="43"/>
      <c r="B67" s="161"/>
      <c r="C67" s="161"/>
      <c r="D67" s="161"/>
      <c r="E67" s="64"/>
      <c r="F67" s="50"/>
      <c r="G67" s="50"/>
      <c r="H67" s="50"/>
      <c r="I67" s="161"/>
      <c r="J67" s="161"/>
      <c r="K67" s="48"/>
      <c r="L67" s="46" t="str">
        <f>Price!A67</f>
        <v>Bočnice K 270mm, černé Terra</v>
      </c>
      <c r="M67" s="15" t="str">
        <f>Price!B67</f>
        <v>378K2702SA</v>
      </c>
      <c r="N67" s="15" t="str">
        <f>Price!C67</f>
        <v>TERS</v>
      </c>
      <c r="O67" s="472" t="str">
        <f>Price!D67</f>
        <v>!</v>
      </c>
      <c r="P67" s="15">
        <f>Price!E67</f>
        <v>0</v>
      </c>
      <c r="Q67" s="17">
        <f>Price!F67</f>
        <v>23.72185</v>
      </c>
      <c r="R67" s="171"/>
      <c r="S67" s="171"/>
      <c r="T67" s="12">
        <f>Price!G67</f>
        <v>8012885</v>
      </c>
      <c r="U67" s="12">
        <f>Price!H67</f>
        <v>210751</v>
      </c>
      <c r="V67" s="13"/>
      <c r="W67" s="44"/>
      <c r="X67" s="44"/>
      <c r="Y67" s="44"/>
      <c r="Z67" s="25"/>
    </row>
    <row r="68" spans="1:26" ht="15" thickBot="1" x14ac:dyDescent="0.4">
      <c r="A68" s="547" t="str">
        <f>IF($C$2=1,L68,IF($C$2=2,L69,IF($C$2=3,L70,IF($C$2=4," ","  chyba"))))</f>
        <v>Bočnice K 300mm, šedé</v>
      </c>
      <c r="B68" s="547" t="str">
        <f t="shared" ref="B68" si="74">IF($C$2=1,M68,IF($C$2=2,M69,IF($C$2=3,M70,IF($C$2=4," ","  chyba"))))</f>
        <v>378K3002SA</v>
      </c>
      <c r="C68" s="547" t="str">
        <f t="shared" ref="C68" si="75">IF($C$2=1,N68,IF($C$2=2,N69,IF($C$2=3,N70,IF($C$2=4," ","  chyba"))))</f>
        <v>R906</v>
      </c>
      <c r="D68" s="547" t="str">
        <f t="shared" ref="D68" si="76">IF($C$2=1,O68,IF($C$2=2,O69,IF($C$2=3,O70,IF($C$2=4," ","  chyba"))))</f>
        <v>!</v>
      </c>
      <c r="E68" s="547">
        <f t="shared" ref="E68" si="77">IF($C$2=1,P68,IF($C$2=2,P69,IF($C$2=3,P70,IF($C$2=4," ","  chyba"))))</f>
        <v>0</v>
      </c>
      <c r="F68" s="548">
        <f>IF($C$2=1,Q68,IF($C$2=2,Q69,IF($C$2=3,Q70,IF($C$2=4,0,"  chyba"))))*(100-$F$6)/100</f>
        <v>23.526759999999999</v>
      </c>
      <c r="G68" s="549"/>
      <c r="H68" s="549"/>
      <c r="I68" s="547">
        <f t="shared" ref="I68" si="78">IF($C$2=1,T68,IF($C$2=2,T69,IF($C$2=3,T70,IF($C$2=4," ","  chyba"))))</f>
        <v>7754207</v>
      </c>
      <c r="J68" s="547">
        <f t="shared" ref="J68" si="79">IF($C$2=1,U68,IF($C$2=2,U69,IF($C$2=3,U70,IF($C$2=4," ","  chyba"))))</f>
        <v>210752</v>
      </c>
      <c r="K68" s="48"/>
      <c r="L68" s="46" t="str">
        <f>Price!A68</f>
        <v>Bočnice K 300mm, šedé</v>
      </c>
      <c r="M68" s="15" t="str">
        <f>Price!B68</f>
        <v>378K3002SA</v>
      </c>
      <c r="N68" s="15" t="str">
        <f>Price!C68</f>
        <v>R906</v>
      </c>
      <c r="O68" s="472" t="str">
        <f>Price!D68</f>
        <v>!</v>
      </c>
      <c r="P68" s="15">
        <f>Price!E68</f>
        <v>0</v>
      </c>
      <c r="Q68" s="17">
        <f>Price!F68</f>
        <v>23.526759999999999</v>
      </c>
      <c r="R68" s="171"/>
      <c r="S68" s="171"/>
      <c r="T68" s="12">
        <f>Price!G68</f>
        <v>7754207</v>
      </c>
      <c r="U68" s="12">
        <f>Price!H68</f>
        <v>210752</v>
      </c>
      <c r="V68" s="13"/>
      <c r="W68" s="44"/>
      <c r="X68" s="44"/>
      <c r="Y68" s="44"/>
      <c r="Z68" s="25"/>
    </row>
    <row r="69" spans="1:26" x14ac:dyDescent="0.35">
      <c r="A69" s="43"/>
      <c r="B69" s="161"/>
      <c r="C69" s="161"/>
      <c r="D69" s="161"/>
      <c r="E69" s="64"/>
      <c r="F69" s="50"/>
      <c r="G69" s="50"/>
      <c r="H69" s="50"/>
      <c r="I69" s="161"/>
      <c r="J69" s="161"/>
      <c r="K69" s="48"/>
      <c r="L69" s="46" t="str">
        <f>Price!A69</f>
        <v>Bočnice K 300mm, hedvábně bílé</v>
      </c>
      <c r="M69" s="15" t="str">
        <f>Price!B69</f>
        <v>378K3002SA</v>
      </c>
      <c r="N69" s="15" t="str">
        <f>Price!C69</f>
        <v>SEIW</v>
      </c>
      <c r="O69" s="472" t="str">
        <f>Price!D69</f>
        <v>!</v>
      </c>
      <c r="P69" s="15">
        <f>Price!E69</f>
        <v>0</v>
      </c>
      <c r="Q69" s="17">
        <f>Price!F69</f>
        <v>23.526759999999999</v>
      </c>
      <c r="R69" s="171"/>
      <c r="S69" s="171"/>
      <c r="T69" s="12">
        <f>Price!G69</f>
        <v>7022103</v>
      </c>
      <c r="U69" s="12">
        <f>Price!H69</f>
        <v>210753</v>
      </c>
      <c r="V69" s="13"/>
      <c r="W69" s="44"/>
      <c r="X69" s="44"/>
      <c r="Y69" s="44"/>
      <c r="Z69" s="25"/>
    </row>
    <row r="70" spans="1:26" x14ac:dyDescent="0.35">
      <c r="A70" s="43"/>
      <c r="B70" s="161"/>
      <c r="C70" s="161"/>
      <c r="D70" s="161"/>
      <c r="E70" s="64"/>
      <c r="F70" s="50"/>
      <c r="G70" s="50"/>
      <c r="H70" s="50"/>
      <c r="I70" s="161"/>
      <c r="J70" s="161"/>
      <c r="K70" s="48"/>
      <c r="L70" s="46" t="str">
        <f>Price!A70</f>
        <v>Bočnice K 300mm, černé Terra</v>
      </c>
      <c r="M70" s="15" t="str">
        <f>Price!B70</f>
        <v>378K3002SA</v>
      </c>
      <c r="N70" s="15" t="str">
        <f>Price!C70</f>
        <v>TERS</v>
      </c>
      <c r="O70" s="472" t="str">
        <f>Price!D70</f>
        <v>!</v>
      </c>
      <c r="P70" s="15">
        <f>Price!E70</f>
        <v>0</v>
      </c>
      <c r="Q70" s="17">
        <f>Price!F70</f>
        <v>25.630549999999999</v>
      </c>
      <c r="R70" s="171"/>
      <c r="S70" s="171"/>
      <c r="T70" s="12">
        <f>Price!G70</f>
        <v>8014677</v>
      </c>
      <c r="U70" s="12">
        <f>Price!H70</f>
        <v>210769</v>
      </c>
      <c r="V70" s="13"/>
      <c r="W70" s="44"/>
      <c r="X70" s="44"/>
      <c r="Y70" s="44"/>
      <c r="Z70" s="25"/>
    </row>
    <row r="71" spans="1:26" ht="15" thickBot="1" x14ac:dyDescent="0.4">
      <c r="A71" s="547" t="str">
        <f>IF($C$2=1,L71,IF($C$2=2,L72,IF($C$2=3,L73,IF($C$2=4," ","  chyba"))))</f>
        <v>Bočnice K 350mm, šedé</v>
      </c>
      <c r="B71" s="547" t="str">
        <f t="shared" ref="B71" si="80">IF($C$2=1,M71,IF($C$2=2,M72,IF($C$2=3,M73,IF($C$2=4," ","  chyba"))))</f>
        <v>378K3502SA</v>
      </c>
      <c r="C71" s="547" t="str">
        <f t="shared" ref="C71" si="81">IF($C$2=1,N71,IF($C$2=2,N72,IF($C$2=3,N73,IF($C$2=4," ","  chyba"))))</f>
        <v>R906</v>
      </c>
      <c r="D71" s="547" t="str">
        <f t="shared" ref="D71" si="82">IF($C$2=1,O71,IF($C$2=2,O72,IF($C$2=3,O73,IF($C$2=4," ","  chyba"))))</f>
        <v>!</v>
      </c>
      <c r="E71" s="547">
        <f t="shared" ref="E71" si="83">IF($C$2=1,P71,IF($C$2=2,P72,IF($C$2=3,P73,IF($C$2=4," ","  chyba"))))</f>
        <v>0</v>
      </c>
      <c r="F71" s="548">
        <f>IF($C$2=1,Q71,IF($C$2=2,Q72,IF($C$2=3,Q73,IF($C$2=4,0,"  chyba"))))*(100-$F$6)/100</f>
        <v>23.526759999999999</v>
      </c>
      <c r="G71" s="549"/>
      <c r="H71" s="549"/>
      <c r="I71" s="547">
        <f t="shared" ref="I71" si="84">IF($C$2=1,T71,IF($C$2=2,T72,IF($C$2=3,T73,IF($C$2=4," ","  chyba"))))</f>
        <v>7754240</v>
      </c>
      <c r="J71" s="547">
        <f t="shared" ref="J71" si="85">IF($C$2=1,U71,IF($C$2=2,U72,IF($C$2=3,U73,IF($C$2=4," ","  chyba"))))</f>
        <v>210755</v>
      </c>
      <c r="K71" s="48"/>
      <c r="L71" s="46" t="str">
        <f>Price!A71</f>
        <v>Bočnice K 350mm, šedé</v>
      </c>
      <c r="M71" s="15" t="str">
        <f>Price!B71</f>
        <v>378K3502SA</v>
      </c>
      <c r="N71" s="15" t="str">
        <f>Price!C71</f>
        <v>R906</v>
      </c>
      <c r="O71" s="472" t="str">
        <f>Price!D71</f>
        <v>!</v>
      </c>
      <c r="P71" s="15">
        <f>Price!E71</f>
        <v>0</v>
      </c>
      <c r="Q71" s="17">
        <f>Price!F71</f>
        <v>23.526759999999999</v>
      </c>
      <c r="R71" s="171"/>
      <c r="S71" s="171"/>
      <c r="T71" s="12">
        <f>Price!G71</f>
        <v>7754240</v>
      </c>
      <c r="U71" s="12">
        <f>Price!H71</f>
        <v>210755</v>
      </c>
      <c r="V71" s="13"/>
      <c r="W71" s="44"/>
      <c r="X71" s="44"/>
      <c r="Y71" s="44"/>
      <c r="Z71" s="25"/>
    </row>
    <row r="72" spans="1:26" x14ac:dyDescent="0.35">
      <c r="A72" s="43"/>
      <c r="B72" s="161"/>
      <c r="C72" s="161"/>
      <c r="D72" s="161"/>
      <c r="E72" s="64"/>
      <c r="F72" s="50"/>
      <c r="G72" s="50"/>
      <c r="H72" s="50"/>
      <c r="I72" s="161"/>
      <c r="J72" s="161"/>
      <c r="K72" s="48"/>
      <c r="L72" s="46" t="str">
        <f>Price!A72</f>
        <v>Bočnice K 350mm, hedvábně bílé</v>
      </c>
      <c r="M72" s="15" t="str">
        <f>Price!B72</f>
        <v>378K3502SA</v>
      </c>
      <c r="N72" s="15" t="str">
        <f>Price!C72</f>
        <v>SEIW</v>
      </c>
      <c r="O72" s="472" t="str">
        <f>Price!D72</f>
        <v>!</v>
      </c>
      <c r="P72" s="15">
        <f>Price!E72</f>
        <v>0</v>
      </c>
      <c r="Q72" s="17">
        <f>Price!F72</f>
        <v>23.526759999999999</v>
      </c>
      <c r="R72" s="171"/>
      <c r="S72" s="171"/>
      <c r="T72" s="12">
        <f>Price!G72</f>
        <v>7055586</v>
      </c>
      <c r="U72" s="12">
        <f>Price!H72</f>
        <v>210756</v>
      </c>
      <c r="V72" s="409"/>
      <c r="W72" s="44"/>
      <c r="X72" s="44"/>
      <c r="Y72" s="44"/>
      <c r="Z72" s="25"/>
    </row>
    <row r="73" spans="1:26" x14ac:dyDescent="0.35">
      <c r="A73" s="43"/>
      <c r="B73" s="161"/>
      <c r="C73" s="161"/>
      <c r="D73" s="161"/>
      <c r="E73" s="64"/>
      <c r="F73" s="50"/>
      <c r="G73" s="50"/>
      <c r="H73" s="50"/>
      <c r="I73" s="161"/>
      <c r="J73" s="161"/>
      <c r="K73" s="48"/>
      <c r="L73" s="46" t="str">
        <f>Price!A73</f>
        <v>Bočnice K 350mm, černé Terra</v>
      </c>
      <c r="M73" s="15" t="str">
        <f>Price!B73</f>
        <v>378K3502SA</v>
      </c>
      <c r="N73" s="15" t="str">
        <f>Price!C73</f>
        <v>TERS</v>
      </c>
      <c r="O73" s="472" t="str">
        <f>Price!D73</f>
        <v>!</v>
      </c>
      <c r="P73" s="15">
        <f>Price!E73</f>
        <v>0</v>
      </c>
      <c r="Q73" s="17">
        <f>Price!F73</f>
        <v>23.72185</v>
      </c>
      <c r="R73" s="171"/>
      <c r="S73" s="171"/>
      <c r="T73" s="12">
        <f>Price!G73</f>
        <v>8039764</v>
      </c>
      <c r="U73" s="12">
        <f>Price!H73</f>
        <v>210757</v>
      </c>
      <c r="V73" s="13"/>
      <c r="W73" s="44"/>
      <c r="X73" s="44"/>
      <c r="Y73" s="44"/>
      <c r="Z73" s="25"/>
    </row>
    <row r="74" spans="1:26" ht="15" thickBot="1" x14ac:dyDescent="0.4">
      <c r="A74" s="547" t="str">
        <f>IF($C$2=1,L74,IF($C$2=2,L75,IF($C$2=3,L76,IF($C$2=4," ","  chyba"))))</f>
        <v>Bočnice K 400mm, šedé</v>
      </c>
      <c r="B74" s="547" t="str">
        <f t="shared" ref="B74" si="86">IF($C$2=1,M74,IF($C$2=2,M75,IF($C$2=3,M76,IF($C$2=4," ","  chyba"))))</f>
        <v>378K4002SA</v>
      </c>
      <c r="C74" s="547" t="str">
        <f t="shared" ref="C74" si="87">IF($C$2=1,N74,IF($C$2=2,N75,IF($C$2=3,N76,IF($C$2=4," ","  chyba"))))</f>
        <v>R906</v>
      </c>
      <c r="D74" s="547" t="str">
        <f t="shared" ref="D74" si="88">IF($C$2=1,O74,IF($C$2=2,O75,IF($C$2=3,O76,IF($C$2=4," ","  chyba"))))</f>
        <v>!</v>
      </c>
      <c r="E74" s="547">
        <f t="shared" ref="E74" si="89">IF($C$2=1,P74,IF($C$2=2,P75,IF($C$2=3,P76,IF($C$2=4," ","  chyba"))))</f>
        <v>0</v>
      </c>
      <c r="F74" s="548">
        <f>IF($C$2=1,Q74,IF($C$2=2,Q75,IF($C$2=3,Q76,IF($C$2=4,0,"  chyba"))))*(100-$F$6)/100</f>
        <v>23.673449999999999</v>
      </c>
      <c r="G74" s="549"/>
      <c r="H74" s="549"/>
      <c r="I74" s="547">
        <f t="shared" ref="I74" si="90">IF($C$2=1,T74,IF($C$2=2,T75,IF($C$2=3,T76,IF($C$2=4," ","  chyba"))))</f>
        <v>7770099</v>
      </c>
      <c r="J74" s="547">
        <f t="shared" ref="J74" si="91">IF($C$2=1,U74,IF($C$2=2,U75,IF($C$2=3,U76,IF($C$2=4," ","  chyba"))))</f>
        <v>210758</v>
      </c>
      <c r="K74" s="48"/>
      <c r="L74" s="46" t="str">
        <f>Price!A74</f>
        <v>Bočnice K 400mm, šedé</v>
      </c>
      <c r="M74" s="15" t="str">
        <f>Price!B74</f>
        <v>378K4002SA</v>
      </c>
      <c r="N74" s="15" t="str">
        <f>Price!C74</f>
        <v>R906</v>
      </c>
      <c r="O74" s="472" t="str">
        <f>Price!D74</f>
        <v>!</v>
      </c>
      <c r="P74" s="15">
        <f>Price!E74</f>
        <v>0</v>
      </c>
      <c r="Q74" s="17">
        <f>Price!F74</f>
        <v>23.673449999999999</v>
      </c>
      <c r="R74" s="171"/>
      <c r="S74" s="171"/>
      <c r="T74" s="12">
        <f>Price!G74</f>
        <v>7770099</v>
      </c>
      <c r="U74" s="12">
        <f>Price!H74</f>
        <v>210758</v>
      </c>
      <c r="V74" s="13"/>
      <c r="W74" s="44"/>
      <c r="X74" s="44"/>
      <c r="Y74" s="44"/>
      <c r="Z74" s="25"/>
    </row>
    <row r="75" spans="1:26" x14ac:dyDescent="0.35">
      <c r="A75" s="43"/>
      <c r="B75" s="161"/>
      <c r="C75" s="161"/>
      <c r="D75" s="161"/>
      <c r="E75" s="64"/>
      <c r="F75" s="50"/>
      <c r="G75" s="50"/>
      <c r="H75" s="50"/>
      <c r="I75" s="161"/>
      <c r="J75" s="161"/>
      <c r="K75" s="48"/>
      <c r="L75" s="46" t="str">
        <f>Price!A75</f>
        <v>Bočnice K 400mm, hedvábně bílé</v>
      </c>
      <c r="M75" s="15" t="str">
        <f>Price!B75</f>
        <v>378K4002SA</v>
      </c>
      <c r="N75" s="15" t="str">
        <f>Price!C75</f>
        <v>SEIW</v>
      </c>
      <c r="O75" s="472" t="str">
        <f>Price!D75</f>
        <v>!</v>
      </c>
      <c r="P75" s="15">
        <f>Price!E75</f>
        <v>0</v>
      </c>
      <c r="Q75" s="17">
        <f>Price!F75</f>
        <v>23.673449999999999</v>
      </c>
      <c r="R75" s="171"/>
      <c r="S75" s="171"/>
      <c r="T75" s="12">
        <f>Price!G75</f>
        <v>7090157</v>
      </c>
      <c r="U75" s="12">
        <f>Price!H75</f>
        <v>210759</v>
      </c>
      <c r="V75" s="13"/>
      <c r="W75" s="44"/>
      <c r="X75" s="44"/>
      <c r="Y75" s="44"/>
      <c r="Z75" s="25"/>
    </row>
    <row r="76" spans="1:26" x14ac:dyDescent="0.35">
      <c r="A76" s="43"/>
      <c r="B76" s="161"/>
      <c r="C76" s="161"/>
      <c r="D76" s="161"/>
      <c r="E76" s="64"/>
      <c r="F76" s="50"/>
      <c r="G76" s="50"/>
      <c r="H76" s="50"/>
      <c r="I76" s="161"/>
      <c r="J76" s="161"/>
      <c r="K76" s="48"/>
      <c r="L76" s="46" t="str">
        <f>Price!A76</f>
        <v>Bočnice K 400mm, černé Terra</v>
      </c>
      <c r="M76" s="15" t="str">
        <f>Price!B76</f>
        <v>378K4002SA</v>
      </c>
      <c r="N76" s="15" t="str">
        <f>Price!C76</f>
        <v>TERS</v>
      </c>
      <c r="O76" s="472" t="str">
        <f>Price!D76</f>
        <v>!</v>
      </c>
      <c r="P76" s="15">
        <f>Price!E76</f>
        <v>0</v>
      </c>
      <c r="Q76" s="17">
        <f>Price!F76</f>
        <v>23.868539999999999</v>
      </c>
      <c r="R76" s="171"/>
      <c r="S76" s="171"/>
      <c r="T76" s="12">
        <f>Price!G76</f>
        <v>8054532</v>
      </c>
      <c r="U76" s="12">
        <f>Price!H76</f>
        <v>210760</v>
      </c>
      <c r="V76" s="13"/>
      <c r="W76" s="44"/>
      <c r="X76" s="44"/>
      <c r="Y76" s="44"/>
      <c r="Z76" s="25"/>
    </row>
    <row r="77" spans="1:26" ht="15" thickBot="1" x14ac:dyDescent="0.4">
      <c r="A77" s="547" t="str">
        <f>IF($C$2=1,L77,IF($C$2=2,L78,IF($C$2=3,L79,IF($C$2=4," ","  chyba"))))</f>
        <v>Bočnice K 450mm, šedé</v>
      </c>
      <c r="B77" s="547" t="str">
        <f t="shared" ref="B77" si="92">IF($C$2=1,M77,IF($C$2=2,M78,IF($C$2=3,M79,IF($C$2=4," ","  chyba"))))</f>
        <v>378K4502SA</v>
      </c>
      <c r="C77" s="547" t="str">
        <f t="shared" ref="C77" si="93">IF($C$2=1,N77,IF($C$2=2,N78,IF($C$2=3,N79,IF($C$2=4," ","  chyba"))))</f>
        <v>R906</v>
      </c>
      <c r="D77" s="547">
        <f t="shared" ref="D77" si="94">IF($C$2=1,O77,IF($C$2=2,O78,IF($C$2=3,O79,IF($C$2=4," ","  chyba"))))</f>
        <v>0</v>
      </c>
      <c r="E77" s="547">
        <f t="shared" ref="E77" si="95">IF($C$2=1,P77,IF($C$2=2,P78,IF($C$2=3,P79,IF($C$2=4," ","  chyba"))))</f>
        <v>0</v>
      </c>
      <c r="F77" s="548">
        <f>IF($C$2=1,Q77,IF($C$2=2,Q78,IF($C$2=3,Q79,IF($C$2=4,0,"  chyba"))))*(100-$F$6)/100</f>
        <v>23.820340000000002</v>
      </c>
      <c r="G77" s="549"/>
      <c r="H77" s="549"/>
      <c r="I77" s="547">
        <f t="shared" ref="I77" si="96">IF($C$2=1,T77,IF($C$2=2,T78,IF($C$2=3,T79,IF($C$2=4," ","  chyba"))))</f>
        <v>7800942</v>
      </c>
      <c r="J77" s="547">
        <f t="shared" ref="J77" si="97">IF($C$2=1,U77,IF($C$2=2,U78,IF($C$2=3,U79,IF($C$2=4," ","  chyba"))))</f>
        <v>210761</v>
      </c>
      <c r="K77" s="48"/>
      <c r="L77" s="46" t="str">
        <f>Price!A77</f>
        <v>Bočnice K 450mm, šedé</v>
      </c>
      <c r="M77" s="15" t="str">
        <f>Price!B77</f>
        <v>378K4502SA</v>
      </c>
      <c r="N77" s="15" t="str">
        <f>Price!C77</f>
        <v>R906</v>
      </c>
      <c r="O77" s="472">
        <f>Price!D77</f>
        <v>0</v>
      </c>
      <c r="P77" s="15">
        <f>Price!E77</f>
        <v>0</v>
      </c>
      <c r="Q77" s="17">
        <f>Price!F77</f>
        <v>23.820340000000002</v>
      </c>
      <c r="R77" s="171"/>
      <c r="S77" s="171"/>
      <c r="T77" s="12">
        <f>Price!G77</f>
        <v>7800942</v>
      </c>
      <c r="U77" s="12">
        <f>Price!H77</f>
        <v>210761</v>
      </c>
      <c r="V77" s="13"/>
      <c r="W77" s="44"/>
      <c r="X77" s="44"/>
      <c r="Y77" s="44"/>
      <c r="Z77" s="25"/>
    </row>
    <row r="78" spans="1:26" x14ac:dyDescent="0.35">
      <c r="A78" s="43"/>
      <c r="B78" s="161"/>
      <c r="C78" s="161"/>
      <c r="D78" s="161"/>
      <c r="E78" s="64"/>
      <c r="F78" s="50"/>
      <c r="G78" s="50"/>
      <c r="H78" s="50"/>
      <c r="I78" s="161"/>
      <c r="J78" s="161"/>
      <c r="K78" s="48"/>
      <c r="L78" s="46" t="str">
        <f>Price!A78</f>
        <v>Bočnice K 450mm, hedvábně bílé</v>
      </c>
      <c r="M78" s="15" t="str">
        <f>Price!B78</f>
        <v>378K4502SA</v>
      </c>
      <c r="N78" s="15" t="str">
        <f>Price!C78</f>
        <v>SEIW</v>
      </c>
      <c r="O78" s="472">
        <f>Price!D78</f>
        <v>0</v>
      </c>
      <c r="P78" s="15">
        <f>Price!E78</f>
        <v>0</v>
      </c>
      <c r="Q78" s="17">
        <f>Price!F78</f>
        <v>23.820340000000002</v>
      </c>
      <c r="R78" s="171"/>
      <c r="S78" s="171"/>
      <c r="T78" s="12">
        <f>Price!G78</f>
        <v>7094091</v>
      </c>
      <c r="U78" s="12">
        <f>Price!H78</f>
        <v>210762</v>
      </c>
      <c r="V78" s="13"/>
      <c r="W78" s="44"/>
      <c r="X78" s="44"/>
      <c r="Y78" s="44"/>
      <c r="Z78" s="25"/>
    </row>
    <row r="79" spans="1:26" x14ac:dyDescent="0.35">
      <c r="A79" s="43"/>
      <c r="B79" s="161"/>
      <c r="C79" s="161"/>
      <c r="D79" s="161"/>
      <c r="E79" s="64"/>
      <c r="F79" s="50"/>
      <c r="G79" s="50"/>
      <c r="H79" s="50"/>
      <c r="I79" s="161"/>
      <c r="J79" s="161"/>
      <c r="K79" s="48"/>
      <c r="L79" s="46" t="str">
        <f>Price!A79</f>
        <v>Bočnice K 450mm, černé Terra</v>
      </c>
      <c r="M79" s="15" t="str">
        <f>Price!B79</f>
        <v>378K4502SA</v>
      </c>
      <c r="N79" s="15" t="str">
        <f>Price!C79</f>
        <v>TERS</v>
      </c>
      <c r="O79" s="472" t="str">
        <f>Price!D79</f>
        <v>!</v>
      </c>
      <c r="P79" s="15">
        <f>Price!E79</f>
        <v>0</v>
      </c>
      <c r="Q79" s="17">
        <f>Price!F79</f>
        <v>24.015239999999999</v>
      </c>
      <c r="R79" s="171"/>
      <c r="S79" s="171"/>
      <c r="T79" s="12">
        <f>Price!G79</f>
        <v>8097406</v>
      </c>
      <c r="U79" s="12">
        <f>Price!H79</f>
        <v>210763</v>
      </c>
      <c r="V79" s="13"/>
      <c r="W79" s="44"/>
      <c r="X79" s="44"/>
      <c r="Y79" s="44"/>
      <c r="Z79" s="25"/>
    </row>
    <row r="80" spans="1:26" ht="15" thickBot="1" x14ac:dyDescent="0.4">
      <c r="A80" s="547" t="str">
        <f>IF($C$2=1,L80,IF($C$2=2,L81,IF($C$2=3,L82,IF($C$2=4," ","  chyba"))))</f>
        <v>Bočnice K 500mm, šedé</v>
      </c>
      <c r="B80" s="547" t="str">
        <f t="shared" ref="B80" si="98">IF($C$2=1,M80,IF($C$2=2,M81,IF($C$2=3,M82,IF($C$2=4," ","  chyba"))))</f>
        <v>378K5002SA</v>
      </c>
      <c r="C80" s="547" t="str">
        <f t="shared" ref="C80" si="99">IF($C$2=1,N80,IF($C$2=2,N81,IF($C$2=3,N82,IF($C$2=4," ","  chyba"))))</f>
        <v>R906</v>
      </c>
      <c r="D80" s="547">
        <f t="shared" ref="D80" si="100">IF($C$2=1,O80,IF($C$2=2,O81,IF($C$2=3,O82,IF($C$2=4," ","  chyba"))))</f>
        <v>0</v>
      </c>
      <c r="E80" s="547">
        <f t="shared" ref="E80" si="101">IF($C$2=1,P80,IF($C$2=2,P81,IF($C$2=3,P82,IF($C$2=4," ","  chyba"))))</f>
        <v>0</v>
      </c>
      <c r="F80" s="548">
        <f>IF($C$2=1,Q80,IF($C$2=2,Q81,IF($C$2=3,Q82,IF($C$2=4,0,"  chyba"))))*(100-$F$6)/100</f>
        <v>23.967030000000001</v>
      </c>
      <c r="G80" s="549"/>
      <c r="H80" s="549"/>
      <c r="I80" s="547">
        <f t="shared" ref="I80" si="102">IF($C$2=1,T80,IF($C$2=2,T81,IF($C$2=3,T82,IF($C$2=4," ","  chyba"))))</f>
        <v>7826509</v>
      </c>
      <c r="J80" s="547">
        <f t="shared" ref="J80" si="103">IF($C$2=1,U80,IF($C$2=2,U81,IF($C$2=3,U82,IF($C$2=4," ","  chyba"))))</f>
        <v>210764</v>
      </c>
      <c r="K80" s="20"/>
      <c r="L80" s="46" t="str">
        <f>Price!A80</f>
        <v>Bočnice K 500mm, šedé</v>
      </c>
      <c r="M80" s="15" t="str">
        <f>Price!B80</f>
        <v>378K5002SA</v>
      </c>
      <c r="N80" s="15" t="str">
        <f>Price!C80</f>
        <v>R906</v>
      </c>
      <c r="O80" s="472">
        <f>Price!D80</f>
        <v>0</v>
      </c>
      <c r="P80" s="15">
        <f>Price!E80</f>
        <v>0</v>
      </c>
      <c r="Q80" s="17">
        <f>Price!F80</f>
        <v>23.967030000000001</v>
      </c>
      <c r="R80" s="171"/>
      <c r="S80" s="171"/>
      <c r="T80" s="12">
        <f>Price!G80</f>
        <v>7826509</v>
      </c>
      <c r="U80" s="12">
        <f>Price!H80</f>
        <v>210764</v>
      </c>
      <c r="V80" s="13"/>
      <c r="W80" s="44"/>
      <c r="X80" s="44"/>
      <c r="Y80" s="44"/>
      <c r="Z80" s="25"/>
    </row>
    <row r="81" spans="1:26" x14ac:dyDescent="0.35">
      <c r="A81" s="62"/>
      <c r="B81" s="161"/>
      <c r="C81" s="161"/>
      <c r="D81" s="161"/>
      <c r="E81" s="64"/>
      <c r="F81" s="50"/>
      <c r="G81" s="50"/>
      <c r="H81" s="50"/>
      <c r="I81" s="161"/>
      <c r="J81" s="161"/>
      <c r="K81" s="20"/>
      <c r="L81" s="46" t="str">
        <f>Price!A81</f>
        <v>Bočnice K 500mm, hedvábně bílé</v>
      </c>
      <c r="M81" s="15" t="str">
        <f>Price!B81</f>
        <v>378K5002SA</v>
      </c>
      <c r="N81" s="15" t="str">
        <f>Price!C81</f>
        <v>SEIW</v>
      </c>
      <c r="O81" s="472">
        <f>Price!D81</f>
        <v>0</v>
      </c>
      <c r="P81" s="15">
        <f>Price!E81</f>
        <v>0</v>
      </c>
      <c r="Q81" s="17">
        <f>Price!F81</f>
        <v>23.967030000000001</v>
      </c>
      <c r="R81" s="171"/>
      <c r="S81" s="171"/>
      <c r="T81" s="12">
        <f>Price!G81</f>
        <v>7119326</v>
      </c>
      <c r="U81" s="12">
        <f>Price!H81</f>
        <v>210765</v>
      </c>
      <c r="V81" s="13"/>
      <c r="W81" s="44"/>
      <c r="X81" s="44"/>
      <c r="Y81" s="44"/>
      <c r="Z81" s="25"/>
    </row>
    <row r="82" spans="1:26" x14ac:dyDescent="0.35">
      <c r="A82" s="65"/>
      <c r="B82" s="162"/>
      <c r="C82" s="162"/>
      <c r="D82" s="162"/>
      <c r="E82" s="64"/>
      <c r="F82" s="52"/>
      <c r="G82" s="52"/>
      <c r="H82" s="52"/>
      <c r="I82" s="162"/>
      <c r="J82" s="162"/>
      <c r="K82" s="47"/>
      <c r="L82" s="46" t="str">
        <f>Price!A82</f>
        <v>Bočnice K 500mm, černé Terra</v>
      </c>
      <c r="M82" s="15" t="str">
        <f>Price!B82</f>
        <v>378K5002SA</v>
      </c>
      <c r="N82" s="15" t="str">
        <f>Price!C82</f>
        <v>TERS</v>
      </c>
      <c r="O82" s="472" t="str">
        <f>Price!D82</f>
        <v>!</v>
      </c>
      <c r="P82" s="15">
        <f>Price!E82</f>
        <v>0</v>
      </c>
      <c r="Q82" s="17">
        <f>Price!F82</f>
        <v>24.161930000000002</v>
      </c>
      <c r="R82" s="171"/>
      <c r="S82" s="171"/>
      <c r="T82" s="12">
        <f>Price!G82</f>
        <v>8103002</v>
      </c>
      <c r="U82" s="12">
        <f>Price!H82</f>
        <v>210766</v>
      </c>
      <c r="V82" s="13"/>
      <c r="W82" s="44"/>
      <c r="X82" s="44"/>
      <c r="Y82" s="44"/>
      <c r="Z82" s="25"/>
    </row>
    <row r="83" spans="1:26" ht="15" thickBot="1" x14ac:dyDescent="0.4">
      <c r="A83" s="547" t="str">
        <f>IF($C$2=1,L83,IF($C$2=2,L84,IF($C$2=3,L85,IF($C$2=4," ","  chyba"))))</f>
        <v>Bočnice K 550mm, šedé</v>
      </c>
      <c r="B83" s="547" t="str">
        <f t="shared" ref="B83" si="104">IF($C$2=1,M83,IF($C$2=2,M84,IF($C$2=3,M85,IF($C$2=4," ","  chyba"))))</f>
        <v>378K5502SA</v>
      </c>
      <c r="C83" s="547" t="str">
        <f t="shared" ref="C83" si="105">IF($C$2=1,N83,IF($C$2=2,N84,IF($C$2=3,N85,IF($C$2=4," ","  chyba"))))</f>
        <v>R906</v>
      </c>
      <c r="D83" s="547" t="str">
        <f t="shared" ref="D83" si="106">IF($C$2=1,O83,IF($C$2=2,O84,IF($C$2=3,O85,IF($C$2=4," ","  chyba"))))</f>
        <v>!</v>
      </c>
      <c r="E83" s="547">
        <f t="shared" ref="E83" si="107">IF($C$2=1,P83,IF($C$2=2,P84,IF($C$2=3,P85,IF($C$2=4," ","  chyba"))))</f>
        <v>0</v>
      </c>
      <c r="F83" s="548">
        <f>IF($C$2=1,Q83,IF($C$2=2,Q84,IF($C$2=3,Q85,IF($C$2=4,0,"  chyba"))))*(100-$F$6)/100</f>
        <v>25.435459999999999</v>
      </c>
      <c r="G83" s="549"/>
      <c r="H83" s="549"/>
      <c r="I83" s="547">
        <f t="shared" ref="I83" si="108">IF($C$2=1,T83,IF($C$2=2,T84,IF($C$2=3,T85,IF($C$2=4," ","  chyba"))))</f>
        <v>7833537</v>
      </c>
      <c r="J83" s="547">
        <f t="shared" ref="J83" si="109">IF($C$2=1,U83,IF($C$2=2,U84,IF($C$2=3,U85,IF($C$2=4," ","  chyba"))))</f>
        <v>210767</v>
      </c>
      <c r="K83" s="48"/>
      <c r="L83" s="46" t="str">
        <f>Price!A83</f>
        <v>Bočnice K 550mm, šedé</v>
      </c>
      <c r="M83" s="15" t="str">
        <f>Price!B83</f>
        <v>378K5502SA</v>
      </c>
      <c r="N83" s="15" t="str">
        <f>Price!C83</f>
        <v>R906</v>
      </c>
      <c r="O83" s="472" t="str">
        <f>Price!D83</f>
        <v>!</v>
      </c>
      <c r="P83" s="15">
        <f>Price!E83</f>
        <v>0</v>
      </c>
      <c r="Q83" s="17">
        <f>Price!F83</f>
        <v>25.435459999999999</v>
      </c>
      <c r="R83" s="171"/>
      <c r="S83" s="171"/>
      <c r="T83" s="12">
        <f>Price!G83</f>
        <v>7833537</v>
      </c>
      <c r="U83" s="12">
        <f>Price!H83</f>
        <v>210767</v>
      </c>
      <c r="V83" s="13"/>
      <c r="W83" s="21"/>
      <c r="X83" s="24"/>
      <c r="Y83" s="24"/>
      <c r="Z83" s="25"/>
    </row>
    <row r="84" spans="1:26" x14ac:dyDescent="0.35">
      <c r="A84" s="43"/>
      <c r="B84" s="161"/>
      <c r="C84" s="161"/>
      <c r="D84" s="161"/>
      <c r="E84" s="64"/>
      <c r="F84" s="50"/>
      <c r="G84" s="50"/>
      <c r="H84" s="50"/>
      <c r="I84" s="161"/>
      <c r="J84" s="161"/>
      <c r="K84" s="20"/>
      <c r="L84" s="46" t="str">
        <f>Price!A84</f>
        <v>Bočnice K 550mm, hedvábně bílé</v>
      </c>
      <c r="M84" s="15" t="str">
        <f>Price!B84</f>
        <v>378K5502SA</v>
      </c>
      <c r="N84" s="15" t="str">
        <f>Price!C84</f>
        <v>SEIW</v>
      </c>
      <c r="O84" s="472" t="str">
        <f>Price!D84</f>
        <v>!</v>
      </c>
      <c r="P84" s="15">
        <f>Price!E84</f>
        <v>0</v>
      </c>
      <c r="Q84" s="17">
        <f>Price!F84</f>
        <v>25.435459999999999</v>
      </c>
      <c r="R84" s="171"/>
      <c r="S84" s="171"/>
      <c r="T84" s="12">
        <f>Price!G84</f>
        <v>7134230</v>
      </c>
      <c r="U84" s="12">
        <f>Price!H84</f>
        <v>210768</v>
      </c>
      <c r="V84" s="13"/>
      <c r="W84" s="13"/>
      <c r="X84" s="19"/>
      <c r="Y84" s="19"/>
    </row>
    <row r="85" spans="1:26" x14ac:dyDescent="0.35">
      <c r="A85" s="62"/>
      <c r="B85" s="161"/>
      <c r="C85" s="161"/>
      <c r="D85" s="161"/>
      <c r="E85" s="64"/>
      <c r="F85" s="50"/>
      <c r="G85" s="50"/>
      <c r="H85" s="50"/>
      <c r="I85" s="161"/>
      <c r="J85" s="161"/>
      <c r="K85" s="20"/>
      <c r="L85" s="46" t="str">
        <f>Price!A85</f>
        <v>Bočnice K 550mm, černé Terra</v>
      </c>
      <c r="M85" s="15" t="str">
        <f>Price!B85</f>
        <v>378K5502SA</v>
      </c>
      <c r="N85" s="15" t="str">
        <f>Price!C85</f>
        <v>TERS</v>
      </c>
      <c r="O85" s="472" t="str">
        <f>Price!D85</f>
        <v>!</v>
      </c>
      <c r="P85" s="15">
        <f>Price!E85</f>
        <v>0</v>
      </c>
      <c r="Q85" s="17">
        <f>Price!F85</f>
        <v>25.630549999999999</v>
      </c>
      <c r="R85" s="171"/>
      <c r="S85" s="171"/>
      <c r="T85" s="12">
        <f>Price!G85</f>
        <v>8122542</v>
      </c>
      <c r="U85" s="12">
        <f>Price!H85</f>
        <v>210769</v>
      </c>
      <c r="V85" s="13"/>
      <c r="W85" s="13"/>
      <c r="X85" s="19"/>
      <c r="Y85" s="19"/>
    </row>
    <row r="86" spans="1:26" ht="15" thickBot="1" x14ac:dyDescent="0.4">
      <c r="A86" s="547" t="str">
        <f>IF($C$2=1,L86,IF($C$2=2,L87,IF($C$2=3,L88,IF($C$2=4," ","  chyba"))))</f>
        <v>Bočnice K 600mm, šedé</v>
      </c>
      <c r="B86" s="547" t="str">
        <f t="shared" ref="B86" si="110">IF($C$2=1,M86,IF($C$2=2,M87,IF($C$2=3,M88,IF($C$2=4," ","  chyba"))))</f>
        <v>378K6002SA</v>
      </c>
      <c r="C86" s="547" t="str">
        <f t="shared" ref="C86" si="111">IF($C$2=1,N86,IF($C$2=2,N87,IF($C$2=3,N88,IF($C$2=4," ","  chyba"))))</f>
        <v>R906</v>
      </c>
      <c r="D86" s="547" t="str">
        <f t="shared" ref="D86" si="112">IF($C$2=1,O86,IF($C$2=2,O87,IF($C$2=3,O88,IF($C$2=4," ","  chyba"))))</f>
        <v>!</v>
      </c>
      <c r="E86" s="547">
        <f t="shared" ref="E86" si="113">IF($C$2=1,P86,IF($C$2=2,P87,IF($C$2=3,P88,IF($C$2=4," ","  chyba"))))</f>
        <v>0</v>
      </c>
      <c r="F86" s="548">
        <f>IF($C$2=1,Q86,IF($C$2=2,Q87,IF($C$2=3,Q88,IF($C$2=4,0,"  chyba"))))*(100-$F$6)/100</f>
        <v>29.71855</v>
      </c>
      <c r="G86" s="549"/>
      <c r="H86" s="549"/>
      <c r="I86" s="547">
        <f t="shared" ref="I86" si="114">IF($C$2=1,T86,IF($C$2=2,T87,IF($C$2=3,T88,IF($C$2=4," ","  chyba"))))</f>
        <v>7843319</v>
      </c>
      <c r="J86" s="547">
        <f t="shared" ref="J86" si="115">IF($C$2=1,U86,IF($C$2=2,U87,IF($C$2=3,U88,IF($C$2=4," ","  chyba"))))</f>
        <v>210770</v>
      </c>
      <c r="K86" s="47"/>
      <c r="L86" s="46" t="str">
        <f>Price!A86</f>
        <v>Bočnice K 600mm, šedé</v>
      </c>
      <c r="M86" s="15" t="str">
        <f>Price!B86</f>
        <v>378K6002SA</v>
      </c>
      <c r="N86" s="15" t="str">
        <f>Price!C86</f>
        <v>R906</v>
      </c>
      <c r="O86" s="472" t="str">
        <f>Price!D86</f>
        <v>!</v>
      </c>
      <c r="P86" s="15">
        <f>Price!E86</f>
        <v>0</v>
      </c>
      <c r="Q86" s="17">
        <f>Price!F86</f>
        <v>29.71855</v>
      </c>
      <c r="R86" s="171"/>
      <c r="S86" s="171"/>
      <c r="T86" s="12">
        <f>Price!G86</f>
        <v>7843319</v>
      </c>
      <c r="U86" s="12">
        <f>Price!H86</f>
        <v>210770</v>
      </c>
      <c r="V86" s="13"/>
      <c r="W86" s="20"/>
      <c r="X86" s="19"/>
      <c r="Y86" s="19"/>
    </row>
    <row r="87" spans="1:26" x14ac:dyDescent="0.35">
      <c r="A87" s="43"/>
      <c r="B87" s="161"/>
      <c r="C87" s="161"/>
      <c r="D87" s="161"/>
      <c r="E87" s="64"/>
      <c r="F87" s="50"/>
      <c r="G87" s="50"/>
      <c r="H87" s="50"/>
      <c r="I87" s="161"/>
      <c r="J87" s="161"/>
      <c r="K87" s="48"/>
      <c r="L87" s="46" t="str">
        <f>Price!A87</f>
        <v>Bočnice K 600mm, hedvábně bílé</v>
      </c>
      <c r="M87" s="15" t="str">
        <f>Price!B87</f>
        <v>378K6002SA</v>
      </c>
      <c r="N87" s="15" t="str">
        <f>Price!C87</f>
        <v>SEIW</v>
      </c>
      <c r="O87" s="472" t="str">
        <f>Price!D87</f>
        <v>!</v>
      </c>
      <c r="P87" s="15">
        <f>Price!E87</f>
        <v>0</v>
      </c>
      <c r="Q87" s="17">
        <f>Price!F87</f>
        <v>29.71855</v>
      </c>
      <c r="R87" s="171"/>
      <c r="S87" s="171"/>
      <c r="T87" s="12">
        <f>Price!G87</f>
        <v>7163931</v>
      </c>
      <c r="U87" s="12">
        <f>Price!H87</f>
        <v>210771</v>
      </c>
      <c r="V87" s="13"/>
      <c r="W87" s="13"/>
      <c r="X87" s="19"/>
      <c r="Y87" s="19"/>
    </row>
    <row r="88" spans="1:26" x14ac:dyDescent="0.35">
      <c r="A88" s="43"/>
      <c r="B88" s="161"/>
      <c r="C88" s="161"/>
      <c r="D88" s="161"/>
      <c r="E88" s="64"/>
      <c r="F88" s="50"/>
      <c r="G88" s="50"/>
      <c r="H88" s="50"/>
      <c r="I88" s="161"/>
      <c r="J88" s="161"/>
      <c r="K88" s="48"/>
      <c r="L88" s="46" t="str">
        <f>Price!A88</f>
        <v>Bočnice K 600mm, černé Terra</v>
      </c>
      <c r="M88" s="15" t="str">
        <f>Price!B88</f>
        <v>378K6002SA</v>
      </c>
      <c r="N88" s="15" t="str">
        <f>Price!C88</f>
        <v>TERS</v>
      </c>
      <c r="O88" s="472" t="str">
        <f>Price!D88</f>
        <v>!</v>
      </c>
      <c r="P88" s="15">
        <f>Price!E88</f>
        <v>0</v>
      </c>
      <c r="Q88" s="17">
        <f>Price!F88</f>
        <v>29.913450000000001</v>
      </c>
      <c r="R88" s="171"/>
      <c r="S88" s="171"/>
      <c r="T88" s="12">
        <f>Price!G88</f>
        <v>8134692</v>
      </c>
      <c r="U88" s="12">
        <f>Price!H88</f>
        <v>210772</v>
      </c>
      <c r="V88" s="13"/>
      <c r="W88" s="13"/>
      <c r="X88" s="19"/>
      <c r="Y88" s="19"/>
    </row>
    <row r="89" spans="1:26" ht="15" thickBot="1" x14ac:dyDescent="0.4">
      <c r="A89" s="547" t="str">
        <f>IF($C$2=1,L89,IF($C$2=2,L90,IF($C$2=3,L91,IF($C$2=4," ","  chyba"))))</f>
        <v>Bočnice K 650mm, šedé</v>
      </c>
      <c r="B89" s="547" t="str">
        <f t="shared" ref="B89" si="116">IF($C$2=1,M89,IF($C$2=2,M90,IF($C$2=3,M91,IF($C$2=4," ","  chyba"))))</f>
        <v>378K6502SA</v>
      </c>
      <c r="C89" s="547" t="str">
        <f t="shared" ref="C89" si="117">IF($C$2=1,N89,IF($C$2=2,N90,IF($C$2=3,N91,IF($C$2=4," ","  chyba"))))</f>
        <v>R906</v>
      </c>
      <c r="D89" s="547" t="str">
        <f t="shared" ref="D89" si="118">IF($C$2=1,O89,IF($C$2=2,O90,IF($C$2=3,O91,IF($C$2=4," ","  chyba"))))</f>
        <v>!</v>
      </c>
      <c r="E89" s="547">
        <f t="shared" ref="E89" si="119">IF($C$2=1,P89,IF($C$2=2,P90,IF($C$2=3,P91,IF($C$2=4," ","  chyba"))))</f>
        <v>0</v>
      </c>
      <c r="F89" s="548">
        <f>IF($C$2=1,Q89,IF($C$2=2,Q90,IF($C$2=3,Q91,IF($C$2=4,0,"  chyba"))))*(100-$F$6)/100</f>
        <v>30.819780000000002</v>
      </c>
      <c r="G89" s="549"/>
      <c r="H89" s="549"/>
      <c r="I89" s="547">
        <f t="shared" ref="I89" si="120">IF($C$2=1,T89,IF($C$2=2,T90,IF($C$2=3,T91,IF($C$2=4," ","  chyba"))))</f>
        <v>7862096</v>
      </c>
      <c r="J89" s="547">
        <f t="shared" ref="J89" si="121">IF($C$2=1,U89,IF($C$2=2,U90,IF($C$2=3,U91,IF($C$2=4," ","  chyba"))))</f>
        <v>210773</v>
      </c>
      <c r="K89" s="48"/>
      <c r="L89" s="46" t="str">
        <f>Price!A89</f>
        <v>Bočnice K 650mm, šedé</v>
      </c>
      <c r="M89" s="15" t="str">
        <f>Price!B89</f>
        <v>378K6502SA</v>
      </c>
      <c r="N89" s="15" t="str">
        <f>Price!C89</f>
        <v>R906</v>
      </c>
      <c r="O89" s="472" t="str">
        <f>Price!D89</f>
        <v>!</v>
      </c>
      <c r="P89" s="15">
        <f>Price!E89</f>
        <v>0</v>
      </c>
      <c r="Q89" s="17">
        <f>Price!F89</f>
        <v>30.819780000000002</v>
      </c>
      <c r="R89" s="171"/>
      <c r="S89" s="171"/>
      <c r="T89" s="12">
        <f>Price!G89</f>
        <v>7862096</v>
      </c>
      <c r="U89" s="12">
        <f>Price!H89</f>
        <v>210773</v>
      </c>
      <c r="V89" s="13"/>
      <c r="W89" s="13"/>
      <c r="X89" s="19"/>
      <c r="Y89" s="19"/>
    </row>
    <row r="90" spans="1:26" x14ac:dyDescent="0.35">
      <c r="A90" s="43"/>
      <c r="B90" s="161"/>
      <c r="C90" s="161"/>
      <c r="D90" s="161"/>
      <c r="E90" s="64"/>
      <c r="F90" s="50"/>
      <c r="G90" s="50"/>
      <c r="H90" s="50"/>
      <c r="I90" s="161"/>
      <c r="J90" s="161"/>
      <c r="K90" s="48"/>
      <c r="L90" s="46" t="str">
        <f>Price!A90</f>
        <v>Bočnice K 650mm, hedvábně bílé</v>
      </c>
      <c r="M90" s="15" t="str">
        <f>Price!B90</f>
        <v>378K6502SA</v>
      </c>
      <c r="N90" s="15" t="str">
        <f>Price!C90</f>
        <v>SEIW</v>
      </c>
      <c r="O90" s="472" t="str">
        <f>Price!D90</f>
        <v>!</v>
      </c>
      <c r="P90" s="15">
        <f>Price!E90</f>
        <v>0</v>
      </c>
      <c r="Q90" s="17">
        <f>Price!F90</f>
        <v>30.819780000000002</v>
      </c>
      <c r="R90" s="171"/>
      <c r="S90" s="171"/>
      <c r="T90" s="12">
        <f>Price!G90</f>
        <v>7170704</v>
      </c>
      <c r="U90" s="12">
        <f>Price!H90</f>
        <v>210774</v>
      </c>
      <c r="V90" s="13"/>
      <c r="W90" s="13"/>
      <c r="X90" s="19"/>
      <c r="Y90" s="19"/>
    </row>
    <row r="91" spans="1:26" x14ac:dyDescent="0.35">
      <c r="A91" s="43"/>
      <c r="B91" s="161"/>
      <c r="C91" s="161"/>
      <c r="D91" s="161"/>
      <c r="E91" s="64"/>
      <c r="F91" s="50"/>
      <c r="G91" s="50"/>
      <c r="H91" s="50"/>
      <c r="I91" s="161"/>
      <c r="J91" s="161"/>
      <c r="K91" s="48"/>
      <c r="L91" s="46" t="str">
        <f>Price!A91</f>
        <v>Bočnice K 650mm, černé Terra</v>
      </c>
      <c r="M91" s="15" t="str">
        <f>Price!B91</f>
        <v>378K6502SA</v>
      </c>
      <c r="N91" s="15" t="str">
        <f>Price!C91</f>
        <v>TERS</v>
      </c>
      <c r="O91" s="472" t="str">
        <f>Price!D91</f>
        <v>!</v>
      </c>
      <c r="P91" s="15">
        <f>Price!E91</f>
        <v>0</v>
      </c>
      <c r="Q91" s="17">
        <f>Price!F91</f>
        <v>31.014679999999998</v>
      </c>
      <c r="R91" s="171"/>
      <c r="S91" s="171"/>
      <c r="T91" s="12">
        <f>Price!G91</f>
        <v>8142017</v>
      </c>
      <c r="U91" s="12">
        <f>Price!H91</f>
        <v>210775</v>
      </c>
      <c r="V91" s="13"/>
      <c r="W91" s="13"/>
      <c r="X91" s="19"/>
      <c r="Y91" s="19"/>
    </row>
    <row r="92" spans="1:26" x14ac:dyDescent="0.35">
      <c r="A92" s="62"/>
      <c r="B92" s="161"/>
      <c r="C92" s="161"/>
      <c r="D92" s="161"/>
      <c r="E92" s="64"/>
      <c r="F92" s="50"/>
      <c r="G92" s="50"/>
      <c r="H92" s="50"/>
      <c r="I92" s="176"/>
      <c r="J92" s="176"/>
      <c r="K92" s="20"/>
      <c r="L92" s="46">
        <f>Price!A92</f>
        <v>0</v>
      </c>
      <c r="M92" s="15">
        <f>Price!B92</f>
        <v>0</v>
      </c>
      <c r="N92" s="15">
        <f>Price!C92</f>
        <v>0</v>
      </c>
      <c r="O92" s="472">
        <f>Price!D92</f>
        <v>0</v>
      </c>
      <c r="P92" s="15">
        <f>Price!E92</f>
        <v>0</v>
      </c>
      <c r="Q92" s="17">
        <f>Price!F92</f>
        <v>0</v>
      </c>
      <c r="R92" s="171"/>
      <c r="S92" s="171"/>
      <c r="T92" s="12">
        <f>Price!G92</f>
        <v>0</v>
      </c>
      <c r="U92" s="12">
        <f>Price!H92</f>
        <v>0</v>
      </c>
      <c r="V92" s="13"/>
      <c r="W92" s="13"/>
      <c r="X92" s="19"/>
      <c r="Y92" s="19"/>
    </row>
    <row r="93" spans="1:26" x14ac:dyDescent="0.35">
      <c r="A93" s="62"/>
      <c r="B93" s="161"/>
      <c r="C93" s="161"/>
      <c r="D93" s="161"/>
      <c r="E93" s="64"/>
      <c r="F93" s="50"/>
      <c r="G93" s="50"/>
      <c r="H93" s="50"/>
      <c r="I93" s="161"/>
      <c r="J93" s="161"/>
      <c r="K93" s="20"/>
      <c r="L93" s="46" t="str">
        <f>Price!A93</f>
        <v xml:space="preserve">   Korpusové lišty BLUMOTION</v>
      </c>
      <c r="M93" s="15">
        <f>Price!B93</f>
        <v>0</v>
      </c>
      <c r="N93" s="15">
        <f>Price!C93</f>
        <v>0</v>
      </c>
      <c r="O93" s="472">
        <f>Price!D93</f>
        <v>0</v>
      </c>
      <c r="P93" s="15">
        <f>Price!E93</f>
        <v>0</v>
      </c>
      <c r="Q93" s="17">
        <f>Price!F93</f>
        <v>0</v>
      </c>
      <c r="R93" s="171"/>
      <c r="S93" s="171"/>
      <c r="T93" s="12">
        <f>Price!G93</f>
        <v>0</v>
      </c>
      <c r="U93" s="12">
        <f>Price!H93</f>
        <v>0</v>
      </c>
      <c r="V93" s="13"/>
      <c r="W93" s="13"/>
      <c r="X93" s="19"/>
      <c r="Y93" s="19"/>
    </row>
    <row r="94" spans="1:26" x14ac:dyDescent="0.35">
      <c r="A94" s="79" t="str">
        <f t="shared" ref="A94:A103" si="122">L94</f>
        <v>Korpusové lišty 270mm, BLUMOTION, 30kg</v>
      </c>
      <c r="B94" s="80" t="str">
        <f t="shared" ref="B94:B103" si="123">M94</f>
        <v>578.2701B</v>
      </c>
      <c r="C94" s="80" t="str">
        <f t="shared" ref="C94:C103" si="124">N94</f>
        <v>ZN</v>
      </c>
      <c r="D94" s="173">
        <f>O94</f>
        <v>0</v>
      </c>
      <c r="E94" s="81"/>
      <c r="F94" s="17">
        <f t="shared" ref="F94:F103" si="125">Q94*(100-$F$6)/100</f>
        <v>16.390229999999999</v>
      </c>
      <c r="G94" s="50"/>
      <c r="H94" s="50"/>
      <c r="I94" s="173">
        <f t="shared" ref="I94:I103" si="126">T94</f>
        <v>8000501</v>
      </c>
      <c r="J94" s="173">
        <f t="shared" ref="J94:J103" si="127">U94</f>
        <v>14300</v>
      </c>
      <c r="K94" s="47"/>
      <c r="L94" s="46" t="str">
        <f>Price!A94</f>
        <v>Korpusové lišty 270mm, BLUMOTION, 30kg</v>
      </c>
      <c r="M94" s="15" t="str">
        <f>Price!B94</f>
        <v>578.2701B</v>
      </c>
      <c r="N94" s="15" t="str">
        <f>Price!C94</f>
        <v>ZN</v>
      </c>
      <c r="O94" s="472">
        <f>Price!D94</f>
        <v>0</v>
      </c>
      <c r="P94" s="15">
        <f>Price!E94</f>
        <v>0</v>
      </c>
      <c r="Q94" s="17">
        <f>Price!F94</f>
        <v>16.390229999999999</v>
      </c>
      <c r="R94" s="171"/>
      <c r="S94" s="171"/>
      <c r="T94" s="12">
        <f>Price!G94</f>
        <v>8000501</v>
      </c>
      <c r="U94" s="12">
        <f>Price!H94</f>
        <v>14300</v>
      </c>
      <c r="V94" s="13"/>
      <c r="W94" s="13"/>
      <c r="X94" s="19"/>
      <c r="Y94" s="19"/>
    </row>
    <row r="95" spans="1:26" x14ac:dyDescent="0.35">
      <c r="A95" s="79" t="str">
        <f t="shared" si="122"/>
        <v>Korpusové lišty 300mm, BLUMOTION, 30kg</v>
      </c>
      <c r="B95" s="80" t="str">
        <f t="shared" si="123"/>
        <v>578.3001B</v>
      </c>
      <c r="C95" s="80" t="str">
        <f t="shared" si="124"/>
        <v>ZN</v>
      </c>
      <c r="D95" s="173">
        <f t="shared" ref="D95:D106" si="128">O95</f>
        <v>0</v>
      </c>
      <c r="E95" s="81"/>
      <c r="F95" s="17">
        <f t="shared" si="125"/>
        <v>16.390229999999999</v>
      </c>
      <c r="G95" s="50"/>
      <c r="H95" s="50"/>
      <c r="I95" s="173">
        <f t="shared" si="126"/>
        <v>8091502</v>
      </c>
      <c r="J95" s="173">
        <f t="shared" si="127"/>
        <v>14299</v>
      </c>
      <c r="K95" s="48"/>
      <c r="L95" s="46" t="str">
        <f>Price!A95</f>
        <v>Korpusové lišty 300mm, BLUMOTION, 30kg</v>
      </c>
      <c r="M95" s="15" t="str">
        <f>Price!B95</f>
        <v>578.3001B</v>
      </c>
      <c r="N95" s="15" t="str">
        <f>Price!C95</f>
        <v>ZN</v>
      </c>
      <c r="O95" s="472">
        <f>Price!D95</f>
        <v>0</v>
      </c>
      <c r="P95" s="15">
        <f>Price!E95</f>
        <v>0</v>
      </c>
      <c r="Q95" s="17">
        <f>Price!F95</f>
        <v>16.390229999999999</v>
      </c>
      <c r="R95" s="171"/>
      <c r="S95" s="171"/>
      <c r="T95" s="12">
        <f>Price!G95</f>
        <v>8091502</v>
      </c>
      <c r="U95" s="12">
        <f>Price!H95</f>
        <v>14299</v>
      </c>
      <c r="V95" s="13"/>
      <c r="W95" s="13"/>
      <c r="X95" s="19"/>
      <c r="Y95" s="19"/>
    </row>
    <row r="96" spans="1:26" x14ac:dyDescent="0.35">
      <c r="A96" s="79" t="str">
        <f t="shared" si="122"/>
        <v>Korpusové lišty 350mm, BLUMOTION, 30kg</v>
      </c>
      <c r="B96" s="80" t="str">
        <f t="shared" si="123"/>
        <v>578.3501B</v>
      </c>
      <c r="C96" s="80" t="str">
        <f t="shared" si="124"/>
        <v>ZN</v>
      </c>
      <c r="D96" s="173">
        <f t="shared" si="128"/>
        <v>0</v>
      </c>
      <c r="E96" s="81"/>
      <c r="F96" s="17">
        <f t="shared" si="125"/>
        <v>16.390229999999999</v>
      </c>
      <c r="G96" s="50"/>
      <c r="H96" s="50"/>
      <c r="I96" s="173">
        <f t="shared" si="126"/>
        <v>8359762</v>
      </c>
      <c r="J96" s="173">
        <f t="shared" si="127"/>
        <v>14301</v>
      </c>
      <c r="K96" s="20"/>
      <c r="L96" s="46" t="str">
        <f>Price!A96</f>
        <v>Korpusové lišty 350mm, BLUMOTION, 30kg</v>
      </c>
      <c r="M96" s="15" t="str">
        <f>Price!B96</f>
        <v>578.3501B</v>
      </c>
      <c r="N96" s="15" t="str">
        <f>Price!C96</f>
        <v>ZN</v>
      </c>
      <c r="O96" s="472">
        <f>Price!D96</f>
        <v>0</v>
      </c>
      <c r="P96" s="15">
        <f>Price!E96</f>
        <v>0</v>
      </c>
      <c r="Q96" s="17">
        <f>Price!F96</f>
        <v>16.390229999999999</v>
      </c>
      <c r="R96" s="171"/>
      <c r="S96" s="171"/>
      <c r="T96" s="12">
        <f>Price!G96</f>
        <v>8359762</v>
      </c>
      <c r="U96" s="12">
        <f>Price!H96</f>
        <v>14301</v>
      </c>
      <c r="V96" s="13"/>
      <c r="W96" s="13"/>
      <c r="X96" s="19"/>
      <c r="Y96" s="19"/>
    </row>
    <row r="97" spans="1:25" x14ac:dyDescent="0.35">
      <c r="A97" s="79" t="str">
        <f t="shared" si="122"/>
        <v>Korpusové lišty 400mm, BLUMOTION, 30kg</v>
      </c>
      <c r="B97" s="80" t="str">
        <f t="shared" si="123"/>
        <v>578.4001B</v>
      </c>
      <c r="C97" s="80" t="str">
        <f t="shared" si="124"/>
        <v>ZN</v>
      </c>
      <c r="D97" s="173">
        <f t="shared" si="128"/>
        <v>0</v>
      </c>
      <c r="E97" s="81"/>
      <c r="F97" s="17">
        <f t="shared" si="125"/>
        <v>16.512820000000001</v>
      </c>
      <c r="G97" s="50"/>
      <c r="H97" s="50"/>
      <c r="I97" s="173">
        <f t="shared" si="126"/>
        <v>8445585</v>
      </c>
      <c r="J97" s="173">
        <f t="shared" si="127"/>
        <v>14302</v>
      </c>
      <c r="K97" s="20"/>
      <c r="L97" s="46" t="str">
        <f>Price!A97</f>
        <v>Korpusové lišty 400mm, BLUMOTION, 30kg</v>
      </c>
      <c r="M97" s="15" t="str">
        <f>Price!B97</f>
        <v>578.4001B</v>
      </c>
      <c r="N97" s="15" t="str">
        <f>Price!C97</f>
        <v>ZN</v>
      </c>
      <c r="O97" s="472">
        <f>Price!D97</f>
        <v>0</v>
      </c>
      <c r="P97" s="15">
        <f>Price!E97</f>
        <v>0</v>
      </c>
      <c r="Q97" s="17">
        <f>Price!F97</f>
        <v>16.512820000000001</v>
      </c>
      <c r="R97" s="171"/>
      <c r="S97" s="171"/>
      <c r="T97" s="12">
        <f>Price!G97</f>
        <v>8445585</v>
      </c>
      <c r="U97" s="12">
        <f>Price!H97</f>
        <v>14302</v>
      </c>
      <c r="V97" s="13"/>
      <c r="W97" s="13"/>
      <c r="X97" s="19"/>
      <c r="Y97" s="19"/>
    </row>
    <row r="98" spans="1:25" x14ac:dyDescent="0.35">
      <c r="A98" s="79" t="str">
        <f t="shared" si="122"/>
        <v>Korpusové lišty 450mm, BLUMOTION, 30kg</v>
      </c>
      <c r="B98" s="80" t="str">
        <f t="shared" si="123"/>
        <v>578.4501B</v>
      </c>
      <c r="C98" s="80" t="str">
        <f t="shared" si="124"/>
        <v>ZN</v>
      </c>
      <c r="D98" s="173">
        <f t="shared" si="128"/>
        <v>0</v>
      </c>
      <c r="E98" s="81"/>
      <c r="F98" s="17">
        <f t="shared" si="125"/>
        <v>16.63541</v>
      </c>
      <c r="G98" s="50"/>
      <c r="H98" s="50"/>
      <c r="I98" s="173">
        <f t="shared" si="126"/>
        <v>8517597</v>
      </c>
      <c r="J98" s="173">
        <f t="shared" si="127"/>
        <v>14303</v>
      </c>
      <c r="K98" s="47"/>
      <c r="L98" s="46" t="str">
        <f>Price!A98</f>
        <v>Korpusové lišty 450mm, BLUMOTION, 30kg</v>
      </c>
      <c r="M98" s="15" t="str">
        <f>Price!B98</f>
        <v>578.4501B</v>
      </c>
      <c r="N98" s="15" t="str">
        <f>Price!C98</f>
        <v>ZN</v>
      </c>
      <c r="O98" s="472">
        <f>Price!D98</f>
        <v>0</v>
      </c>
      <c r="P98" s="15">
        <f>Price!E98</f>
        <v>0</v>
      </c>
      <c r="Q98" s="17">
        <f>Price!F98</f>
        <v>16.63541</v>
      </c>
      <c r="R98" s="171"/>
      <c r="S98" s="171"/>
      <c r="T98" s="12">
        <f>Price!G98</f>
        <v>8517597</v>
      </c>
      <c r="U98" s="12">
        <f>Price!H98</f>
        <v>14303</v>
      </c>
      <c r="V98" s="13"/>
      <c r="W98" s="13"/>
      <c r="X98" s="19"/>
      <c r="Y98" s="19"/>
    </row>
    <row r="99" spans="1:25" x14ac:dyDescent="0.35">
      <c r="A99" s="79" t="str">
        <f t="shared" si="122"/>
        <v>Korpusové lišty 450mm, BLUMOTION, 65kg</v>
      </c>
      <c r="B99" s="80" t="str">
        <f t="shared" si="123"/>
        <v>576.4501B</v>
      </c>
      <c r="C99" s="80" t="str">
        <f t="shared" si="124"/>
        <v>ZN</v>
      </c>
      <c r="D99" s="173">
        <f t="shared" si="128"/>
        <v>0</v>
      </c>
      <c r="E99" s="81"/>
      <c r="F99" s="17">
        <f t="shared" si="125"/>
        <v>22.021799999999999</v>
      </c>
      <c r="G99" s="50"/>
      <c r="H99" s="50"/>
      <c r="I99" s="173">
        <f t="shared" si="126"/>
        <v>6861652</v>
      </c>
      <c r="J99" s="173">
        <f t="shared" si="127"/>
        <v>311001</v>
      </c>
      <c r="K99" s="48"/>
      <c r="L99" s="46" t="str">
        <f>Price!A99</f>
        <v>Korpusové lišty 450mm, BLUMOTION, 65kg</v>
      </c>
      <c r="M99" s="15" t="str">
        <f>Price!B99</f>
        <v>576.4501B</v>
      </c>
      <c r="N99" s="15" t="str">
        <f>Price!C99</f>
        <v>ZN</v>
      </c>
      <c r="O99" s="472">
        <f>Price!D99</f>
        <v>0</v>
      </c>
      <c r="P99" s="15">
        <f>Price!E99</f>
        <v>0</v>
      </c>
      <c r="Q99" s="17">
        <f>Price!F99</f>
        <v>22.021799999999999</v>
      </c>
      <c r="R99" s="171"/>
      <c r="S99" s="171"/>
      <c r="T99" s="12">
        <f>Price!G99</f>
        <v>6861652</v>
      </c>
      <c r="U99" s="12">
        <f>Price!H99</f>
        <v>311001</v>
      </c>
      <c r="V99" s="13"/>
      <c r="W99" s="13"/>
      <c r="X99" s="19"/>
      <c r="Y99" s="19"/>
    </row>
    <row r="100" spans="1:25" x14ac:dyDescent="0.35">
      <c r="A100" s="79" t="str">
        <f t="shared" si="122"/>
        <v>Korpusové lišty 500mm, BLUMOTION, 30kg</v>
      </c>
      <c r="B100" s="80" t="str">
        <f t="shared" si="123"/>
        <v>578.5001B</v>
      </c>
      <c r="C100" s="80" t="str">
        <f t="shared" si="124"/>
        <v>ZN</v>
      </c>
      <c r="D100" s="173">
        <f t="shared" si="128"/>
        <v>0</v>
      </c>
      <c r="E100" s="81"/>
      <c r="F100" s="17">
        <f t="shared" si="125"/>
        <v>15.919919999999999</v>
      </c>
      <c r="G100" s="50"/>
      <c r="H100" s="50"/>
      <c r="I100" s="173">
        <f t="shared" si="126"/>
        <v>8548489</v>
      </c>
      <c r="J100" s="173">
        <f t="shared" si="127"/>
        <v>14304</v>
      </c>
      <c r="K100" s="20"/>
      <c r="L100" s="46" t="str">
        <f>Price!A100</f>
        <v>Korpusové lišty 500mm, BLUMOTION, 30kg</v>
      </c>
      <c r="M100" s="15" t="str">
        <f>Price!B100</f>
        <v>578.5001B</v>
      </c>
      <c r="N100" s="15" t="str">
        <f>Price!C100</f>
        <v>ZN</v>
      </c>
      <c r="O100" s="472">
        <f>Price!D100</f>
        <v>0</v>
      </c>
      <c r="P100" s="15">
        <f>Price!E100</f>
        <v>0</v>
      </c>
      <c r="Q100" s="17">
        <f>Price!F100</f>
        <v>15.919919999999999</v>
      </c>
      <c r="R100" s="171"/>
      <c r="S100" s="171"/>
      <c r="T100" s="12">
        <f>Price!G100</f>
        <v>8548489</v>
      </c>
      <c r="U100" s="12">
        <f>Price!H100</f>
        <v>14304</v>
      </c>
      <c r="V100" s="13"/>
      <c r="W100" s="13"/>
      <c r="X100" s="19"/>
      <c r="Y100" s="19"/>
    </row>
    <row r="101" spans="1:25" x14ac:dyDescent="0.35">
      <c r="A101" s="79" t="str">
        <f t="shared" si="122"/>
        <v>Korpusové lišty 500mm, BLUMOTION, 65kg</v>
      </c>
      <c r="B101" s="80" t="str">
        <f t="shared" si="123"/>
        <v>576.5001B</v>
      </c>
      <c r="C101" s="80" t="str">
        <f t="shared" si="124"/>
        <v>ZN</v>
      </c>
      <c r="D101" s="173">
        <f t="shared" si="128"/>
        <v>0</v>
      </c>
      <c r="E101" s="81"/>
      <c r="F101" s="17">
        <f t="shared" si="125"/>
        <v>24.51277</v>
      </c>
      <c r="G101" s="50"/>
      <c r="H101" s="50"/>
      <c r="I101" s="173">
        <f t="shared" si="126"/>
        <v>6861712</v>
      </c>
      <c r="J101" s="173">
        <f t="shared" si="127"/>
        <v>310998</v>
      </c>
      <c r="K101" s="20"/>
      <c r="L101" s="46" t="str">
        <f>Price!A101</f>
        <v>Korpusové lišty 500mm, BLUMOTION, 65kg</v>
      </c>
      <c r="M101" s="15" t="str">
        <f>Price!B101</f>
        <v>576.5001B</v>
      </c>
      <c r="N101" s="15" t="str">
        <f>Price!C101</f>
        <v>ZN</v>
      </c>
      <c r="O101" s="472">
        <f>Price!D101</f>
        <v>0</v>
      </c>
      <c r="P101" s="15">
        <f>Price!E101</f>
        <v>0</v>
      </c>
      <c r="Q101" s="17">
        <f>Price!F101</f>
        <v>24.51277</v>
      </c>
      <c r="R101" s="171"/>
      <c r="S101" s="171"/>
      <c r="T101" s="12">
        <f>Price!G101</f>
        <v>6861712</v>
      </c>
      <c r="U101" s="12">
        <f>Price!H101</f>
        <v>310998</v>
      </c>
      <c r="V101" s="13"/>
      <c r="W101" s="13"/>
      <c r="X101" s="19"/>
      <c r="Y101" s="19"/>
    </row>
    <row r="102" spans="1:25" x14ac:dyDescent="0.35">
      <c r="A102" s="79" t="str">
        <f t="shared" si="122"/>
        <v>Korpusové lišty 550mm, BLUMOTION, 30kg</v>
      </c>
      <c r="B102" s="80" t="str">
        <f t="shared" si="123"/>
        <v>578.5501B</v>
      </c>
      <c r="C102" s="80" t="str">
        <f t="shared" si="124"/>
        <v>ZN</v>
      </c>
      <c r="D102" s="173">
        <f t="shared" si="128"/>
        <v>0</v>
      </c>
      <c r="E102" s="81"/>
      <c r="F102" s="17">
        <f t="shared" si="125"/>
        <v>17.614419999999999</v>
      </c>
      <c r="G102" s="50"/>
      <c r="H102" s="50"/>
      <c r="I102" s="173">
        <f t="shared" si="126"/>
        <v>8653566</v>
      </c>
      <c r="J102" s="173">
        <f t="shared" si="127"/>
        <v>14305</v>
      </c>
      <c r="K102" s="49"/>
      <c r="L102" s="46" t="str">
        <f>Price!A102</f>
        <v>Korpusové lišty 550mm, BLUMOTION, 30kg</v>
      </c>
      <c r="M102" s="15" t="str">
        <f>Price!B102</f>
        <v>578.5501B</v>
      </c>
      <c r="N102" s="15" t="str">
        <f>Price!C102</f>
        <v>ZN</v>
      </c>
      <c r="O102" s="472">
        <f>Price!D102</f>
        <v>0</v>
      </c>
      <c r="P102" s="15">
        <f>Price!E102</f>
        <v>0</v>
      </c>
      <c r="Q102" s="17">
        <f>Price!F102</f>
        <v>17.614419999999999</v>
      </c>
      <c r="R102" s="171"/>
      <c r="S102" s="171"/>
      <c r="T102" s="12">
        <f>Price!G102</f>
        <v>8653566</v>
      </c>
      <c r="U102" s="12">
        <f>Price!H102</f>
        <v>14305</v>
      </c>
      <c r="V102" s="13"/>
      <c r="W102" s="13"/>
      <c r="X102" s="19"/>
      <c r="Y102" s="19"/>
    </row>
    <row r="103" spans="1:25" x14ac:dyDescent="0.35">
      <c r="A103" s="79" t="str">
        <f t="shared" si="122"/>
        <v>Korpusové lišty 550mm, BLUMOTION, 65kg</v>
      </c>
      <c r="B103" s="80" t="str">
        <f t="shared" si="123"/>
        <v>576.5501B</v>
      </c>
      <c r="C103" s="80" t="str">
        <f t="shared" si="124"/>
        <v>ZN</v>
      </c>
      <c r="D103" s="173">
        <f t="shared" si="128"/>
        <v>0</v>
      </c>
      <c r="E103" s="81"/>
      <c r="F103" s="17">
        <f t="shared" si="125"/>
        <v>23.000999999999998</v>
      </c>
      <c r="G103" s="50"/>
      <c r="H103" s="50"/>
      <c r="I103" s="173">
        <f t="shared" si="126"/>
        <v>6877115</v>
      </c>
      <c r="J103" s="173">
        <f t="shared" si="127"/>
        <v>14382</v>
      </c>
      <c r="K103" s="48"/>
      <c r="L103" s="46" t="str">
        <f>Price!A103</f>
        <v>Korpusové lišty 550mm, BLUMOTION, 65kg</v>
      </c>
      <c r="M103" s="15" t="str">
        <f>Price!B103</f>
        <v>576.5501B</v>
      </c>
      <c r="N103" s="15" t="str">
        <f>Price!C103</f>
        <v>ZN</v>
      </c>
      <c r="O103" s="472">
        <f>Price!D103</f>
        <v>0</v>
      </c>
      <c r="P103" s="15">
        <f>Price!E103</f>
        <v>0</v>
      </c>
      <c r="Q103" s="17">
        <f>Price!F103</f>
        <v>23.001000000000001</v>
      </c>
      <c r="R103" s="171"/>
      <c r="S103" s="171"/>
      <c r="T103" s="12">
        <f>Price!G103</f>
        <v>6877115</v>
      </c>
      <c r="U103" s="12">
        <f>Price!H103</f>
        <v>14382</v>
      </c>
      <c r="V103" s="13"/>
      <c r="W103" s="13"/>
      <c r="X103" s="19"/>
      <c r="Y103" s="19"/>
    </row>
    <row r="104" spans="1:25" x14ac:dyDescent="0.35">
      <c r="A104" s="79" t="str">
        <f t="shared" ref="A104:C106" si="129">L104</f>
        <v>Korpusové lišty 600mm, BLUMOTION, 30kg</v>
      </c>
      <c r="B104" s="80" t="str">
        <f t="shared" si="129"/>
        <v>578.6001B</v>
      </c>
      <c r="C104" s="80" t="str">
        <f t="shared" si="129"/>
        <v>ZN</v>
      </c>
      <c r="D104" s="173">
        <f t="shared" si="128"/>
        <v>0</v>
      </c>
      <c r="E104" s="81"/>
      <c r="F104" s="17">
        <f t="shared" ref="F104:F109" si="130">Q104*(100-$F$6)/100</f>
        <v>20.570499999999996</v>
      </c>
      <c r="G104" s="50"/>
      <c r="H104" s="50"/>
      <c r="I104" s="173">
        <f t="shared" ref="I104:J106" si="131">T104</f>
        <v>8785467</v>
      </c>
      <c r="J104" s="173">
        <f t="shared" si="131"/>
        <v>296178</v>
      </c>
      <c r="K104" s="20"/>
      <c r="L104" s="46" t="str">
        <f>Price!A104</f>
        <v>Korpusové lišty 600mm, BLUMOTION, 30kg</v>
      </c>
      <c r="M104" s="15" t="str">
        <f>Price!B104</f>
        <v>578.6001B</v>
      </c>
      <c r="N104" s="15" t="str">
        <f>Price!C104</f>
        <v>ZN</v>
      </c>
      <c r="O104" s="472">
        <f>Price!D104</f>
        <v>0</v>
      </c>
      <c r="P104" s="15">
        <f>Price!E104</f>
        <v>0</v>
      </c>
      <c r="Q104" s="17">
        <f>Price!F104</f>
        <v>20.570499999999999</v>
      </c>
      <c r="R104" s="171"/>
      <c r="S104" s="171"/>
      <c r="T104" s="12">
        <f>Price!G104</f>
        <v>8785467</v>
      </c>
      <c r="U104" s="12">
        <f>Price!H104</f>
        <v>296178</v>
      </c>
      <c r="V104" s="13"/>
      <c r="W104" s="13"/>
      <c r="X104" s="19"/>
      <c r="Y104" s="19"/>
    </row>
    <row r="105" spans="1:25" x14ac:dyDescent="0.35">
      <c r="A105" s="79" t="str">
        <f t="shared" si="129"/>
        <v>Korpusové lišty 600mm, BLUMOTION, 65kg</v>
      </c>
      <c r="B105" s="80" t="str">
        <f t="shared" si="129"/>
        <v>576.6001B</v>
      </c>
      <c r="C105" s="80" t="str">
        <f t="shared" si="129"/>
        <v>ZN</v>
      </c>
      <c r="D105" s="173">
        <f t="shared" si="128"/>
        <v>0</v>
      </c>
      <c r="E105" s="81"/>
      <c r="F105" s="17">
        <f t="shared" si="130"/>
        <v>25.957080000000001</v>
      </c>
      <c r="G105" s="50"/>
      <c r="H105" s="50"/>
      <c r="I105" s="173">
        <f t="shared" si="131"/>
        <v>6885191</v>
      </c>
      <c r="J105" s="173">
        <f t="shared" si="131"/>
        <v>14383</v>
      </c>
      <c r="K105" s="20"/>
      <c r="L105" s="46" t="str">
        <f>Price!A105</f>
        <v>Korpusové lišty 600mm, BLUMOTION, 65kg</v>
      </c>
      <c r="M105" s="15" t="str">
        <f>Price!B105</f>
        <v>576.6001B</v>
      </c>
      <c r="N105" s="15" t="str">
        <f>Price!C105</f>
        <v>ZN</v>
      </c>
      <c r="O105" s="472">
        <f>Price!D105</f>
        <v>0</v>
      </c>
      <c r="P105" s="15">
        <f>Price!E105</f>
        <v>0</v>
      </c>
      <c r="Q105" s="17">
        <f>Price!F105</f>
        <v>25.957080000000001</v>
      </c>
      <c r="R105" s="171"/>
      <c r="S105" s="171"/>
      <c r="T105" s="12">
        <f>Price!G105</f>
        <v>6885191</v>
      </c>
      <c r="U105" s="12">
        <f>Price!H105</f>
        <v>14383</v>
      </c>
      <c r="V105" s="13"/>
      <c r="W105" s="13"/>
      <c r="X105" s="19"/>
      <c r="Y105" s="19"/>
    </row>
    <row r="106" spans="1:25" x14ac:dyDescent="0.35">
      <c r="A106" s="79" t="str">
        <f t="shared" si="129"/>
        <v>Korpusové lišty 650mm, BLUMOTION, 65kg</v>
      </c>
      <c r="B106" s="80" t="str">
        <f t="shared" si="129"/>
        <v>576.6501B</v>
      </c>
      <c r="C106" s="80" t="str">
        <f t="shared" si="129"/>
        <v>ZN</v>
      </c>
      <c r="D106" s="173">
        <f t="shared" si="128"/>
        <v>0</v>
      </c>
      <c r="E106" s="81"/>
      <c r="F106" s="17">
        <f t="shared" si="130"/>
        <v>26.813510000000001</v>
      </c>
      <c r="G106" s="50"/>
      <c r="H106" s="50"/>
      <c r="I106" s="173">
        <f t="shared" si="131"/>
        <v>6885499</v>
      </c>
      <c r="J106" s="173">
        <f t="shared" si="131"/>
        <v>14384</v>
      </c>
      <c r="K106" s="20"/>
      <c r="L106" s="46" t="str">
        <f>Price!A106</f>
        <v>Korpusové lišty 650mm, BLUMOTION, 65kg</v>
      </c>
      <c r="M106" s="15" t="str">
        <f>Price!B106</f>
        <v>576.6501B</v>
      </c>
      <c r="N106" s="15" t="str">
        <f>Price!C106</f>
        <v>ZN</v>
      </c>
      <c r="O106" s="472">
        <f>Price!D106</f>
        <v>0</v>
      </c>
      <c r="P106" s="15">
        <f>Price!E106</f>
        <v>0</v>
      </c>
      <c r="Q106" s="17">
        <f>Price!F106</f>
        <v>26.813510000000001</v>
      </c>
      <c r="R106" s="171"/>
      <c r="S106" s="171"/>
      <c r="T106" s="12">
        <f>Price!G106</f>
        <v>6885499</v>
      </c>
      <c r="U106" s="12">
        <f>Price!H106</f>
        <v>14384</v>
      </c>
      <c r="V106" s="13"/>
      <c r="W106" s="13"/>
      <c r="X106" s="19"/>
      <c r="Y106" s="19"/>
    </row>
    <row r="107" spans="1:25" x14ac:dyDescent="0.35">
      <c r="A107" s="79"/>
      <c r="B107" s="80"/>
      <c r="C107" s="80"/>
      <c r="D107" s="173"/>
      <c r="E107" s="81"/>
      <c r="F107" s="17"/>
      <c r="G107" s="50"/>
      <c r="H107" s="50"/>
      <c r="I107" s="173"/>
      <c r="J107" s="173"/>
      <c r="K107" s="50"/>
      <c r="L107" s="46">
        <f>Price!A107</f>
        <v>0</v>
      </c>
      <c r="M107" s="15">
        <f>Price!B107</f>
        <v>0</v>
      </c>
      <c r="N107" s="15">
        <f>Price!C107</f>
        <v>0</v>
      </c>
      <c r="O107" s="472">
        <f>Price!D107</f>
        <v>0</v>
      </c>
      <c r="P107" s="15">
        <f>Price!E107</f>
        <v>0</v>
      </c>
      <c r="Q107" s="17">
        <f>Price!F107</f>
        <v>0</v>
      </c>
      <c r="R107" s="171"/>
      <c r="S107" s="171"/>
      <c r="T107" s="12">
        <f>Price!G107</f>
        <v>0</v>
      </c>
      <c r="U107" s="12">
        <f>Price!H107</f>
        <v>0</v>
      </c>
      <c r="V107" s="13"/>
      <c r="W107" s="13"/>
      <c r="X107" s="19"/>
      <c r="Y107" s="19"/>
    </row>
    <row r="108" spans="1:25" x14ac:dyDescent="0.35">
      <c r="A108" s="79" t="str">
        <f t="shared" ref="A108:C109" si="132">L108</f>
        <v xml:space="preserve">   Korpusové lišty TIP-ON BLUMOTION</v>
      </c>
      <c r="B108" s="80"/>
      <c r="C108" s="80"/>
      <c r="D108" s="173"/>
      <c r="E108" s="81"/>
      <c r="F108" s="17"/>
      <c r="G108" s="50"/>
      <c r="H108" s="50"/>
      <c r="I108" s="173">
        <f>T108</f>
        <v>0</v>
      </c>
      <c r="J108" s="173">
        <f>U108</f>
        <v>0</v>
      </c>
      <c r="K108" s="20"/>
      <c r="L108" s="46" t="str">
        <f>Price!A108</f>
        <v xml:space="preserve">   Korpusové lišty TIP-ON BLUMOTION</v>
      </c>
      <c r="M108" s="15">
        <f>Price!B108</f>
        <v>0</v>
      </c>
      <c r="N108" s="15">
        <f>Price!C108</f>
        <v>0</v>
      </c>
      <c r="O108" s="472">
        <f>Price!D108</f>
        <v>0</v>
      </c>
      <c r="P108" s="15">
        <f>Price!E108</f>
        <v>0</v>
      </c>
      <c r="Q108" s="17">
        <f>Price!F108</f>
        <v>0</v>
      </c>
      <c r="R108" s="171"/>
      <c r="S108" s="171"/>
      <c r="T108" s="383">
        <f>Price!G108</f>
        <v>0</v>
      </c>
      <c r="U108" s="377">
        <f>Price!H108</f>
        <v>0</v>
      </c>
      <c r="V108" s="13"/>
      <c r="W108" s="13"/>
      <c r="X108" s="19"/>
      <c r="Y108" s="19"/>
    </row>
    <row r="109" spans="1:25" x14ac:dyDescent="0.35">
      <c r="A109" s="79" t="str">
        <f t="shared" si="132"/>
        <v>Korp. lišty TIP-ON BLUMOTION, 270mm, 30 kg</v>
      </c>
      <c r="B109" s="80" t="str">
        <f t="shared" si="132"/>
        <v>578.2701M</v>
      </c>
      <c r="C109" s="80" t="str">
        <f t="shared" si="132"/>
        <v>ZN</v>
      </c>
      <c r="D109" s="173">
        <f t="shared" ref="D109:D121" si="133">O109</f>
        <v>0</v>
      </c>
      <c r="E109" s="81"/>
      <c r="F109" s="17">
        <f t="shared" si="130"/>
        <v>16.390229999999999</v>
      </c>
      <c r="G109" s="50"/>
      <c r="H109" s="50"/>
      <c r="I109" s="173">
        <f>T109</f>
        <v>9089187</v>
      </c>
      <c r="J109" s="173">
        <f>U109</f>
        <v>282109</v>
      </c>
      <c r="K109" s="20"/>
      <c r="L109" s="46" t="str">
        <f>Price!A109</f>
        <v>Korp. lišty TIP-ON BLUMOTION, 270mm, 30 kg</v>
      </c>
      <c r="M109" s="15" t="str">
        <f>Price!B109</f>
        <v>578.2701M</v>
      </c>
      <c r="N109" s="15" t="str">
        <f>Price!C109</f>
        <v>ZN</v>
      </c>
      <c r="O109" s="472">
        <f>Price!D109</f>
        <v>0</v>
      </c>
      <c r="P109" s="15">
        <f>Price!E109</f>
        <v>0</v>
      </c>
      <c r="Q109" s="17">
        <f>Price!F109</f>
        <v>16.390229999999999</v>
      </c>
      <c r="R109" s="171"/>
      <c r="S109" s="171"/>
      <c r="T109" s="383">
        <f>Price!G109</f>
        <v>9089187</v>
      </c>
      <c r="U109" s="377">
        <f>Price!H109</f>
        <v>282109</v>
      </c>
      <c r="V109" s="13"/>
      <c r="W109" s="13"/>
      <c r="X109" s="19"/>
      <c r="Y109" s="19"/>
    </row>
    <row r="110" spans="1:25" x14ac:dyDescent="0.35">
      <c r="A110" s="79" t="str">
        <f t="shared" ref="A110:A115" si="134">L110</f>
        <v>Korp. lišty TIP-ON BLUMOTION, 300mm, 30 kg</v>
      </c>
      <c r="B110" s="80" t="str">
        <f t="shared" ref="B110:B115" si="135">M110</f>
        <v>578.3001M</v>
      </c>
      <c r="C110" s="80" t="str">
        <f t="shared" ref="C110:C115" si="136">N110</f>
        <v>ZN</v>
      </c>
      <c r="D110" s="173">
        <f t="shared" si="133"/>
        <v>0</v>
      </c>
      <c r="E110" s="81"/>
      <c r="F110" s="17">
        <f t="shared" ref="F110:F115" si="137">Q110*(100-$F$6)/100</f>
        <v>16.390229999999999</v>
      </c>
      <c r="G110" s="50"/>
      <c r="H110" s="50"/>
      <c r="I110" s="173">
        <f t="shared" ref="I110:I115" si="138">T110</f>
        <v>9106907</v>
      </c>
      <c r="J110" s="173">
        <f t="shared" ref="J110:J115" si="139">U110</f>
        <v>282110</v>
      </c>
      <c r="K110" s="20"/>
      <c r="L110" s="46" t="str">
        <f>Price!A110</f>
        <v>Korp. lišty TIP-ON BLUMOTION, 300mm, 30 kg</v>
      </c>
      <c r="M110" s="15" t="str">
        <f>Price!B110</f>
        <v>578.3001M</v>
      </c>
      <c r="N110" s="15" t="str">
        <f>Price!C110</f>
        <v>ZN</v>
      </c>
      <c r="O110" s="472">
        <f>Price!D110</f>
        <v>0</v>
      </c>
      <c r="P110" s="15">
        <f>Price!E110</f>
        <v>0</v>
      </c>
      <c r="Q110" s="17">
        <f>Price!F110</f>
        <v>16.390229999999999</v>
      </c>
      <c r="R110" s="171"/>
      <c r="S110" s="171"/>
      <c r="T110" s="383">
        <f>Price!G110</f>
        <v>9106907</v>
      </c>
      <c r="U110" s="377">
        <f>Price!H110</f>
        <v>282110</v>
      </c>
      <c r="V110" s="13"/>
      <c r="W110" s="13"/>
      <c r="X110" s="19"/>
      <c r="Y110" s="19"/>
    </row>
    <row r="111" spans="1:25" x14ac:dyDescent="0.35">
      <c r="A111" s="79" t="str">
        <f t="shared" si="134"/>
        <v>Korp. lišty TIP-ON BLUMOTION, 350mm, 30 kg</v>
      </c>
      <c r="B111" s="80" t="str">
        <f t="shared" si="135"/>
        <v>578.3501M</v>
      </c>
      <c r="C111" s="80" t="str">
        <f t="shared" si="136"/>
        <v>ZN</v>
      </c>
      <c r="D111" s="173">
        <f t="shared" si="133"/>
        <v>0</v>
      </c>
      <c r="E111" s="81"/>
      <c r="F111" s="17">
        <f t="shared" si="137"/>
        <v>16.390229999999999</v>
      </c>
      <c r="G111" s="50"/>
      <c r="H111" s="50"/>
      <c r="I111" s="173">
        <f t="shared" si="138"/>
        <v>9139077</v>
      </c>
      <c r="J111" s="173">
        <f t="shared" si="139"/>
        <v>282111</v>
      </c>
      <c r="K111" s="20"/>
      <c r="L111" s="46" t="str">
        <f>Price!A111</f>
        <v>Korp. lišty TIP-ON BLUMOTION, 350mm, 30 kg</v>
      </c>
      <c r="M111" s="15" t="str">
        <f>Price!B111</f>
        <v>578.3501M</v>
      </c>
      <c r="N111" s="15" t="str">
        <f>Price!C111</f>
        <v>ZN</v>
      </c>
      <c r="O111" s="472">
        <f>Price!D111</f>
        <v>0</v>
      </c>
      <c r="P111" s="15">
        <f>Price!E111</f>
        <v>0</v>
      </c>
      <c r="Q111" s="17">
        <f>Price!F111</f>
        <v>16.390229999999999</v>
      </c>
      <c r="R111" s="171"/>
      <c r="S111" s="171"/>
      <c r="T111" s="383">
        <f>Price!G111</f>
        <v>9139077</v>
      </c>
      <c r="U111" s="377">
        <f>Price!H111</f>
        <v>282111</v>
      </c>
      <c r="V111" s="13"/>
      <c r="W111" s="13"/>
      <c r="X111" s="19"/>
      <c r="Y111" s="19"/>
    </row>
    <row r="112" spans="1:25" x14ac:dyDescent="0.35">
      <c r="A112" s="79" t="str">
        <f t="shared" si="134"/>
        <v>Korp. lišty TIP-ON BLUMOTION, 400mm, 30 kg</v>
      </c>
      <c r="B112" s="80" t="str">
        <f t="shared" si="135"/>
        <v>578.4001M</v>
      </c>
      <c r="C112" s="80" t="str">
        <f t="shared" si="136"/>
        <v>ZN</v>
      </c>
      <c r="D112" s="173">
        <f t="shared" si="133"/>
        <v>0</v>
      </c>
      <c r="E112" s="81"/>
      <c r="F112" s="17">
        <f t="shared" si="137"/>
        <v>16.512820000000001</v>
      </c>
      <c r="G112" s="50"/>
      <c r="H112" s="50"/>
      <c r="I112" s="173">
        <f t="shared" si="138"/>
        <v>9182099</v>
      </c>
      <c r="J112" s="173">
        <f t="shared" si="139"/>
        <v>282112</v>
      </c>
      <c r="K112" s="49"/>
      <c r="L112" s="46" t="str">
        <f>Price!A112</f>
        <v>Korp. lišty TIP-ON BLUMOTION, 400mm, 30 kg</v>
      </c>
      <c r="M112" s="15" t="str">
        <f>Price!B112</f>
        <v>578.4001M</v>
      </c>
      <c r="N112" s="15" t="str">
        <f>Price!C112</f>
        <v>ZN</v>
      </c>
      <c r="O112" s="472">
        <f>Price!D112</f>
        <v>0</v>
      </c>
      <c r="P112" s="15">
        <f>Price!E112</f>
        <v>0</v>
      </c>
      <c r="Q112" s="17">
        <f>Price!F112</f>
        <v>16.512820000000001</v>
      </c>
      <c r="R112" s="171"/>
      <c r="S112" s="171"/>
      <c r="T112" s="383">
        <f>Price!G112</f>
        <v>9182099</v>
      </c>
      <c r="U112" s="377">
        <f>Price!H112</f>
        <v>282112</v>
      </c>
      <c r="V112" s="13"/>
      <c r="W112" s="13"/>
      <c r="X112" s="19"/>
      <c r="Y112" s="19"/>
    </row>
    <row r="113" spans="1:25" x14ac:dyDescent="0.35">
      <c r="A113" s="79" t="str">
        <f t="shared" si="134"/>
        <v>Korp. lišty TIP-ON BLUMOTION, 450mm, 30 kg</v>
      </c>
      <c r="B113" s="80" t="str">
        <f t="shared" si="135"/>
        <v>578.4501M</v>
      </c>
      <c r="C113" s="80" t="str">
        <f t="shared" si="136"/>
        <v>ZN</v>
      </c>
      <c r="D113" s="173">
        <f t="shared" si="133"/>
        <v>0</v>
      </c>
      <c r="E113" s="81"/>
      <c r="F113" s="17">
        <f t="shared" si="137"/>
        <v>16.63541</v>
      </c>
      <c r="G113" s="50"/>
      <c r="H113" s="50"/>
      <c r="I113" s="173">
        <f t="shared" si="138"/>
        <v>9291634</v>
      </c>
      <c r="J113" s="173">
        <f t="shared" si="139"/>
        <v>282113</v>
      </c>
      <c r="K113" s="49"/>
      <c r="L113" s="46" t="str">
        <f>Price!A113</f>
        <v>Korp. lišty TIP-ON BLUMOTION, 450mm, 30 kg</v>
      </c>
      <c r="M113" s="15" t="str">
        <f>Price!B113</f>
        <v>578.4501M</v>
      </c>
      <c r="N113" s="15" t="str">
        <f>Price!C113</f>
        <v>ZN</v>
      </c>
      <c r="O113" s="472">
        <f>Price!D113</f>
        <v>0</v>
      </c>
      <c r="P113" s="15">
        <f>Price!E113</f>
        <v>0</v>
      </c>
      <c r="Q113" s="17">
        <f>Price!F113</f>
        <v>16.63541</v>
      </c>
      <c r="R113" s="171"/>
      <c r="S113" s="171"/>
      <c r="T113" s="383">
        <f>Price!G113</f>
        <v>9291634</v>
      </c>
      <c r="U113" s="377">
        <f>Price!H113</f>
        <v>282113</v>
      </c>
      <c r="V113" s="13"/>
      <c r="W113" s="13"/>
      <c r="X113" s="19"/>
      <c r="Y113" s="19"/>
    </row>
    <row r="114" spans="1:25" x14ac:dyDescent="0.35">
      <c r="A114" s="79" t="str">
        <f t="shared" si="134"/>
        <v>Korp. lišty TIP-ON BLUMOTION, 450mm, 65 kg</v>
      </c>
      <c r="B114" s="80" t="str">
        <f t="shared" si="135"/>
        <v>578.4501M</v>
      </c>
      <c r="C114" s="80" t="str">
        <f t="shared" si="136"/>
        <v>ZN</v>
      </c>
      <c r="D114" s="173">
        <f t="shared" si="133"/>
        <v>0</v>
      </c>
      <c r="E114" s="81"/>
      <c r="F114" s="17">
        <f t="shared" si="137"/>
        <v>22.021810000000002</v>
      </c>
      <c r="G114" s="50"/>
      <c r="H114" s="50"/>
      <c r="I114" s="173">
        <f t="shared" si="138"/>
        <v>6022202</v>
      </c>
      <c r="J114" s="173">
        <f t="shared" si="139"/>
        <v>282117</v>
      </c>
      <c r="K114" s="49"/>
      <c r="L114" s="46" t="str">
        <f>Price!A114</f>
        <v>Korp. lišty TIP-ON BLUMOTION, 450mm, 65 kg</v>
      </c>
      <c r="M114" s="15" t="str">
        <f>Price!B114</f>
        <v>578.4501M</v>
      </c>
      <c r="N114" s="15" t="str">
        <f>Price!C114</f>
        <v>ZN</v>
      </c>
      <c r="O114" s="472">
        <f>Price!D114</f>
        <v>0</v>
      </c>
      <c r="P114" s="15">
        <f>Price!E114</f>
        <v>0</v>
      </c>
      <c r="Q114" s="17">
        <f>Price!F114</f>
        <v>22.021809999999999</v>
      </c>
      <c r="R114" s="171"/>
      <c r="S114" s="171"/>
      <c r="T114" s="383">
        <f>Price!G114</f>
        <v>6022202</v>
      </c>
      <c r="U114" s="377">
        <f>Price!H114</f>
        <v>282117</v>
      </c>
      <c r="V114" s="13"/>
      <c r="W114" s="13"/>
      <c r="X114" s="19"/>
      <c r="Y114" s="19"/>
    </row>
    <row r="115" spans="1:25" x14ac:dyDescent="0.35">
      <c r="A115" s="79" t="str">
        <f t="shared" si="134"/>
        <v>Korp. lišty TIP-ON BLUMOTION, 500mm, 30 kg</v>
      </c>
      <c r="B115" s="80" t="str">
        <f t="shared" si="135"/>
        <v>578.5001M</v>
      </c>
      <c r="C115" s="80" t="str">
        <f t="shared" si="136"/>
        <v>ZN</v>
      </c>
      <c r="D115" s="173">
        <f t="shared" si="133"/>
        <v>0</v>
      </c>
      <c r="E115" s="81"/>
      <c r="F115" s="17">
        <f t="shared" si="137"/>
        <v>16.757819999999999</v>
      </c>
      <c r="G115" s="50"/>
      <c r="H115" s="50"/>
      <c r="I115" s="173">
        <f t="shared" si="138"/>
        <v>9301459</v>
      </c>
      <c r="J115" s="173">
        <f t="shared" si="139"/>
        <v>282114</v>
      </c>
      <c r="K115" s="49"/>
      <c r="L115" s="46" t="str">
        <f>Price!A115</f>
        <v>Korp. lišty TIP-ON BLUMOTION, 500mm, 30 kg</v>
      </c>
      <c r="M115" s="15" t="str">
        <f>Price!B115</f>
        <v>578.5001M</v>
      </c>
      <c r="N115" s="15" t="str">
        <f>Price!C115</f>
        <v>ZN</v>
      </c>
      <c r="O115" s="472">
        <f>Price!D115</f>
        <v>0</v>
      </c>
      <c r="P115" s="15">
        <f>Price!E115</f>
        <v>0</v>
      </c>
      <c r="Q115" s="17">
        <f>Price!F115</f>
        <v>16.757819999999999</v>
      </c>
      <c r="R115" s="171"/>
      <c r="S115" s="171"/>
      <c r="T115" s="383">
        <f>Price!G115</f>
        <v>9301459</v>
      </c>
      <c r="U115" s="377">
        <f>Price!H115</f>
        <v>282114</v>
      </c>
      <c r="V115" s="13"/>
      <c r="W115" s="21"/>
      <c r="X115" s="19"/>
      <c r="Y115" s="19"/>
    </row>
    <row r="116" spans="1:25" x14ac:dyDescent="0.35">
      <c r="A116" s="79" t="str">
        <f t="shared" ref="A116:A125" si="140">L116</f>
        <v>Korp. lišty TIP-ON BLUMOTION, 500mm, 65 kg</v>
      </c>
      <c r="B116" s="80" t="str">
        <f t="shared" ref="B116:B125" si="141">M116</f>
        <v>576.5001M</v>
      </c>
      <c r="C116" s="80" t="str">
        <f t="shared" ref="C116:C125" si="142">N116</f>
        <v>ZN</v>
      </c>
      <c r="D116" s="173">
        <f t="shared" si="133"/>
        <v>0</v>
      </c>
      <c r="E116" s="81"/>
      <c r="F116" s="17">
        <f t="shared" ref="F116:F125" si="143">Q116*(100-$F$6)/100</f>
        <v>22.144390000000001</v>
      </c>
      <c r="G116" s="50"/>
      <c r="H116" s="50"/>
      <c r="I116" s="173">
        <f t="shared" ref="I116:I125" si="144">T116</f>
        <v>6028270</v>
      </c>
      <c r="J116" s="173">
        <f t="shared" ref="J116:J125" si="145">U116</f>
        <v>282118</v>
      </c>
      <c r="K116" s="49"/>
      <c r="L116" s="46" t="str">
        <f>Price!A116</f>
        <v>Korp. lišty TIP-ON BLUMOTION, 500mm, 65 kg</v>
      </c>
      <c r="M116" s="15" t="str">
        <f>Price!B116</f>
        <v>576.5001M</v>
      </c>
      <c r="N116" s="15" t="str">
        <f>Price!C116</f>
        <v>ZN</v>
      </c>
      <c r="O116" s="472">
        <f>Price!D116</f>
        <v>0</v>
      </c>
      <c r="P116" s="15">
        <f>Price!E116</f>
        <v>0</v>
      </c>
      <c r="Q116" s="17">
        <f>Price!F116</f>
        <v>22.144390000000001</v>
      </c>
      <c r="R116" s="171"/>
      <c r="S116" s="171"/>
      <c r="T116" s="383">
        <f>Price!G116</f>
        <v>6028270</v>
      </c>
      <c r="U116" s="377">
        <f>Price!H116</f>
        <v>282118</v>
      </c>
      <c r="V116" s="13"/>
      <c r="W116" s="21"/>
      <c r="X116" s="19"/>
      <c r="Y116" s="19"/>
    </row>
    <row r="117" spans="1:25" x14ac:dyDescent="0.35">
      <c r="A117" s="79" t="str">
        <f t="shared" si="140"/>
        <v>Korp. lišty TIP-ON BLUMOTION, 550mm, 30 kg</v>
      </c>
      <c r="B117" s="80" t="str">
        <f t="shared" si="141"/>
        <v>578.5501M</v>
      </c>
      <c r="C117" s="80" t="str">
        <f t="shared" si="142"/>
        <v>ZN</v>
      </c>
      <c r="D117" s="173">
        <f t="shared" si="133"/>
        <v>0</v>
      </c>
      <c r="E117" s="81"/>
      <c r="F117" s="17">
        <f t="shared" si="143"/>
        <v>17.614419999999999</v>
      </c>
      <c r="G117" s="50"/>
      <c r="H117" s="50"/>
      <c r="I117" s="173">
        <f t="shared" si="144"/>
        <v>9403708</v>
      </c>
      <c r="J117" s="173">
        <f t="shared" si="145"/>
        <v>282115</v>
      </c>
      <c r="K117" s="49"/>
      <c r="L117" s="46" t="str">
        <f>Price!A117</f>
        <v>Korp. lišty TIP-ON BLUMOTION, 550mm, 30 kg</v>
      </c>
      <c r="M117" s="15" t="str">
        <f>Price!B117</f>
        <v>578.5501M</v>
      </c>
      <c r="N117" s="15" t="str">
        <f>Price!C117</f>
        <v>ZN</v>
      </c>
      <c r="O117" s="472">
        <f>Price!D117</f>
        <v>0</v>
      </c>
      <c r="P117" s="15">
        <f>Price!E117</f>
        <v>0</v>
      </c>
      <c r="Q117" s="17">
        <f>Price!F117</f>
        <v>17.614419999999999</v>
      </c>
      <c r="R117" s="171"/>
      <c r="S117" s="171"/>
      <c r="T117" s="383">
        <f>Price!G117</f>
        <v>9403708</v>
      </c>
      <c r="U117" s="377">
        <f>Price!H117</f>
        <v>282115</v>
      </c>
      <c r="V117" s="13"/>
      <c r="W117" s="21"/>
      <c r="X117" s="19"/>
      <c r="Y117" s="19"/>
    </row>
    <row r="118" spans="1:25" x14ac:dyDescent="0.35">
      <c r="A118" s="79" t="str">
        <f t="shared" si="140"/>
        <v>Korp. lišty TIP-ON BLUMOTION, 550mm, 65 kg</v>
      </c>
      <c r="B118" s="80" t="str">
        <f t="shared" si="141"/>
        <v>576.5501M</v>
      </c>
      <c r="C118" s="80" t="str">
        <f t="shared" si="142"/>
        <v>ZN</v>
      </c>
      <c r="D118" s="173">
        <f t="shared" si="133"/>
        <v>0</v>
      </c>
      <c r="E118" s="81"/>
      <c r="F118" s="17">
        <f t="shared" si="143"/>
        <v>23.000999999999998</v>
      </c>
      <c r="G118" s="50"/>
      <c r="H118" s="50"/>
      <c r="I118" s="173">
        <f t="shared" si="144"/>
        <v>6042877</v>
      </c>
      <c r="J118" s="173">
        <f t="shared" si="145"/>
        <v>282119</v>
      </c>
      <c r="K118" s="49"/>
      <c r="L118" s="46" t="str">
        <f>Price!A118</f>
        <v>Korp. lišty TIP-ON BLUMOTION, 550mm, 65 kg</v>
      </c>
      <c r="M118" s="15" t="str">
        <f>Price!B118</f>
        <v>576.5501M</v>
      </c>
      <c r="N118" s="15" t="str">
        <f>Price!C118</f>
        <v>ZN</v>
      </c>
      <c r="O118" s="472">
        <f>Price!D118</f>
        <v>0</v>
      </c>
      <c r="P118" s="15">
        <f>Price!E118</f>
        <v>0</v>
      </c>
      <c r="Q118" s="17">
        <f>Price!F118</f>
        <v>23.001000000000001</v>
      </c>
      <c r="R118" s="171"/>
      <c r="S118" s="171"/>
      <c r="T118" s="383">
        <f>Price!G118</f>
        <v>6042877</v>
      </c>
      <c r="U118" s="377">
        <f>Price!H118</f>
        <v>282119</v>
      </c>
      <c r="V118" s="13"/>
      <c r="W118" s="21"/>
      <c r="X118" s="19"/>
      <c r="Y118" s="19"/>
    </row>
    <row r="119" spans="1:25" x14ac:dyDescent="0.35">
      <c r="A119" s="79" t="str">
        <f t="shared" si="140"/>
        <v>Korp. lišty TIP-ON BLUMOTION, 600mm, 30 kg</v>
      </c>
      <c r="B119" s="80" t="str">
        <f t="shared" si="141"/>
        <v>578.6001M</v>
      </c>
      <c r="C119" s="80" t="str">
        <f t="shared" si="142"/>
        <v>ZN</v>
      </c>
      <c r="D119" s="173">
        <f t="shared" si="133"/>
        <v>0</v>
      </c>
      <c r="E119" s="81"/>
      <c r="F119" s="17">
        <f t="shared" si="143"/>
        <v>20.570499999999996</v>
      </c>
      <c r="G119" s="50"/>
      <c r="H119" s="50"/>
      <c r="I119" s="173">
        <f t="shared" si="144"/>
        <v>9564207</v>
      </c>
      <c r="J119" s="173">
        <f t="shared" si="145"/>
        <v>282116</v>
      </c>
      <c r="K119" s="49"/>
      <c r="L119" s="46" t="str">
        <f>Price!A119</f>
        <v>Korp. lišty TIP-ON BLUMOTION, 600mm, 30 kg</v>
      </c>
      <c r="M119" s="15" t="str">
        <f>Price!B119</f>
        <v>578.6001M</v>
      </c>
      <c r="N119" s="15" t="str">
        <f>Price!C119</f>
        <v>ZN</v>
      </c>
      <c r="O119" s="472">
        <f>Price!D119</f>
        <v>0</v>
      </c>
      <c r="P119" s="15">
        <f>Price!E119</f>
        <v>0</v>
      </c>
      <c r="Q119" s="17">
        <f>Price!F119</f>
        <v>20.570499999999999</v>
      </c>
      <c r="R119" s="171"/>
      <c r="S119" s="171"/>
      <c r="T119" s="383">
        <f>Price!G119</f>
        <v>9564207</v>
      </c>
      <c r="U119" s="377">
        <f>Price!H119</f>
        <v>282116</v>
      </c>
      <c r="V119" s="13"/>
      <c r="W119" s="21"/>
      <c r="X119" s="19"/>
      <c r="Y119" s="19"/>
    </row>
    <row r="120" spans="1:25" x14ac:dyDescent="0.35">
      <c r="A120" s="79" t="str">
        <f t="shared" si="140"/>
        <v>Korp. lišty TIP-ON BLUMOTION, 600mm, 65 kg</v>
      </c>
      <c r="B120" s="80" t="str">
        <f t="shared" si="141"/>
        <v>576.6001M</v>
      </c>
      <c r="C120" s="80" t="str">
        <f t="shared" si="142"/>
        <v>ZN</v>
      </c>
      <c r="D120" s="173">
        <f t="shared" si="133"/>
        <v>0</v>
      </c>
      <c r="E120" s="81"/>
      <c r="F120" s="17">
        <f t="shared" si="143"/>
        <v>25.957080000000001</v>
      </c>
      <c r="G120" s="50"/>
      <c r="H120" s="50"/>
      <c r="I120" s="173">
        <f t="shared" si="144"/>
        <v>6058115</v>
      </c>
      <c r="J120" s="173">
        <f t="shared" si="145"/>
        <v>282120</v>
      </c>
      <c r="K120" s="49"/>
      <c r="L120" s="46" t="str">
        <f>Price!A120</f>
        <v>Korp. lišty TIP-ON BLUMOTION, 600mm, 65 kg</v>
      </c>
      <c r="M120" s="15" t="str">
        <f>Price!B120</f>
        <v>576.6001M</v>
      </c>
      <c r="N120" s="15" t="str">
        <f>Price!C120</f>
        <v>ZN</v>
      </c>
      <c r="O120" s="472">
        <f>Price!D120</f>
        <v>0</v>
      </c>
      <c r="P120" s="15">
        <f>Price!E120</f>
        <v>0</v>
      </c>
      <c r="Q120" s="17">
        <f>Price!F120</f>
        <v>25.957080000000001</v>
      </c>
      <c r="R120" s="171"/>
      <c r="S120" s="171"/>
      <c r="T120" s="383">
        <f>Price!G120</f>
        <v>6058115</v>
      </c>
      <c r="U120" s="377">
        <f>Price!H120</f>
        <v>282120</v>
      </c>
      <c r="V120" s="13"/>
      <c r="W120" s="21"/>
      <c r="X120" s="19"/>
      <c r="Y120" s="19"/>
    </row>
    <row r="121" spans="1:25" x14ac:dyDescent="0.35">
      <c r="A121" s="79" t="str">
        <f>L121</f>
        <v>Korp. lišty TIP-ON BLUMOTION, 650mm, 65 kg</v>
      </c>
      <c r="B121" s="80" t="str">
        <f>M121</f>
        <v>576.6501M</v>
      </c>
      <c r="C121" s="80" t="str">
        <f>N121</f>
        <v>ZN</v>
      </c>
      <c r="D121" s="173">
        <f t="shared" si="133"/>
        <v>0</v>
      </c>
      <c r="E121" s="81"/>
      <c r="F121" s="17">
        <f>Q121*(100-$F$6)/100</f>
        <v>26.813510000000001</v>
      </c>
      <c r="G121" s="50"/>
      <c r="H121" s="50"/>
      <c r="I121" s="173">
        <f>T121</f>
        <v>6063496</v>
      </c>
      <c r="J121" s="173">
        <f>U121</f>
        <v>282121</v>
      </c>
      <c r="K121" s="49"/>
      <c r="L121" s="46" t="str">
        <f>Price!A121</f>
        <v>Korp. lišty TIP-ON BLUMOTION, 650mm, 65 kg</v>
      </c>
      <c r="M121" s="15" t="str">
        <f>Price!B121</f>
        <v>576.6501M</v>
      </c>
      <c r="N121" s="15" t="str">
        <f>Price!C121</f>
        <v>ZN</v>
      </c>
      <c r="O121" s="472">
        <f>Price!D121</f>
        <v>0</v>
      </c>
      <c r="P121" s="15">
        <f>Price!E121</f>
        <v>0</v>
      </c>
      <c r="Q121" s="17">
        <f>Price!F121</f>
        <v>26.813510000000001</v>
      </c>
      <c r="R121" s="171"/>
      <c r="S121" s="171"/>
      <c r="T121" s="383">
        <f>Price!G121</f>
        <v>6063496</v>
      </c>
      <c r="U121" s="377">
        <f>Price!H121</f>
        <v>282121</v>
      </c>
      <c r="V121" s="13"/>
      <c r="W121" s="22"/>
      <c r="X121" s="19"/>
      <c r="Y121" s="19"/>
    </row>
    <row r="122" spans="1:25" x14ac:dyDescent="0.35">
      <c r="A122" s="79"/>
      <c r="B122" s="80"/>
      <c r="C122" s="80"/>
      <c r="D122" s="173"/>
      <c r="E122" s="81"/>
      <c r="F122" s="17"/>
      <c r="G122" s="50"/>
      <c r="H122" s="50"/>
      <c r="I122" s="173"/>
      <c r="J122" s="173"/>
      <c r="K122" s="51"/>
      <c r="L122" s="46">
        <f>Price!A122</f>
        <v>0</v>
      </c>
      <c r="M122" s="15">
        <f>Price!B123</f>
        <v>0</v>
      </c>
      <c r="N122" s="15">
        <f>Price!C123</f>
        <v>0</v>
      </c>
      <c r="O122" s="472">
        <f>Price!D122</f>
        <v>0</v>
      </c>
      <c r="P122" s="15">
        <f>Price!E122</f>
        <v>0</v>
      </c>
      <c r="Q122" s="17">
        <f>Price!F122</f>
        <v>0</v>
      </c>
      <c r="R122" s="171"/>
      <c r="S122" s="171"/>
      <c r="T122" s="383">
        <f>Price!G122</f>
        <v>0</v>
      </c>
      <c r="U122" s="377">
        <f>Price!H122</f>
        <v>0</v>
      </c>
      <c r="V122" s="13"/>
      <c r="W122" s="22"/>
      <c r="X122" s="19"/>
      <c r="Y122" s="19"/>
    </row>
    <row r="123" spans="1:25" x14ac:dyDescent="0.35">
      <c r="A123" s="79" t="str">
        <f t="shared" si="140"/>
        <v xml:space="preserve">   TIP-ON BLUMOTION</v>
      </c>
      <c r="B123" s="80"/>
      <c r="C123" s="80"/>
      <c r="D123" s="173"/>
      <c r="E123" s="81"/>
      <c r="F123" s="17"/>
      <c r="G123" s="50"/>
      <c r="H123" s="50"/>
      <c r="I123" s="173">
        <f t="shared" si="144"/>
        <v>0</v>
      </c>
      <c r="J123" s="173">
        <f t="shared" si="145"/>
        <v>0</v>
      </c>
      <c r="K123" s="51"/>
      <c r="L123" s="46" t="str">
        <f>Price!A123</f>
        <v xml:space="preserve">   TIP-ON BLUMOTION</v>
      </c>
      <c r="M123" s="15">
        <f>Price!B123</f>
        <v>0</v>
      </c>
      <c r="N123" s="15">
        <f>Price!C123</f>
        <v>0</v>
      </c>
      <c r="O123" s="472">
        <f>Price!D123</f>
        <v>0</v>
      </c>
      <c r="P123" s="15">
        <f>Price!E123</f>
        <v>0</v>
      </c>
      <c r="Q123" s="17">
        <f>Price!F123</f>
        <v>0</v>
      </c>
      <c r="R123" s="171"/>
      <c r="S123" s="171"/>
      <c r="T123" s="383">
        <f>Price!G123</f>
        <v>0</v>
      </c>
      <c r="U123" s="377">
        <f>Price!H123</f>
        <v>0</v>
      </c>
      <c r="V123" s="13"/>
      <c r="W123" s="22"/>
      <c r="X123" s="19"/>
      <c r="Y123" s="19"/>
    </row>
    <row r="124" spans="1:25" x14ac:dyDescent="0.35">
      <c r="A124" s="79" t="str">
        <f t="shared" si="140"/>
        <v>Sada jednotek TIP-ON BLUMOTION, S0</v>
      </c>
      <c r="B124" s="80" t="str">
        <f t="shared" si="141"/>
        <v>T60B3030</v>
      </c>
      <c r="C124" s="80" t="str">
        <f t="shared" si="142"/>
        <v>W</v>
      </c>
      <c r="D124" s="173">
        <f t="shared" ref="D124:D135" si="146">O124</f>
        <v>0</v>
      </c>
      <c r="E124" s="81"/>
      <c r="F124" s="17">
        <f t="shared" si="143"/>
        <v>15.88349</v>
      </c>
      <c r="G124" s="50"/>
      <c r="H124" s="50"/>
      <c r="I124" s="173">
        <f t="shared" si="144"/>
        <v>3157261</v>
      </c>
      <c r="J124" s="173">
        <f t="shared" si="145"/>
        <v>284454</v>
      </c>
      <c r="K124" s="51"/>
      <c r="L124" s="46" t="str">
        <f>Price!A124</f>
        <v>Sada jednotek TIP-ON BLUMOTION, S0</v>
      </c>
      <c r="M124" s="15" t="str">
        <f>Price!B124</f>
        <v>T60B3030</v>
      </c>
      <c r="N124" s="15" t="str">
        <f>Price!C124</f>
        <v>W</v>
      </c>
      <c r="O124" s="472">
        <f>Price!D124</f>
        <v>0</v>
      </c>
      <c r="P124" s="15">
        <f>Price!E124</f>
        <v>0</v>
      </c>
      <c r="Q124" s="17">
        <f>Price!F124</f>
        <v>15.88349</v>
      </c>
      <c r="R124" s="171"/>
      <c r="S124" s="171"/>
      <c r="T124" s="12">
        <f>Price!G124</f>
        <v>3157261</v>
      </c>
      <c r="U124" s="12">
        <f>Price!H124</f>
        <v>284454</v>
      </c>
      <c r="V124" s="13"/>
      <c r="W124" s="22"/>
      <c r="X124" s="19"/>
      <c r="Y124" s="19"/>
    </row>
    <row r="125" spans="1:25" x14ac:dyDescent="0.35">
      <c r="A125" s="79" t="str">
        <f t="shared" si="140"/>
        <v>Sada jednotek TIP-ON BLUMOTION, S1</v>
      </c>
      <c r="B125" s="80" t="str">
        <f t="shared" si="141"/>
        <v>T60B3130</v>
      </c>
      <c r="C125" s="80" t="str">
        <f t="shared" si="142"/>
        <v>R735</v>
      </c>
      <c r="D125" s="173">
        <f t="shared" si="146"/>
        <v>0</v>
      </c>
      <c r="E125" s="81"/>
      <c r="F125" s="17">
        <f t="shared" si="143"/>
        <v>15.88349</v>
      </c>
      <c r="G125" s="50"/>
      <c r="H125" s="50"/>
      <c r="I125" s="173">
        <f t="shared" si="144"/>
        <v>7846331</v>
      </c>
      <c r="J125" s="173">
        <f t="shared" si="145"/>
        <v>282122</v>
      </c>
      <c r="K125" s="51"/>
      <c r="L125" s="46" t="str">
        <f>Price!A125</f>
        <v>Sada jednotek TIP-ON BLUMOTION, S1</v>
      </c>
      <c r="M125" s="15" t="str">
        <f>Price!B125</f>
        <v>T60B3130</v>
      </c>
      <c r="N125" s="15" t="str">
        <f>Price!C125</f>
        <v>R735</v>
      </c>
      <c r="O125" s="472">
        <f>Price!D125</f>
        <v>0</v>
      </c>
      <c r="P125" s="15">
        <f>Price!E125</f>
        <v>0</v>
      </c>
      <c r="Q125" s="17">
        <f>Price!F125</f>
        <v>15.88349</v>
      </c>
      <c r="R125" s="171"/>
      <c r="S125" s="171"/>
      <c r="T125" s="12">
        <f>Price!G125</f>
        <v>7846331</v>
      </c>
      <c r="U125" s="12">
        <f>Price!H125</f>
        <v>282122</v>
      </c>
      <c r="V125" s="13"/>
      <c r="W125" s="22"/>
      <c r="X125" s="19"/>
      <c r="Y125" s="19"/>
    </row>
    <row r="126" spans="1:25" x14ac:dyDescent="0.35">
      <c r="A126" s="79" t="str">
        <f t="shared" ref="A126:A135" si="147">L126</f>
        <v>Sada jednotek TIP-ON BLUMOTION, L1</v>
      </c>
      <c r="B126" s="80" t="str">
        <f t="shared" ref="B126:B135" si="148">M126</f>
        <v>T60B3330</v>
      </c>
      <c r="C126" s="80" t="str">
        <f t="shared" ref="C126:C135" si="149">N126</f>
        <v>R735</v>
      </c>
      <c r="D126" s="173">
        <f t="shared" si="146"/>
        <v>0</v>
      </c>
      <c r="E126" s="81"/>
      <c r="F126" s="17">
        <f t="shared" ref="F126:F135" si="150">Q126*(100-$F$6)/100</f>
        <v>15.883479999999999</v>
      </c>
      <c r="G126" s="50"/>
      <c r="H126" s="50"/>
      <c r="I126" s="173">
        <f t="shared" ref="I126:I135" si="151">T126</f>
        <v>3688343</v>
      </c>
      <c r="J126" s="173">
        <f t="shared" ref="J126:J135" si="152">U126</f>
        <v>284455</v>
      </c>
      <c r="K126" s="54"/>
      <c r="L126" s="46" t="str">
        <f>Price!A126</f>
        <v>Sada jednotek TIP-ON BLUMOTION, L1</v>
      </c>
      <c r="M126" s="15" t="str">
        <f>Price!B126</f>
        <v>T60B3330</v>
      </c>
      <c r="N126" s="15" t="str">
        <f>Price!C126</f>
        <v>R735</v>
      </c>
      <c r="O126" s="472">
        <f>Price!D126</f>
        <v>0</v>
      </c>
      <c r="P126" s="15">
        <f>Price!E126</f>
        <v>0</v>
      </c>
      <c r="Q126" s="17">
        <f>Price!F126</f>
        <v>15.88348</v>
      </c>
      <c r="R126" s="171"/>
      <c r="S126" s="171"/>
      <c r="T126" s="12">
        <f>Price!G126</f>
        <v>3688343</v>
      </c>
      <c r="U126" s="12">
        <f>Price!H126</f>
        <v>284455</v>
      </c>
      <c r="V126" s="13"/>
      <c r="W126" s="22"/>
      <c r="X126" s="19"/>
      <c r="Y126" s="19"/>
    </row>
    <row r="127" spans="1:25" x14ac:dyDescent="0.35">
      <c r="A127" s="79" t="str">
        <f t="shared" si="147"/>
        <v>Sada jednotek TIP-ON BLUMOTION, L3</v>
      </c>
      <c r="B127" s="80" t="str">
        <f t="shared" si="148"/>
        <v>T60B3530</v>
      </c>
      <c r="C127" s="80" t="str">
        <f t="shared" si="149"/>
        <v>R737</v>
      </c>
      <c r="D127" s="173">
        <f t="shared" si="146"/>
        <v>0</v>
      </c>
      <c r="E127" s="81"/>
      <c r="F127" s="17">
        <f t="shared" si="150"/>
        <v>15.883479999999999</v>
      </c>
      <c r="G127" s="50"/>
      <c r="H127" s="50"/>
      <c r="I127" s="173">
        <f t="shared" si="151"/>
        <v>1023195</v>
      </c>
      <c r="J127" s="173">
        <f t="shared" si="152"/>
        <v>282123</v>
      </c>
      <c r="K127" s="54"/>
      <c r="L127" s="46" t="str">
        <f>Price!A127</f>
        <v>Sada jednotek TIP-ON BLUMOTION, L3</v>
      </c>
      <c r="M127" s="15" t="str">
        <f>Price!B127</f>
        <v>T60B3530</v>
      </c>
      <c r="N127" s="15" t="str">
        <f>Price!C127</f>
        <v>R737</v>
      </c>
      <c r="O127" s="472">
        <f>Price!D127</f>
        <v>0</v>
      </c>
      <c r="P127" s="15">
        <f>Price!E127</f>
        <v>0</v>
      </c>
      <c r="Q127" s="17">
        <f>Price!F127</f>
        <v>15.88348</v>
      </c>
      <c r="R127" s="171"/>
      <c r="S127" s="171"/>
      <c r="T127" s="12">
        <f>Price!G127</f>
        <v>1023195</v>
      </c>
      <c r="U127" s="12">
        <f>Price!H127</f>
        <v>282123</v>
      </c>
      <c r="V127" s="13"/>
      <c r="W127" s="22"/>
      <c r="X127" s="19"/>
      <c r="Y127" s="19"/>
    </row>
    <row r="128" spans="1:25" x14ac:dyDescent="0.35">
      <c r="A128" s="79" t="str">
        <f t="shared" si="147"/>
        <v>Sada jednotek TIP-ON BLUMOTION, L5</v>
      </c>
      <c r="B128" s="80" t="str">
        <f t="shared" si="148"/>
        <v>T60B3560</v>
      </c>
      <c r="C128" s="80" t="str">
        <f t="shared" si="149"/>
        <v>S</v>
      </c>
      <c r="D128" s="173">
        <f t="shared" si="146"/>
        <v>0</v>
      </c>
      <c r="E128" s="81"/>
      <c r="F128" s="17">
        <f t="shared" si="150"/>
        <v>15.883479999999999</v>
      </c>
      <c r="G128" s="50"/>
      <c r="H128" s="50"/>
      <c r="I128" s="173">
        <f t="shared" si="151"/>
        <v>9792576</v>
      </c>
      <c r="J128" s="173">
        <f t="shared" si="152"/>
        <v>282124</v>
      </c>
      <c r="K128" s="54"/>
      <c r="L128" s="46" t="str">
        <f>Price!A128</f>
        <v>Sada jednotek TIP-ON BLUMOTION, L5</v>
      </c>
      <c r="M128" s="15" t="str">
        <f>Price!B128</f>
        <v>T60B3560</v>
      </c>
      <c r="N128" s="15" t="str">
        <f>Price!C128</f>
        <v>S</v>
      </c>
      <c r="O128" s="472">
        <f>Price!D128</f>
        <v>0</v>
      </c>
      <c r="P128" s="15">
        <f>Price!E128</f>
        <v>0</v>
      </c>
      <c r="Q128" s="17">
        <f>Price!F128</f>
        <v>15.88348</v>
      </c>
      <c r="R128" s="171"/>
      <c r="S128" s="171"/>
      <c r="T128" s="12">
        <f>Price!G128</f>
        <v>9792576</v>
      </c>
      <c r="U128" s="12">
        <f>Price!H128</f>
        <v>282124</v>
      </c>
      <c r="V128" s="13"/>
      <c r="W128" s="22"/>
      <c r="X128" s="19"/>
      <c r="Y128" s="19"/>
    </row>
    <row r="129" spans="1:25" x14ac:dyDescent="0.35">
      <c r="A129" s="79"/>
      <c r="B129" s="80"/>
      <c r="C129" s="80"/>
      <c r="D129" s="173"/>
      <c r="E129" s="81"/>
      <c r="F129" s="17"/>
      <c r="G129" s="50"/>
      <c r="H129" s="50"/>
      <c r="I129" s="173">
        <f t="shared" si="151"/>
        <v>0</v>
      </c>
      <c r="J129" s="173">
        <f t="shared" si="152"/>
        <v>0</v>
      </c>
      <c r="K129" s="52"/>
      <c r="L129" s="46">
        <f>Price!A129</f>
        <v>0</v>
      </c>
      <c r="M129" s="15">
        <f>Price!B129</f>
        <v>0</v>
      </c>
      <c r="N129" s="15">
        <f>Price!C129</f>
        <v>0</v>
      </c>
      <c r="O129" s="472">
        <f>Price!D129</f>
        <v>0</v>
      </c>
      <c r="P129" s="15">
        <f>Price!E129</f>
        <v>0</v>
      </c>
      <c r="Q129" s="17">
        <f>Price!F129</f>
        <v>0</v>
      </c>
      <c r="R129" s="171"/>
      <c r="S129" s="171"/>
      <c r="T129" s="12">
        <f>Price!G129</f>
        <v>0</v>
      </c>
      <c r="U129" s="12">
        <f>Price!H129</f>
        <v>0</v>
      </c>
      <c r="V129" s="13"/>
      <c r="W129" s="22"/>
      <c r="X129" s="19"/>
      <c r="Y129" s="19"/>
    </row>
    <row r="130" spans="1:25" x14ac:dyDescent="0.35">
      <c r="A130" s="79" t="str">
        <f t="shared" si="147"/>
        <v>Synchronizační adaptér</v>
      </c>
      <c r="B130" s="80" t="str">
        <f t="shared" si="148"/>
        <v>T60.000D</v>
      </c>
      <c r="C130" s="80" t="str">
        <f t="shared" si="149"/>
        <v>R735</v>
      </c>
      <c r="D130" s="173">
        <f t="shared" si="146"/>
        <v>0</v>
      </c>
      <c r="E130" s="81"/>
      <c r="F130" s="17">
        <f t="shared" si="150"/>
        <v>0.22786000000000001</v>
      </c>
      <c r="G130" s="50"/>
      <c r="H130" s="50"/>
      <c r="I130" s="173">
        <f t="shared" si="151"/>
        <v>1512005</v>
      </c>
      <c r="J130" s="173">
        <f t="shared" si="152"/>
        <v>275348</v>
      </c>
      <c r="K130" s="54"/>
      <c r="L130" s="46" t="str">
        <f>Price!A130</f>
        <v>Synchronizační adaptér</v>
      </c>
      <c r="M130" s="15" t="str">
        <f>Price!B130</f>
        <v>T60.000D</v>
      </c>
      <c r="N130" s="15" t="str">
        <f>Price!C130</f>
        <v>R735</v>
      </c>
      <c r="O130" s="472">
        <f>Price!D130</f>
        <v>0</v>
      </c>
      <c r="P130" s="15">
        <f>Price!E130</f>
        <v>0</v>
      </c>
      <c r="Q130" s="17">
        <f>Price!F130</f>
        <v>0.22786000000000001</v>
      </c>
      <c r="R130" s="171"/>
      <c r="S130" s="171"/>
      <c r="T130" s="12">
        <f>Price!G130</f>
        <v>1512005</v>
      </c>
      <c r="U130" s="12">
        <f>Price!H130</f>
        <v>275348</v>
      </c>
      <c r="V130" s="13"/>
      <c r="W130" s="22"/>
      <c r="X130" s="19"/>
      <c r="Y130" s="19"/>
    </row>
    <row r="131" spans="1:25" x14ac:dyDescent="0.35">
      <c r="A131" s="79" t="str">
        <f t="shared" si="147"/>
        <v>Hřídel synchronizace</v>
      </c>
      <c r="B131" s="80" t="str">
        <f t="shared" si="148"/>
        <v>T60.1125W</v>
      </c>
      <c r="C131" s="80" t="str">
        <f t="shared" si="149"/>
        <v>GR</v>
      </c>
      <c r="D131" s="173">
        <f t="shared" si="146"/>
        <v>0</v>
      </c>
      <c r="E131" s="81"/>
      <c r="F131" s="17">
        <f t="shared" si="150"/>
        <v>3.7524400000000004</v>
      </c>
      <c r="G131" s="50"/>
      <c r="H131" s="50"/>
      <c r="I131" s="173">
        <f t="shared" si="151"/>
        <v>2101757</v>
      </c>
      <c r="J131" s="173">
        <f t="shared" si="152"/>
        <v>282277</v>
      </c>
      <c r="K131" s="54"/>
      <c r="L131" s="46" t="str">
        <f>Price!A131</f>
        <v>Hřídel synchronizace</v>
      </c>
      <c r="M131" s="15" t="str">
        <f>Price!B131</f>
        <v>T60.1125W</v>
      </c>
      <c r="N131" s="15" t="str">
        <f>Price!C131</f>
        <v>GR</v>
      </c>
      <c r="O131" s="472">
        <f>Price!D131</f>
        <v>0</v>
      </c>
      <c r="P131" s="15">
        <f>Price!E131</f>
        <v>0</v>
      </c>
      <c r="Q131" s="17">
        <f>Price!F131</f>
        <v>3.75244</v>
      </c>
      <c r="R131" s="171"/>
      <c r="S131" s="171"/>
      <c r="T131" s="12">
        <f>Price!G131</f>
        <v>2101757</v>
      </c>
      <c r="U131" s="12">
        <f>Price!H131</f>
        <v>282277</v>
      </c>
      <c r="V131" s="13"/>
      <c r="W131" s="22"/>
      <c r="X131" s="19"/>
      <c r="Y131" s="19"/>
    </row>
    <row r="132" spans="1:25" x14ac:dyDescent="0.35">
      <c r="A132" s="79" t="str">
        <f t="shared" si="147"/>
        <v>Jednodílná synchronizace</v>
      </c>
      <c r="B132" s="80" t="str">
        <f t="shared" si="148"/>
        <v>T60.300D</v>
      </c>
      <c r="C132" s="80" t="str">
        <f t="shared" si="149"/>
        <v>R735</v>
      </c>
      <c r="D132" s="173">
        <f t="shared" si="146"/>
        <v>0</v>
      </c>
      <c r="E132" s="81"/>
      <c r="F132" s="17">
        <f t="shared" si="150"/>
        <v>0.9112300000000001</v>
      </c>
      <c r="G132" s="50"/>
      <c r="H132" s="50"/>
      <c r="I132" s="173">
        <f t="shared" si="151"/>
        <v>8133273</v>
      </c>
      <c r="J132" s="173">
        <f t="shared" si="152"/>
        <v>293824</v>
      </c>
      <c r="K132" s="54"/>
      <c r="L132" s="46" t="str">
        <f>Price!A132</f>
        <v>Jednodílná synchronizace</v>
      </c>
      <c r="M132" s="15" t="str">
        <f>Price!B132</f>
        <v>T60.300D</v>
      </c>
      <c r="N132" s="15" t="str">
        <f>Price!C132</f>
        <v>R735</v>
      </c>
      <c r="O132" s="472">
        <f>Price!D132</f>
        <v>0</v>
      </c>
      <c r="P132" s="15">
        <f>Price!E132</f>
        <v>0</v>
      </c>
      <c r="Q132" s="17">
        <f>Price!F132</f>
        <v>0.91122999999999998</v>
      </c>
      <c r="R132" s="171"/>
      <c r="S132" s="171"/>
      <c r="T132" s="12">
        <f>Price!G132</f>
        <v>8133273</v>
      </c>
      <c r="U132" s="12">
        <f>Price!H132</f>
        <v>293824</v>
      </c>
      <c r="V132" s="13"/>
      <c r="W132" s="22"/>
      <c r="X132" s="19"/>
      <c r="Y132" s="19"/>
    </row>
    <row r="133" spans="1:25" x14ac:dyDescent="0.35">
      <c r="A133" s="79"/>
      <c r="B133" s="80"/>
      <c r="C133" s="80"/>
      <c r="D133" s="173"/>
      <c r="E133" s="81"/>
      <c r="F133" s="17"/>
      <c r="G133" s="50"/>
      <c r="H133" s="50"/>
      <c r="I133" s="173">
        <f t="shared" si="151"/>
        <v>0</v>
      </c>
      <c r="J133" s="173">
        <f t="shared" si="152"/>
        <v>0</v>
      </c>
      <c r="K133" s="52"/>
      <c r="L133" s="46">
        <f>Price!A133</f>
        <v>0</v>
      </c>
      <c r="M133" s="15">
        <f>Price!B133</f>
        <v>0</v>
      </c>
      <c r="N133" s="15">
        <f>Price!C133</f>
        <v>0</v>
      </c>
      <c r="O133" s="472">
        <f>Price!D133</f>
        <v>0</v>
      </c>
      <c r="P133" s="15">
        <f>Price!E133</f>
        <v>0</v>
      </c>
      <c r="Q133" s="17">
        <f>Price!F133</f>
        <v>0</v>
      </c>
      <c r="R133" s="171"/>
      <c r="S133" s="171"/>
      <c r="T133" s="12">
        <f>Price!G133</f>
        <v>0</v>
      </c>
      <c r="U133" s="12">
        <f>Price!H133</f>
        <v>0</v>
      </c>
      <c r="V133" s="13"/>
      <c r="W133" s="22"/>
      <c r="X133" s="19"/>
      <c r="Y133" s="19"/>
    </row>
    <row r="134" spans="1:25" x14ac:dyDescent="0.35">
      <c r="A134" s="79" t="str">
        <f t="shared" si="147"/>
        <v>Držák hřídele synchronizace</v>
      </c>
      <c r="B134" s="80" t="str">
        <f t="shared" si="148"/>
        <v>T60B000H</v>
      </c>
      <c r="C134" s="80" t="str">
        <f t="shared" si="149"/>
        <v>NI</v>
      </c>
      <c r="D134" s="173">
        <f t="shared" si="146"/>
        <v>0</v>
      </c>
      <c r="E134" s="81"/>
      <c r="F134" s="17">
        <f t="shared" si="150"/>
        <v>0.23594999999999999</v>
      </c>
      <c r="G134" s="50"/>
      <c r="H134" s="50"/>
      <c r="I134" s="173">
        <f t="shared" si="151"/>
        <v>5690481</v>
      </c>
      <c r="J134" s="173">
        <f t="shared" si="152"/>
        <v>293797</v>
      </c>
      <c r="K134" s="54"/>
      <c r="L134" s="46" t="str">
        <f>Price!A134</f>
        <v>Držák hřídele synchronizace</v>
      </c>
      <c r="M134" s="15" t="str">
        <f>Price!B134</f>
        <v>T60B000H</v>
      </c>
      <c r="N134" s="15" t="str">
        <f>Price!C134</f>
        <v>NI</v>
      </c>
      <c r="O134" s="472">
        <f>Price!D134</f>
        <v>0</v>
      </c>
      <c r="P134" s="15">
        <f>Price!E134</f>
        <v>0</v>
      </c>
      <c r="Q134" s="17">
        <f>Price!F134</f>
        <v>0.23594999999999999</v>
      </c>
      <c r="R134" s="171"/>
      <c r="S134" s="171"/>
      <c r="T134" s="12">
        <f>Price!G134</f>
        <v>5690481</v>
      </c>
      <c r="U134" s="12">
        <f>Price!H134</f>
        <v>293797</v>
      </c>
      <c r="V134" s="13"/>
      <c r="W134" s="22"/>
      <c r="X134" s="19"/>
      <c r="Y134" s="19"/>
    </row>
    <row r="135" spans="1:25" x14ac:dyDescent="0.35">
      <c r="A135" s="79" t="str">
        <f t="shared" si="147"/>
        <v>Podpěrný úhelník pro dno</v>
      </c>
      <c r="B135" s="80" t="str">
        <f t="shared" si="148"/>
        <v>Z96.2011</v>
      </c>
      <c r="C135" s="80" t="str">
        <f t="shared" si="149"/>
        <v>R737</v>
      </c>
      <c r="D135" s="173">
        <f t="shared" si="146"/>
        <v>0</v>
      </c>
      <c r="E135" s="81"/>
      <c r="F135" s="17">
        <f t="shared" si="150"/>
        <v>1.1712800000000001</v>
      </c>
      <c r="G135" s="50"/>
      <c r="H135" s="50"/>
      <c r="I135" s="173">
        <f t="shared" si="151"/>
        <v>1486446</v>
      </c>
      <c r="J135" s="173">
        <f t="shared" si="152"/>
        <v>293796</v>
      </c>
      <c r="K135" s="54"/>
      <c r="L135" s="46" t="str">
        <f>Price!A135</f>
        <v>Podpěrný úhelník pro dno</v>
      </c>
      <c r="M135" s="15" t="str">
        <f>Price!B135</f>
        <v>Z96.2011</v>
      </c>
      <c r="N135" s="15" t="str">
        <f>Price!C135</f>
        <v>R737</v>
      </c>
      <c r="O135" s="472">
        <f>Price!D135</f>
        <v>0</v>
      </c>
      <c r="P135" s="15">
        <f>Price!E135</f>
        <v>0</v>
      </c>
      <c r="Q135" s="17">
        <f>Price!F135</f>
        <v>1.1712800000000001</v>
      </c>
      <c r="R135" s="171"/>
      <c r="S135" s="171"/>
      <c r="T135" s="12">
        <f>Price!G135</f>
        <v>1486446</v>
      </c>
      <c r="U135" s="12">
        <f>Price!H135</f>
        <v>293796</v>
      </c>
      <c r="V135" s="13"/>
      <c r="W135" s="22"/>
      <c r="X135" s="19"/>
      <c r="Y135" s="19"/>
    </row>
    <row r="136" spans="1:25" x14ac:dyDescent="0.35">
      <c r="A136" s="79"/>
      <c r="B136" s="80"/>
      <c r="C136" s="80"/>
      <c r="D136" s="80"/>
      <c r="E136" s="81"/>
      <c r="F136" s="17"/>
      <c r="G136" s="50"/>
      <c r="H136" s="50"/>
      <c r="I136" s="173"/>
      <c r="J136" s="173"/>
      <c r="K136" s="52"/>
      <c r="L136" s="46">
        <f>Price!A136</f>
        <v>0</v>
      </c>
      <c r="M136" s="15">
        <f>Price!B136</f>
        <v>0</v>
      </c>
      <c r="N136" s="15">
        <f>Price!C136</f>
        <v>0</v>
      </c>
      <c r="O136" s="472">
        <f>Price!D136</f>
        <v>0</v>
      </c>
      <c r="P136" s="15">
        <f>Price!E136</f>
        <v>0</v>
      </c>
      <c r="Q136" s="17">
        <f>Price!F136</f>
        <v>0</v>
      </c>
      <c r="R136" s="171"/>
      <c r="S136" s="171"/>
      <c r="T136" s="12">
        <f>Price!G136</f>
        <v>0</v>
      </c>
      <c r="U136" s="12">
        <f>Price!H136</f>
        <v>0</v>
      </c>
      <c r="V136" s="13"/>
      <c r="W136" s="13"/>
      <c r="X136" s="19"/>
      <c r="Y136" s="19"/>
    </row>
    <row r="137" spans="1:25" x14ac:dyDescent="0.35">
      <c r="A137" s="79"/>
      <c r="B137" s="80"/>
      <c r="C137" s="80"/>
      <c r="D137" s="80"/>
      <c r="E137" s="81"/>
      <c r="F137" s="17"/>
      <c r="G137" s="50"/>
      <c r="H137" s="50"/>
      <c r="I137" s="173"/>
      <c r="J137" s="173"/>
      <c r="K137" s="52"/>
      <c r="L137" s="46">
        <f>Price!A137</f>
        <v>0</v>
      </c>
      <c r="M137" s="15">
        <f>Price!B137</f>
        <v>0</v>
      </c>
      <c r="N137" s="15">
        <f>Price!C137</f>
        <v>0</v>
      </c>
      <c r="O137" s="472">
        <f>Price!D137</f>
        <v>0</v>
      </c>
      <c r="P137" s="15">
        <f>Price!E137</f>
        <v>0</v>
      </c>
      <c r="Q137" s="17">
        <f>Price!F137</f>
        <v>0</v>
      </c>
      <c r="R137" s="171"/>
      <c r="S137" s="171"/>
      <c r="T137" s="12">
        <f>Price!G137</f>
        <v>0</v>
      </c>
      <c r="U137" s="12">
        <f>Price!H137</f>
        <v>0</v>
      </c>
      <c r="V137" s="13"/>
      <c r="W137" s="13"/>
      <c r="X137" s="19"/>
      <c r="Y137" s="19"/>
    </row>
    <row r="138" spans="1:25" x14ac:dyDescent="0.35">
      <c r="A138" s="79"/>
      <c r="B138" s="80"/>
      <c r="C138" s="80"/>
      <c r="D138" s="80"/>
      <c r="E138" s="81"/>
      <c r="F138" s="17"/>
      <c r="G138" s="50"/>
      <c r="H138" s="50"/>
      <c r="I138" s="173"/>
      <c r="J138" s="173"/>
      <c r="K138" s="54"/>
      <c r="L138" s="46">
        <f>Price!A138</f>
        <v>0</v>
      </c>
      <c r="M138" s="15">
        <f>Price!B138</f>
        <v>0</v>
      </c>
      <c r="N138" s="15">
        <f>Price!C138</f>
        <v>0</v>
      </c>
      <c r="O138" s="472">
        <f>Price!D138</f>
        <v>0</v>
      </c>
      <c r="P138" s="15">
        <f>Price!E138</f>
        <v>0</v>
      </c>
      <c r="Q138" s="17">
        <f>Price!F138</f>
        <v>0</v>
      </c>
      <c r="R138" s="171"/>
      <c r="S138" s="171"/>
      <c r="T138" s="12">
        <f>Price!G138</f>
        <v>0</v>
      </c>
      <c r="U138" s="12">
        <f>Price!H138</f>
        <v>0</v>
      </c>
      <c r="V138" s="13"/>
      <c r="W138" s="13"/>
      <c r="X138" s="19"/>
      <c r="Y138" s="19"/>
    </row>
    <row r="139" spans="1:25" x14ac:dyDescent="0.35">
      <c r="A139" s="79"/>
      <c r="B139" s="80"/>
      <c r="C139" s="80"/>
      <c r="D139" s="80"/>
      <c r="E139" s="81"/>
      <c r="F139" s="17"/>
      <c r="G139" s="50"/>
      <c r="H139" s="50"/>
      <c r="I139" s="50"/>
      <c r="J139" s="50"/>
      <c r="K139" s="48"/>
      <c r="L139" s="46">
        <f>Price!A139</f>
        <v>0</v>
      </c>
      <c r="M139" s="15">
        <f>Price!B139</f>
        <v>0</v>
      </c>
      <c r="N139" s="15">
        <f>Price!C139</f>
        <v>0</v>
      </c>
      <c r="O139" s="472">
        <f>Price!D139</f>
        <v>0</v>
      </c>
      <c r="P139" s="15">
        <f>Price!E139</f>
        <v>0</v>
      </c>
      <c r="Q139" s="17">
        <f>Price!F139</f>
        <v>0</v>
      </c>
      <c r="R139" s="171"/>
      <c r="S139" s="171"/>
      <c r="T139" s="12">
        <f>Price!G139</f>
        <v>0</v>
      </c>
      <c r="U139" s="12">
        <f>Price!H139</f>
        <v>0</v>
      </c>
      <c r="V139" s="13"/>
      <c r="W139" s="13"/>
      <c r="X139" s="19"/>
      <c r="Y139" s="19"/>
    </row>
    <row r="140" spans="1:25" x14ac:dyDescent="0.35">
      <c r="A140" s="43"/>
      <c r="B140" s="161"/>
      <c r="C140" s="161"/>
      <c r="D140" s="161"/>
      <c r="E140" s="64"/>
      <c r="F140" s="50"/>
      <c r="G140" s="50"/>
      <c r="H140" s="50"/>
      <c r="I140" s="50"/>
      <c r="J140" s="50"/>
      <c r="K140" s="48"/>
      <c r="L140" s="46">
        <f>Price!A140</f>
        <v>0</v>
      </c>
      <c r="M140" s="15">
        <f>Price!B140</f>
        <v>0</v>
      </c>
      <c r="N140" s="15">
        <f>Price!C140</f>
        <v>0</v>
      </c>
      <c r="O140" s="472">
        <f>Price!D140</f>
        <v>0</v>
      </c>
      <c r="P140" s="15">
        <f>Price!E140</f>
        <v>0</v>
      </c>
      <c r="Q140" s="17">
        <f>Price!F140</f>
        <v>0</v>
      </c>
      <c r="R140" s="171"/>
      <c r="S140" s="171"/>
      <c r="T140" s="12">
        <f>Price!G140</f>
        <v>0</v>
      </c>
      <c r="U140" s="12">
        <f>Price!H140</f>
        <v>0</v>
      </c>
      <c r="V140" s="13"/>
      <c r="W140" s="13"/>
      <c r="X140" s="19"/>
      <c r="Y140" s="19"/>
    </row>
    <row r="141" spans="1:25" x14ac:dyDescent="0.35">
      <c r="A141" s="43"/>
      <c r="B141" s="161"/>
      <c r="C141" s="161"/>
      <c r="D141" s="161"/>
      <c r="E141" s="64"/>
      <c r="F141" s="50"/>
      <c r="G141" s="50"/>
      <c r="H141" s="50"/>
      <c r="I141" s="50"/>
      <c r="J141" s="50"/>
      <c r="K141" s="48"/>
      <c r="L141" s="46">
        <f>Price!A141</f>
        <v>0</v>
      </c>
      <c r="M141" s="15">
        <f>Price!B141</f>
        <v>0</v>
      </c>
      <c r="N141" s="15">
        <f>Price!C141</f>
        <v>0</v>
      </c>
      <c r="O141" s="472">
        <f>Price!D141</f>
        <v>0</v>
      </c>
      <c r="P141" s="15">
        <f>Price!E141</f>
        <v>0</v>
      </c>
      <c r="Q141" s="17">
        <f>Price!F141</f>
        <v>0</v>
      </c>
      <c r="R141" s="171"/>
      <c r="S141" s="171"/>
      <c r="T141" s="12">
        <f>Price!G141</f>
        <v>0</v>
      </c>
      <c r="U141" s="12">
        <f>Price!H141</f>
        <v>0</v>
      </c>
      <c r="V141" s="13"/>
      <c r="W141" s="13"/>
      <c r="X141" s="19"/>
      <c r="Y141" s="19"/>
    </row>
    <row r="142" spans="1:25" x14ac:dyDescent="0.35">
      <c r="A142" s="43"/>
      <c r="B142" s="161"/>
      <c r="C142" s="161"/>
      <c r="D142" s="161"/>
      <c r="E142" s="64"/>
      <c r="F142" s="50"/>
      <c r="G142" s="50"/>
      <c r="H142" s="50"/>
      <c r="I142" s="50"/>
      <c r="J142" s="50"/>
      <c r="K142" s="48"/>
      <c r="L142" s="46" t="str">
        <f>Price!A142</f>
        <v xml:space="preserve">   Držáky zadní stěny</v>
      </c>
      <c r="M142" s="15">
        <f>Price!B142</f>
        <v>0</v>
      </c>
      <c r="N142" s="15">
        <f>Price!C142</f>
        <v>0</v>
      </c>
      <c r="O142" s="472">
        <f>Price!D142</f>
        <v>0</v>
      </c>
      <c r="P142" s="15">
        <f>Price!E142</f>
        <v>0</v>
      </c>
      <c r="Q142" s="17">
        <f>Price!F142</f>
        <v>0</v>
      </c>
      <c r="R142" s="171"/>
      <c r="S142" s="171"/>
      <c r="T142" s="12">
        <f>Price!G142</f>
        <v>0</v>
      </c>
      <c r="U142" s="12">
        <f>Price!H142</f>
        <v>0</v>
      </c>
      <c r="V142" s="13"/>
      <c r="W142" s="13"/>
      <c r="X142" s="19"/>
      <c r="Y142" s="19"/>
    </row>
    <row r="143" spans="1:25" ht="15" thickBot="1" x14ac:dyDescent="0.4">
      <c r="A143" s="75" t="str">
        <f>IF($C$2=1,L143,IF($C$2=2,L144,IF($C$2=3,L145, IF($C$2=4, L146, "  chyba"))))</f>
        <v>Držáky zadní stěny N, šedé</v>
      </c>
      <c r="B143" s="76" t="str">
        <f t="shared" ref="B143" si="153">IF($C$2=1,M143,IF($C$2=2,M144,IF($C$2=3,M145, IF($C$2=4, M146, "  chyba"))))</f>
        <v>Z30N000S.04</v>
      </c>
      <c r="C143" s="76" t="str">
        <f t="shared" ref="C143" si="154">IF($C$2=1,N143,IF($C$2=2,N144,IF($C$2=3,N145, IF($C$2=4, N146, "  chyba"))))</f>
        <v>R906</v>
      </c>
      <c r="D143" s="172">
        <f t="shared" ref="D143" si="155">IF($C$2=1,O143,IF($C$2=2,O144,IF($C$2=3,O145, IF($C$2=4, O146, "  chyba"))))</f>
        <v>0</v>
      </c>
      <c r="E143" s="77">
        <f t="shared" ref="E143" si="156">IF($C$2=1,P143,IF($C$2=2,P144,IF($C$2=3,P145, IF($C$2=4, P146, "  chyba"))))</f>
        <v>0</v>
      </c>
      <c r="F143" s="78">
        <f>IF($C$2=1,Q143,IF($C$2=2,Q144,IF($C$2=3,Q145, IF($C$2=4, Q146, "  chyba"))))*(100-$F$6)/100</f>
        <v>1.4347399999999999</v>
      </c>
      <c r="G143" s="50"/>
      <c r="H143" s="50"/>
      <c r="I143" s="172">
        <f t="shared" ref="I143" si="157">IF($C$2=1,T143,IF($C$2=2,T144,IF($C$2=3,T145, IF($C$2=4, T146, "  chyba"))))</f>
        <v>5823334</v>
      </c>
      <c r="J143" s="172">
        <f t="shared" ref="J143" si="158">IF($C$2=1,U143,IF($C$2=2,U144,IF($C$2=3,U145, IF($C$2=4, U146, "  chyba"))))</f>
        <v>202540</v>
      </c>
      <c r="K143" s="48"/>
      <c r="L143" s="46" t="str">
        <f>Price!A143</f>
        <v>Držáky zadní stěny N, šedé</v>
      </c>
      <c r="M143" s="15" t="str">
        <f>Price!B143</f>
        <v>Z30N000S.04</v>
      </c>
      <c r="N143" s="15" t="str">
        <f>Price!C143</f>
        <v>R906</v>
      </c>
      <c r="O143" s="472">
        <f>Price!D143</f>
        <v>0</v>
      </c>
      <c r="P143" s="15">
        <f>Price!E143</f>
        <v>0</v>
      </c>
      <c r="Q143" s="17">
        <f>Price!F143</f>
        <v>1.4347399999999999</v>
      </c>
      <c r="R143" s="171"/>
      <c r="S143" s="171"/>
      <c r="T143" s="12">
        <f>Price!G143</f>
        <v>5823334</v>
      </c>
      <c r="U143" s="12">
        <f>Price!H143</f>
        <v>202540</v>
      </c>
      <c r="V143" s="13"/>
      <c r="W143" s="13"/>
      <c r="X143" s="19"/>
      <c r="Y143" s="19"/>
    </row>
    <row r="144" spans="1:25" x14ac:dyDescent="0.35">
      <c r="A144" s="66"/>
      <c r="B144" s="161"/>
      <c r="C144" s="161"/>
      <c r="D144" s="161"/>
      <c r="E144" s="69"/>
      <c r="F144" s="50"/>
      <c r="G144" s="50"/>
      <c r="H144" s="50"/>
      <c r="I144" s="161"/>
      <c r="J144" s="161"/>
      <c r="K144" s="48"/>
      <c r="L144" s="46" t="str">
        <f>Price!A144</f>
        <v>Držáky zadní stěny N, hedvábně bílé</v>
      </c>
      <c r="M144" s="15" t="str">
        <f>Price!B144</f>
        <v>Z30N000S.04</v>
      </c>
      <c r="N144" s="15" t="str">
        <f>Price!C144</f>
        <v>SEIW</v>
      </c>
      <c r="O144" s="472">
        <f>Price!D144</f>
        <v>0</v>
      </c>
      <c r="P144" s="15">
        <f>Price!E144</f>
        <v>0</v>
      </c>
      <c r="Q144" s="17">
        <f>Price!F144</f>
        <v>1.4347399999999999</v>
      </c>
      <c r="R144" s="171"/>
      <c r="S144" s="171"/>
      <c r="T144" s="12">
        <f>Price!G144</f>
        <v>4305133</v>
      </c>
      <c r="U144" s="12" t="str">
        <f>Price!H144</f>
        <v>IN103B</v>
      </c>
      <c r="V144" s="13"/>
      <c r="W144" s="13"/>
      <c r="X144" s="19"/>
      <c r="Y144" s="19"/>
    </row>
    <row r="145" spans="1:25" x14ac:dyDescent="0.35">
      <c r="A145" s="43"/>
      <c r="B145" s="161"/>
      <c r="C145" s="161"/>
      <c r="D145" s="161"/>
      <c r="E145" s="69"/>
      <c r="F145" s="50"/>
      <c r="G145" s="50"/>
      <c r="H145" s="50"/>
      <c r="I145" s="161"/>
      <c r="J145" s="161"/>
      <c r="K145" s="20"/>
      <c r="L145" s="46" t="str">
        <f>Price!A145</f>
        <v>Držáky zadní stěny N, černé Terra</v>
      </c>
      <c r="M145" s="15" t="str">
        <f>Price!B145</f>
        <v>Z30N000S.04</v>
      </c>
      <c r="N145" s="15" t="str">
        <f>Price!C145</f>
        <v>TERS</v>
      </c>
      <c r="O145" s="472">
        <f>Price!D145</f>
        <v>0</v>
      </c>
      <c r="P145" s="15">
        <f>Price!E145</f>
        <v>0</v>
      </c>
      <c r="Q145" s="17">
        <f>Price!F145</f>
        <v>1.4347399999999999</v>
      </c>
      <c r="R145" s="171"/>
      <c r="S145" s="171"/>
      <c r="T145" s="12">
        <f>Price!G145</f>
        <v>6548446</v>
      </c>
      <c r="U145" s="12" t="str">
        <f>Price!H145</f>
        <v>IN103C</v>
      </c>
      <c r="V145" s="13"/>
      <c r="W145" s="13"/>
      <c r="X145" s="19"/>
      <c r="Y145" s="19"/>
    </row>
    <row r="146" spans="1:25" x14ac:dyDescent="0.35">
      <c r="A146" s="43"/>
      <c r="B146" s="161"/>
      <c r="C146" s="161"/>
      <c r="D146" s="161"/>
      <c r="E146" s="69"/>
      <c r="F146" s="50"/>
      <c r="G146" s="50"/>
      <c r="H146" s="50"/>
      <c r="I146" s="161"/>
      <c r="J146" s="161"/>
      <c r="K146" s="20"/>
      <c r="L146" s="46" t="str">
        <f>Price!A146</f>
        <v>Držáky zadní stěny N, poniklované</v>
      </c>
      <c r="M146" s="15" t="str">
        <f>Price!B146</f>
        <v>Z30N000S.04</v>
      </c>
      <c r="N146" s="15" t="str">
        <f>Price!C146</f>
        <v>NI</v>
      </c>
      <c r="O146" s="472" t="str">
        <f>Price!D146</f>
        <v>!</v>
      </c>
      <c r="P146" s="15">
        <f>Price!E146</f>
        <v>0</v>
      </c>
      <c r="Q146" s="17">
        <f>Price!F146</f>
        <v>2.2325900000000001</v>
      </c>
      <c r="R146" s="171"/>
      <c r="S146" s="171"/>
      <c r="T146" s="12">
        <f>Price!G146</f>
        <v>3520788</v>
      </c>
      <c r="U146" s="12" t="str">
        <f>Price!H146</f>
        <v>IN103N</v>
      </c>
      <c r="V146" s="13"/>
      <c r="W146" s="13"/>
      <c r="X146" s="19"/>
      <c r="Y146" s="19"/>
    </row>
    <row r="147" spans="1:25" ht="15" thickBot="1" x14ac:dyDescent="0.4">
      <c r="A147" s="75" t="str">
        <f>IF($C$2=1,L147,IF($C$2=2,L148,IF($C$2=3,L149, IF($C$2=4, L150, "  chyba"))))</f>
        <v>Držáky zadní stěny M, šedé</v>
      </c>
      <c r="B147" s="76" t="str">
        <f t="shared" ref="B147" si="159">IF($C$2=1,M147,IF($C$2=2,M148,IF($C$2=3,M149, IF($C$2=4, M150, "  chyba"))))</f>
        <v>Z30M000S.04</v>
      </c>
      <c r="C147" s="76" t="str">
        <f t="shared" ref="C147" si="160">IF($C$2=1,N147,IF($C$2=2,N148,IF($C$2=3,N149, IF($C$2=4, N150, "  chyba"))))</f>
        <v>R906</v>
      </c>
      <c r="D147" s="172">
        <f t="shared" ref="D147" si="161">IF($C$2=1,O147,IF($C$2=2,O148,IF($C$2=3,O149, IF($C$2=4, O150, "  chyba"))))</f>
        <v>0</v>
      </c>
      <c r="E147" s="77">
        <f t="shared" ref="E147" si="162">IF($C$2=1,P147,IF($C$2=2,P148,IF($C$2=3,P149, IF($C$2=4, P150, "  chyba"))))</f>
        <v>0</v>
      </c>
      <c r="F147" s="78">
        <f>IF($C$2=1,Q147,IF($C$2=2,Q148,IF($C$2=3,Q149, IF($C$2=4, Q150, "  chyba"))))*(100-$F$6)/100</f>
        <v>1.59188</v>
      </c>
      <c r="G147" s="50"/>
      <c r="H147" s="50"/>
      <c r="I147" s="172">
        <f t="shared" ref="I147" si="163">IF($C$2=1,T147,IF($C$2=2,T148,IF($C$2=3,T149, IF($C$2=4, T150, "  chyba"))))</f>
        <v>4114541</v>
      </c>
      <c r="J147" s="172">
        <f t="shared" ref="J147" si="164">IF($C$2=1,U147,IF($C$2=2,U148,IF($C$2=3,U149, IF($C$2=4, U150, "  chyba"))))</f>
        <v>202542</v>
      </c>
      <c r="K147" s="20"/>
      <c r="L147" s="46" t="str">
        <f>Price!A147</f>
        <v>Držáky zadní stěny M, šedé</v>
      </c>
      <c r="M147" s="15" t="str">
        <f>Price!B147</f>
        <v>Z30M000S.04</v>
      </c>
      <c r="N147" s="15" t="str">
        <f>Price!C147</f>
        <v>R906</v>
      </c>
      <c r="O147" s="472">
        <f>Price!D147</f>
        <v>0</v>
      </c>
      <c r="P147" s="15">
        <f>Price!E147</f>
        <v>0</v>
      </c>
      <c r="Q147" s="17">
        <f>Price!F147</f>
        <v>1.59188</v>
      </c>
      <c r="R147" s="171"/>
      <c r="S147" s="171"/>
      <c r="T147" s="12">
        <f>Price!G147</f>
        <v>4114541</v>
      </c>
      <c r="U147" s="12">
        <f>Price!H147</f>
        <v>202542</v>
      </c>
      <c r="V147" s="13"/>
      <c r="W147" s="13"/>
      <c r="X147" s="19"/>
      <c r="Y147" s="19"/>
    </row>
    <row r="148" spans="1:25" x14ac:dyDescent="0.35">
      <c r="A148" s="65"/>
      <c r="B148" s="162"/>
      <c r="C148" s="162"/>
      <c r="D148" s="162"/>
      <c r="E148" s="64"/>
      <c r="F148" s="52"/>
      <c r="G148" s="52"/>
      <c r="H148" s="52"/>
      <c r="I148" s="162"/>
      <c r="J148" s="162"/>
      <c r="K148" s="47"/>
      <c r="L148" s="46" t="str">
        <f>Price!A148</f>
        <v>Držáky zadní stěny M, hedvábně bílé</v>
      </c>
      <c r="M148" s="15" t="str">
        <f>Price!B148</f>
        <v>Z30M000S.04</v>
      </c>
      <c r="N148" s="15" t="str">
        <f>Price!C148</f>
        <v>SEIW</v>
      </c>
      <c r="O148" s="472">
        <f>Price!D148</f>
        <v>0</v>
      </c>
      <c r="P148" s="15">
        <f>Price!E148</f>
        <v>0</v>
      </c>
      <c r="Q148" s="17">
        <f>Price!F148</f>
        <v>1.59</v>
      </c>
      <c r="R148" s="171"/>
      <c r="S148" s="171"/>
      <c r="T148" s="12">
        <f>Price!G148</f>
        <v>2843026</v>
      </c>
      <c r="U148" s="12" t="str">
        <f>Price!H148</f>
        <v>IN102B</v>
      </c>
      <c r="V148" s="13"/>
      <c r="W148" s="13"/>
      <c r="X148" s="19"/>
      <c r="Y148" s="19"/>
    </row>
    <row r="149" spans="1:25" x14ac:dyDescent="0.35">
      <c r="A149" s="43"/>
      <c r="B149" s="161"/>
      <c r="C149" s="161"/>
      <c r="D149" s="161"/>
      <c r="E149" s="69"/>
      <c r="F149" s="50"/>
      <c r="G149" s="50"/>
      <c r="H149" s="50"/>
      <c r="I149" s="161"/>
      <c r="J149" s="161"/>
      <c r="K149" s="20"/>
      <c r="L149" s="46" t="str">
        <f>Price!A149</f>
        <v>Držáky zadní stěny M, černé Terra</v>
      </c>
      <c r="M149" s="15" t="str">
        <f>Price!B149</f>
        <v>Z30M000S.04</v>
      </c>
      <c r="N149" s="15" t="str">
        <f>Price!C149</f>
        <v>TERS</v>
      </c>
      <c r="O149" s="472">
        <f>Price!D149</f>
        <v>0</v>
      </c>
      <c r="P149" s="15">
        <f>Price!E149</f>
        <v>0</v>
      </c>
      <c r="Q149" s="17">
        <f>Price!F149</f>
        <v>1.4347399999999999</v>
      </c>
      <c r="R149" s="171"/>
      <c r="S149" s="171"/>
      <c r="T149" s="12">
        <f>Price!G149</f>
        <v>7448927</v>
      </c>
      <c r="U149" s="12" t="str">
        <f>Price!H149</f>
        <v>IN102C</v>
      </c>
      <c r="V149" s="13"/>
      <c r="W149" s="13"/>
      <c r="X149" s="19"/>
      <c r="Y149" s="19"/>
    </row>
    <row r="150" spans="1:25" x14ac:dyDescent="0.35">
      <c r="A150" s="43"/>
      <c r="B150" s="161"/>
      <c r="C150" s="161"/>
      <c r="D150" s="161"/>
      <c r="E150" s="69"/>
      <c r="F150" s="50"/>
      <c r="G150" s="50"/>
      <c r="H150" s="50"/>
      <c r="I150" s="161"/>
      <c r="J150" s="161"/>
      <c r="K150" s="20"/>
      <c r="L150" s="46" t="str">
        <f>Price!A150</f>
        <v>Držáky zadní stěny M, poniklované</v>
      </c>
      <c r="M150" s="15" t="str">
        <f>Price!B150</f>
        <v>Z30M000S.04</v>
      </c>
      <c r="N150" s="15" t="str">
        <f>Price!C150</f>
        <v>NI</v>
      </c>
      <c r="O150" s="472" t="str">
        <f>Price!D150</f>
        <v>!</v>
      </c>
      <c r="P150" s="15">
        <f>Price!E150</f>
        <v>0</v>
      </c>
      <c r="Q150" s="17">
        <f>Price!F150</f>
        <v>2.2325900000000001</v>
      </c>
      <c r="R150" s="171"/>
      <c r="S150" s="171"/>
      <c r="T150" s="12">
        <f>Price!G150</f>
        <v>8304394</v>
      </c>
      <c r="U150" s="12" t="str">
        <f>Price!H150</f>
        <v>IN102N</v>
      </c>
      <c r="V150" s="13"/>
      <c r="W150" s="13"/>
      <c r="X150" s="19"/>
      <c r="Y150" s="19"/>
    </row>
    <row r="151" spans="1:25" ht="15" thickBot="1" x14ac:dyDescent="0.4">
      <c r="A151" s="547" t="str">
        <f>IF($C$2=1,L151,IF($C$2=2,L152,IF($C$2=3,L153,IF($C$2=4," ","  chyba"))))</f>
        <v>Držáky zadní stěny K, šedé</v>
      </c>
      <c r="B151" s="547" t="str">
        <f t="shared" ref="B151" si="165">IF($C$2=1,M151,IF($C$2=2,M152,IF($C$2=3,M153,IF($C$2=4," ","  chyba"))))</f>
        <v>Z30K000S</v>
      </c>
      <c r="C151" s="547" t="str">
        <f t="shared" ref="C151" si="166">IF($C$2=1,N151,IF($C$2=2,N152,IF($C$2=3,N153,IF($C$2=4," ","  chyba"))))</f>
        <v>R906</v>
      </c>
      <c r="D151" s="547">
        <f t="shared" ref="D151" si="167">IF($C$2=1,O151,IF($C$2=2,O152,IF($C$2=3,O153,IF($C$2=4," ","  chyba"))))</f>
        <v>0</v>
      </c>
      <c r="E151" s="547">
        <f t="shared" ref="E151" si="168">IF($C$2=1,P151,IF($C$2=2,P152,IF($C$2=3,P153,IF($C$2=4," ","  chyba"))))</f>
        <v>0</v>
      </c>
      <c r="F151" s="548">
        <f>IF($C$2=1,Q151,IF($C$2=2,Q152,IF($C$2=3,Q153,IF($C$2=4,0,"  chyba"))))*(100-$F$6)/100</f>
        <v>2.4067799999999999</v>
      </c>
      <c r="G151" s="549"/>
      <c r="H151" s="549"/>
      <c r="I151" s="547">
        <f t="shared" ref="I151" si="169">IF($C$2=1,T151,IF($C$2=2,T152,IF($C$2=3,T153,IF($C$2=4," ","  chyba"))))</f>
        <v>9406204</v>
      </c>
      <c r="J151" s="547">
        <f t="shared" ref="J151" si="170">IF($C$2=1,U151,IF($C$2=2,U152,IF($C$2=3,U153,IF($C$2=4," ","  chyba"))))</f>
        <v>245359</v>
      </c>
      <c r="K151" s="20"/>
      <c r="L151" s="46" t="str">
        <f>Price!A151</f>
        <v>Držáky zadní stěny K, šedé</v>
      </c>
      <c r="M151" s="15" t="str">
        <f>Price!B151</f>
        <v>Z30K000S</v>
      </c>
      <c r="N151" s="15" t="str">
        <f>Price!C151</f>
        <v>R906</v>
      </c>
      <c r="O151" s="472">
        <f>Price!D151</f>
        <v>0</v>
      </c>
      <c r="P151" s="15">
        <f>Price!E151</f>
        <v>0</v>
      </c>
      <c r="Q151" s="17">
        <f>Price!F151</f>
        <v>2.4067799999999999</v>
      </c>
      <c r="R151" s="171"/>
      <c r="S151" s="171"/>
      <c r="T151" s="12">
        <f>Price!G151</f>
        <v>9406204</v>
      </c>
      <c r="U151" s="12">
        <f>Price!H151</f>
        <v>245359</v>
      </c>
      <c r="V151" s="13"/>
      <c r="W151" s="13"/>
      <c r="X151" s="19"/>
      <c r="Y151" s="19"/>
    </row>
    <row r="152" spans="1:25" x14ac:dyDescent="0.35">
      <c r="A152" s="65"/>
      <c r="B152" s="162"/>
      <c r="C152" s="162"/>
      <c r="D152" s="162"/>
      <c r="E152" s="64"/>
      <c r="F152" s="52"/>
      <c r="G152" s="52"/>
      <c r="H152" s="52"/>
      <c r="I152" s="162"/>
      <c r="J152" s="162"/>
      <c r="K152" s="47"/>
      <c r="L152" s="46" t="str">
        <f>Price!A152</f>
        <v>Držáky zadní stěny K, hedvábně bílé</v>
      </c>
      <c r="M152" s="15" t="str">
        <f>Price!B152</f>
        <v>Z30K000S</v>
      </c>
      <c r="N152" s="15" t="str">
        <f>Price!C152</f>
        <v>SEIW</v>
      </c>
      <c r="O152" s="472">
        <f>Price!D152</f>
        <v>0</v>
      </c>
      <c r="P152" s="15">
        <f>Price!E152</f>
        <v>0</v>
      </c>
      <c r="Q152" s="17">
        <f>Price!F152</f>
        <v>2.4067799999999999</v>
      </c>
      <c r="R152" s="171"/>
      <c r="S152" s="171"/>
      <c r="T152" s="12">
        <f>Price!G152</f>
        <v>5147820</v>
      </c>
      <c r="U152" s="12">
        <f>Price!H152</f>
        <v>210776</v>
      </c>
      <c r="V152" s="13"/>
      <c r="W152" s="13"/>
      <c r="X152" s="19"/>
      <c r="Y152" s="19"/>
    </row>
    <row r="153" spans="1:25" x14ac:dyDescent="0.35">
      <c r="A153" s="43"/>
      <c r="B153" s="161"/>
      <c r="C153" s="161"/>
      <c r="D153" s="161"/>
      <c r="E153" s="69"/>
      <c r="F153" s="50"/>
      <c r="G153" s="50"/>
      <c r="H153" s="50"/>
      <c r="I153" s="161"/>
      <c r="J153" s="161"/>
      <c r="K153" s="20"/>
      <c r="L153" s="46" t="str">
        <f>Price!A153</f>
        <v>Držáky zadní stěny K, černé Terra</v>
      </c>
      <c r="M153" s="15" t="str">
        <f>Price!B153</f>
        <v>Z30K000S</v>
      </c>
      <c r="N153" s="15" t="str">
        <f>Price!C153</f>
        <v>TERS</v>
      </c>
      <c r="O153" s="472" t="str">
        <f>Price!D153</f>
        <v>!</v>
      </c>
      <c r="P153" s="15">
        <f>Price!E153</f>
        <v>0</v>
      </c>
      <c r="Q153" s="17">
        <f>Price!F153</f>
        <v>2.4067799999999999</v>
      </c>
      <c r="R153" s="171"/>
      <c r="S153" s="171"/>
      <c r="T153" s="12">
        <f>Price!G153</f>
        <v>2817915</v>
      </c>
      <c r="U153" s="12">
        <f>Price!H153</f>
        <v>210777</v>
      </c>
      <c r="V153" s="13"/>
      <c r="W153" s="13"/>
      <c r="X153" s="19"/>
      <c r="Y153" s="19"/>
    </row>
    <row r="154" spans="1:25" ht="15" thickBot="1" x14ac:dyDescent="0.4">
      <c r="A154" s="75" t="str">
        <f>IF($C$2=1,L154,IF($C$2=2,L155,IF($C$2=3,L156, IF($C$2=4, L157, "  chyba"))))</f>
        <v>Držáky zadní stěny B, šedé</v>
      </c>
      <c r="B154" s="76" t="str">
        <f t="shared" ref="B154" si="171">IF($C$2=1,M154,IF($C$2=2,M155,IF($C$2=3,M156, IF($C$2=4, M157, "  chyba"))))</f>
        <v>Z30B000S.04</v>
      </c>
      <c r="C154" s="76" t="str">
        <f t="shared" ref="C154" si="172">IF($C$2=1,N154,IF($C$2=2,N155,IF($C$2=3,N156, IF($C$2=4, N157, "  chyba"))))</f>
        <v>R906</v>
      </c>
      <c r="D154" s="172">
        <f t="shared" ref="D154" si="173">IF($C$2=1,O154,IF($C$2=2,O155,IF($C$2=3,O156, IF($C$2=4, O157, "  chyba"))))</f>
        <v>0</v>
      </c>
      <c r="E154" s="77">
        <f t="shared" ref="E154" si="174">IF($C$2=1,P154,IF($C$2=2,P155,IF($C$2=3,P156, IF($C$2=4, P157, "  chyba"))))</f>
        <v>0</v>
      </c>
      <c r="F154" s="78">
        <f>IF($C$2=1,Q154,IF($C$2=2,Q155,IF($C$2=3,Q156, IF($C$2=4, Q157, "  chyba"))))*(100-$F$6)/100</f>
        <v>1.74017</v>
      </c>
      <c r="G154" s="50"/>
      <c r="H154" s="50"/>
      <c r="I154" s="172">
        <f t="shared" ref="I154" si="175">IF($C$2=1,T154,IF($C$2=2,T155,IF($C$2=3,T156, IF($C$2=4, T157, "  chyba"))))</f>
        <v>1071721</v>
      </c>
      <c r="J154" s="172">
        <f t="shared" ref="J154" si="176">IF($C$2=1,U154,IF($C$2=2,U155,IF($C$2=3,U156, IF($C$2=4, U157, "  chyba"))))</f>
        <v>202546</v>
      </c>
      <c r="K154" s="20"/>
      <c r="L154" s="46" t="str">
        <f>Price!A154</f>
        <v>Držáky zadní stěny B, šedé</v>
      </c>
      <c r="M154" s="15" t="str">
        <f>Price!B154</f>
        <v>Z30B000S.04</v>
      </c>
      <c r="N154" s="15" t="str">
        <f>Price!C154</f>
        <v>R906</v>
      </c>
      <c r="O154" s="472">
        <f>Price!D154</f>
        <v>0</v>
      </c>
      <c r="P154" s="15">
        <f>Price!E154</f>
        <v>0</v>
      </c>
      <c r="Q154" s="17">
        <f>Price!F154</f>
        <v>1.74017</v>
      </c>
      <c r="R154" s="171"/>
      <c r="S154" s="171"/>
      <c r="T154" s="12">
        <f>Price!G154</f>
        <v>1071721</v>
      </c>
      <c r="U154" s="12">
        <f>Price!H154</f>
        <v>202546</v>
      </c>
      <c r="V154" s="13"/>
      <c r="W154" s="13"/>
      <c r="X154" s="19"/>
      <c r="Y154" s="19"/>
    </row>
    <row r="155" spans="1:25" x14ac:dyDescent="0.35">
      <c r="A155" s="65"/>
      <c r="B155" s="162"/>
      <c r="C155" s="162"/>
      <c r="D155" s="162"/>
      <c r="E155" s="64"/>
      <c r="F155" s="52"/>
      <c r="G155" s="52"/>
      <c r="H155" s="52"/>
      <c r="I155" s="162"/>
      <c r="J155" s="162"/>
      <c r="K155" s="47"/>
      <c r="L155" s="46" t="str">
        <f>Price!A155</f>
        <v>Držáky zadní stěny B, hedvábně bílé</v>
      </c>
      <c r="M155" s="15" t="str">
        <f>Price!B155</f>
        <v>Z30B000S.04</v>
      </c>
      <c r="N155" s="15" t="str">
        <f>Price!C155</f>
        <v>SEIW</v>
      </c>
      <c r="O155" s="472">
        <f>Price!D155</f>
        <v>0</v>
      </c>
      <c r="P155" s="15">
        <f>Price!E155</f>
        <v>0</v>
      </c>
      <c r="Q155" s="17">
        <f>Price!F155</f>
        <v>1.74017</v>
      </c>
      <c r="R155" s="171"/>
      <c r="S155" s="171"/>
      <c r="T155" s="12">
        <f>Price!G155</f>
        <v>4049699</v>
      </c>
      <c r="U155" s="12">
        <f>Price!H155</f>
        <v>202547</v>
      </c>
      <c r="V155" s="13"/>
      <c r="W155" s="13"/>
      <c r="X155" s="19"/>
      <c r="Y155" s="19"/>
    </row>
    <row r="156" spans="1:25" x14ac:dyDescent="0.35">
      <c r="A156" s="43"/>
      <c r="B156" s="161"/>
      <c r="C156" s="161"/>
      <c r="D156" s="161"/>
      <c r="E156" s="69"/>
      <c r="F156" s="50"/>
      <c r="G156" s="50"/>
      <c r="H156" s="50"/>
      <c r="I156" s="161"/>
      <c r="J156" s="161"/>
      <c r="K156" s="20"/>
      <c r="L156" s="46" t="str">
        <f>Price!A156</f>
        <v>Držáky zadní stěny B, černé Terra</v>
      </c>
      <c r="M156" s="15" t="str">
        <f>Price!B156</f>
        <v>Z30B000S.04</v>
      </c>
      <c r="N156" s="15" t="str">
        <f>Price!C156</f>
        <v>TERS</v>
      </c>
      <c r="O156" s="472">
        <f>Price!D156</f>
        <v>0</v>
      </c>
      <c r="P156" s="15">
        <f>Price!E156</f>
        <v>0</v>
      </c>
      <c r="Q156" s="17">
        <f>Price!F156</f>
        <v>1.74017</v>
      </c>
      <c r="R156" s="171"/>
      <c r="S156" s="171"/>
      <c r="T156" s="12">
        <f>Price!G156</f>
        <v>1013591</v>
      </c>
      <c r="U156" s="12">
        <f>Price!H156</f>
        <v>203016</v>
      </c>
      <c r="V156" s="13"/>
      <c r="W156" s="13"/>
      <c r="X156" s="19"/>
      <c r="Y156" s="19"/>
    </row>
    <row r="157" spans="1:25" x14ac:dyDescent="0.35">
      <c r="A157" s="43"/>
      <c r="B157" s="161"/>
      <c r="C157" s="161"/>
      <c r="D157" s="161"/>
      <c r="E157" s="69"/>
      <c r="F157" s="50"/>
      <c r="G157" s="50"/>
      <c r="H157" s="50"/>
      <c r="I157" s="161"/>
      <c r="J157" s="161"/>
      <c r="K157" s="20"/>
      <c r="L157" s="46" t="str">
        <f>Price!A157</f>
        <v>Držáky zadní stěny B, poniklované</v>
      </c>
      <c r="M157" s="15" t="str">
        <f>Price!B157</f>
        <v>Z30B000S.04</v>
      </c>
      <c r="N157" s="15" t="str">
        <f>Price!C157</f>
        <v>NI</v>
      </c>
      <c r="O157" s="472" t="str">
        <f>Price!D157</f>
        <v>!</v>
      </c>
      <c r="P157" s="15">
        <f>Price!E157</f>
        <v>0</v>
      </c>
      <c r="Q157" s="17">
        <f>Price!F157</f>
        <v>4.0943800000000001</v>
      </c>
      <c r="R157" s="171"/>
      <c r="S157" s="171"/>
      <c r="T157" s="12">
        <f>Price!G157</f>
        <v>6373016</v>
      </c>
      <c r="U157" s="12">
        <f>Price!H157</f>
        <v>278227</v>
      </c>
      <c r="V157" s="13"/>
      <c r="W157" s="13"/>
      <c r="X157" s="19"/>
      <c r="Y157" s="19"/>
    </row>
    <row r="158" spans="1:25" ht="15" thickBot="1" x14ac:dyDescent="0.4">
      <c r="A158" s="75" t="str">
        <f>IF($C$2=1,L158,IF($C$2=2,L159,IF($C$2=3,L160, IF($C$2=4, L161, "  chyba"))))</f>
        <v>Držáky zadní stěny C, šedé</v>
      </c>
      <c r="B158" s="76" t="str">
        <f t="shared" ref="B158" si="177">IF($C$2=1,M158,IF($C$2=2,M159,IF($C$2=3,M160, IF($C$2=4, M161, "  chyba"))))</f>
        <v>Z30C000S</v>
      </c>
      <c r="C158" s="76" t="str">
        <f t="shared" ref="C158" si="178">IF($C$2=1,N158,IF($C$2=2,N159,IF($C$2=3,N160, IF($C$2=4, N161, "  chyba"))))</f>
        <v>R906</v>
      </c>
      <c r="D158" s="172">
        <f t="shared" ref="D158" si="179">IF($C$2=1,O158,IF($C$2=2,O159,IF($C$2=3,O160, IF($C$2=4, O161, "  chyba"))))</f>
        <v>0</v>
      </c>
      <c r="E158" s="77">
        <f t="shared" ref="E158" si="180">IF($C$2=1,P158,IF($C$2=2,P159,IF($C$2=3,P160, IF($C$2=4, P161, "  chyba"))))</f>
        <v>0</v>
      </c>
      <c r="F158" s="78">
        <f>IF($C$2=1,Q158,IF($C$2=2,Q159,IF($C$2=3,Q160, IF($C$2=4, Q161, "  chyba"))))*(100-$F$6)/100</f>
        <v>2.7871800000000002</v>
      </c>
      <c r="G158" s="50"/>
      <c r="H158" s="50"/>
      <c r="I158" s="172">
        <f t="shared" ref="I158" si="181">IF($C$2=1,T158,IF($C$2=2,T159,IF($C$2=3,T160, IF($C$2=4, T161, "  chyba"))))</f>
        <v>2344977</v>
      </c>
      <c r="J158" s="172">
        <f t="shared" ref="J158" si="182">IF($C$2=1,U158,IF($C$2=2,U159,IF($C$2=3,U160, IF($C$2=4, U161, "  chyba"))))</f>
        <v>202548</v>
      </c>
      <c r="K158" s="20"/>
      <c r="L158" s="46" t="str">
        <f>Price!A158</f>
        <v>Držáky zadní stěny C, šedé</v>
      </c>
      <c r="M158" s="15" t="str">
        <f>Price!B158</f>
        <v>Z30C000S</v>
      </c>
      <c r="N158" s="15" t="str">
        <f>Price!C158</f>
        <v>R906</v>
      </c>
      <c r="O158" s="472">
        <f>Price!D158</f>
        <v>0</v>
      </c>
      <c r="P158" s="15">
        <f>Price!E158</f>
        <v>0</v>
      </c>
      <c r="Q158" s="17">
        <f>Price!F158</f>
        <v>2.7871800000000002</v>
      </c>
      <c r="R158" s="171"/>
      <c r="S158" s="171"/>
      <c r="T158" s="12">
        <f>Price!G158</f>
        <v>2344977</v>
      </c>
      <c r="U158" s="12">
        <f>Price!H158</f>
        <v>202548</v>
      </c>
      <c r="V158" s="13"/>
      <c r="W158" s="13"/>
      <c r="X158" s="19"/>
      <c r="Y158" s="19"/>
    </row>
    <row r="159" spans="1:25" x14ac:dyDescent="0.35">
      <c r="A159" s="65"/>
      <c r="B159" s="162"/>
      <c r="C159" s="162"/>
      <c r="D159" s="162"/>
      <c r="E159" s="64"/>
      <c r="F159" s="52"/>
      <c r="G159" s="52"/>
      <c r="H159" s="52"/>
      <c r="I159" s="162"/>
      <c r="J159" s="162"/>
      <c r="K159" s="47"/>
      <c r="L159" s="46" t="str">
        <f>Price!A159</f>
        <v>Držáky zadní stěny C, hedvábně bílé</v>
      </c>
      <c r="M159" s="15" t="str">
        <f>Price!B159</f>
        <v>Z30C000S</v>
      </c>
      <c r="N159" s="15" t="str">
        <f>Price!C159</f>
        <v>SEIW</v>
      </c>
      <c r="O159" s="472">
        <f>Price!D159</f>
        <v>0</v>
      </c>
      <c r="P159" s="15">
        <f>Price!E159</f>
        <v>0</v>
      </c>
      <c r="Q159" s="17">
        <f>Price!F159</f>
        <v>2.7871800000000002</v>
      </c>
      <c r="R159" s="171"/>
      <c r="S159" s="171"/>
      <c r="T159" s="12">
        <f>Price!G159</f>
        <v>3445250</v>
      </c>
      <c r="U159" s="12">
        <f>Price!H159</f>
        <v>202549</v>
      </c>
      <c r="V159" s="13"/>
      <c r="W159" s="13"/>
      <c r="X159" s="19"/>
      <c r="Y159" s="19"/>
    </row>
    <row r="160" spans="1:25" x14ac:dyDescent="0.35">
      <c r="A160" s="43"/>
      <c r="B160" s="161"/>
      <c r="C160" s="161"/>
      <c r="D160" s="161"/>
      <c r="E160" s="69"/>
      <c r="F160" s="50"/>
      <c r="G160" s="50"/>
      <c r="H160" s="50"/>
      <c r="I160" s="161"/>
      <c r="J160" s="161"/>
      <c r="K160" s="20"/>
      <c r="L160" s="46" t="str">
        <f>Price!A160</f>
        <v>Držáky zadní stěny C, černé Terra</v>
      </c>
      <c r="M160" s="15" t="str">
        <f>Price!B160</f>
        <v>Z30C000S</v>
      </c>
      <c r="N160" s="15" t="str">
        <f>Price!C160</f>
        <v>TERS</v>
      </c>
      <c r="O160" s="472">
        <f>Price!D160</f>
        <v>0</v>
      </c>
      <c r="P160" s="15">
        <f>Price!E160</f>
        <v>0</v>
      </c>
      <c r="Q160" s="17">
        <f>Price!F160</f>
        <v>2.7871800000000002</v>
      </c>
      <c r="R160" s="171"/>
      <c r="S160" s="171"/>
      <c r="T160" s="12">
        <f>Price!G160</f>
        <v>5903872</v>
      </c>
      <c r="U160" s="12">
        <f>Price!H160</f>
        <v>203022</v>
      </c>
      <c r="V160" s="13"/>
      <c r="W160" s="13"/>
      <c r="X160" s="19"/>
      <c r="Y160" s="19"/>
    </row>
    <row r="161" spans="1:25" x14ac:dyDescent="0.35">
      <c r="A161" s="43"/>
      <c r="B161" s="161"/>
      <c r="C161" s="161"/>
      <c r="D161" s="161"/>
      <c r="E161" s="69"/>
      <c r="F161" s="50"/>
      <c r="G161" s="50"/>
      <c r="H161" s="50"/>
      <c r="I161" s="161"/>
      <c r="J161" s="161"/>
      <c r="K161" s="20"/>
      <c r="L161" s="46" t="str">
        <f>Price!A161</f>
        <v>Držáky zadní stěny C, poniklované</v>
      </c>
      <c r="M161" s="15" t="str">
        <f>Price!B161</f>
        <v>Z30C000S</v>
      </c>
      <c r="N161" s="15" t="str">
        <f>Price!C161</f>
        <v>NI</v>
      </c>
      <c r="O161" s="472" t="str">
        <f>Price!D161</f>
        <v>!</v>
      </c>
      <c r="P161" s="15">
        <f>Price!E161</f>
        <v>0</v>
      </c>
      <c r="Q161" s="17">
        <f>Price!F161</f>
        <v>4.3301999999999996</v>
      </c>
      <c r="R161" s="171"/>
      <c r="S161" s="171"/>
      <c r="T161" s="12">
        <f>Price!G161</f>
        <v>1965760</v>
      </c>
      <c r="U161" s="12">
        <f>Price!H161</f>
        <v>203287</v>
      </c>
      <c r="V161" s="13"/>
      <c r="W161" s="13"/>
      <c r="X161" s="19"/>
      <c r="Y161" s="19"/>
    </row>
    <row r="162" spans="1:25" ht="15" thickBot="1" x14ac:dyDescent="0.4">
      <c r="A162" s="75" t="str">
        <f>IF($C$2=1,L162,IF($C$2=2,L163,IF($C$2=3,L164, IF($C$2=4, L165, "  chyba"))))</f>
        <v>Držáky zadní stěny D, šedé</v>
      </c>
      <c r="B162" s="76" t="str">
        <f t="shared" ref="B162" si="183">IF($C$2=1,M162,IF($C$2=2,M163,IF($C$2=3,M164, IF($C$2=4, M165, "  chyba"))))</f>
        <v>Z30D000S</v>
      </c>
      <c r="C162" s="76" t="str">
        <f t="shared" ref="C162" si="184">IF($C$2=1,N162,IF($C$2=2,N163,IF($C$2=3,N164, IF($C$2=4, N165, "  chyba"))))</f>
        <v>R906</v>
      </c>
      <c r="D162" s="172">
        <f t="shared" ref="D162" si="185">IF($C$2=1,O162,IF($C$2=2,O163,IF($C$2=3,O164, IF($C$2=4, O165, "  chyba"))))</f>
        <v>0</v>
      </c>
      <c r="E162" s="77">
        <f t="shared" ref="E162" si="186">IF($C$2=1,P162,IF($C$2=2,P163,IF($C$2=3,P164, IF($C$2=4, P165, "  chyba"))))</f>
        <v>0</v>
      </c>
      <c r="F162" s="78">
        <f>IF($C$2=1,Q162,IF($C$2=2,Q163,IF($C$2=3,Q164, IF($C$2=4, Q165, "  chyba"))))*(100-$F$6)/100</f>
        <v>2.93709</v>
      </c>
      <c r="G162" s="50"/>
      <c r="H162" s="50"/>
      <c r="I162" s="172">
        <f t="shared" ref="I162" si="187">IF($C$2=1,T162,IF($C$2=2,T163,IF($C$2=3,T164, IF($C$2=4, T165, "  chyba"))))</f>
        <v>7561427</v>
      </c>
      <c r="J162" s="172">
        <f t="shared" ref="J162" si="188">IF($C$2=1,U162,IF($C$2=2,U163,IF($C$2=3,U164, IF($C$2=4, U165, "  chyba"))))</f>
        <v>202550</v>
      </c>
      <c r="K162" s="20"/>
      <c r="L162" s="46" t="str">
        <f>Price!A162</f>
        <v>Držáky zadní stěny D, šedé</v>
      </c>
      <c r="M162" s="15" t="str">
        <f>Price!B162</f>
        <v>Z30D000S</v>
      </c>
      <c r="N162" s="15" t="str">
        <f>Price!C162</f>
        <v>R906</v>
      </c>
      <c r="O162" s="472">
        <f>Price!D162</f>
        <v>0</v>
      </c>
      <c r="P162" s="15">
        <f>Price!E162</f>
        <v>0</v>
      </c>
      <c r="Q162" s="17">
        <f>Price!F162</f>
        <v>2.93709</v>
      </c>
      <c r="R162" s="171"/>
      <c r="S162" s="171"/>
      <c r="T162" s="12">
        <f>Price!G162</f>
        <v>7561427</v>
      </c>
      <c r="U162" s="12">
        <f>Price!H162</f>
        <v>202550</v>
      </c>
      <c r="V162" s="13"/>
      <c r="W162" s="13"/>
      <c r="X162" s="19"/>
      <c r="Y162" s="19"/>
    </row>
    <row r="163" spans="1:25" x14ac:dyDescent="0.35">
      <c r="A163" s="65"/>
      <c r="B163" s="162"/>
      <c r="C163" s="162"/>
      <c r="D163" s="162"/>
      <c r="E163" s="64"/>
      <c r="F163" s="52"/>
      <c r="G163" s="52"/>
      <c r="H163" s="52"/>
      <c r="I163" s="162"/>
      <c r="J163" s="162"/>
      <c r="K163" s="47"/>
      <c r="L163" s="46" t="str">
        <f>Price!A163</f>
        <v>Držáky zadní stěny D, hedvábně bílé</v>
      </c>
      <c r="M163" s="15" t="str">
        <f>Price!B163</f>
        <v>Z30D000SL</v>
      </c>
      <c r="N163" s="15" t="str">
        <f>Price!C163</f>
        <v>SEIW</v>
      </c>
      <c r="O163" s="472">
        <f>Price!D163</f>
        <v>0</v>
      </c>
      <c r="P163" s="15">
        <f>Price!E163</f>
        <v>0</v>
      </c>
      <c r="Q163" s="17">
        <f>Price!F163</f>
        <v>2.93709</v>
      </c>
      <c r="R163" s="171"/>
      <c r="S163" s="171"/>
      <c r="T163" s="12">
        <f>Price!G163</f>
        <v>1465799</v>
      </c>
      <c r="U163" s="12">
        <f>Price!H163</f>
        <v>176852</v>
      </c>
      <c r="V163" s="13"/>
      <c r="W163" s="13"/>
      <c r="X163" s="19"/>
      <c r="Y163" s="19"/>
    </row>
    <row r="164" spans="1:25" x14ac:dyDescent="0.35">
      <c r="A164" s="43"/>
      <c r="B164" s="161"/>
      <c r="C164" s="161"/>
      <c r="D164" s="161"/>
      <c r="E164" s="69"/>
      <c r="F164" s="50"/>
      <c r="G164" s="50"/>
      <c r="H164" s="50"/>
      <c r="I164" s="161"/>
      <c r="J164" s="161"/>
      <c r="K164" s="20"/>
      <c r="L164" s="46" t="str">
        <f>Price!A164</f>
        <v>Držáky zadní stěny D, černé Terra</v>
      </c>
      <c r="M164" s="15" t="str">
        <f>Price!B164</f>
        <v>Z30D000SL</v>
      </c>
      <c r="N164" s="15" t="str">
        <f>Price!C164</f>
        <v>TERS</v>
      </c>
      <c r="O164" s="472">
        <f>Price!D164</f>
        <v>0</v>
      </c>
      <c r="P164" s="15">
        <f>Price!E164</f>
        <v>0</v>
      </c>
      <c r="Q164" s="17">
        <f>Price!F164</f>
        <v>2.7871800000000002</v>
      </c>
      <c r="R164" s="171"/>
      <c r="S164" s="171"/>
      <c r="T164" s="12">
        <f>Price!G164</f>
        <v>7482171</v>
      </c>
      <c r="U164" s="12" t="str">
        <f>Price!H164</f>
        <v>IN101C</v>
      </c>
      <c r="V164" s="13"/>
      <c r="W164" s="13"/>
      <c r="X164" s="19"/>
      <c r="Y164" s="19"/>
    </row>
    <row r="165" spans="1:25" x14ac:dyDescent="0.35">
      <c r="A165" s="43"/>
      <c r="B165" s="162"/>
      <c r="C165" s="162"/>
      <c r="D165" s="162"/>
      <c r="E165" s="69"/>
      <c r="F165" s="50"/>
      <c r="G165" s="50"/>
      <c r="H165" s="50"/>
      <c r="I165" s="162"/>
      <c r="J165" s="162"/>
      <c r="K165" s="20"/>
      <c r="L165" s="46" t="str">
        <f>Price!A165</f>
        <v>Držáky zadní stěny D, poniklované</v>
      </c>
      <c r="M165" s="15" t="str">
        <f>Price!B165</f>
        <v>Z30D000SL</v>
      </c>
      <c r="N165" s="15" t="str">
        <f>Price!C165</f>
        <v>NI</v>
      </c>
      <c r="O165" s="472" t="str">
        <f>Price!D165</f>
        <v>!</v>
      </c>
      <c r="P165" s="15">
        <f>Price!E165</f>
        <v>0</v>
      </c>
      <c r="Q165" s="17">
        <f>Price!F165</f>
        <v>4.8156400000000001</v>
      </c>
      <c r="R165" s="171"/>
      <c r="S165" s="171"/>
      <c r="T165" s="12">
        <f>Price!G165</f>
        <v>1721189</v>
      </c>
      <c r="U165" s="12" t="str">
        <f>Price!H165</f>
        <v>IN101N</v>
      </c>
      <c r="V165" s="13"/>
      <c r="W165" s="13"/>
      <c r="X165" s="19"/>
      <c r="Y165" s="19"/>
    </row>
    <row r="166" spans="1:25" x14ac:dyDescent="0.35">
      <c r="A166" s="43"/>
      <c r="B166" s="162"/>
      <c r="C166" s="162"/>
      <c r="D166" s="162"/>
      <c r="E166" s="69"/>
      <c r="F166" s="50"/>
      <c r="G166" s="50"/>
      <c r="H166" s="50"/>
      <c r="I166" s="162"/>
      <c r="J166" s="162"/>
      <c r="K166" s="20"/>
      <c r="L166" s="46"/>
      <c r="M166" s="15"/>
      <c r="N166" s="15"/>
      <c r="O166" s="472"/>
      <c r="P166" s="15"/>
      <c r="Q166" s="17"/>
      <c r="R166" s="171"/>
      <c r="S166" s="171"/>
      <c r="T166" s="12"/>
      <c r="U166" s="12"/>
      <c r="V166" s="13"/>
      <c r="W166" s="13"/>
      <c r="X166" s="19"/>
      <c r="Y166" s="19"/>
    </row>
    <row r="167" spans="1:25" ht="15" thickBot="1" x14ac:dyDescent="0.4">
      <c r="A167" s="75" t="str">
        <f>IF($C$2=1,L167,IF($C$2=2,L168,IF($C$2=3,L169, IF($C$2=4, L170, "  chyba"))))</f>
        <v>Variabilní držák relingu, vlevo/vpravo, šedý</v>
      </c>
      <c r="B167" s="76" t="str">
        <f t="shared" ref="B167" si="189">IF($C$2=1,M167,IF($C$2=2,M168,IF($C$2=3,M169, IF($C$2=4, M170, "  chyba"))))</f>
        <v>ZRR.5200</v>
      </c>
      <c r="C167" s="76" t="str">
        <f t="shared" ref="C167" si="190">IF($C$2=1,N167,IF($C$2=2,N168,IF($C$2=3,N169, IF($C$2=4, N170, "  chyba"))))</f>
        <v>R906</v>
      </c>
      <c r="D167" s="172">
        <f t="shared" ref="D167" si="191">IF($C$2=1,O167,IF($C$2=2,O168,IF($C$2=3,O169, IF($C$2=4, O170, "  chyba"))))</f>
        <v>0</v>
      </c>
      <c r="E167" s="77">
        <f t="shared" ref="E167" si="192">IF($C$2=1,P167,IF($C$2=2,P168,IF($C$2=3,P169, IF($C$2=4, P170, "  chyba"))))</f>
        <v>0</v>
      </c>
      <c r="F167" s="78">
        <f>IF($C$2=1,Q167,IF($C$2=2,Q168,IF($C$2=3,Q169, IF($C$2=4, Q170, "  chyba"))))*(100-$F$6)/100</f>
        <v>2.1385900000000002</v>
      </c>
      <c r="G167" s="50"/>
      <c r="H167" s="50"/>
      <c r="I167" s="172">
        <f t="shared" ref="I167" si="193">IF($C$2=1,T167,IF($C$2=2,T168,IF($C$2=3,T169, IF($C$2=4, T170, "  chyba"))))</f>
        <v>1646954</v>
      </c>
      <c r="J167" s="172">
        <f t="shared" ref="J167" si="194">IF($C$2=1,U167,IF($C$2=2,U168,IF($C$2=3,U169, IF($C$2=4, U170, "  chyba"))))</f>
        <v>210820</v>
      </c>
      <c r="K167" s="47"/>
      <c r="L167" s="46" t="str">
        <f>Price!A167</f>
        <v>Variabilní držák relingu, vlevo/vpravo, šedý</v>
      </c>
      <c r="M167" s="15" t="str">
        <f>Price!B167</f>
        <v>ZRR.5200</v>
      </c>
      <c r="N167" s="15" t="str">
        <f>Price!C167</f>
        <v>R906</v>
      </c>
      <c r="O167" s="472">
        <f>Price!D167</f>
        <v>0</v>
      </c>
      <c r="P167" s="15">
        <f>Price!E167</f>
        <v>0</v>
      </c>
      <c r="Q167" s="17">
        <f>Price!F167</f>
        <v>2.1385900000000002</v>
      </c>
      <c r="R167" s="171"/>
      <c r="S167" s="171"/>
      <c r="T167" s="12">
        <f>Price!G167</f>
        <v>1646954</v>
      </c>
      <c r="U167" s="12">
        <f>Price!H167</f>
        <v>210820</v>
      </c>
      <c r="V167" s="13"/>
      <c r="W167" s="13"/>
      <c r="X167" s="19"/>
      <c r="Y167" s="19"/>
    </row>
    <row r="168" spans="1:25" x14ac:dyDescent="0.35">
      <c r="A168" s="43"/>
      <c r="B168" s="162"/>
      <c r="C168" s="162"/>
      <c r="D168" s="162"/>
      <c r="E168" s="69"/>
      <c r="F168" s="50"/>
      <c r="G168" s="50"/>
      <c r="H168" s="50"/>
      <c r="I168" s="50"/>
      <c r="J168" s="50"/>
      <c r="K168" s="48"/>
      <c r="L168" s="46" t="str">
        <f>Price!A168</f>
        <v>Variabilní držák relingu, vlevo/vpravo, hedvábně bílý</v>
      </c>
      <c r="M168" s="15" t="str">
        <f>Price!B168</f>
        <v>ZRR.5200</v>
      </c>
      <c r="N168" s="15" t="str">
        <f>Price!C168</f>
        <v>SEIW</v>
      </c>
      <c r="O168" s="472">
        <f>Price!D168</f>
        <v>0</v>
      </c>
      <c r="P168" s="15">
        <f>Price!E168</f>
        <v>0</v>
      </c>
      <c r="Q168" s="17">
        <f>Price!F168</f>
        <v>1.5415000000000001</v>
      </c>
      <c r="R168" s="171"/>
      <c r="S168" s="171"/>
      <c r="T168" s="12">
        <f>Price!G168</f>
        <v>3205443</v>
      </c>
      <c r="U168" s="12">
        <f>Price!H168</f>
        <v>210817</v>
      </c>
      <c r="V168" s="13"/>
      <c r="W168" s="13"/>
      <c r="X168" s="19"/>
      <c r="Y168" s="19"/>
    </row>
    <row r="169" spans="1:25" x14ac:dyDescent="0.35">
      <c r="A169" s="43"/>
      <c r="B169" s="161"/>
      <c r="C169" s="161"/>
      <c r="D169" s="161"/>
      <c r="E169" s="69"/>
      <c r="F169" s="52"/>
      <c r="G169" s="52"/>
      <c r="H169" s="52"/>
      <c r="I169" s="52"/>
      <c r="J169" s="52"/>
      <c r="K169" s="20"/>
      <c r="L169" s="46" t="str">
        <f>Price!A169</f>
        <v>Variabilní držák relingu, vlevo/vpravo, černý Terra</v>
      </c>
      <c r="M169" s="15" t="str">
        <f>Price!B169</f>
        <v>ZRR.5200</v>
      </c>
      <c r="N169" s="15" t="str">
        <f>Price!C169</f>
        <v>TERS</v>
      </c>
      <c r="O169" s="472">
        <f>Price!D169</f>
        <v>0</v>
      </c>
      <c r="P169" s="15">
        <f>Price!E169</f>
        <v>0</v>
      </c>
      <c r="Q169" s="17">
        <f>Price!F169</f>
        <v>2.1385900000000002</v>
      </c>
      <c r="R169" s="171"/>
      <c r="S169" s="171"/>
      <c r="T169" s="12">
        <f>Price!G169</f>
        <v>7759723</v>
      </c>
      <c r="U169" s="12">
        <f>Price!H169</f>
        <v>283023</v>
      </c>
      <c r="V169" s="13"/>
      <c r="W169" s="13"/>
      <c r="X169" s="19"/>
      <c r="Y169" s="19"/>
    </row>
    <row r="170" spans="1:25" x14ac:dyDescent="0.35">
      <c r="A170" s="43"/>
      <c r="B170" s="162"/>
      <c r="C170" s="162"/>
      <c r="D170" s="162"/>
      <c r="E170" s="69"/>
      <c r="F170" s="52"/>
      <c r="G170" s="52"/>
      <c r="H170" s="52"/>
      <c r="I170" s="52"/>
      <c r="J170" s="52"/>
      <c r="K170" s="20"/>
      <c r="L170" s="46" t="str">
        <f>Price!A170</f>
        <v>Variabilní držák relingu, vlevo/vpravo, poniklovaný</v>
      </c>
      <c r="M170" s="15" t="str">
        <f>Price!B170</f>
        <v>ZRR.5200</v>
      </c>
      <c r="N170" s="15" t="str">
        <f>Price!C170</f>
        <v>NI</v>
      </c>
      <c r="O170" s="472" t="str">
        <f>Price!D170</f>
        <v>!</v>
      </c>
      <c r="P170" s="15">
        <f>Price!E170</f>
        <v>0</v>
      </c>
      <c r="Q170" s="17">
        <f>Price!F170</f>
        <v>0</v>
      </c>
      <c r="R170" s="171"/>
      <c r="S170" s="171"/>
      <c r="T170" s="12">
        <f>Price!G170</f>
        <v>9341294</v>
      </c>
      <c r="U170" s="12" t="str">
        <f>Price!H170</f>
        <v>-</v>
      </c>
      <c r="V170" s="13"/>
      <c r="W170" s="13"/>
      <c r="X170" s="19"/>
      <c r="Y170" s="19"/>
    </row>
    <row r="171" spans="1:25" x14ac:dyDescent="0.35">
      <c r="A171" s="65"/>
      <c r="B171" s="161"/>
      <c r="C171" s="161"/>
      <c r="D171" s="161"/>
      <c r="E171" s="64"/>
      <c r="F171" s="52"/>
      <c r="G171" s="52"/>
      <c r="H171" s="52"/>
      <c r="I171" s="52"/>
      <c r="J171" s="52"/>
      <c r="K171" s="47"/>
      <c r="L171" s="46">
        <f>Price!A171</f>
        <v>0</v>
      </c>
      <c r="M171" s="15">
        <f>Price!B171</f>
        <v>0</v>
      </c>
      <c r="N171" s="15">
        <f>Price!C171</f>
        <v>0</v>
      </c>
      <c r="O171" s="472">
        <f>Price!D171</f>
        <v>0</v>
      </c>
      <c r="P171" s="15">
        <f>Price!E171</f>
        <v>0</v>
      </c>
      <c r="Q171" s="17">
        <f>Price!F171</f>
        <v>0</v>
      </c>
      <c r="R171" s="171"/>
      <c r="S171" s="171"/>
      <c r="T171" s="12">
        <f>Price!G171</f>
        <v>0</v>
      </c>
      <c r="U171" s="12">
        <f>Price!H171</f>
        <v>0</v>
      </c>
      <c r="V171" s="13"/>
      <c r="W171" s="13"/>
      <c r="X171" s="19"/>
      <c r="Y171" s="19"/>
    </row>
    <row r="172" spans="1:25" x14ac:dyDescent="0.35">
      <c r="A172" s="43"/>
      <c r="B172" s="162"/>
      <c r="C172" s="162"/>
      <c r="D172" s="162"/>
      <c r="E172" s="69"/>
      <c r="F172" s="52"/>
      <c r="G172" s="52"/>
      <c r="H172" s="52"/>
      <c r="I172" s="52"/>
      <c r="J172" s="52"/>
      <c r="K172" s="48"/>
      <c r="L172" s="46" t="str">
        <f>Price!A172</f>
        <v xml:space="preserve">   Čelní kování</v>
      </c>
      <c r="M172" s="15">
        <f>Price!B172</f>
        <v>0</v>
      </c>
      <c r="N172" s="15">
        <f>Price!C172</f>
        <v>0</v>
      </c>
      <c r="O172" s="472">
        <f>Price!D172</f>
        <v>0</v>
      </c>
      <c r="P172" s="15">
        <f>Price!E172</f>
        <v>0</v>
      </c>
      <c r="Q172" s="17">
        <f>Price!F172</f>
        <v>0</v>
      </c>
      <c r="R172" s="171"/>
      <c r="S172" s="171"/>
      <c r="T172" s="12">
        <f>Price!G172</f>
        <v>0</v>
      </c>
      <c r="U172" s="12">
        <f>Price!H172</f>
        <v>0</v>
      </c>
      <c r="V172" s="13"/>
      <c r="W172" s="13"/>
      <c r="X172" s="19"/>
      <c r="Y172" s="19"/>
    </row>
    <row r="173" spans="1:25" ht="15" thickBot="1" x14ac:dyDescent="0.4">
      <c r="A173" s="83" t="str">
        <f>IF($C$4=1,L173,IF($C$4=2,L174,"  chyba"))</f>
        <v>Čelní kování INSERTA</v>
      </c>
      <c r="B173" s="86" t="str">
        <f>IF($C$4=1,M173,IF($C$4=2,M174,"  chyba"))</f>
        <v>ZSF.39A2</v>
      </c>
      <c r="C173" s="86" t="str">
        <f>IF($C$4=1,N173,IF($C$4=2,N174,"  chyba"))</f>
        <v>BL</v>
      </c>
      <c r="D173" s="174">
        <f>IF($C$4=1,O173,IF($C$4=2,O174,"  chyba"))</f>
        <v>0</v>
      </c>
      <c r="E173" s="84"/>
      <c r="F173" s="85">
        <f>IF($C$4=1,Q173,IF($C$4=2,Q174,0))*(100-$F$6)/100</f>
        <v>0.75153000000000003</v>
      </c>
      <c r="G173" s="169"/>
      <c r="H173" s="169"/>
      <c r="I173" s="174">
        <f>IF($C$4=1,T173,IF($C$4=2,T174,"  chyba"))</f>
        <v>4045944</v>
      </c>
      <c r="J173" s="174">
        <f>IF($C$4=1,U173,IF($C$4=2,U174,"  chyba"))</f>
        <v>12689</v>
      </c>
      <c r="K173" s="48"/>
      <c r="L173" s="46" t="str">
        <f>Price!A173</f>
        <v>Čelní kování na vruty</v>
      </c>
      <c r="M173" s="15" t="str">
        <f>Price!B173</f>
        <v>ZSF.35A2</v>
      </c>
      <c r="N173" s="15" t="str">
        <f>Price!C173</f>
        <v>BL</v>
      </c>
      <c r="O173" s="472">
        <f>Price!D173</f>
        <v>0</v>
      </c>
      <c r="P173" s="15">
        <f>Price!E173</f>
        <v>0</v>
      </c>
      <c r="Q173" s="17">
        <f>Price!F173</f>
        <v>0.39928999999999998</v>
      </c>
      <c r="R173" s="171"/>
      <c r="S173" s="171"/>
      <c r="T173" s="12">
        <f>Price!G173</f>
        <v>1014891</v>
      </c>
      <c r="U173" s="12">
        <f>Price!H173</f>
        <v>12687</v>
      </c>
      <c r="V173" s="13"/>
      <c r="W173" s="13"/>
      <c r="X173" s="19"/>
      <c r="Y173" s="19"/>
    </row>
    <row r="174" spans="1:25" x14ac:dyDescent="0.35">
      <c r="A174" s="43" t="str">
        <f>IF($C$4=2,L173,IF($C$4=1,L174,"  chyba"))</f>
        <v>Čelní kování na vruty</v>
      </c>
      <c r="B174" s="43" t="str">
        <f>IF($C$4=2,M173,IF($C$4=1,M174,"  chyba"))</f>
        <v>ZSF.35A2</v>
      </c>
      <c r="C174" s="43" t="str">
        <f>IF($C$4=2,N173,IF($C$4=1,N174,"  chyba"))</f>
        <v>BL</v>
      </c>
      <c r="D174" s="178">
        <f>IF($C$4=2,O173,IF($C$4=1,O174,"  chyba"))</f>
        <v>0</v>
      </c>
      <c r="E174" s="69"/>
      <c r="F174" s="50">
        <f>IF($C$4=2,Q173,IF($C$4=1,Q174,0))*(100-$F$6)/100</f>
        <v>0.39928999999999992</v>
      </c>
      <c r="G174" s="50"/>
      <c r="H174" s="50"/>
      <c r="I174" s="178">
        <f>IF($C$4=2,T173,IF($C$4=1,T174,"  chyba"))</f>
        <v>1014891</v>
      </c>
      <c r="J174" s="178">
        <f>IF($C$4=2,U173,IF($C$4=1,U174,"  chyba"))</f>
        <v>12687</v>
      </c>
      <c r="K174" s="48"/>
      <c r="L174" s="46" t="str">
        <f>Price!A174</f>
        <v>Čelní kování INSERTA</v>
      </c>
      <c r="M174" s="15" t="str">
        <f>Price!B174</f>
        <v>ZSF.39A2</v>
      </c>
      <c r="N174" s="15" t="str">
        <f>Price!C174</f>
        <v>BL</v>
      </c>
      <c r="O174" s="472">
        <f>Price!D174</f>
        <v>0</v>
      </c>
      <c r="P174" s="15">
        <f>Price!E174</f>
        <v>0</v>
      </c>
      <c r="Q174" s="17">
        <f>Price!F174</f>
        <v>0.75153000000000003</v>
      </c>
      <c r="R174" s="171"/>
      <c r="S174" s="171"/>
      <c r="T174" s="12">
        <f>Price!G174</f>
        <v>4045944</v>
      </c>
      <c r="U174" s="12">
        <f>Price!H174</f>
        <v>12689</v>
      </c>
      <c r="V174" s="13"/>
      <c r="W174" s="13"/>
      <c r="X174" s="19"/>
      <c r="Y174" s="19"/>
    </row>
    <row r="175" spans="1:25" x14ac:dyDescent="0.35">
      <c r="A175" s="43"/>
      <c r="B175" s="161"/>
      <c r="C175" s="161"/>
      <c r="D175" s="161"/>
      <c r="E175" s="69"/>
      <c r="F175" s="50"/>
      <c r="G175" s="50"/>
      <c r="H175" s="50"/>
      <c r="I175" s="50"/>
      <c r="J175" s="50"/>
      <c r="K175" s="20"/>
      <c r="L175" s="46">
        <f>Price!A175</f>
        <v>0</v>
      </c>
      <c r="M175" s="15">
        <f>Price!B175</f>
        <v>0</v>
      </c>
      <c r="N175" s="15">
        <f>Price!C175</f>
        <v>0</v>
      </c>
      <c r="O175" s="472">
        <f>Price!D175</f>
        <v>0</v>
      </c>
      <c r="P175" s="15">
        <f>Price!E175</f>
        <v>0</v>
      </c>
      <c r="Q175" s="17">
        <f>Price!F175</f>
        <v>0</v>
      </c>
      <c r="R175" s="171"/>
      <c r="S175" s="171"/>
      <c r="T175" s="12">
        <f>Price!G175</f>
        <v>0</v>
      </c>
      <c r="U175" s="12">
        <f>Price!H175</f>
        <v>0</v>
      </c>
      <c r="V175" s="13"/>
      <c r="W175" s="13"/>
      <c r="X175" s="19"/>
      <c r="Y175" s="19"/>
    </row>
    <row r="176" spans="1:25" x14ac:dyDescent="0.35">
      <c r="A176" s="43"/>
      <c r="B176" s="162"/>
      <c r="C176" s="162"/>
      <c r="D176" s="162"/>
      <c r="E176" s="69"/>
      <c r="F176" s="50"/>
      <c r="G176" s="50"/>
      <c r="H176" s="50"/>
      <c r="I176" s="50"/>
      <c r="J176" s="50"/>
      <c r="K176" s="20"/>
      <c r="L176" s="46">
        <f>Price!A176</f>
        <v>0</v>
      </c>
      <c r="M176" s="15">
        <f>Price!B176</f>
        <v>0</v>
      </c>
      <c r="N176" s="15">
        <f>Price!C176</f>
        <v>0</v>
      </c>
      <c r="O176" s="472">
        <f>Price!D176</f>
        <v>0</v>
      </c>
      <c r="P176" s="15">
        <f>Price!E176</f>
        <v>0</v>
      </c>
      <c r="Q176" s="17">
        <f>Price!F176</f>
        <v>0</v>
      </c>
      <c r="R176" s="171"/>
      <c r="S176" s="171"/>
      <c r="T176" s="12">
        <f>Price!G176</f>
        <v>0</v>
      </c>
      <c r="U176" s="12">
        <f>Price!H176</f>
        <v>0</v>
      </c>
      <c r="V176" s="13"/>
      <c r="X176" s="19"/>
      <c r="Y176" s="19"/>
    </row>
    <row r="177" spans="1:25" x14ac:dyDescent="0.35">
      <c r="A177" s="65"/>
      <c r="B177" s="161"/>
      <c r="C177" s="161"/>
      <c r="D177" s="161"/>
      <c r="E177" s="69"/>
      <c r="F177" s="52"/>
      <c r="G177" s="52"/>
      <c r="H177" s="52"/>
      <c r="I177" s="52"/>
      <c r="J177" s="52"/>
      <c r="K177" s="51"/>
      <c r="L177" s="46" t="str">
        <f>Price!A177</f>
        <v xml:space="preserve">   Vnitřní výsuvy</v>
      </c>
      <c r="M177" s="15">
        <f>Price!B177</f>
        <v>0</v>
      </c>
      <c r="N177" s="15">
        <f>Price!C177</f>
        <v>0</v>
      </c>
      <c r="O177" s="472">
        <f>Price!D177</f>
        <v>0</v>
      </c>
      <c r="P177" s="15">
        <f>Price!E177</f>
        <v>0</v>
      </c>
      <c r="Q177" s="17">
        <f>Price!F177</f>
        <v>0</v>
      </c>
      <c r="R177" s="171"/>
      <c r="S177" s="171"/>
      <c r="T177" s="12">
        <f>Price!G177</f>
        <v>0</v>
      </c>
      <c r="U177" s="12">
        <f>Price!H177</f>
        <v>0</v>
      </c>
      <c r="V177" s="13"/>
      <c r="W177" s="13"/>
      <c r="X177" s="19"/>
      <c r="Y177" s="19"/>
    </row>
    <row r="178" spans="1:25" ht="15" thickBot="1" x14ac:dyDescent="0.4">
      <c r="A178" s="75" t="str">
        <f>IF($C$2=1,L178,IF($C$2=2,L179,IF($C$2=3,L180, IF($C$2=4, L181, "  chyba"))))</f>
        <v>Držáky čela vnitřní zásuvky M, bílošedé</v>
      </c>
      <c r="B178" s="76" t="str">
        <f t="shared" ref="B178" si="195">IF($C$2=1,M178,IF($C$2=2,M179,IF($C$2=3,M180, IF($C$2=4, M181, "  chyba"))))</f>
        <v>ZIF.71M0</v>
      </c>
      <c r="C178" s="76" t="str">
        <f t="shared" ref="C178" si="196">IF($C$2=1,N178,IF($C$2=2,N179,IF($C$2=3,N180, IF($C$2=4, N181, "  chyba"))))</f>
        <v>WGR</v>
      </c>
      <c r="D178" s="172">
        <f t="shared" ref="D178" si="197">IF($C$2=1,O178,IF($C$2=2,O179,IF($C$2=3,O180, IF($C$2=4, O181, "  chyba"))))</f>
        <v>0</v>
      </c>
      <c r="E178" s="77">
        <f t="shared" ref="E178" si="198">IF($C$2=1,P178,IF($C$2=2,P179,IF($C$2=3,P180, IF($C$2=4, P181, "  chyba"))))</f>
        <v>0</v>
      </c>
      <c r="F178" s="78">
        <f>IF($C$2=1,Q178,IF($C$2=2,Q179,IF($C$2=3,Q180, IF($C$2=4, Q181, "  chyba"))))*(100-$F$6)/100</f>
        <v>4.2079700000000004</v>
      </c>
      <c r="G178" s="50"/>
      <c r="H178" s="50"/>
      <c r="I178" s="172">
        <f t="shared" ref="I178" si="199">IF($C$2=1,T178,IF($C$2=2,T179,IF($C$2=3,T180, IF($C$2=4, T181, "  chyba"))))</f>
        <v>5074773</v>
      </c>
      <c r="J178" s="172">
        <f t="shared" ref="J178" si="200">IF($C$2=1,U178,IF($C$2=2,U179,IF($C$2=3,U180, IF($C$2=4, U181, "  chyba"))))</f>
        <v>202564</v>
      </c>
      <c r="K178" s="48"/>
      <c r="L178" s="46" t="str">
        <f>Price!A178</f>
        <v>Držáky čela vnitřní zásuvky M, bílošedé</v>
      </c>
      <c r="M178" s="15" t="str">
        <f>Price!B178</f>
        <v>ZIF.71M0</v>
      </c>
      <c r="N178" s="15" t="str">
        <f>Price!C178</f>
        <v>WGR</v>
      </c>
      <c r="O178" s="472">
        <f>Price!D178</f>
        <v>0</v>
      </c>
      <c r="P178" s="15">
        <f>Price!E178</f>
        <v>0</v>
      </c>
      <c r="Q178" s="17">
        <f>Price!F178</f>
        <v>4.2079700000000004</v>
      </c>
      <c r="R178" s="171"/>
      <c r="S178" s="171"/>
      <c r="T178" s="12">
        <f>Price!G178</f>
        <v>5074773</v>
      </c>
      <c r="U178" s="12">
        <f>Price!H178</f>
        <v>202564</v>
      </c>
      <c r="V178" s="13"/>
      <c r="X178" s="19"/>
      <c r="Y178" s="19"/>
    </row>
    <row r="179" spans="1:25" x14ac:dyDescent="0.35">
      <c r="A179" s="66"/>
      <c r="B179" s="162"/>
      <c r="C179" s="162"/>
      <c r="D179" s="162"/>
      <c r="E179" s="69"/>
      <c r="F179" s="50"/>
      <c r="G179" s="50"/>
      <c r="H179" s="50"/>
      <c r="I179" s="175"/>
      <c r="J179" s="175"/>
      <c r="K179" s="48"/>
      <c r="L179" s="46" t="str">
        <f>Price!A179</f>
        <v>Držáky čela vnitřní zásuvky M, hedvábně bílé</v>
      </c>
      <c r="M179" s="15" t="str">
        <f>Price!B179</f>
        <v>ZIF.71M0</v>
      </c>
      <c r="N179" s="15" t="str">
        <f>Price!C179</f>
        <v>SEIW</v>
      </c>
      <c r="O179" s="472">
        <f>Price!D179</f>
        <v>0</v>
      </c>
      <c r="P179" s="15">
        <f>Price!E179</f>
        <v>0</v>
      </c>
      <c r="Q179" s="17">
        <f>Price!F179</f>
        <v>4.2079700000000004</v>
      </c>
      <c r="R179" s="171"/>
      <c r="S179" s="171"/>
      <c r="T179" s="12">
        <f>Price!G179</f>
        <v>1802448</v>
      </c>
      <c r="U179" s="12">
        <f>Price!H179</f>
        <v>202565</v>
      </c>
      <c r="V179" s="13"/>
      <c r="X179" s="19"/>
      <c r="Y179" s="19"/>
    </row>
    <row r="180" spans="1:25" x14ac:dyDescent="0.35">
      <c r="A180" s="43"/>
      <c r="B180" s="161"/>
      <c r="C180" s="161"/>
      <c r="D180" s="161"/>
      <c r="E180" s="69"/>
      <c r="F180" s="50"/>
      <c r="G180" s="50"/>
      <c r="H180" s="50"/>
      <c r="I180" s="176"/>
      <c r="J180" s="176"/>
      <c r="K180" s="20"/>
      <c r="L180" s="46" t="str">
        <f>Price!A180</f>
        <v>Držáky čela vnitřní zásuvky M, černé</v>
      </c>
      <c r="M180" s="15" t="str">
        <f>Price!B180</f>
        <v>ZIF.71M0</v>
      </c>
      <c r="N180" s="15" t="str">
        <f>Price!C180</f>
        <v xml:space="preserve">S </v>
      </c>
      <c r="O180" s="472">
        <f>Price!D180</f>
        <v>0</v>
      </c>
      <c r="P180" s="15">
        <f>Price!E180</f>
        <v>0</v>
      </c>
      <c r="Q180" s="17">
        <f>Price!F180</f>
        <v>4.2079700000000004</v>
      </c>
      <c r="R180" s="171"/>
      <c r="S180" s="171"/>
      <c r="T180" s="12">
        <f>Price!G180</f>
        <v>5519405</v>
      </c>
      <c r="U180" s="12">
        <f>Price!H180</f>
        <v>203104</v>
      </c>
      <c r="V180" s="13"/>
      <c r="W180" s="13"/>
      <c r="X180" s="19"/>
      <c r="Y180" s="19"/>
    </row>
    <row r="181" spans="1:25" x14ac:dyDescent="0.35">
      <c r="A181" s="43"/>
      <c r="B181" s="161"/>
      <c r="C181" s="161"/>
      <c r="D181" s="161"/>
      <c r="E181" s="69"/>
      <c r="F181" s="50"/>
      <c r="G181" s="50"/>
      <c r="H181" s="50"/>
      <c r="I181" s="176"/>
      <c r="J181" s="176"/>
      <c r="K181" s="20"/>
      <c r="L181" s="46" t="str">
        <f>Price!A181</f>
        <v>Držáky čela vnitřní zásuvky M, prachově šedé</v>
      </c>
      <c r="M181" s="15" t="str">
        <f>Price!B181</f>
        <v>ZIF.71M0</v>
      </c>
      <c r="N181" s="15" t="str">
        <f>Price!C181</f>
        <v>R737</v>
      </c>
      <c r="O181" s="472" t="str">
        <f>Price!D181</f>
        <v>!</v>
      </c>
      <c r="P181" s="15">
        <f>Price!E181</f>
        <v>0</v>
      </c>
      <c r="Q181" s="17">
        <f>Price!F181</f>
        <v>3.45512</v>
      </c>
      <c r="R181" s="171"/>
      <c r="S181" s="171"/>
      <c r="T181" s="12">
        <f>Price!G181</f>
        <v>5526449</v>
      </c>
      <c r="U181" s="12">
        <f>Price!H181</f>
        <v>203144</v>
      </c>
      <c r="V181" s="13"/>
      <c r="W181" s="13"/>
      <c r="X181" s="19"/>
      <c r="Y181" s="19"/>
    </row>
    <row r="182" spans="1:25" ht="15" thickBot="1" x14ac:dyDescent="0.4">
      <c r="A182" s="547" t="str">
        <f>IF($C$2=1,L182,IF($C$2=2,L183,IF($C$2=3,L184,IF($C$2=4," ","  chyba"))))</f>
        <v>Držáky čela vnitřní zásuvky K, bílošedé</v>
      </c>
      <c r="B182" s="547" t="str">
        <f t="shared" ref="B182" si="201">IF($C$2=1,M182,IF($C$2=2,M183,IF($C$2=3,M184,IF($C$2=4," ","  chyba"))))</f>
        <v>ZIF.71K0</v>
      </c>
      <c r="C182" s="547" t="str">
        <f t="shared" ref="C182" si="202">IF($C$2=1,N182,IF($C$2=2,N183,IF($C$2=3,N184,IF($C$2=4," ","  chyba"))))</f>
        <v>WGR</v>
      </c>
      <c r="D182" s="547">
        <f t="shared" ref="D182" si="203">IF($C$2=1,O182,IF($C$2=2,O183,IF($C$2=3,O184,IF($C$2=4," ","  chyba"))))</f>
        <v>0</v>
      </c>
      <c r="E182" s="547">
        <f t="shared" ref="E182" si="204">IF($C$2=1,P182,IF($C$2=2,P183,IF($C$2=3,P184,IF($C$2=4," ","  chyba"))))</f>
        <v>0</v>
      </c>
      <c r="F182" s="548">
        <f>IF($C$2=1,Q182,IF($C$2=2,Q183,IF($C$2=3,Q184,IF($C$2=4,0,"  chyba"))))*(100-$F$6)/100</f>
        <v>5.1253899999999994</v>
      </c>
      <c r="G182" s="549"/>
      <c r="H182" s="549"/>
      <c r="I182" s="547">
        <f t="shared" ref="I182" si="205">IF($C$2=1,T182,IF($C$2=2,T183,IF($C$2=3,T184,IF($C$2=4," ","  chyba"))))</f>
        <v>2720695</v>
      </c>
      <c r="J182" s="547">
        <f t="shared" ref="J182" si="206">IF($C$2=1,U182,IF($C$2=2,U183,IF($C$2=3,U184,IF($C$2=4," ","  chyba"))))</f>
        <v>210823</v>
      </c>
      <c r="K182" s="20"/>
      <c r="L182" s="46" t="str">
        <f>Price!A182</f>
        <v>Držáky čela vnitřní zásuvky K, bílošedé</v>
      </c>
      <c r="M182" s="15" t="str">
        <f>Price!B182</f>
        <v>ZIF.71K0</v>
      </c>
      <c r="N182" s="15" t="str">
        <f>Price!C182</f>
        <v>WGR</v>
      </c>
      <c r="O182" s="472">
        <f>Price!D182</f>
        <v>0</v>
      </c>
      <c r="P182" s="15">
        <f>Price!E182</f>
        <v>0</v>
      </c>
      <c r="Q182" s="17">
        <f>Price!F182</f>
        <v>5.1253900000000003</v>
      </c>
      <c r="R182" s="171"/>
      <c r="S182" s="171"/>
      <c r="T182" s="12">
        <f>Price!G182</f>
        <v>2720695</v>
      </c>
      <c r="U182" s="12">
        <f>Price!H182</f>
        <v>210823</v>
      </c>
      <c r="V182" s="13"/>
      <c r="W182" s="13"/>
      <c r="X182" s="19"/>
      <c r="Y182" s="19"/>
    </row>
    <row r="183" spans="1:25" x14ac:dyDescent="0.35">
      <c r="A183" s="65"/>
      <c r="B183" s="162"/>
      <c r="C183" s="162"/>
      <c r="D183" s="162"/>
      <c r="E183" s="64"/>
      <c r="F183" s="52"/>
      <c r="G183" s="52"/>
      <c r="H183" s="52"/>
      <c r="I183" s="175"/>
      <c r="J183" s="175"/>
      <c r="K183" s="47"/>
      <c r="L183" s="46" t="str">
        <f>Price!A183</f>
        <v>Držáky čela vnitřní zásuvky K, hedvábně bílé</v>
      </c>
      <c r="M183" s="15" t="str">
        <f>Price!B183</f>
        <v>ZIF.71K0</v>
      </c>
      <c r="N183" s="15" t="str">
        <f>Price!C183</f>
        <v>SEIW</v>
      </c>
      <c r="O183" s="472">
        <f>Price!D183</f>
        <v>0</v>
      </c>
      <c r="P183" s="15">
        <f>Price!E183</f>
        <v>0</v>
      </c>
      <c r="Q183" s="17">
        <f>Price!F183</f>
        <v>5.1253900000000003</v>
      </c>
      <c r="R183" s="171"/>
      <c r="S183" s="171"/>
      <c r="T183" s="12">
        <f>Price!G183</f>
        <v>7084462</v>
      </c>
      <c r="U183" s="12">
        <f>Price!H183</f>
        <v>210822</v>
      </c>
      <c r="V183" s="13"/>
      <c r="W183" s="13"/>
      <c r="X183" s="19"/>
      <c r="Y183" s="19"/>
    </row>
    <row r="184" spans="1:25" x14ac:dyDescent="0.35">
      <c r="A184" s="43"/>
      <c r="B184" s="161"/>
      <c r="C184" s="161"/>
      <c r="D184" s="161"/>
      <c r="E184" s="69"/>
      <c r="F184" s="70"/>
      <c r="G184" s="70"/>
      <c r="H184" s="70"/>
      <c r="I184" s="176"/>
      <c r="J184" s="176"/>
      <c r="K184" s="20"/>
      <c r="L184" s="46" t="str">
        <f>Price!A184</f>
        <v>Držáky čela vnitřní zásuvky K, černé</v>
      </c>
      <c r="M184" s="15" t="str">
        <f>Price!B184</f>
        <v>ZIF.71K0</v>
      </c>
      <c r="N184" s="15" t="str">
        <f>Price!C184</f>
        <v xml:space="preserve">S </v>
      </c>
      <c r="O184" s="472" t="str">
        <f>Price!D184</f>
        <v>!</v>
      </c>
      <c r="P184" s="15">
        <f>Price!E184</f>
        <v>0</v>
      </c>
      <c r="Q184" s="17">
        <f>Price!F184</f>
        <v>5.1253900000000003</v>
      </c>
      <c r="R184" s="171"/>
      <c r="S184" s="171"/>
      <c r="T184" s="12">
        <f>Price!G184</f>
        <v>7562990</v>
      </c>
      <c r="U184" s="12">
        <f>Price!H184</f>
        <v>210821</v>
      </c>
      <c r="V184" s="13"/>
      <c r="X184" s="19"/>
      <c r="Y184" s="19"/>
    </row>
    <row r="185" spans="1:25" ht="15" thickBot="1" x14ac:dyDescent="0.4">
      <c r="A185" s="75" t="str">
        <f>IF($C$2=1,L185,IF($C$2=2,L186,IF($C$2=3,L187, IF($C$2=4, L188, "  chyba"))))</f>
        <v>Držáky čela vnitřního výsuvu C, bílošedé</v>
      </c>
      <c r="B185" s="76" t="str">
        <f t="shared" ref="B185" si="207">IF($C$2=1,M185,IF($C$2=2,M186,IF($C$2=3,M187, IF($C$2=4, M188, "  chyba"))))</f>
        <v>ZIF.74C0</v>
      </c>
      <c r="C185" s="76" t="str">
        <f t="shared" ref="C185" si="208">IF($C$2=1,N185,IF($C$2=2,N186,IF($C$2=3,N187, IF($C$2=4, N188, "  chyba"))))</f>
        <v>WGR</v>
      </c>
      <c r="D185" s="172">
        <f t="shared" ref="D185" si="209">IF($C$2=1,O185,IF($C$2=2,O186,IF($C$2=3,O187, IF($C$2=4, O188, "  chyba"))))</f>
        <v>0</v>
      </c>
      <c r="E185" s="77">
        <f t="shared" ref="E185" si="210">IF($C$2=1,P185,IF($C$2=2,P186,IF($C$2=3,P187, IF($C$2=4, P188, "  chyba"))))</f>
        <v>0</v>
      </c>
      <c r="F185" s="78">
        <f>IF($C$2=1,Q185,IF($C$2=2,Q186,IF($C$2=3,Q187, IF($C$2=4, Q188, "  chyba"))))*(100-$F$6)/100</f>
        <v>5.8567799999999997</v>
      </c>
      <c r="G185" s="50"/>
      <c r="H185" s="50"/>
      <c r="I185" s="172">
        <f t="shared" ref="I185" si="211">IF($C$2=1,T185,IF($C$2=2,T186,IF($C$2=3,T187, IF($C$2=4, T188, "  chyba"))))</f>
        <v>3213636</v>
      </c>
      <c r="J185" s="172">
        <f t="shared" ref="J185" si="212">IF($C$2=1,U185,IF($C$2=2,U186,IF($C$2=3,U187, IF($C$2=4, U188, "  chyba"))))</f>
        <v>202562</v>
      </c>
      <c r="K185" s="20"/>
      <c r="L185" s="46" t="str">
        <f>Price!A185</f>
        <v>Držáky čela vnitřního výsuvu C, bílošedé</v>
      </c>
      <c r="M185" s="15" t="str">
        <f>Price!B185</f>
        <v>ZIF.74C0</v>
      </c>
      <c r="N185" s="15" t="str">
        <f>Price!C185</f>
        <v>WGR</v>
      </c>
      <c r="O185" s="472">
        <f>Price!D185</f>
        <v>0</v>
      </c>
      <c r="P185" s="15">
        <f>Price!E185</f>
        <v>0</v>
      </c>
      <c r="Q185" s="17">
        <f>Price!F185</f>
        <v>5.8567799999999997</v>
      </c>
      <c r="R185" s="171"/>
      <c r="S185" s="171"/>
      <c r="T185" s="12">
        <f>Price!G185</f>
        <v>3213636</v>
      </c>
      <c r="U185" s="12">
        <f>Price!H185</f>
        <v>202562</v>
      </c>
      <c r="V185" s="13"/>
      <c r="W185" s="13"/>
      <c r="X185" s="19"/>
      <c r="Y185" s="19"/>
    </row>
    <row r="186" spans="1:25" x14ac:dyDescent="0.35">
      <c r="A186" s="65"/>
      <c r="B186" s="162"/>
      <c r="C186" s="162"/>
      <c r="D186" s="162"/>
      <c r="E186" s="64"/>
      <c r="F186" s="52"/>
      <c r="G186" s="52"/>
      <c r="H186" s="52"/>
      <c r="I186" s="175"/>
      <c r="J186" s="175"/>
      <c r="K186" s="47"/>
      <c r="L186" s="46" t="str">
        <f>Price!A186</f>
        <v>Držáky čela vnitřního výsuvu C, hedvábně bílé</v>
      </c>
      <c r="M186" s="15" t="str">
        <f>Price!B186</f>
        <v>ZIF.74C0</v>
      </c>
      <c r="N186" s="15" t="str">
        <f>Price!C186</f>
        <v>SEIW</v>
      </c>
      <c r="O186" s="472">
        <f>Price!D186</f>
        <v>0</v>
      </c>
      <c r="P186" s="15">
        <f>Price!E186</f>
        <v>0</v>
      </c>
      <c r="Q186" s="17">
        <f>Price!F186</f>
        <v>5.8567799999999997</v>
      </c>
      <c r="R186" s="171"/>
      <c r="S186" s="171"/>
      <c r="T186" s="12">
        <f>Price!G186</f>
        <v>1003537</v>
      </c>
      <c r="U186" s="12">
        <f>Price!H186</f>
        <v>202563</v>
      </c>
      <c r="V186" s="13"/>
      <c r="W186" s="13"/>
      <c r="X186" s="19"/>
      <c r="Y186" s="19"/>
    </row>
    <row r="187" spans="1:25" x14ac:dyDescent="0.35">
      <c r="A187" s="43"/>
      <c r="B187" s="161"/>
      <c r="C187" s="161"/>
      <c r="D187" s="161"/>
      <c r="E187" s="69"/>
      <c r="F187" s="70"/>
      <c r="G187" s="70"/>
      <c r="H187" s="70"/>
      <c r="I187" s="176"/>
      <c r="J187" s="176"/>
      <c r="K187" s="20"/>
      <c r="L187" s="46" t="str">
        <f>Price!A187</f>
        <v>Držáky čela vnitřního výsuvu C, černé</v>
      </c>
      <c r="M187" s="15" t="str">
        <f>Price!B187</f>
        <v>ZIF.74C0</v>
      </c>
      <c r="N187" s="15" t="str">
        <f>Price!C187</f>
        <v xml:space="preserve">S </v>
      </c>
      <c r="O187" s="472">
        <f>Price!D187</f>
        <v>0</v>
      </c>
      <c r="P187" s="15">
        <f>Price!E187</f>
        <v>0</v>
      </c>
      <c r="Q187" s="17">
        <f>Price!F187</f>
        <v>5.8567799999999997</v>
      </c>
      <c r="R187" s="171"/>
      <c r="S187" s="171"/>
      <c r="T187" s="12">
        <f>Price!G187</f>
        <v>4186639</v>
      </c>
      <c r="U187" s="12">
        <f>Price!H187</f>
        <v>203103</v>
      </c>
      <c r="V187" s="13"/>
      <c r="X187" s="19"/>
      <c r="Y187" s="19"/>
    </row>
    <row r="188" spans="1:25" x14ac:dyDescent="0.35">
      <c r="A188" s="43"/>
      <c r="B188" s="161"/>
      <c r="C188" s="161"/>
      <c r="D188" s="161"/>
      <c r="E188" s="69"/>
      <c r="F188" s="70"/>
      <c r="G188" s="70"/>
      <c r="H188" s="70"/>
      <c r="I188" s="176"/>
      <c r="J188" s="176"/>
      <c r="K188" s="20"/>
      <c r="L188" s="46" t="str">
        <f>Price!A188</f>
        <v>Držáky čela vnitřního výsuvu C, prachově šedé</v>
      </c>
      <c r="M188" s="15" t="str">
        <f>Price!B188</f>
        <v>ZIF.74C0</v>
      </c>
      <c r="N188" s="15" t="str">
        <f>Price!C188</f>
        <v>R737</v>
      </c>
      <c r="O188" s="472" t="str">
        <f>Price!D188</f>
        <v>!</v>
      </c>
      <c r="P188" s="15">
        <f>Price!E188</f>
        <v>0</v>
      </c>
      <c r="Q188" s="17">
        <f>Price!F188</f>
        <v>5.2664099999999996</v>
      </c>
      <c r="R188" s="171"/>
      <c r="S188" s="171"/>
      <c r="T188" s="12">
        <f>Price!G188</f>
        <v>5254121</v>
      </c>
      <c r="U188" s="12">
        <f>Price!H188</f>
        <v>203146</v>
      </c>
      <c r="V188" s="13"/>
      <c r="X188" s="19"/>
      <c r="Y188" s="19"/>
    </row>
    <row r="189" spans="1:25" ht="15" thickBot="1" x14ac:dyDescent="0.4">
      <c r="A189" s="75" t="str">
        <f>IF($C$2=1,L189,IF($C$2=2,L190,IF($C$2=3,L191, IF($C$2=4, L192, "  chyba"))))</f>
        <v>Držáky čela vnitřního výsuvu D bílošedé</v>
      </c>
      <c r="B189" s="76" t="str">
        <f t="shared" ref="B189" si="213">IF($C$2=1,M189,IF($C$2=2,M190,IF($C$2=3,M191, IF($C$2=4, M192, "  chyba"))))</f>
        <v>ZIF.74D0</v>
      </c>
      <c r="C189" s="76" t="str">
        <f t="shared" ref="C189" si="214">IF($C$2=1,N189,IF($C$2=2,N190,IF($C$2=3,N191, IF($C$2=4, N192, "  chyba"))))</f>
        <v>WGR</v>
      </c>
      <c r="D189" s="172">
        <f t="shared" ref="D189" si="215">IF($C$2=1,O189,IF($C$2=2,O190,IF($C$2=3,O191, IF($C$2=4, O192, "  chyba"))))</f>
        <v>0</v>
      </c>
      <c r="E189" s="77">
        <f t="shared" ref="E189" si="216">IF($C$2=1,P189,IF($C$2=2,P190,IF($C$2=3,P191, IF($C$2=4, P192, "  chyba"))))</f>
        <v>0</v>
      </c>
      <c r="F189" s="78">
        <f>IF($C$2=1,Q189,IF($C$2=2,Q190,IF($C$2=3,Q191, IF($C$2=4, Q192, "  chyba"))))*(100-$F$6)/100</f>
        <v>6.1373600000000001</v>
      </c>
      <c r="G189" s="50"/>
      <c r="H189" s="50"/>
      <c r="I189" s="172">
        <f t="shared" ref="I189" si="217">IF($C$2=1,T189,IF($C$2=2,T190,IF($C$2=3,T191, IF($C$2=4, T192, "  chyba"))))</f>
        <v>4438914</v>
      </c>
      <c r="J189" s="172">
        <f t="shared" ref="J189" si="218">IF($C$2=1,U189,IF($C$2=2,U190,IF($C$2=3,U191, IF($C$2=4, U192, "  chyba"))))</f>
        <v>202560</v>
      </c>
      <c r="K189" s="20"/>
      <c r="L189" s="46" t="str">
        <f>Price!A189</f>
        <v>Držáky čela vnitřního výsuvu D bílošedé</v>
      </c>
      <c r="M189" s="15" t="str">
        <f>Price!B189</f>
        <v>ZIF.74D0</v>
      </c>
      <c r="N189" s="15" t="str">
        <f>Price!C189</f>
        <v>WGR</v>
      </c>
      <c r="O189" s="472">
        <f>Price!D189</f>
        <v>0</v>
      </c>
      <c r="P189" s="15">
        <f>Price!E189</f>
        <v>0</v>
      </c>
      <c r="Q189" s="17">
        <f>Price!F189</f>
        <v>6.1373600000000001</v>
      </c>
      <c r="R189" s="171"/>
      <c r="S189" s="171"/>
      <c r="T189" s="12">
        <f>Price!G189</f>
        <v>4438914</v>
      </c>
      <c r="U189" s="12">
        <f>Price!H189</f>
        <v>202560</v>
      </c>
      <c r="V189" s="13"/>
      <c r="W189" s="13"/>
      <c r="X189" s="19"/>
      <c r="Y189" s="19"/>
    </row>
    <row r="190" spans="1:25" x14ac:dyDescent="0.35">
      <c r="A190" s="65"/>
      <c r="B190" s="162"/>
      <c r="C190" s="162"/>
      <c r="D190" s="162"/>
      <c r="E190" s="64"/>
      <c r="F190" s="52"/>
      <c r="G190" s="52"/>
      <c r="H190" s="52"/>
      <c r="I190" s="175"/>
      <c r="J190" s="175"/>
      <c r="K190" s="47"/>
      <c r="L190" s="46" t="str">
        <f>Price!A190</f>
        <v>Držáky čela vnitřního výsuvu D, hedvábně bílé</v>
      </c>
      <c r="M190" s="15" t="str">
        <f>Price!B190</f>
        <v>ZIF.74D0</v>
      </c>
      <c r="N190" s="15" t="str">
        <f>Price!C190</f>
        <v>SEIW</v>
      </c>
      <c r="O190" s="472">
        <f>Price!D190</f>
        <v>0</v>
      </c>
      <c r="P190" s="15">
        <f>Price!E190</f>
        <v>0</v>
      </c>
      <c r="Q190" s="17">
        <f>Price!F190</f>
        <v>6.1373600000000001</v>
      </c>
      <c r="R190" s="171"/>
      <c r="S190" s="171"/>
      <c r="T190" s="12">
        <f>Price!G190</f>
        <v>1714924</v>
      </c>
      <c r="U190" s="12">
        <f>Price!H190</f>
        <v>202561</v>
      </c>
      <c r="V190" s="13"/>
      <c r="X190" s="19"/>
      <c r="Y190" s="19"/>
    </row>
    <row r="191" spans="1:25" x14ac:dyDescent="0.35">
      <c r="A191" s="43"/>
      <c r="B191" s="161"/>
      <c r="C191" s="161"/>
      <c r="D191" s="161"/>
      <c r="E191" s="69"/>
      <c r="F191" s="70"/>
      <c r="G191" s="70"/>
      <c r="H191" s="70"/>
      <c r="I191" s="176"/>
      <c r="J191" s="176"/>
      <c r="K191" s="20"/>
      <c r="L191" s="46" t="str">
        <f>Price!A191</f>
        <v>Držáky čela vnitřního výsuvu D, černé</v>
      </c>
      <c r="M191" s="15" t="str">
        <f>Price!B191</f>
        <v>ZIF.74D0</v>
      </c>
      <c r="N191" s="15" t="str">
        <f>Price!C191</f>
        <v xml:space="preserve">S </v>
      </c>
      <c r="O191" s="472">
        <f>Price!D191</f>
        <v>0</v>
      </c>
      <c r="P191" s="15">
        <f>Price!E191</f>
        <v>0</v>
      </c>
      <c r="Q191" s="17">
        <f>Price!F191</f>
        <v>6.1373600000000001</v>
      </c>
      <c r="R191" s="171"/>
      <c r="S191" s="171"/>
      <c r="T191" s="12">
        <f>Price!G191</f>
        <v>5835868</v>
      </c>
      <c r="U191" s="12">
        <f>Price!H191</f>
        <v>203101</v>
      </c>
      <c r="V191" s="13"/>
      <c r="W191" s="13"/>
      <c r="X191" s="19"/>
      <c r="Y191" s="19"/>
    </row>
    <row r="192" spans="1:25" x14ac:dyDescent="0.35">
      <c r="A192" s="43"/>
      <c r="B192" s="162"/>
      <c r="C192" s="162"/>
      <c r="D192" s="162"/>
      <c r="E192" s="69"/>
      <c r="F192" s="70"/>
      <c r="G192" s="70"/>
      <c r="H192" s="70"/>
      <c r="I192" s="175"/>
      <c r="J192" s="175"/>
      <c r="K192" s="20"/>
      <c r="L192" s="46" t="str">
        <f>Price!A192</f>
        <v>Držáky čela vnitřního výsuvu D, prachově šedé</v>
      </c>
      <c r="M192" s="15" t="str">
        <f>Price!B192</f>
        <v>ZIF.74D0</v>
      </c>
      <c r="N192" s="15" t="str">
        <f>Price!C192</f>
        <v>R737</v>
      </c>
      <c r="O192" s="472" t="str">
        <f>Price!D192</f>
        <v>!</v>
      </c>
      <c r="P192" s="15">
        <f>Price!E192</f>
        <v>0</v>
      </c>
      <c r="Q192" s="17">
        <f>Price!F192</f>
        <v>5.5187099999999996</v>
      </c>
      <c r="R192" s="171"/>
      <c r="S192" s="171"/>
      <c r="T192" s="12">
        <f>Price!G192</f>
        <v>7162263</v>
      </c>
      <c r="U192" s="12">
        <f>Price!H192</f>
        <v>203149</v>
      </c>
      <c r="V192" s="13"/>
      <c r="W192" s="13"/>
      <c r="X192" s="19"/>
      <c r="Y192" s="19"/>
    </row>
    <row r="193" spans="1:25" x14ac:dyDescent="0.35">
      <c r="A193" s="43"/>
      <c r="B193" s="162"/>
      <c r="C193" s="162"/>
      <c r="D193" s="162"/>
      <c r="E193" s="69"/>
      <c r="F193" s="70"/>
      <c r="G193" s="70"/>
      <c r="H193" s="70"/>
      <c r="I193" s="175"/>
      <c r="J193" s="175"/>
      <c r="K193" s="20"/>
      <c r="L193" s="46"/>
      <c r="M193" s="15"/>
      <c r="N193" s="15"/>
      <c r="O193" s="472"/>
      <c r="P193" s="15"/>
      <c r="Q193" s="17"/>
      <c r="R193" s="171"/>
      <c r="S193" s="171"/>
      <c r="T193" s="12"/>
      <c r="U193" s="12"/>
      <c r="V193" s="13"/>
      <c r="W193" s="13"/>
      <c r="X193" s="19"/>
      <c r="Y193" s="19"/>
    </row>
    <row r="194" spans="1:25" ht="15" thickBot="1" x14ac:dyDescent="0.4">
      <c r="A194" s="75" t="str">
        <f>IF($C$2=1,L194,IF($C$2=2,L195,IF($C$2=3,L196, IF($C$2=4, L197, "  chyba"))))</f>
        <v>Přední díl vnitřní zásuvky, šedý</v>
      </c>
      <c r="B194" s="76" t="str">
        <f t="shared" ref="B194" si="219">IF($C$2=1,M194,IF($C$2=2,M195,IF($C$2=3,M196, IF($C$2=4, M197, "  chyba"))))</f>
        <v xml:space="preserve">Z31L1036A  </v>
      </c>
      <c r="C194" s="76" t="str">
        <f t="shared" ref="C194" si="220">IF($C$2=1,N194,IF($C$2=2,N195,IF($C$2=3,N196, IF($C$2=4, N197, "  chyba"))))</f>
        <v>R906</v>
      </c>
      <c r="D194" s="172">
        <f t="shared" ref="D194" si="221">IF($C$2=1,O194,IF($C$2=2,O195,IF($C$2=3,O196, IF($C$2=4, O197, "  chyba"))))</f>
        <v>0</v>
      </c>
      <c r="E194" s="77">
        <f t="shared" ref="E194" si="222">IF($C$2=1,P194,IF($C$2=2,P195,IF($C$2=3,P196, IF($C$2=4, P197, "  chyba"))))</f>
        <v>0</v>
      </c>
      <c r="F194" s="78">
        <f>IF($C$2=1,Q194,IF($C$2=2,Q195,IF($C$2=3,Q196, IF($C$2=4, Q197, "  chyba"))))*(100-$F$6)/100</f>
        <v>14.286440000000001</v>
      </c>
      <c r="G194" s="50"/>
      <c r="H194" s="50"/>
      <c r="I194" s="172">
        <f t="shared" ref="I194" si="223">IF($C$2=1,T194,IF($C$2=2,T195,IF($C$2=3,T196, IF($C$2=4, T197, "  chyba"))))</f>
        <v>8479020</v>
      </c>
      <c r="J194" s="172">
        <f t="shared" ref="J194" si="224">IF($C$2=1,U194,IF($C$2=2,U195,IF($C$2=3,U196, IF($C$2=4, U197, "  chyba"))))</f>
        <v>205759</v>
      </c>
      <c r="K194" s="47"/>
      <c r="L194" s="46" t="str">
        <f>Price!A194</f>
        <v>Přední díl vnitřní zásuvky, šedý</v>
      </c>
      <c r="M194" s="15" t="str">
        <f>Price!B194</f>
        <v xml:space="preserve">Z31L1036A  </v>
      </c>
      <c r="N194" s="15" t="str">
        <f>Price!C194</f>
        <v>R906</v>
      </c>
      <c r="O194" s="472">
        <f>Price!D194</f>
        <v>0</v>
      </c>
      <c r="P194" s="15">
        <f>Price!E194</f>
        <v>0</v>
      </c>
      <c r="Q194" s="17">
        <f>Price!F194</f>
        <v>14.286440000000001</v>
      </c>
      <c r="R194" s="171"/>
      <c r="S194" s="171"/>
      <c r="T194" s="12">
        <f>Price!G194</f>
        <v>8479020</v>
      </c>
      <c r="U194" s="12">
        <f>Price!H194</f>
        <v>205759</v>
      </c>
      <c r="V194" s="13"/>
      <c r="W194" s="13"/>
      <c r="X194" s="19"/>
      <c r="Y194" s="19"/>
    </row>
    <row r="195" spans="1:25" x14ac:dyDescent="0.35">
      <c r="A195" s="43"/>
      <c r="B195" s="162"/>
      <c r="C195" s="162"/>
      <c r="D195" s="162"/>
      <c r="E195" s="69"/>
      <c r="F195" s="50"/>
      <c r="G195" s="50"/>
      <c r="H195" s="50"/>
      <c r="I195" s="175"/>
      <c r="J195" s="175"/>
      <c r="K195" s="20"/>
      <c r="L195" s="46" t="str">
        <f>Price!A195</f>
        <v>Přední díl vnitřní zásuvky, hedvábně bílý</v>
      </c>
      <c r="M195" s="15" t="str">
        <f>Price!B195</f>
        <v xml:space="preserve">Z31L1036A  </v>
      </c>
      <c r="N195" s="15" t="str">
        <f>Price!C195</f>
        <v>SEIW</v>
      </c>
      <c r="O195" s="472">
        <f>Price!D195</f>
        <v>0</v>
      </c>
      <c r="P195" s="15">
        <f>Price!E195</f>
        <v>0</v>
      </c>
      <c r="Q195" s="17">
        <f>Price!F195</f>
        <v>14.286440000000001</v>
      </c>
      <c r="R195" s="171"/>
      <c r="S195" s="171"/>
      <c r="T195" s="12">
        <f>Price!G195</f>
        <v>8479022</v>
      </c>
      <c r="U195" s="12" t="str">
        <f>Price!H195</f>
        <v>IN114BB</v>
      </c>
      <c r="V195" s="13"/>
      <c r="W195" s="13"/>
      <c r="X195" s="19"/>
      <c r="Y195" s="19"/>
    </row>
    <row r="196" spans="1:25" x14ac:dyDescent="0.35">
      <c r="A196" s="43"/>
      <c r="B196" s="161"/>
      <c r="C196" s="161"/>
      <c r="D196" s="161"/>
      <c r="E196" s="69"/>
      <c r="F196" s="50"/>
      <c r="G196" s="50"/>
      <c r="H196" s="50"/>
      <c r="I196" s="176"/>
      <c r="J196" s="176"/>
      <c r="K196" s="20"/>
      <c r="L196" s="46" t="str">
        <f>Price!A196</f>
        <v>Přední díl vnitřní zásuvky, černý Terra</v>
      </c>
      <c r="M196" s="15" t="str">
        <f>Price!B196</f>
        <v xml:space="preserve">Z31L1036A  </v>
      </c>
      <c r="N196" s="15" t="str">
        <f>Price!C196</f>
        <v>TERS</v>
      </c>
      <c r="O196" s="472">
        <f>Price!D196</f>
        <v>0</v>
      </c>
      <c r="P196" s="15">
        <f>Price!E196</f>
        <v>0</v>
      </c>
      <c r="Q196" s="17">
        <f>Price!F196</f>
        <v>14.286440000000001</v>
      </c>
      <c r="R196" s="171"/>
      <c r="S196" s="171"/>
      <c r="T196" s="12">
        <f>Price!G196</f>
        <v>8479024</v>
      </c>
      <c r="U196" s="12" t="str">
        <f>Price!H196</f>
        <v>IN114CB</v>
      </c>
      <c r="V196" s="13"/>
      <c r="W196" s="13"/>
      <c r="X196" s="19"/>
      <c r="Y196" s="19"/>
    </row>
    <row r="197" spans="1:25" x14ac:dyDescent="0.35">
      <c r="A197" s="65"/>
      <c r="B197" s="162"/>
      <c r="C197" s="162"/>
      <c r="D197" s="162"/>
      <c r="E197" s="64"/>
      <c r="F197" s="52"/>
      <c r="G197" s="52"/>
      <c r="H197" s="52"/>
      <c r="I197" s="175"/>
      <c r="J197" s="175"/>
      <c r="K197" s="47"/>
      <c r="L197" s="46" t="str">
        <f>Price!A197</f>
        <v>Přední díl vnitřní zásuvky, niklovaný matný</v>
      </c>
      <c r="M197" s="15" t="str">
        <f>Price!B197</f>
        <v xml:space="preserve">Z31L1036A  </v>
      </c>
      <c r="N197" s="15" t="str">
        <f>Price!C197</f>
        <v>NI-M</v>
      </c>
      <c r="O197" s="472" t="str">
        <f>Price!D197</f>
        <v>!</v>
      </c>
      <c r="P197" s="15">
        <f>Price!E197</f>
        <v>0</v>
      </c>
      <c r="Q197" s="17">
        <f>Price!F197</f>
        <v>49.273699999999998</v>
      </c>
      <c r="R197" s="171"/>
      <c r="S197" s="171"/>
      <c r="T197" s="12">
        <f>Price!G197</f>
        <v>4717033</v>
      </c>
      <c r="U197" s="12" t="str">
        <f>Price!H197</f>
        <v>IN114NB</v>
      </c>
      <c r="V197" s="13"/>
      <c r="W197" s="13"/>
      <c r="X197" s="19"/>
      <c r="Y197" s="19"/>
    </row>
    <row r="198" spans="1:25" x14ac:dyDescent="0.35">
      <c r="A198" s="65"/>
      <c r="B198" s="162"/>
      <c r="C198" s="162"/>
      <c r="D198" s="162"/>
      <c r="E198" s="64"/>
      <c r="F198" s="52"/>
      <c r="G198" s="52"/>
      <c r="H198" s="52"/>
      <c r="I198" s="175"/>
      <c r="J198" s="175"/>
      <c r="K198" s="47"/>
      <c r="L198" s="46"/>
      <c r="M198" s="15"/>
      <c r="N198" s="15"/>
      <c r="O198" s="472"/>
      <c r="P198" s="15"/>
      <c r="Q198" s="17"/>
      <c r="R198" s="171"/>
      <c r="S198" s="171"/>
      <c r="T198" s="12"/>
      <c r="U198" s="12"/>
      <c r="V198" s="13"/>
      <c r="W198" s="13"/>
      <c r="X198" s="19"/>
      <c r="Y198" s="19"/>
    </row>
    <row r="199" spans="1:25" ht="15" thickBot="1" x14ac:dyDescent="0.4">
      <c r="A199" s="75" t="str">
        <f>IF($C$2=1,L199,IF($C$2=2,L200,IF($C$2=3,L201, IF($C$2=4, L202, "  chyba"))))</f>
        <v>Příčný reling vnitřní zásuvky, šedý</v>
      </c>
      <c r="B199" s="76" t="str">
        <f t="shared" ref="B199" si="225">IF($C$2=1,M199,IF($C$2=2,M200,IF($C$2=3,M201, IF($C$2=4, M202, "  chyba"))))</f>
        <v xml:space="preserve">ZRG.1046Z </v>
      </c>
      <c r="C199" s="76" t="str">
        <f t="shared" ref="C199" si="226">IF($C$2=1,N199,IF($C$2=2,N200,IF($C$2=3,N201, IF($C$2=4, N202, "  chyba"))))</f>
        <v>R906</v>
      </c>
      <c r="D199" s="172">
        <f t="shared" ref="D199" si="227">IF($C$2=1,O199,IF($C$2=2,O200,IF($C$2=3,O201, IF($C$2=4, O202, "  chyba"))))</f>
        <v>0</v>
      </c>
      <c r="E199" s="77">
        <f t="shared" ref="E199" si="228">IF($C$2=1,P199,IF($C$2=2,P200,IF($C$2=3,P201, IF($C$2=4, P202, "  chyba"))))</f>
        <v>0</v>
      </c>
      <c r="F199" s="78">
        <f>IF($C$2=1,Q199,IF($C$2=2,Q200,IF($C$2=3,Q201, IF($C$2=4, Q202, "  chyba"))))*(100-$F$6)/100</f>
        <v>6.6514599999999993</v>
      </c>
      <c r="G199" s="50"/>
      <c r="H199" s="50"/>
      <c r="I199" s="172">
        <f t="shared" ref="I199" si="229">IF($C$2=1,T199,IF($C$2=2,T200,IF($C$2=3,T201, IF($C$2=4, T202, "  chyba"))))</f>
        <v>8473390</v>
      </c>
      <c r="J199" s="172">
        <f t="shared" ref="J199" si="230">IF($C$2=1,U199,IF($C$2=2,U200,IF($C$2=3,U201, IF($C$2=4, U202, "  chyba"))))</f>
        <v>205758</v>
      </c>
      <c r="K199" s="48"/>
      <c r="L199" s="46" t="str">
        <f>Price!A199</f>
        <v>Příčný reling vnitřní zásuvky, šedý</v>
      </c>
      <c r="M199" s="15" t="str">
        <f>Price!B199</f>
        <v xml:space="preserve">ZRG.1046Z </v>
      </c>
      <c r="N199" s="15" t="str">
        <f>Price!C199</f>
        <v>R906</v>
      </c>
      <c r="O199" s="472">
        <f>Price!D199</f>
        <v>0</v>
      </c>
      <c r="P199" s="15">
        <f>Price!E199</f>
        <v>0</v>
      </c>
      <c r="Q199" s="17">
        <f>Price!F199</f>
        <v>6.6514600000000002</v>
      </c>
      <c r="R199" s="171"/>
      <c r="S199" s="171"/>
      <c r="T199" s="12">
        <f>Price!G199</f>
        <v>8473390</v>
      </c>
      <c r="U199" s="12">
        <f>Price!H199</f>
        <v>205758</v>
      </c>
      <c r="V199" s="13"/>
      <c r="W199" s="13"/>
      <c r="X199" s="19"/>
      <c r="Y199" s="19"/>
    </row>
    <row r="200" spans="1:25" x14ac:dyDescent="0.35">
      <c r="A200" s="43"/>
      <c r="B200" s="162"/>
      <c r="C200" s="162"/>
      <c r="D200" s="162"/>
      <c r="E200" s="69"/>
      <c r="F200" s="50"/>
      <c r="G200" s="50"/>
      <c r="H200" s="50"/>
      <c r="I200" s="175"/>
      <c r="J200" s="175"/>
      <c r="K200" s="48"/>
      <c r="L200" s="46" t="str">
        <f>Price!A200</f>
        <v>Příčný reling vnitřní zásuvky, hedvábně bílý</v>
      </c>
      <c r="M200" s="15" t="str">
        <f>Price!B200</f>
        <v xml:space="preserve">ZRG.1046Z </v>
      </c>
      <c r="N200" s="15" t="str">
        <f>Price!C200</f>
        <v>SEIW</v>
      </c>
      <c r="O200" s="472">
        <f>Price!D200</f>
        <v>0</v>
      </c>
      <c r="P200" s="15">
        <f>Price!E200</f>
        <v>0</v>
      </c>
      <c r="Q200" s="17">
        <f>Price!F200</f>
        <v>6.7215100000000003</v>
      </c>
      <c r="R200" s="171"/>
      <c r="S200" s="171"/>
      <c r="T200" s="12">
        <f>Price!G200</f>
        <v>8473392</v>
      </c>
      <c r="U200" s="12" t="str">
        <f>Price!H200</f>
        <v>IN115B</v>
      </c>
      <c r="V200" s="13"/>
      <c r="W200" s="13"/>
      <c r="X200" s="19"/>
      <c r="Y200" s="19"/>
    </row>
    <row r="201" spans="1:25" x14ac:dyDescent="0.35">
      <c r="A201" s="43"/>
      <c r="B201" s="161"/>
      <c r="C201" s="161"/>
      <c r="D201" s="161"/>
      <c r="E201" s="69"/>
      <c r="F201" s="50"/>
      <c r="G201" s="50"/>
      <c r="H201" s="50"/>
      <c r="I201" s="176"/>
      <c r="J201" s="176"/>
      <c r="K201" s="48"/>
      <c r="L201" s="46" t="str">
        <f>Price!A201</f>
        <v>Příčný reling vnitřní zásuvky, černý Terra</v>
      </c>
      <c r="M201" s="15" t="str">
        <f>Price!B201</f>
        <v xml:space="preserve">ZRG.1046Z </v>
      </c>
      <c r="N201" s="15" t="str">
        <f>Price!C201</f>
        <v>TERS</v>
      </c>
      <c r="O201" s="472">
        <f>Price!D201</f>
        <v>0</v>
      </c>
      <c r="P201" s="15">
        <f>Price!E201</f>
        <v>0</v>
      </c>
      <c r="Q201" s="17">
        <f>Price!F201</f>
        <v>6.7215100000000003</v>
      </c>
      <c r="R201" s="171"/>
      <c r="S201" s="171"/>
      <c r="T201" s="12">
        <f>Price!G201</f>
        <v>8473394</v>
      </c>
      <c r="U201" s="12" t="str">
        <f>Price!H201</f>
        <v>IN115C</v>
      </c>
      <c r="V201" s="13"/>
      <c r="W201" s="13"/>
      <c r="X201" s="19"/>
      <c r="Y201" s="19"/>
    </row>
    <row r="202" spans="1:25" x14ac:dyDescent="0.35">
      <c r="A202" s="43"/>
      <c r="B202" s="162"/>
      <c r="C202" s="162"/>
      <c r="D202" s="162"/>
      <c r="E202" s="69"/>
      <c r="F202" s="50"/>
      <c r="G202" s="50"/>
      <c r="H202" s="50"/>
      <c r="I202" s="175"/>
      <c r="J202" s="175"/>
      <c r="K202" s="20"/>
      <c r="L202" s="46" t="str">
        <f>Price!A202</f>
        <v>Příčný reling vnitřní zásuvky, niklovaný matný</v>
      </c>
      <c r="M202" s="15" t="str">
        <f>Price!B202</f>
        <v xml:space="preserve">ZRG.1046Z </v>
      </c>
      <c r="N202" s="15" t="str">
        <f>Price!C202</f>
        <v>NI-M</v>
      </c>
      <c r="O202" s="472" t="str">
        <f>Price!D202</f>
        <v>!</v>
      </c>
      <c r="P202" s="15">
        <f>Price!E202</f>
        <v>0</v>
      </c>
      <c r="Q202" s="17">
        <f>Price!F202</f>
        <v>20.730070000000001</v>
      </c>
      <c r="R202" s="171"/>
      <c r="S202" s="171"/>
      <c r="T202" s="12">
        <f>Price!G202</f>
        <v>9051133</v>
      </c>
      <c r="U202" s="12" t="str">
        <f>Price!H202</f>
        <v>IN115N</v>
      </c>
      <c r="V202" s="13"/>
      <c r="W202" s="13"/>
      <c r="X202" s="19"/>
      <c r="Y202" s="19"/>
    </row>
    <row r="203" spans="1:25" x14ac:dyDescent="0.35">
      <c r="A203" s="43"/>
      <c r="B203" s="162"/>
      <c r="C203" s="162"/>
      <c r="D203" s="162"/>
      <c r="E203" s="69"/>
      <c r="F203" s="50"/>
      <c r="G203" s="50"/>
      <c r="H203" s="50"/>
      <c r="I203" s="175"/>
      <c r="J203" s="175"/>
      <c r="K203" s="20"/>
      <c r="L203" s="46"/>
      <c r="M203" s="15"/>
      <c r="N203" s="15"/>
      <c r="O203" s="472"/>
      <c r="P203" s="15"/>
      <c r="Q203" s="17"/>
      <c r="R203" s="171"/>
      <c r="S203" s="171"/>
      <c r="T203" s="12"/>
      <c r="U203" s="12"/>
      <c r="V203" s="13"/>
      <c r="W203" s="13"/>
      <c r="X203" s="19"/>
      <c r="Y203" s="19"/>
    </row>
    <row r="204" spans="1:25" ht="15" thickBot="1" x14ac:dyDescent="0.4">
      <c r="A204" s="75" t="str">
        <f>IF($C$2=1,L204,IF($C$2=2,L205,IF($C$2=3,L206, IF($C$2=4, L207, "  chyba"))))</f>
        <v>Úchytka pro vnirřní zásuvku, bílošedá</v>
      </c>
      <c r="B204" s="76" t="str">
        <f t="shared" ref="B204" si="231">IF($C$2=1,M204,IF($C$2=2,M205,IF($C$2=3,M206, IF($C$2=4, M207, "  chyba"))))</f>
        <v>ZIF.80M5</v>
      </c>
      <c r="C204" s="76" t="str">
        <f t="shared" ref="C204" si="232">IF($C$2=1,N204,IF($C$2=2,N205,IF($C$2=3,N206, IF($C$2=4, N207, "  chyba"))))</f>
        <v>WGR</v>
      </c>
      <c r="D204" s="172">
        <f t="shared" ref="D204" si="233">IF($C$2=1,O204,IF($C$2=2,O205,IF($C$2=3,O206, IF($C$2=4, O207, "  chyba"))))</f>
        <v>0</v>
      </c>
      <c r="E204" s="77">
        <f t="shared" ref="E204" si="234">IF($C$2=1,P204,IF($C$2=2,P205,IF($C$2=3,P206, IF($C$2=4, P207, "  chyba"))))</f>
        <v>0</v>
      </c>
      <c r="F204" s="78">
        <f>IF($C$2=1,Q204,IF($C$2=2,Q205,IF($C$2=3,Q206, IF($C$2=4, Q207, "  chyba"))))*(100-$F$6)/100</f>
        <v>4.0720000000000001</v>
      </c>
      <c r="G204" s="50"/>
      <c r="H204" s="50"/>
      <c r="I204" s="172">
        <f t="shared" ref="I204" si="235">IF($C$2=1,T204,IF($C$2=2,T205,IF($C$2=3,T206, IF($C$2=4, T207, "  chyba"))))</f>
        <v>4276837</v>
      </c>
      <c r="J204" s="172">
        <f t="shared" ref="J204" si="236">IF($C$2=1,U204,IF($C$2=2,U205,IF($C$2=3,U206, IF($C$2=4, U207, "  chyba"))))</f>
        <v>202567</v>
      </c>
      <c r="K204" s="20"/>
      <c r="L204" s="46" t="str">
        <f>Price!A204</f>
        <v>Úchytka pro vnirřní zásuvku, bílošedá</v>
      </c>
      <c r="M204" s="15" t="str">
        <f>Price!B204</f>
        <v>ZIF.80M5</v>
      </c>
      <c r="N204" s="15" t="str">
        <f>Price!C204</f>
        <v>WGR</v>
      </c>
      <c r="O204" s="472">
        <f>Price!D204</f>
        <v>0</v>
      </c>
      <c r="P204" s="15">
        <f>Price!E204</f>
        <v>0</v>
      </c>
      <c r="Q204" s="17">
        <f>Price!F204</f>
        <v>4.0720000000000001</v>
      </c>
      <c r="R204" s="171"/>
      <c r="S204" s="171"/>
      <c r="T204" s="12">
        <f>Price!G204</f>
        <v>4276837</v>
      </c>
      <c r="U204" s="12">
        <f>Price!H204</f>
        <v>202567</v>
      </c>
      <c r="V204" s="13"/>
      <c r="X204" s="19"/>
      <c r="Y204" s="19"/>
    </row>
    <row r="205" spans="1:25" x14ac:dyDescent="0.35">
      <c r="A205" s="65"/>
      <c r="B205" s="162"/>
      <c r="C205" s="162"/>
      <c r="D205" s="162"/>
      <c r="E205" s="64"/>
      <c r="F205" s="52"/>
      <c r="G205" s="52"/>
      <c r="H205" s="52"/>
      <c r="I205" s="175"/>
      <c r="J205" s="175"/>
      <c r="K205" s="47"/>
      <c r="L205" s="46" t="str">
        <f>Price!A205</f>
        <v>Úchytka pro vnirřní zásuvku, hedvábně bílá</v>
      </c>
      <c r="M205" s="15" t="str">
        <f>Price!B205</f>
        <v>ZIF.80M5</v>
      </c>
      <c r="N205" s="15" t="str">
        <f>Price!C205</f>
        <v>SEIW</v>
      </c>
      <c r="O205" s="472">
        <f>Price!D205</f>
        <v>0</v>
      </c>
      <c r="P205" s="15">
        <f>Price!E205</f>
        <v>0</v>
      </c>
      <c r="Q205" s="17">
        <f>Price!F205</f>
        <v>4.0720000000000001</v>
      </c>
      <c r="R205" s="171"/>
      <c r="S205" s="171"/>
      <c r="T205" s="12">
        <f>Price!G205</f>
        <v>8611682</v>
      </c>
      <c r="U205" s="12" t="str">
        <f>Price!H205</f>
        <v>IN609B</v>
      </c>
      <c r="V205" s="13"/>
      <c r="X205" s="19"/>
      <c r="Y205" s="19"/>
    </row>
    <row r="206" spans="1:25" x14ac:dyDescent="0.35">
      <c r="A206" s="43"/>
      <c r="B206" s="161"/>
      <c r="C206" s="161"/>
      <c r="D206" s="161"/>
      <c r="E206" s="69"/>
      <c r="F206" s="50"/>
      <c r="G206" s="50"/>
      <c r="H206" s="50"/>
      <c r="I206" s="176"/>
      <c r="J206" s="176"/>
      <c r="K206" s="48"/>
      <c r="L206" s="46" t="str">
        <f>Price!A206</f>
        <v>Úchytka pro vnirřní zásuvku, černá</v>
      </c>
      <c r="M206" s="15" t="str">
        <f>Price!B206</f>
        <v>ZIF.80M5</v>
      </c>
      <c r="N206" s="15" t="str">
        <f>Price!C206</f>
        <v>S</v>
      </c>
      <c r="O206" s="472">
        <f>Price!D206</f>
        <v>0</v>
      </c>
      <c r="P206" s="15">
        <f>Price!E206</f>
        <v>0</v>
      </c>
      <c r="Q206" s="17">
        <f>Price!F206</f>
        <v>4.0720000000000001</v>
      </c>
      <c r="R206" s="171"/>
      <c r="S206" s="171"/>
      <c r="T206" s="12">
        <f>Price!G206</f>
        <v>8611684</v>
      </c>
      <c r="U206" s="12" t="str">
        <f>Price!H206</f>
        <v>IN609C</v>
      </c>
      <c r="V206" s="13"/>
      <c r="X206" s="19"/>
      <c r="Y206" s="19"/>
    </row>
    <row r="207" spans="1:25" x14ac:dyDescent="0.35">
      <c r="A207" s="43"/>
      <c r="B207" s="161"/>
      <c r="C207" s="161"/>
      <c r="D207" s="161"/>
      <c r="E207" s="69"/>
      <c r="F207" s="50"/>
      <c r="G207" s="50"/>
      <c r="H207" s="50"/>
      <c r="I207" s="176"/>
      <c r="J207" s="176"/>
      <c r="K207" s="48"/>
      <c r="L207" s="46" t="str">
        <f>Price!A207</f>
        <v>Úchytka pro vnirřní zásuvku, prachově šedá</v>
      </c>
      <c r="M207" s="15" t="str">
        <f>Price!B207</f>
        <v>ZIF.80M5</v>
      </c>
      <c r="N207" s="15" t="str">
        <f>Price!C207</f>
        <v>R737</v>
      </c>
      <c r="O207" s="472">
        <f>Price!D207</f>
        <v>0</v>
      </c>
      <c r="P207" s="15">
        <f>Price!E207</f>
        <v>0</v>
      </c>
      <c r="Q207" s="17">
        <f>Price!F207</f>
        <v>4.0720000000000001</v>
      </c>
      <c r="R207" s="171"/>
      <c r="S207" s="171"/>
      <c r="T207" s="12">
        <f>Price!G207</f>
        <v>8611680</v>
      </c>
      <c r="U207" s="12">
        <f>Price!H207</f>
        <v>202568</v>
      </c>
      <c r="V207" s="13"/>
      <c r="X207" s="19"/>
      <c r="Y207" s="19"/>
    </row>
    <row r="208" spans="1:25" ht="15" thickBot="1" x14ac:dyDescent="0.4">
      <c r="A208" s="75" t="str">
        <f>IF($C$2=1,L208,IF($C$2=2,L209,IF($C$2=3,L210, IF($C$2=4, L211, "  chyba"))))</f>
        <v>Úchytka a unašeč pro vnirřní zásuvku, bílošedá</v>
      </c>
      <c r="B208" s="76" t="str">
        <f t="shared" ref="B208" si="237">IF($C$2=1,M208,IF($C$2=2,M209,IF($C$2=3,M210, IF($C$2=4, M211, "  chyba"))))</f>
        <v>ZIF.80M7</v>
      </c>
      <c r="C208" s="76" t="str">
        <f t="shared" ref="C208" si="238">IF($C$2=1,N208,IF($C$2=2,N209,IF($C$2=3,N210, IF($C$2=4, N211, "  chyba"))))</f>
        <v>WGR</v>
      </c>
      <c r="D208" s="172">
        <f t="shared" ref="D208" si="239">IF($C$2=1,O208,IF($C$2=2,O209,IF($C$2=3,O210, IF($C$2=4, O211, "  chyba"))))</f>
        <v>0</v>
      </c>
      <c r="E208" s="77">
        <f t="shared" ref="E208" si="240">IF($C$2=1,P208,IF($C$2=2,P209,IF($C$2=3,P210, IF($C$2=4, P211, "  chyba"))))</f>
        <v>0</v>
      </c>
      <c r="F208" s="78">
        <f>IF($C$2=1,Q208,IF($C$2=2,Q209,IF($C$2=3,Q210, IF($C$2=4, Q211, "  chyba"))))*(100-$F$6)/100</f>
        <v>6.2968700000000002</v>
      </c>
      <c r="G208" s="50"/>
      <c r="H208" s="50"/>
      <c r="I208" s="172">
        <f t="shared" ref="I208" si="241">IF($C$2=1,T208,IF($C$2=2,T209,IF($C$2=3,T210, IF($C$2=4, T211, "  chyba"))))</f>
        <v>3350802</v>
      </c>
      <c r="J208" s="172">
        <f t="shared" ref="J208" si="242">IF($C$2=1,U208,IF($C$2=2,U209,IF($C$2=3,U210, IF($C$2=4, U211, "  chyba"))))</f>
        <v>202569</v>
      </c>
      <c r="K208" s="48"/>
      <c r="L208" s="46" t="str">
        <f>Price!A208</f>
        <v>Úchytka a unašeč pro vnirřní zásuvku, bílošedá</v>
      </c>
      <c r="M208" s="15" t="str">
        <f>Price!B208</f>
        <v>ZIF.80M7</v>
      </c>
      <c r="N208" s="15" t="str">
        <f>Price!C208</f>
        <v>WGR</v>
      </c>
      <c r="O208" s="472">
        <f>Price!D208</f>
        <v>0</v>
      </c>
      <c r="P208" s="15">
        <f>Price!E208</f>
        <v>0</v>
      </c>
      <c r="Q208" s="17">
        <f>Price!F208</f>
        <v>6.2968700000000002</v>
      </c>
      <c r="R208" s="171"/>
      <c r="S208" s="171"/>
      <c r="T208" s="12">
        <f>Price!G208</f>
        <v>3350802</v>
      </c>
      <c r="U208" s="12">
        <f>Price!H208</f>
        <v>202569</v>
      </c>
      <c r="V208" s="13"/>
      <c r="X208" s="19"/>
      <c r="Y208" s="19"/>
    </row>
    <row r="209" spans="1:25" x14ac:dyDescent="0.35">
      <c r="A209" s="43"/>
      <c r="B209" s="162"/>
      <c r="C209" s="162"/>
      <c r="D209" s="162"/>
      <c r="E209" s="69"/>
      <c r="F209" s="50"/>
      <c r="G209" s="50"/>
      <c r="H209" s="50"/>
      <c r="I209" s="175"/>
      <c r="J209" s="175"/>
      <c r="K209" s="48"/>
      <c r="L209" s="46" t="str">
        <f>Price!A209</f>
        <v>Úchytka a unašeč pro vnirřní zásuvku, hedvábně bílá</v>
      </c>
      <c r="M209" s="15" t="str">
        <f>Price!B209</f>
        <v>ZIF.80M7</v>
      </c>
      <c r="N209" s="15" t="str">
        <f>Price!C209</f>
        <v>SEIW</v>
      </c>
      <c r="O209" s="472">
        <f>Price!D209</f>
        <v>0</v>
      </c>
      <c r="P209" s="15">
        <f>Price!E209</f>
        <v>0</v>
      </c>
      <c r="Q209" s="17">
        <f>Price!F209</f>
        <v>6.2968700000000002</v>
      </c>
      <c r="R209" s="171"/>
      <c r="S209" s="171"/>
      <c r="T209" s="12">
        <f>Price!G209</f>
        <v>8610692</v>
      </c>
      <c r="U209" s="12" t="str">
        <f>Price!H209</f>
        <v>IN610B</v>
      </c>
      <c r="V209" s="13"/>
      <c r="W209" s="13"/>
      <c r="X209" s="19"/>
      <c r="Y209" s="19"/>
    </row>
    <row r="210" spans="1:25" x14ac:dyDescent="0.35">
      <c r="A210" s="43"/>
      <c r="B210" s="161"/>
      <c r="C210" s="161"/>
      <c r="D210" s="161"/>
      <c r="E210" s="69"/>
      <c r="F210" s="50"/>
      <c r="G210" s="50"/>
      <c r="H210" s="50"/>
      <c r="I210" s="176"/>
      <c r="J210" s="176"/>
      <c r="K210" s="20"/>
      <c r="L210" s="46" t="str">
        <f>Price!A210</f>
        <v>Úchytka a unašeč pro vnirřní zásuvku, černá</v>
      </c>
      <c r="M210" s="15" t="str">
        <f>Price!B210</f>
        <v>ZIF.80M7</v>
      </c>
      <c r="N210" s="15" t="str">
        <f>Price!C210</f>
        <v>S</v>
      </c>
      <c r="O210" s="472">
        <f>Price!D210</f>
        <v>0</v>
      </c>
      <c r="P210" s="15">
        <f>Price!E210</f>
        <v>0</v>
      </c>
      <c r="Q210" s="17">
        <f>Price!F210</f>
        <v>6.2968700000000002</v>
      </c>
      <c r="R210" s="171"/>
      <c r="S210" s="171"/>
      <c r="T210" s="12">
        <f>Price!G210</f>
        <v>8610694</v>
      </c>
      <c r="U210" s="12" t="str">
        <f>Price!H210</f>
        <v>IN610C</v>
      </c>
      <c r="V210" s="13"/>
      <c r="W210" s="13"/>
      <c r="X210" s="19"/>
      <c r="Y210" s="19"/>
    </row>
    <row r="211" spans="1:25" x14ac:dyDescent="0.35">
      <c r="A211" s="43"/>
      <c r="B211" s="162"/>
      <c r="C211" s="162"/>
      <c r="D211" s="162"/>
      <c r="E211" s="69"/>
      <c r="F211" s="70"/>
      <c r="G211" s="70"/>
      <c r="H211" s="70"/>
      <c r="I211" s="175"/>
      <c r="J211" s="175"/>
      <c r="K211" s="20"/>
      <c r="L211" s="46" t="str">
        <f>Price!A211</f>
        <v>Úchytka a unašeč pro vnirřní zásuvku, prach.šedá</v>
      </c>
      <c r="M211" s="15" t="str">
        <f>Price!B211</f>
        <v>ZIF.80M7</v>
      </c>
      <c r="N211" s="15" t="str">
        <f>Price!C211</f>
        <v>R737</v>
      </c>
      <c r="O211" s="472">
        <f>Price!D211</f>
        <v>0</v>
      </c>
      <c r="P211" s="15">
        <f>Price!E211</f>
        <v>0</v>
      </c>
      <c r="Q211" s="17">
        <f>Price!F211</f>
        <v>6.2968700000000002</v>
      </c>
      <c r="R211" s="171"/>
      <c r="S211" s="171"/>
      <c r="T211" s="12">
        <f>Price!G211</f>
        <v>8610690</v>
      </c>
      <c r="U211" s="12">
        <f>Price!H211</f>
        <v>202569</v>
      </c>
      <c r="V211" s="13"/>
      <c r="W211" s="13"/>
      <c r="X211" s="19"/>
      <c r="Y211" s="19"/>
    </row>
    <row r="212" spans="1:25" x14ac:dyDescent="0.35">
      <c r="A212" s="65"/>
      <c r="B212" s="161"/>
      <c r="C212" s="161"/>
      <c r="D212" s="161"/>
      <c r="E212" s="64"/>
      <c r="F212" s="52"/>
      <c r="G212" s="52"/>
      <c r="H212" s="52"/>
      <c r="I212" s="176"/>
      <c r="J212" s="176"/>
      <c r="K212" s="47"/>
      <c r="L212" s="46">
        <f>Price!A212</f>
        <v>0</v>
      </c>
      <c r="M212" s="15">
        <f>Price!B212</f>
        <v>0</v>
      </c>
      <c r="N212" s="15">
        <f>Price!C212</f>
        <v>0</v>
      </c>
      <c r="O212" s="472">
        <f>Price!D212</f>
        <v>0</v>
      </c>
      <c r="P212" s="15">
        <f>Price!E212</f>
        <v>0</v>
      </c>
      <c r="Q212" s="17">
        <f>Price!F212</f>
        <v>0</v>
      </c>
      <c r="R212" s="171"/>
      <c r="S212" s="171"/>
      <c r="T212" s="12">
        <f>Price!G212</f>
        <v>0</v>
      </c>
      <c r="U212" s="12">
        <f>Price!H212</f>
        <v>0</v>
      </c>
      <c r="V212" s="13"/>
      <c r="W212" s="13"/>
      <c r="X212" s="19"/>
      <c r="Y212" s="19"/>
    </row>
    <row r="213" spans="1:25" x14ac:dyDescent="0.35">
      <c r="A213" s="43"/>
      <c r="B213" s="162"/>
      <c r="C213" s="162"/>
      <c r="D213" s="162"/>
      <c r="E213" s="69"/>
      <c r="F213" s="70"/>
      <c r="G213" s="70"/>
      <c r="H213" s="70"/>
      <c r="I213" s="175"/>
      <c r="J213" s="175"/>
      <c r="K213" s="20"/>
      <c r="L213" s="46">
        <f>Price!A213</f>
        <v>0</v>
      </c>
      <c r="M213" s="15">
        <f>Price!B213</f>
        <v>0</v>
      </c>
      <c r="N213" s="15">
        <f>Price!C213</f>
        <v>0</v>
      </c>
      <c r="O213" s="472">
        <f>Price!D213</f>
        <v>0</v>
      </c>
      <c r="P213" s="15">
        <f>Price!E213</f>
        <v>0</v>
      </c>
      <c r="Q213" s="17">
        <f>Price!F213</f>
        <v>0</v>
      </c>
      <c r="R213" s="171"/>
      <c r="S213" s="171"/>
      <c r="T213" s="12">
        <f>Price!G213</f>
        <v>0</v>
      </c>
      <c r="U213" s="12">
        <f>Price!H213</f>
        <v>0</v>
      </c>
      <c r="V213" s="13"/>
      <c r="W213" s="13"/>
      <c r="X213" s="19"/>
      <c r="Y213" s="19"/>
    </row>
    <row r="214" spans="1:25" x14ac:dyDescent="0.35">
      <c r="A214" s="43"/>
      <c r="B214" s="161"/>
      <c r="C214" s="161"/>
      <c r="D214" s="161"/>
      <c r="E214" s="69"/>
      <c r="F214" s="70"/>
      <c r="G214" s="70"/>
      <c r="H214" s="70"/>
      <c r="I214" s="176"/>
      <c r="J214" s="176"/>
      <c r="K214" s="20"/>
      <c r="L214" s="46" t="str">
        <f>Price!A214</f>
        <v xml:space="preserve">   Relingy</v>
      </c>
      <c r="M214" s="15">
        <f>Price!B214</f>
        <v>0</v>
      </c>
      <c r="N214" s="15">
        <f>Price!C214</f>
        <v>0</v>
      </c>
      <c r="O214" s="472">
        <f>Price!D214</f>
        <v>0</v>
      </c>
      <c r="P214" s="15">
        <f>Price!E214</f>
        <v>0</v>
      </c>
      <c r="Q214" s="17">
        <f>Price!F214</f>
        <v>0</v>
      </c>
      <c r="R214" s="171"/>
      <c r="S214" s="171"/>
      <c r="T214" s="12">
        <f>Price!G214</f>
        <v>0</v>
      </c>
      <c r="U214" s="12">
        <f>Price!H214</f>
        <v>0</v>
      </c>
      <c r="V214" s="13"/>
      <c r="W214" s="13"/>
      <c r="X214" s="19"/>
      <c r="Y214" s="19"/>
    </row>
    <row r="215" spans="1:25" ht="15" thickBot="1" x14ac:dyDescent="0.4">
      <c r="A215" s="75" t="str">
        <f>IF($C$2=1,L215,IF($C$2=2,L216,IF($C$2=3,L217, IF($C$2=4, L218, "  chyba"))))</f>
        <v>Podélný reling vlevo/vpravo, 270mm, šedý</v>
      </c>
      <c r="B215" s="76" t="str">
        <f t="shared" ref="B215" si="243">IF($C$2=1,M215,IF($C$2=2,M216,IF($C$2=3,M217, IF($C$2=4, M218, "  chyba"))))</f>
        <v>ZRG.207RSIC</v>
      </c>
      <c r="C215" s="76" t="str">
        <f t="shared" ref="C215" si="244">IF($C$2=1,N215,IF($C$2=2,N216,IF($C$2=3,N217, IF($C$2=4, N218, "  chyba"))))</f>
        <v>R906</v>
      </c>
      <c r="D215" s="172">
        <f t="shared" ref="D215" si="245">IF($C$2=1,O215,IF($C$2=2,O216,IF($C$2=3,O217, IF($C$2=4, O218, "  chyba"))))</f>
        <v>0</v>
      </c>
      <c r="E215" s="77">
        <f t="shared" ref="E215" si="246">IF($C$2=1,P215,IF($C$2=2,P216,IF($C$2=3,P217, IF($C$2=4, P218, "  chyba"))))</f>
        <v>0</v>
      </c>
      <c r="F215" s="78">
        <f>IF($C$2=1,Q215,IF($C$2=2,Q216,IF($C$2=3,Q217, IF($C$2=4, Q218, "  chyba"))))*(100-$F$6)/100</f>
        <v>6.5190299999999999</v>
      </c>
      <c r="G215" s="50"/>
      <c r="H215" s="50"/>
      <c r="I215" s="172">
        <f t="shared" ref="I215" si="247">IF($C$2=1,T215,IF($C$2=2,T216,IF($C$2=3,T217, IF($C$2=4, T218, "  chyba"))))</f>
        <v>1472243</v>
      </c>
      <c r="J215" s="172">
        <f t="shared" ref="J215" si="248">IF($C$2=1,U215,IF($C$2=2,U216,IF($C$2=3,U217, IF($C$2=4, U218, "  chyba"))))</f>
        <v>202514</v>
      </c>
      <c r="K215" s="20"/>
      <c r="L215" s="46" t="str">
        <f>Price!A215</f>
        <v>Podélný reling vlevo/vpravo, 270mm, šedý</v>
      </c>
      <c r="M215" s="15" t="str">
        <f>Price!B215</f>
        <v>ZRG.207RSIC</v>
      </c>
      <c r="N215" s="15" t="str">
        <f>Price!C215</f>
        <v>R906</v>
      </c>
      <c r="O215" s="472">
        <f>Price!D215</f>
        <v>0</v>
      </c>
      <c r="P215" s="15">
        <f>Price!E215</f>
        <v>0</v>
      </c>
      <c r="Q215" s="17">
        <f>Price!F215</f>
        <v>6.5190299999999999</v>
      </c>
      <c r="R215" s="171"/>
      <c r="S215" s="171"/>
      <c r="T215" s="12">
        <f>Price!G215</f>
        <v>1472243</v>
      </c>
      <c r="U215" s="12">
        <f>Price!H215</f>
        <v>202514</v>
      </c>
      <c r="V215" s="13"/>
      <c r="W215" s="13"/>
      <c r="X215" s="19"/>
      <c r="Y215" s="19"/>
    </row>
    <row r="216" spans="1:25" x14ac:dyDescent="0.35">
      <c r="A216" s="43"/>
      <c r="B216" s="161"/>
      <c r="C216" s="161"/>
      <c r="D216" s="161"/>
      <c r="E216" s="69"/>
      <c r="F216" s="70"/>
      <c r="G216" s="70"/>
      <c r="H216" s="70"/>
      <c r="I216" s="176"/>
      <c r="J216" s="176"/>
      <c r="K216" s="20"/>
      <c r="L216" s="46" t="str">
        <f>Price!A216</f>
        <v>Podélný reling vlevo/vpravo, 270mm, hedvábně bílý</v>
      </c>
      <c r="M216" s="15" t="str">
        <f>Price!B216</f>
        <v>ZRG.207RSIC</v>
      </c>
      <c r="N216" s="15" t="str">
        <f>Price!C216</f>
        <v>SEIW</v>
      </c>
      <c r="O216" s="472">
        <f>Price!D216</f>
        <v>0</v>
      </c>
      <c r="P216" s="15">
        <f>Price!E216</f>
        <v>0</v>
      </c>
      <c r="Q216" s="17">
        <f>Price!F216</f>
        <v>6.5190299999999999</v>
      </c>
      <c r="R216" s="171"/>
      <c r="S216" s="171"/>
      <c r="T216" s="12">
        <f>Price!G216</f>
        <v>6342943</v>
      </c>
      <c r="U216" s="12">
        <f>Price!H216</f>
        <v>202515</v>
      </c>
      <c r="V216" s="13"/>
      <c r="W216" s="13"/>
      <c r="X216" s="19"/>
      <c r="Y216" s="19"/>
    </row>
    <row r="217" spans="1:25" x14ac:dyDescent="0.35">
      <c r="A217" s="43"/>
      <c r="B217" s="161"/>
      <c r="C217" s="161"/>
      <c r="D217" s="161"/>
      <c r="E217" s="69"/>
      <c r="F217" s="70"/>
      <c r="G217" s="70"/>
      <c r="H217" s="70"/>
      <c r="I217" s="176"/>
      <c r="J217" s="176"/>
      <c r="K217" s="20"/>
      <c r="L217" s="46" t="str">
        <f>Price!A217</f>
        <v>Podélný reling vlevo/vpravo, 270mm, černý Terra</v>
      </c>
      <c r="M217" s="15" t="str">
        <f>Price!B217</f>
        <v>ZRG.207RSIC</v>
      </c>
      <c r="N217" s="15" t="str">
        <f>Price!C217</f>
        <v>TERS</v>
      </c>
      <c r="O217" s="472">
        <f>Price!D217</f>
        <v>0</v>
      </c>
      <c r="P217" s="15">
        <f>Price!E217</f>
        <v>0</v>
      </c>
      <c r="Q217" s="17">
        <f>Price!F217</f>
        <v>5.88917</v>
      </c>
      <c r="R217" s="171"/>
      <c r="S217" s="171"/>
      <c r="T217" s="12">
        <f>Price!G217</f>
        <v>8946618</v>
      </c>
      <c r="U217" s="12">
        <f>Price!H217</f>
        <v>202981</v>
      </c>
      <c r="V217" s="13"/>
      <c r="W217" s="13"/>
      <c r="X217" s="19"/>
      <c r="Y217" s="19"/>
    </row>
    <row r="218" spans="1:25" x14ac:dyDescent="0.35">
      <c r="A218" s="43"/>
      <c r="B218" s="161"/>
      <c r="C218" s="161"/>
      <c r="D218" s="161"/>
      <c r="E218" s="69"/>
      <c r="F218" s="70"/>
      <c r="G218" s="70"/>
      <c r="H218" s="70"/>
      <c r="I218" s="176"/>
      <c r="J218" s="176"/>
      <c r="K218" s="20"/>
      <c r="L218" s="46" t="str">
        <f>Price!A218</f>
        <v>Podélný reling vlevo/vpravo, 270mm, nerez (Inox)</v>
      </c>
      <c r="M218" s="15" t="str">
        <f>Price!B218</f>
        <v>ZRG.207RIIC</v>
      </c>
      <c r="N218" s="15" t="str">
        <f>Price!C218</f>
        <v>INGL</v>
      </c>
      <c r="O218" s="472" t="str">
        <f>Price!D218</f>
        <v>!</v>
      </c>
      <c r="P218" s="15">
        <f>Price!E218</f>
        <v>0</v>
      </c>
      <c r="Q218" s="17">
        <f>Price!F218</f>
        <v>12.311529999999999</v>
      </c>
      <c r="R218" s="171"/>
      <c r="S218" s="171"/>
      <c r="T218" s="12">
        <f>Price!G218</f>
        <v>8621208</v>
      </c>
      <c r="U218" s="12">
        <f>Price!H218</f>
        <v>203164</v>
      </c>
      <c r="V218" s="13"/>
      <c r="W218" s="13"/>
      <c r="X218" s="19"/>
      <c r="Y218" s="19"/>
    </row>
    <row r="219" spans="1:25" ht="15" thickBot="1" x14ac:dyDescent="0.4">
      <c r="A219" s="75" t="str">
        <f>IF($C$2=1,L219,IF($C$2=2,L220,IF($C$2=3,L221, IF($C$2=4, L222, "  chyba"))))</f>
        <v>Podélný reling vlevo/vpravo, 300mm, šedý</v>
      </c>
      <c r="B219" s="76" t="str">
        <f t="shared" ref="B219" si="249">IF($C$2=1,M219,IF($C$2=2,M220,IF($C$2=3,M221, IF($C$2=4, M222, "  chyba"))))</f>
        <v>ZRG.237RSIC</v>
      </c>
      <c r="C219" s="76" t="str">
        <f t="shared" ref="C219" si="250">IF($C$2=1,N219,IF($C$2=2,N220,IF($C$2=3,N221, IF($C$2=4, N222, "  chyba"))))</f>
        <v>R906</v>
      </c>
      <c r="D219" s="172">
        <f t="shared" ref="D219" si="251">IF($C$2=1,O219,IF($C$2=2,O220,IF($C$2=3,O221, IF($C$2=4, O222, "  chyba"))))</f>
        <v>0</v>
      </c>
      <c r="E219" s="77">
        <f t="shared" ref="E219" si="252">IF($C$2=1,P219,IF($C$2=2,P220,IF($C$2=3,P221, IF($C$2=4, P222, "  chyba"))))</f>
        <v>0</v>
      </c>
      <c r="F219" s="78">
        <f>IF($C$2=1,Q219,IF($C$2=2,Q220,IF($C$2=3,Q221, IF($C$2=4, Q222, "  chyba"))))*(100-$F$6)/100</f>
        <v>6.62744</v>
      </c>
      <c r="G219" s="50"/>
      <c r="H219" s="50"/>
      <c r="I219" s="172">
        <f t="shared" ref="I219" si="253">IF($C$2=1,T219,IF($C$2=2,T220,IF($C$2=3,T221, IF($C$2=4, T222, "  chyba"))))</f>
        <v>3083862</v>
      </c>
      <c r="J219" s="172">
        <f t="shared" ref="J219" si="254">IF($C$2=1,U219,IF($C$2=2,U220,IF($C$2=3,U221, IF($C$2=4, U222, "  chyba"))))</f>
        <v>202516</v>
      </c>
      <c r="K219" s="20"/>
      <c r="L219" s="46" t="str">
        <f>Price!A219</f>
        <v>Podélný reling vlevo/vpravo, 300mm, šedý</v>
      </c>
      <c r="M219" s="15" t="str">
        <f>Price!B219</f>
        <v>ZRG.237RSIC</v>
      </c>
      <c r="N219" s="15" t="str">
        <f>Price!C219</f>
        <v>R906</v>
      </c>
      <c r="O219" s="472">
        <f>Price!D219</f>
        <v>0</v>
      </c>
      <c r="P219" s="15">
        <f>Price!E219</f>
        <v>0</v>
      </c>
      <c r="Q219" s="17">
        <f>Price!F219</f>
        <v>6.62744</v>
      </c>
      <c r="R219" s="171"/>
      <c r="S219" s="171"/>
      <c r="T219" s="12">
        <f>Price!G219</f>
        <v>3083862</v>
      </c>
      <c r="U219" s="12">
        <f>Price!H219</f>
        <v>202516</v>
      </c>
      <c r="V219" s="13"/>
      <c r="W219" s="13"/>
      <c r="X219" s="19"/>
      <c r="Y219" s="19"/>
    </row>
    <row r="220" spans="1:25" x14ac:dyDescent="0.35">
      <c r="A220" s="43"/>
      <c r="B220" s="161"/>
      <c r="C220" s="161"/>
      <c r="D220" s="161"/>
      <c r="E220" s="69"/>
      <c r="F220" s="70"/>
      <c r="G220" s="70"/>
      <c r="H220" s="70"/>
      <c r="I220" s="176"/>
      <c r="J220" s="176"/>
      <c r="K220" s="20"/>
      <c r="L220" s="46" t="str">
        <f>Price!A220</f>
        <v>Podélný reling vlevo/vpravo, 300mm, hedvábně bílý</v>
      </c>
      <c r="M220" s="15" t="str">
        <f>Price!B220</f>
        <v>ZRG.237RSIC</v>
      </c>
      <c r="N220" s="15" t="str">
        <f>Price!C220</f>
        <v>SEIW</v>
      </c>
      <c r="O220" s="472">
        <f>Price!D220</f>
        <v>0</v>
      </c>
      <c r="P220" s="15">
        <f>Price!E220</f>
        <v>0</v>
      </c>
      <c r="Q220" s="17">
        <f>Price!F220</f>
        <v>6.62744</v>
      </c>
      <c r="R220" s="171"/>
      <c r="S220" s="171"/>
      <c r="T220" s="12">
        <f>Price!G220</f>
        <v>8198325</v>
      </c>
      <c r="U220" s="12">
        <f>Price!H220</f>
        <v>202517</v>
      </c>
      <c r="V220" s="13"/>
      <c r="W220" s="13"/>
      <c r="X220" s="19"/>
      <c r="Y220" s="19"/>
    </row>
    <row r="221" spans="1:25" x14ac:dyDescent="0.35">
      <c r="A221" s="43"/>
      <c r="B221" s="161"/>
      <c r="C221" s="161"/>
      <c r="D221" s="161"/>
      <c r="E221" s="69"/>
      <c r="F221" s="70"/>
      <c r="G221" s="70"/>
      <c r="H221" s="70"/>
      <c r="I221" s="176"/>
      <c r="J221" s="176"/>
      <c r="K221" s="20"/>
      <c r="L221" s="46" t="str">
        <f>Price!A221</f>
        <v>Podélný reling vlevo/vpravo, 300mm, černý Terra</v>
      </c>
      <c r="M221" s="15" t="str">
        <f>Price!B221</f>
        <v>ZRG.237RSIC</v>
      </c>
      <c r="N221" s="15" t="str">
        <f>Price!C221</f>
        <v>TERS</v>
      </c>
      <c r="O221" s="472">
        <f>Price!D221</f>
        <v>0</v>
      </c>
      <c r="P221" s="15">
        <f>Price!E221</f>
        <v>0</v>
      </c>
      <c r="Q221" s="17">
        <f>Price!F221</f>
        <v>5.9870999999999999</v>
      </c>
      <c r="R221" s="171"/>
      <c r="S221" s="171"/>
      <c r="T221" s="12">
        <f>Price!G221</f>
        <v>6443879</v>
      </c>
      <c r="U221" s="12">
        <f>Price!H221</f>
        <v>202982</v>
      </c>
      <c r="V221" s="13"/>
      <c r="W221" s="13"/>
      <c r="X221" s="19"/>
      <c r="Y221" s="19"/>
    </row>
    <row r="222" spans="1:25" x14ac:dyDescent="0.35">
      <c r="A222" s="43"/>
      <c r="B222" s="161"/>
      <c r="C222" s="161"/>
      <c r="D222" s="161"/>
      <c r="E222" s="69"/>
      <c r="F222" s="70"/>
      <c r="G222" s="70"/>
      <c r="H222" s="70"/>
      <c r="I222" s="176"/>
      <c r="J222" s="176"/>
      <c r="K222" s="20"/>
      <c r="L222" s="46" t="str">
        <f>Price!A222</f>
        <v>Podélný reling vlevo/vpravo, 300mm, nerez (Inox)</v>
      </c>
      <c r="M222" s="15" t="str">
        <f>Price!B222</f>
        <v>ZRG.237RIIC</v>
      </c>
      <c r="N222" s="15" t="str">
        <f>Price!C222</f>
        <v>INGL</v>
      </c>
      <c r="O222" s="472" t="str">
        <f>Price!D222</f>
        <v>!</v>
      </c>
      <c r="P222" s="15">
        <f>Price!E222</f>
        <v>0</v>
      </c>
      <c r="Q222" s="17">
        <f>Price!F222</f>
        <v>12.46852</v>
      </c>
      <c r="R222" s="171"/>
      <c r="S222" s="171"/>
      <c r="T222" s="12">
        <f>Price!G222</f>
        <v>4426159</v>
      </c>
      <c r="U222" s="12">
        <f>Price!H222</f>
        <v>203166</v>
      </c>
      <c r="V222" s="13"/>
      <c r="W222" s="13"/>
      <c r="X222" s="19"/>
      <c r="Y222" s="19"/>
    </row>
    <row r="223" spans="1:25" ht="15" thickBot="1" x14ac:dyDescent="0.4">
      <c r="A223" s="75" t="str">
        <f>IF($C$2=1,L223,IF($C$2=2,L224,IF($C$2=3,L225, IF($C$2=4, L226, "  chyba"))))</f>
        <v>Podélný reling vlevo/vpravo, 350mm, šedý</v>
      </c>
      <c r="B223" s="76" t="str">
        <f t="shared" ref="B223" si="255">IF($C$2=1,M223,IF($C$2=2,M224,IF($C$2=3,M225, IF($C$2=4, M226, "  chyba"))))</f>
        <v>ZRG.287RSIC</v>
      </c>
      <c r="C223" s="76" t="str">
        <f t="shared" ref="C223" si="256">IF($C$2=1,N223,IF($C$2=2,N224,IF($C$2=3,N225, IF($C$2=4, N226, "  chyba"))))</f>
        <v>R906</v>
      </c>
      <c r="D223" s="172">
        <f t="shared" ref="D223" si="257">IF($C$2=1,O223,IF($C$2=2,O224,IF($C$2=3,O225, IF($C$2=4, O226, "  chyba"))))</f>
        <v>0</v>
      </c>
      <c r="E223" s="77">
        <f t="shared" ref="E223" si="258">IF($C$2=1,P223,IF($C$2=2,P224,IF($C$2=3,P225, IF($C$2=4, P226, "  chyba"))))</f>
        <v>0</v>
      </c>
      <c r="F223" s="78">
        <f>IF($C$2=1,Q223,IF($C$2=2,Q224,IF($C$2=3,Q225, IF($C$2=4, Q226, "  chyba"))))*(100-$F$6)/100</f>
        <v>6.7358200000000004</v>
      </c>
      <c r="G223" s="50"/>
      <c r="H223" s="50"/>
      <c r="I223" s="172">
        <f t="shared" ref="I223" si="259">IF($C$2=1,T223,IF($C$2=2,T224,IF($C$2=3,T225, IF($C$2=4, T226, "  chyba"))))</f>
        <v>4262438</v>
      </c>
      <c r="J223" s="172">
        <f t="shared" ref="J223" si="260">IF($C$2=1,U223,IF($C$2=2,U224,IF($C$2=3,U225, IF($C$2=4, U226, "  chyba"))))</f>
        <v>202518</v>
      </c>
      <c r="K223" s="20"/>
      <c r="L223" s="46" t="str">
        <f>Price!A223</f>
        <v>Podélný reling vlevo/vpravo, 350mm, šedý</v>
      </c>
      <c r="M223" s="15" t="str">
        <f>Price!B223</f>
        <v>ZRG.287RSIC</v>
      </c>
      <c r="N223" s="15" t="str">
        <f>Price!C223</f>
        <v>R906</v>
      </c>
      <c r="O223" s="472">
        <f>Price!D223</f>
        <v>0</v>
      </c>
      <c r="P223" s="15">
        <f>Price!E223</f>
        <v>0</v>
      </c>
      <c r="Q223" s="17">
        <f>Price!F223</f>
        <v>6.7358200000000004</v>
      </c>
      <c r="R223" s="171"/>
      <c r="S223" s="171"/>
      <c r="T223" s="12">
        <f>Price!G223</f>
        <v>4262438</v>
      </c>
      <c r="U223" s="12">
        <f>Price!H223</f>
        <v>202518</v>
      </c>
      <c r="V223" s="13"/>
      <c r="W223" s="13"/>
      <c r="X223" s="19"/>
      <c r="Y223" s="19"/>
    </row>
    <row r="224" spans="1:25" x14ac:dyDescent="0.35">
      <c r="A224" s="43"/>
      <c r="B224" s="161"/>
      <c r="C224" s="161"/>
      <c r="D224" s="161"/>
      <c r="E224" s="69"/>
      <c r="F224" s="70"/>
      <c r="G224" s="70"/>
      <c r="H224" s="70"/>
      <c r="I224" s="176"/>
      <c r="J224" s="176"/>
      <c r="K224" s="20"/>
      <c r="L224" s="46" t="str">
        <f>Price!A224</f>
        <v>Podélný reling vlevo/vpravo, 350mm, hedvábně bílý</v>
      </c>
      <c r="M224" s="15" t="str">
        <f>Price!B224</f>
        <v>ZRG.287RSIC</v>
      </c>
      <c r="N224" s="15" t="str">
        <f>Price!C224</f>
        <v>SEIW</v>
      </c>
      <c r="O224" s="472">
        <f>Price!D224</f>
        <v>0</v>
      </c>
      <c r="P224" s="15">
        <f>Price!E224</f>
        <v>0</v>
      </c>
      <c r="Q224" s="17">
        <f>Price!F224</f>
        <v>6.7358200000000004</v>
      </c>
      <c r="R224" s="171"/>
      <c r="S224" s="171"/>
      <c r="T224" s="12">
        <f>Price!G224</f>
        <v>2290699</v>
      </c>
      <c r="U224" s="12">
        <f>Price!H224</f>
        <v>202519</v>
      </c>
      <c r="V224" s="13"/>
      <c r="W224" s="13"/>
      <c r="X224" s="19"/>
      <c r="Y224" s="19"/>
    </row>
    <row r="225" spans="1:25" x14ac:dyDescent="0.35">
      <c r="A225" s="43"/>
      <c r="B225" s="161"/>
      <c r="C225" s="161"/>
      <c r="D225" s="161"/>
      <c r="E225" s="69"/>
      <c r="F225" s="70"/>
      <c r="G225" s="70"/>
      <c r="H225" s="70"/>
      <c r="I225" s="176"/>
      <c r="J225" s="176"/>
      <c r="K225" s="20"/>
      <c r="L225" s="46" t="str">
        <f>Price!A225</f>
        <v>Podélný reling vlevo/vpravo, 350mm, černý Terra</v>
      </c>
      <c r="M225" s="15" t="str">
        <f>Price!B225</f>
        <v>ZRG.287RSIC</v>
      </c>
      <c r="N225" s="15" t="str">
        <f>Price!C225</f>
        <v>TERS</v>
      </c>
      <c r="O225" s="472">
        <f>Price!D225</f>
        <v>0</v>
      </c>
      <c r="P225" s="15">
        <f>Price!E225</f>
        <v>0</v>
      </c>
      <c r="Q225" s="17">
        <f>Price!F225</f>
        <v>6.0850200000000001</v>
      </c>
      <c r="R225" s="171"/>
      <c r="S225" s="171"/>
      <c r="T225" s="12">
        <f>Price!G225</f>
        <v>7596230</v>
      </c>
      <c r="U225" s="12">
        <f>Price!H225</f>
        <v>202983</v>
      </c>
      <c r="V225" s="13"/>
      <c r="W225" s="13"/>
      <c r="X225" s="19"/>
      <c r="Y225" s="19"/>
    </row>
    <row r="226" spans="1:25" x14ac:dyDescent="0.35">
      <c r="A226" s="43"/>
      <c r="B226" s="161"/>
      <c r="C226" s="161"/>
      <c r="D226" s="161"/>
      <c r="E226" s="69"/>
      <c r="F226" s="70"/>
      <c r="G226" s="70"/>
      <c r="H226" s="70"/>
      <c r="I226" s="176"/>
      <c r="J226" s="176"/>
      <c r="K226" s="20"/>
      <c r="L226" s="46" t="str">
        <f>Price!A226</f>
        <v>Podélný reling vlevo/vpravo, 350mm, nerez (Inox)</v>
      </c>
      <c r="M226" s="15" t="str">
        <f>Price!B226</f>
        <v>ZRG.287RIIC</v>
      </c>
      <c r="N226" s="15" t="str">
        <f>Price!C226</f>
        <v>INGL</v>
      </c>
      <c r="O226" s="472" t="str">
        <f>Price!D226</f>
        <v>!</v>
      </c>
      <c r="P226" s="15">
        <f>Price!E226</f>
        <v>0</v>
      </c>
      <c r="Q226" s="17">
        <f>Price!F226</f>
        <v>12.62571</v>
      </c>
      <c r="R226" s="171"/>
      <c r="S226" s="171"/>
      <c r="T226" s="12">
        <f>Price!G226</f>
        <v>2062875</v>
      </c>
      <c r="U226" s="12">
        <f>Price!H226</f>
        <v>203168</v>
      </c>
      <c r="V226" s="13"/>
      <c r="W226" s="13"/>
      <c r="X226" s="19"/>
      <c r="Y226" s="19"/>
    </row>
    <row r="227" spans="1:25" ht="15" thickBot="1" x14ac:dyDescent="0.4">
      <c r="A227" s="75" t="str">
        <f>IF($C$2=1,L227,IF($C$2=2,L228,IF($C$2=3,L229, IF($C$2=4, L230, "  chyba"))))</f>
        <v>Podélný reling vlevo/vpravo, 400mm, šedý</v>
      </c>
      <c r="B227" s="76" t="str">
        <f t="shared" ref="B227" si="261">IF($C$2=1,M227,IF($C$2=2,M228,IF($C$2=3,M229, IF($C$2=4, M230, "  chyba"))))</f>
        <v>ZRG.337RSIC</v>
      </c>
      <c r="C227" s="76" t="str">
        <f t="shared" ref="C227" si="262">IF($C$2=1,N227,IF($C$2=2,N228,IF($C$2=3,N229, IF($C$2=4, N230, "  chyba"))))</f>
        <v>R906</v>
      </c>
      <c r="D227" s="172">
        <f t="shared" ref="D227" si="263">IF($C$2=1,O227,IF($C$2=2,O228,IF($C$2=3,O229, IF($C$2=4, O230, "  chyba"))))</f>
        <v>0</v>
      </c>
      <c r="E227" s="77">
        <f t="shared" ref="E227" si="264">IF($C$2=1,P227,IF($C$2=2,P228,IF($C$2=3,P229, IF($C$2=4, P230, "  chyba"))))</f>
        <v>0</v>
      </c>
      <c r="F227" s="78">
        <f>IF($C$2=1,Q227,IF($C$2=2,Q228,IF($C$2=3,Q229, IF($C$2=4, Q230, "  chyba"))))*(100-$F$6)/100</f>
        <v>6.8442100000000003</v>
      </c>
      <c r="G227" s="50"/>
      <c r="H227" s="50"/>
      <c r="I227" s="172">
        <f t="shared" ref="I227" si="265">IF($C$2=1,T227,IF($C$2=2,T228,IF($C$2=3,T229, IF($C$2=4, T230, "  chyba"))))</f>
        <v>3741088</v>
      </c>
      <c r="J227" s="172">
        <f t="shared" ref="J227" si="266">IF($C$2=1,U227,IF($C$2=2,U228,IF($C$2=3,U229, IF($C$2=4, U230, "  chyba"))))</f>
        <v>202520</v>
      </c>
      <c r="K227" s="20"/>
      <c r="L227" s="46" t="str">
        <f>Price!A227</f>
        <v>Podélný reling vlevo/vpravo, 400mm, šedý</v>
      </c>
      <c r="M227" s="15" t="str">
        <f>Price!B227</f>
        <v>ZRG.337RSIC</v>
      </c>
      <c r="N227" s="15" t="str">
        <f>Price!C227</f>
        <v>R906</v>
      </c>
      <c r="O227" s="472">
        <f>Price!D227</f>
        <v>0</v>
      </c>
      <c r="P227" s="15">
        <f>Price!E227</f>
        <v>0</v>
      </c>
      <c r="Q227" s="17">
        <f>Price!F227</f>
        <v>6.8442100000000003</v>
      </c>
      <c r="R227" s="171"/>
      <c r="S227" s="171"/>
      <c r="T227" s="12">
        <f>Price!G227</f>
        <v>3741088</v>
      </c>
      <c r="U227" s="12">
        <f>Price!H227</f>
        <v>202520</v>
      </c>
      <c r="V227" s="13"/>
      <c r="W227" s="13"/>
      <c r="X227" s="19"/>
      <c r="Y227" s="19"/>
    </row>
    <row r="228" spans="1:25" x14ac:dyDescent="0.35">
      <c r="A228" s="43"/>
      <c r="B228" s="161"/>
      <c r="C228" s="161"/>
      <c r="D228" s="161"/>
      <c r="E228" s="69"/>
      <c r="F228" s="70"/>
      <c r="G228" s="70"/>
      <c r="H228" s="70"/>
      <c r="I228" s="176"/>
      <c r="J228" s="176"/>
      <c r="K228" s="20"/>
      <c r="L228" s="46" t="str">
        <f>Price!A228</f>
        <v>Podélný reling vlevo/vpravo, 400mm, hedvábně bílý</v>
      </c>
      <c r="M228" s="15" t="str">
        <f>Price!B228</f>
        <v>ZRG.337RSIC</v>
      </c>
      <c r="N228" s="15" t="str">
        <f>Price!C228</f>
        <v>SEIW</v>
      </c>
      <c r="O228" s="472">
        <f>Price!D228</f>
        <v>0</v>
      </c>
      <c r="P228" s="15">
        <f>Price!E228</f>
        <v>0</v>
      </c>
      <c r="Q228" s="17">
        <f>Price!F228</f>
        <v>6.8442100000000003</v>
      </c>
      <c r="R228" s="171"/>
      <c r="S228" s="171"/>
      <c r="T228" s="12">
        <f>Price!G228</f>
        <v>4191768</v>
      </c>
      <c r="U228" s="12">
        <f>Price!H228</f>
        <v>202521</v>
      </c>
      <c r="V228" s="13"/>
      <c r="W228" s="13"/>
      <c r="X228" s="19"/>
      <c r="Y228" s="19"/>
    </row>
    <row r="229" spans="1:25" x14ac:dyDescent="0.35">
      <c r="A229" s="43"/>
      <c r="B229" s="161"/>
      <c r="C229" s="161"/>
      <c r="D229" s="161"/>
      <c r="E229" s="69"/>
      <c r="F229" s="70"/>
      <c r="G229" s="70"/>
      <c r="H229" s="70"/>
      <c r="I229" s="176"/>
      <c r="J229" s="176"/>
      <c r="K229" s="20"/>
      <c r="L229" s="46" t="str">
        <f>Price!A229</f>
        <v>Podélný reling vlevo/vpravo, 400mm, černý Terra</v>
      </c>
      <c r="M229" s="15" t="str">
        <f>Price!B229</f>
        <v>ZRG.337RSIC</v>
      </c>
      <c r="N229" s="15" t="str">
        <f>Price!C229</f>
        <v>TERS</v>
      </c>
      <c r="O229" s="472" t="str">
        <f>Price!D229</f>
        <v>!</v>
      </c>
      <c r="P229" s="15">
        <f>Price!E229</f>
        <v>0</v>
      </c>
      <c r="Q229" s="17">
        <f>Price!F229</f>
        <v>6.1829299999999998</v>
      </c>
      <c r="R229" s="171"/>
      <c r="S229" s="171"/>
      <c r="T229" s="12">
        <f>Price!G229</f>
        <v>7703025</v>
      </c>
      <c r="U229" s="12">
        <f>Price!H229</f>
        <v>202985</v>
      </c>
      <c r="V229" s="13"/>
      <c r="W229" s="13"/>
      <c r="X229" s="19"/>
      <c r="Y229" s="19"/>
    </row>
    <row r="230" spans="1:25" x14ac:dyDescent="0.35">
      <c r="A230" s="43"/>
      <c r="B230" s="161"/>
      <c r="C230" s="161"/>
      <c r="D230" s="161"/>
      <c r="E230" s="69"/>
      <c r="F230" s="70"/>
      <c r="G230" s="70"/>
      <c r="H230" s="70"/>
      <c r="I230" s="176"/>
      <c r="J230" s="176"/>
      <c r="K230" s="20"/>
      <c r="L230" s="46" t="str">
        <f>Price!A230</f>
        <v>Podélný reling vlevo/vpravo, 400mm, nerez (Inox)</v>
      </c>
      <c r="M230" s="15" t="str">
        <f>Price!B230</f>
        <v>ZRG.337RIIC</v>
      </c>
      <c r="N230" s="15" t="str">
        <f>Price!C230</f>
        <v>INGL</v>
      </c>
      <c r="O230" s="472" t="str">
        <f>Price!D230</f>
        <v>!</v>
      </c>
      <c r="P230" s="15">
        <f>Price!E230</f>
        <v>0</v>
      </c>
      <c r="Q230" s="17">
        <f>Price!F230</f>
        <v>12.782719999999999</v>
      </c>
      <c r="R230" s="171"/>
      <c r="S230" s="171"/>
      <c r="T230" s="12">
        <f>Price!G230</f>
        <v>8346482</v>
      </c>
      <c r="U230" s="12">
        <f>Price!H230</f>
        <v>203172</v>
      </c>
      <c r="V230" s="13"/>
      <c r="W230" s="13"/>
      <c r="X230" s="19"/>
      <c r="Y230" s="19"/>
    </row>
    <row r="231" spans="1:25" ht="15" thickBot="1" x14ac:dyDescent="0.4">
      <c r="A231" s="75" t="str">
        <f>IF($C$2=1,L231,IF($C$2=2,L232,IF($C$2=3,L233, IF($C$2=4, L234, "  chyba"))))</f>
        <v>Podélný reling vlevo/vpravo, 450mm, šedý</v>
      </c>
      <c r="B231" s="76" t="str">
        <f t="shared" ref="B231" si="267">IF($C$2=1,M231,IF($C$2=2,M232,IF($C$2=3,M233, IF($C$2=4, M234, "  chyba"))))</f>
        <v>ZRG.387RSIC</v>
      </c>
      <c r="C231" s="76" t="str">
        <f t="shared" ref="C231" si="268">IF($C$2=1,N231,IF($C$2=2,N232,IF($C$2=3,N233, IF($C$2=4, N234, "  chyba"))))</f>
        <v>R906</v>
      </c>
      <c r="D231" s="172">
        <f t="shared" ref="D231" si="269">IF($C$2=1,O231,IF($C$2=2,O232,IF($C$2=3,O233, IF($C$2=4, O234, "  chyba"))))</f>
        <v>0</v>
      </c>
      <c r="E231" s="77">
        <f t="shared" ref="E231" si="270">IF($C$2=1,P231,IF($C$2=2,P232,IF($C$2=3,P233, IF($C$2=4, P234, "  chyba"))))</f>
        <v>0</v>
      </c>
      <c r="F231" s="78">
        <f>IF($C$2=1,Q231,IF($C$2=2,Q232,IF($C$2=3,Q233, IF($C$2=4, Q234, "  chyba"))))*(100-$F$6)/100</f>
        <v>6.2810499999999987</v>
      </c>
      <c r="G231" s="50"/>
      <c r="H231" s="50"/>
      <c r="I231" s="172">
        <f t="shared" ref="I231" si="271">IF($C$2=1,T231,IF($C$2=2,T232,IF($C$2=3,T233, IF($C$2=4, T234, "  chyba"))))</f>
        <v>2436584</v>
      </c>
      <c r="J231" s="172">
        <f t="shared" ref="J231" si="272">IF($C$2=1,U231,IF($C$2=2,U232,IF($C$2=3,U233, IF($C$2=4, U234, "  chyba"))))</f>
        <v>202522</v>
      </c>
      <c r="K231" s="20"/>
      <c r="L231" s="46" t="str">
        <f>Price!A231</f>
        <v>Podélný reling vlevo/vpravo, 450mm, šedý</v>
      </c>
      <c r="M231" s="15" t="str">
        <f>Price!B231</f>
        <v>ZRG.387RSIC</v>
      </c>
      <c r="N231" s="15" t="str">
        <f>Price!C231</f>
        <v>R906</v>
      </c>
      <c r="O231" s="472">
        <f>Price!D231</f>
        <v>0</v>
      </c>
      <c r="P231" s="15">
        <f>Price!E231</f>
        <v>0</v>
      </c>
      <c r="Q231" s="17">
        <f>Price!F231</f>
        <v>6.2810499999999996</v>
      </c>
      <c r="R231" s="171"/>
      <c r="S231" s="171"/>
      <c r="T231" s="12">
        <f>Price!G231</f>
        <v>2436584</v>
      </c>
      <c r="U231" s="12">
        <f>Price!H231</f>
        <v>202522</v>
      </c>
      <c r="V231" s="13"/>
      <c r="W231" s="13"/>
      <c r="X231" s="19"/>
      <c r="Y231" s="19"/>
    </row>
    <row r="232" spans="1:25" x14ac:dyDescent="0.35">
      <c r="A232" s="43"/>
      <c r="B232" s="161"/>
      <c r="C232" s="161"/>
      <c r="D232" s="161"/>
      <c r="E232" s="69"/>
      <c r="F232" s="70"/>
      <c r="G232" s="70"/>
      <c r="H232" s="70"/>
      <c r="I232" s="176"/>
      <c r="J232" s="176"/>
      <c r="K232" s="20"/>
      <c r="L232" s="46" t="str">
        <f>Price!A232</f>
        <v>Podélný reling vlevo/vpravo, 450mm, hedvábně bílý</v>
      </c>
      <c r="M232" s="15" t="str">
        <f>Price!B232</f>
        <v>ZRG.387RSIC</v>
      </c>
      <c r="N232" s="15" t="str">
        <f>Price!C232</f>
        <v>SEIW</v>
      </c>
      <c r="O232" s="472">
        <f>Price!D232</f>
        <v>0</v>
      </c>
      <c r="P232" s="15">
        <f>Price!E232</f>
        <v>0</v>
      </c>
      <c r="Q232" s="17">
        <f>Price!F232</f>
        <v>6.2810499999999996</v>
      </c>
      <c r="R232" s="171"/>
      <c r="S232" s="171"/>
      <c r="T232" s="12">
        <f>Price!G232</f>
        <v>5670943</v>
      </c>
      <c r="U232" s="12">
        <f>Price!H232</f>
        <v>202523</v>
      </c>
      <c r="V232" s="13"/>
      <c r="W232" s="13"/>
      <c r="X232" s="19"/>
      <c r="Y232" s="19"/>
    </row>
    <row r="233" spans="1:25" x14ac:dyDescent="0.35">
      <c r="A233" s="43"/>
      <c r="B233" s="161"/>
      <c r="C233" s="161"/>
      <c r="D233" s="161"/>
      <c r="E233" s="69"/>
      <c r="F233" s="70"/>
      <c r="G233" s="70"/>
      <c r="H233" s="70"/>
      <c r="I233" s="176"/>
      <c r="J233" s="176"/>
      <c r="K233" s="20"/>
      <c r="L233" s="46" t="str">
        <f>Price!A233</f>
        <v>Podélný reling vlevo/vpravo, 450mm, černý Terra</v>
      </c>
      <c r="M233" s="15" t="str">
        <f>Price!B233</f>
        <v>ZRG.387RSIC</v>
      </c>
      <c r="N233" s="15" t="str">
        <f>Price!C233</f>
        <v>TERS</v>
      </c>
      <c r="O233" s="472" t="str">
        <f>Price!D233</f>
        <v>!</v>
      </c>
      <c r="P233" s="15">
        <f>Price!E233</f>
        <v>0</v>
      </c>
      <c r="Q233" s="17">
        <f>Price!F233</f>
        <v>6.2810499999999996</v>
      </c>
      <c r="R233" s="171"/>
      <c r="S233" s="171"/>
      <c r="T233" s="12">
        <f>Price!G233</f>
        <v>2398612</v>
      </c>
      <c r="U233" s="12">
        <f>Price!H233</f>
        <v>205926</v>
      </c>
      <c r="V233" s="13"/>
      <c r="W233" s="13"/>
      <c r="X233" s="19"/>
      <c r="Y233" s="19"/>
    </row>
    <row r="234" spans="1:25" x14ac:dyDescent="0.35">
      <c r="A234" s="43"/>
      <c r="B234" s="161"/>
      <c r="C234" s="161"/>
      <c r="D234" s="161"/>
      <c r="E234" s="69"/>
      <c r="F234" s="70"/>
      <c r="G234" s="70"/>
      <c r="H234" s="70"/>
      <c r="I234" s="176"/>
      <c r="J234" s="176"/>
      <c r="K234" s="20"/>
      <c r="L234" s="46" t="str">
        <f>Price!A234</f>
        <v>Podélný reling vlevo/vpravo, 450mm, nerez (Inox)</v>
      </c>
      <c r="M234" s="15" t="str">
        <f>Price!B234</f>
        <v>ZRG.387RIIC</v>
      </c>
      <c r="N234" s="15" t="str">
        <f>Price!C234</f>
        <v>INGL</v>
      </c>
      <c r="O234" s="472" t="str">
        <f>Price!D234</f>
        <v>!</v>
      </c>
      <c r="P234" s="15">
        <f>Price!E234</f>
        <v>0</v>
      </c>
      <c r="Q234" s="17">
        <f>Price!F234</f>
        <v>12.92196</v>
      </c>
      <c r="R234" s="171"/>
      <c r="S234" s="171"/>
      <c r="T234" s="12">
        <f>Price!G234</f>
        <v>5600049</v>
      </c>
      <c r="U234" s="12">
        <f>Price!H234</f>
        <v>203176</v>
      </c>
      <c r="V234" s="13"/>
      <c r="W234" s="13"/>
      <c r="X234" s="19"/>
      <c r="Y234" s="19"/>
    </row>
    <row r="235" spans="1:25" ht="15" thickBot="1" x14ac:dyDescent="0.4">
      <c r="A235" s="75" t="str">
        <f>IF($C$2=1,L235,IF($C$2=2,L236,IF($C$2=3,L237, IF($C$2=4, L238, "  chyba"))))</f>
        <v>Podélný reling vlevo/vpravo, 500mm, šedý</v>
      </c>
      <c r="B235" s="76" t="str">
        <f t="shared" ref="B235" si="273">IF($C$2=1,M235,IF($C$2=2,M236,IF($C$2=3,M237, IF($C$2=4, M238, "  chyba"))))</f>
        <v>ZRG.437RSIC</v>
      </c>
      <c r="C235" s="76" t="str">
        <f t="shared" ref="C235" si="274">IF($C$2=1,N235,IF($C$2=2,N236,IF($C$2=3,N237, IF($C$2=4, N238, "  chyba"))))</f>
        <v>R906</v>
      </c>
      <c r="D235" s="172">
        <f t="shared" ref="D235" si="275">IF($C$2=1,O235,IF($C$2=2,O236,IF($C$2=3,O237, IF($C$2=4, O238, "  chyba"))))</f>
        <v>0</v>
      </c>
      <c r="E235" s="77">
        <f t="shared" ref="E235" si="276">IF($C$2=1,P235,IF($C$2=2,P236,IF($C$2=3,P237, IF($C$2=4, P238, "  chyba"))))</f>
        <v>0</v>
      </c>
      <c r="F235" s="78">
        <f>IF($C$2=1,Q235,IF($C$2=2,Q236,IF($C$2=3,Q237, IF($C$2=4, Q238, "  chyba"))))*(100-$F$6)/100</f>
        <v>6.3789800000000003</v>
      </c>
      <c r="G235" s="50"/>
      <c r="H235" s="50"/>
      <c r="I235" s="172">
        <f t="shared" ref="I235" si="277">IF($C$2=1,T235,IF($C$2=2,T236,IF($C$2=3,T237, IF($C$2=4, T238, "  chyba"))))</f>
        <v>8705976</v>
      </c>
      <c r="J235" s="172">
        <f t="shared" ref="J235" si="278">IF($C$2=1,U235,IF($C$2=2,U236,IF($C$2=3,U237, IF($C$2=4, U238, "  chyba"))))</f>
        <v>202524</v>
      </c>
      <c r="K235" s="47"/>
      <c r="L235" s="46" t="str">
        <f>Price!A235</f>
        <v>Podélný reling vlevo/vpravo, 500mm, šedý</v>
      </c>
      <c r="M235" s="15" t="str">
        <f>Price!B235</f>
        <v>ZRG.437RSIC</v>
      </c>
      <c r="N235" s="15" t="str">
        <f>Price!C235</f>
        <v>R906</v>
      </c>
      <c r="O235" s="472">
        <f>Price!D235</f>
        <v>0</v>
      </c>
      <c r="P235" s="15">
        <f>Price!E235</f>
        <v>0</v>
      </c>
      <c r="Q235" s="17">
        <f>Price!F235</f>
        <v>6.3789800000000003</v>
      </c>
      <c r="R235" s="171"/>
      <c r="S235" s="171"/>
      <c r="T235" s="12">
        <f>Price!G235</f>
        <v>8705976</v>
      </c>
      <c r="U235" s="12">
        <f>Price!H235</f>
        <v>202524</v>
      </c>
      <c r="V235" s="13"/>
      <c r="W235" s="13"/>
      <c r="X235" s="19"/>
      <c r="Y235" s="19"/>
    </row>
    <row r="236" spans="1:25" x14ac:dyDescent="0.35">
      <c r="A236" s="43"/>
      <c r="B236" s="162"/>
      <c r="C236" s="162"/>
      <c r="D236" s="162"/>
      <c r="E236" s="69"/>
      <c r="F236" s="70"/>
      <c r="G236" s="70"/>
      <c r="H236" s="70"/>
      <c r="I236" s="175"/>
      <c r="J236" s="175"/>
      <c r="K236" s="48"/>
      <c r="L236" s="46" t="str">
        <f>Price!A236</f>
        <v>Podélný reling vlevo/vpravo, 500mm, hedvábně bílý</v>
      </c>
      <c r="M236" s="15" t="str">
        <f>Price!B236</f>
        <v>ZRG.437RSIC</v>
      </c>
      <c r="N236" s="15" t="str">
        <f>Price!C236</f>
        <v>SEIW</v>
      </c>
      <c r="O236" s="472">
        <f>Price!D236</f>
        <v>0</v>
      </c>
      <c r="P236" s="15">
        <f>Price!E236</f>
        <v>0</v>
      </c>
      <c r="Q236" s="17">
        <f>Price!F236</f>
        <v>6.3789800000000003</v>
      </c>
      <c r="R236" s="171"/>
      <c r="S236" s="171"/>
      <c r="T236" s="12">
        <f>Price!G236</f>
        <v>2236035</v>
      </c>
      <c r="U236" s="12">
        <f>Price!H236</f>
        <v>202525</v>
      </c>
      <c r="V236" s="13"/>
      <c r="W236" s="13"/>
      <c r="X236" s="19"/>
      <c r="Y236" s="19"/>
    </row>
    <row r="237" spans="1:25" x14ac:dyDescent="0.35">
      <c r="A237" s="43"/>
      <c r="B237" s="161"/>
      <c r="C237" s="161"/>
      <c r="D237" s="161"/>
      <c r="E237" s="69"/>
      <c r="F237" s="50"/>
      <c r="G237" s="50"/>
      <c r="H237" s="50"/>
      <c r="I237" s="176"/>
      <c r="J237" s="176"/>
      <c r="K237" s="48"/>
      <c r="L237" s="46" t="str">
        <f>Price!A237</f>
        <v>Podélný reling vlevo/vpravo, 500mm, černý Terra</v>
      </c>
      <c r="M237" s="15" t="str">
        <f>Price!B237</f>
        <v>ZRG.437RSIC</v>
      </c>
      <c r="N237" s="15" t="str">
        <f>Price!C237</f>
        <v>TERS</v>
      </c>
      <c r="O237" s="472" t="str">
        <f>Price!D237</f>
        <v>!</v>
      </c>
      <c r="P237" s="15">
        <f>Price!E237</f>
        <v>0</v>
      </c>
      <c r="Q237" s="17">
        <f>Price!F237</f>
        <v>6.3789800000000003</v>
      </c>
      <c r="R237" s="171"/>
      <c r="S237" s="171"/>
      <c r="T237" s="12">
        <f>Price!G237</f>
        <v>4392383</v>
      </c>
      <c r="U237" s="12">
        <f>Price!H237</f>
        <v>202993</v>
      </c>
      <c r="V237" s="13"/>
      <c r="W237" s="13"/>
      <c r="X237" s="19"/>
      <c r="Y237" s="19"/>
    </row>
    <row r="238" spans="1:25" x14ac:dyDescent="0.35">
      <c r="A238" s="43"/>
      <c r="B238" s="161"/>
      <c r="C238" s="161"/>
      <c r="D238" s="161"/>
      <c r="E238" s="69"/>
      <c r="F238" s="50"/>
      <c r="G238" s="50"/>
      <c r="H238" s="50"/>
      <c r="I238" s="176"/>
      <c r="J238" s="176"/>
      <c r="K238" s="48"/>
      <c r="L238" s="46" t="str">
        <f>Price!A238</f>
        <v>Podélný reling vlevo/vpravo, 500mm, nerez (Inox)</v>
      </c>
      <c r="M238" s="15" t="str">
        <f>Price!B238</f>
        <v>ZRG.437RIIC</v>
      </c>
      <c r="N238" s="15" t="str">
        <f>Price!C238</f>
        <v>INGL</v>
      </c>
      <c r="O238" s="472" t="str">
        <f>Price!D238</f>
        <v>!</v>
      </c>
      <c r="P238" s="15">
        <f>Price!E238</f>
        <v>0</v>
      </c>
      <c r="Q238" s="17">
        <f>Price!F238</f>
        <v>13.10915</v>
      </c>
      <c r="R238" s="171"/>
      <c r="S238" s="171"/>
      <c r="T238" s="12">
        <f>Price!G238</f>
        <v>6985231</v>
      </c>
      <c r="U238" s="12">
        <f>Price!H238</f>
        <v>203178</v>
      </c>
      <c r="V238" s="13"/>
      <c r="W238" s="13"/>
      <c r="X238" s="19"/>
      <c r="Y238" s="19"/>
    </row>
    <row r="239" spans="1:25" ht="15" thickBot="1" x14ac:dyDescent="0.4">
      <c r="A239" s="75" t="str">
        <f>IF($C$2=1,L239,IF($C$2=2,L240,IF($C$2=3,L241, IF($C$2=4, L242, "  chyba"))))</f>
        <v>Podélný reling vlevo/vpravo, 550mm, šedý</v>
      </c>
      <c r="B239" s="76" t="str">
        <f t="shared" ref="B239" si="279">IF($C$2=1,M239,IF($C$2=2,M240,IF($C$2=3,M241, IF($C$2=4, M242, "  chyba"))))</f>
        <v>ZRG.487RSIC</v>
      </c>
      <c r="C239" s="76" t="str">
        <f t="shared" ref="C239" si="280">IF($C$2=1,N239,IF($C$2=2,N240,IF($C$2=3,N241, IF($C$2=4, N242, "  chyba"))))</f>
        <v>R906</v>
      </c>
      <c r="D239" s="172">
        <f t="shared" ref="D239" si="281">IF($C$2=1,O239,IF($C$2=2,O240,IF($C$2=3,O241, IF($C$2=4, O242, "  chyba"))))</f>
        <v>0</v>
      </c>
      <c r="E239" s="77">
        <f t="shared" ref="E239" si="282">IF($C$2=1,P239,IF($C$2=2,P240,IF($C$2=3,P241, IF($C$2=4, P242, "  chyba"))))</f>
        <v>0</v>
      </c>
      <c r="F239" s="78">
        <f>IF($C$2=1,Q239,IF($C$2=2,Q240,IF($C$2=3,Q241, IF($C$2=4, Q242, "  chyba"))))*(100-$F$6)/100</f>
        <v>7.3622199999999998</v>
      </c>
      <c r="G239" s="50"/>
      <c r="H239" s="50"/>
      <c r="I239" s="172">
        <f t="shared" ref="I239" si="283">IF($C$2=1,T239,IF($C$2=2,T240,IF($C$2=3,T241, IF($C$2=4, T242, "  chyba"))))</f>
        <v>2422408</v>
      </c>
      <c r="J239" s="172">
        <f t="shared" ref="J239" si="284">IF($C$2=1,U239,IF($C$2=2,U240,IF($C$2=3,U241, IF($C$2=4, U242, "  chyba"))))</f>
        <v>202526</v>
      </c>
      <c r="K239" s="48"/>
      <c r="L239" s="46" t="str">
        <f>Price!A239</f>
        <v>Podélný reling vlevo/vpravo, 550mm, šedý</v>
      </c>
      <c r="M239" s="15" t="str">
        <f>Price!B239</f>
        <v>ZRG.487RSIC</v>
      </c>
      <c r="N239" s="15" t="str">
        <f>Price!C239</f>
        <v>R906</v>
      </c>
      <c r="O239" s="472">
        <f>Price!D239</f>
        <v>0</v>
      </c>
      <c r="P239" s="15">
        <f>Price!E239</f>
        <v>0</v>
      </c>
      <c r="Q239" s="17">
        <f>Price!F239</f>
        <v>7.3622199999999998</v>
      </c>
      <c r="R239" s="171"/>
      <c r="S239" s="171"/>
      <c r="T239" s="12">
        <f>Price!G239</f>
        <v>2422408</v>
      </c>
      <c r="U239" s="12">
        <f>Price!H239</f>
        <v>202526</v>
      </c>
      <c r="V239" s="13"/>
      <c r="W239" s="13"/>
      <c r="X239" s="19"/>
      <c r="Y239" s="19"/>
    </row>
    <row r="240" spans="1:25" x14ac:dyDescent="0.35">
      <c r="A240" s="43"/>
      <c r="B240" s="161"/>
      <c r="C240" s="161"/>
      <c r="D240" s="161"/>
      <c r="E240" s="69"/>
      <c r="F240" s="50"/>
      <c r="G240" s="50"/>
      <c r="H240" s="50"/>
      <c r="I240" s="176"/>
      <c r="J240" s="176"/>
      <c r="K240" s="48"/>
      <c r="L240" s="46" t="str">
        <f>Price!A240</f>
        <v>Podélný reling vlevo/vpravo, 550mm, hedvábně bílý</v>
      </c>
      <c r="M240" s="15" t="str">
        <f>Price!B240</f>
        <v>ZRG.487RSIC</v>
      </c>
      <c r="N240" s="15" t="str">
        <f>Price!C240</f>
        <v>SEIW</v>
      </c>
      <c r="O240" s="472">
        <f>Price!D240</f>
        <v>0</v>
      </c>
      <c r="P240" s="15">
        <f>Price!E240</f>
        <v>0</v>
      </c>
      <c r="Q240" s="17">
        <f>Price!F240</f>
        <v>7.3622199999999998</v>
      </c>
      <c r="R240" s="171"/>
      <c r="S240" s="171"/>
      <c r="T240" s="12">
        <f>Price!G240</f>
        <v>8860295</v>
      </c>
      <c r="U240" s="12">
        <f>Price!H240</f>
        <v>202527</v>
      </c>
      <c r="V240" s="13"/>
      <c r="W240" s="13"/>
      <c r="X240" s="19"/>
      <c r="Y240" s="19"/>
    </row>
    <row r="241" spans="1:25" x14ac:dyDescent="0.35">
      <c r="A241" s="43"/>
      <c r="B241" s="161"/>
      <c r="C241" s="161"/>
      <c r="D241" s="161"/>
      <c r="E241" s="69"/>
      <c r="F241" s="50"/>
      <c r="G241" s="50"/>
      <c r="H241" s="50"/>
      <c r="I241" s="176"/>
      <c r="J241" s="176"/>
      <c r="K241" s="48"/>
      <c r="L241" s="46" t="str">
        <f>Price!A241</f>
        <v>Podélný reling vlevo/vpravo, 550mm, černý Terra</v>
      </c>
      <c r="M241" s="15" t="str">
        <f>Price!B241</f>
        <v>ZRG.487RSIC</v>
      </c>
      <c r="N241" s="15" t="str">
        <f>Price!C241</f>
        <v>TERS</v>
      </c>
      <c r="O241" s="472" t="str">
        <f>Price!D241</f>
        <v>!</v>
      </c>
      <c r="P241" s="15">
        <f>Price!E241</f>
        <v>0</v>
      </c>
      <c r="Q241" s="17">
        <f>Price!F241</f>
        <v>6.6509</v>
      </c>
      <c r="R241" s="171"/>
      <c r="S241" s="171"/>
      <c r="T241" s="12">
        <f>Price!G241</f>
        <v>5132615</v>
      </c>
      <c r="U241" s="12">
        <f>Price!H241</f>
        <v>202994</v>
      </c>
      <c r="V241" s="13"/>
      <c r="W241" s="13"/>
      <c r="X241" s="19"/>
      <c r="Y241" s="19"/>
    </row>
    <row r="242" spans="1:25" x14ac:dyDescent="0.35">
      <c r="A242" s="43"/>
      <c r="B242" s="161"/>
      <c r="C242" s="161"/>
      <c r="D242" s="161"/>
      <c r="E242" s="69"/>
      <c r="F242" s="50"/>
      <c r="G242" s="50"/>
      <c r="H242" s="50"/>
      <c r="I242" s="176"/>
      <c r="J242" s="176"/>
      <c r="K242" s="48"/>
      <c r="L242" s="46" t="str">
        <f>Price!A242</f>
        <v>Podélný reling vlevo/vpravo, 550mm, nerez (Inox)</v>
      </c>
      <c r="M242" s="15" t="str">
        <f>Price!B242</f>
        <v>ZRG.487RIIC</v>
      </c>
      <c r="N242" s="15" t="str">
        <f>Price!C242</f>
        <v>INGL</v>
      </c>
      <c r="O242" s="472" t="str">
        <f>Price!D242</f>
        <v>!</v>
      </c>
      <c r="P242" s="15">
        <f>Price!E242</f>
        <v>0</v>
      </c>
      <c r="Q242" s="17">
        <f>Price!F242</f>
        <v>13.450240000000001</v>
      </c>
      <c r="R242" s="171"/>
      <c r="S242" s="171"/>
      <c r="T242" s="12">
        <f>Price!G242</f>
        <v>5781644</v>
      </c>
      <c r="U242" s="12">
        <f>Price!H242</f>
        <v>203184</v>
      </c>
      <c r="V242" s="13"/>
      <c r="W242" s="13"/>
      <c r="X242" s="19"/>
      <c r="Y242" s="19"/>
    </row>
    <row r="243" spans="1:25" ht="15" thickBot="1" x14ac:dyDescent="0.4">
      <c r="A243" s="75" t="str">
        <f>IF($C$2=1,L243,IF($C$2=2,L244,IF($C$2=3,L245, IF($C$2=4, L246, "  chyba"))))</f>
        <v>Podélný reling vlevo/vpravo, 600mm, šedý</v>
      </c>
      <c r="B243" s="76" t="str">
        <f t="shared" ref="B243" si="285">IF($C$2=1,M243,IF($C$2=2,M244,IF($C$2=3,M245, IF($C$2=4, M246, "  chyba"))))</f>
        <v>ZRG.537RSIC</v>
      </c>
      <c r="C243" s="76" t="str">
        <f t="shared" ref="C243" si="286">IF($C$2=1,N243,IF($C$2=2,N244,IF($C$2=3,N245, IF($C$2=4, N246, "  chyba"))))</f>
        <v>R906</v>
      </c>
      <c r="D243" s="172">
        <f t="shared" ref="D243" si="287">IF($C$2=1,O243,IF($C$2=2,O244,IF($C$2=3,O245, IF($C$2=4, O246, "  chyba"))))</f>
        <v>0</v>
      </c>
      <c r="E243" s="77">
        <f t="shared" ref="E243" si="288">IF($C$2=1,P243,IF($C$2=2,P244,IF($C$2=3,P245, IF($C$2=4, P246, "  chyba"))))</f>
        <v>0</v>
      </c>
      <c r="F243" s="78">
        <f>IF($C$2=1,Q243,IF($C$2=2,Q244,IF($C$2=3,Q245, IF($C$2=4, Q246, "  chyba"))))*(100-$F$6)/100</f>
        <v>6.9229999999999992</v>
      </c>
      <c r="G243" s="50"/>
      <c r="H243" s="50"/>
      <c r="I243" s="172">
        <f t="shared" ref="I243" si="289">IF($C$2=1,T243,IF($C$2=2,T244,IF($C$2=3,T245, IF($C$2=4, T246, "  chyba"))))</f>
        <v>1696058</v>
      </c>
      <c r="J243" s="172">
        <f t="shared" ref="J243" si="290">IF($C$2=1,U243,IF($C$2=2,U244,IF($C$2=3,U245, IF($C$2=4, U246, "  chyba"))))</f>
        <v>203000</v>
      </c>
      <c r="K243" s="48"/>
      <c r="L243" s="46" t="str">
        <f>Price!A243</f>
        <v>Podélný reling vlevo/vpravo, 600mm, šedý</v>
      </c>
      <c r="M243" s="15" t="str">
        <f>Price!B243</f>
        <v>ZRG.537RSIC</v>
      </c>
      <c r="N243" s="15" t="str">
        <f>Price!C243</f>
        <v>R906</v>
      </c>
      <c r="O243" s="472">
        <f>Price!D243</f>
        <v>0</v>
      </c>
      <c r="P243" s="15">
        <f>Price!E243</f>
        <v>0</v>
      </c>
      <c r="Q243" s="17">
        <f>Price!F243</f>
        <v>6.923</v>
      </c>
      <c r="R243" s="171"/>
      <c r="S243" s="171"/>
      <c r="T243" s="12">
        <f>Price!G243</f>
        <v>1696058</v>
      </c>
      <c r="U243" s="12">
        <f>Price!H243</f>
        <v>203000</v>
      </c>
      <c r="V243" s="13"/>
      <c r="W243" s="13"/>
      <c r="X243" s="19"/>
      <c r="Y243" s="19"/>
    </row>
    <row r="244" spans="1:25" x14ac:dyDescent="0.35">
      <c r="A244" s="43"/>
      <c r="B244" s="161"/>
      <c r="C244" s="161"/>
      <c r="D244" s="161"/>
      <c r="E244" s="69"/>
      <c r="F244" s="50"/>
      <c r="G244" s="50"/>
      <c r="H244" s="50"/>
      <c r="I244" s="176"/>
      <c r="J244" s="176"/>
      <c r="K244" s="48"/>
      <c r="L244" s="46" t="str">
        <f>Price!A244</f>
        <v>Podélný reling vlevo/vpravo, 600mm, hedvábně bílý</v>
      </c>
      <c r="M244" s="15" t="str">
        <f>Price!B244</f>
        <v>ZRG.537RSIC</v>
      </c>
      <c r="N244" s="15" t="str">
        <f>Price!C244</f>
        <v>SEIW</v>
      </c>
      <c r="O244" s="472">
        <f>Price!D244</f>
        <v>0</v>
      </c>
      <c r="P244" s="15">
        <f>Price!E244</f>
        <v>0</v>
      </c>
      <c r="Q244" s="17">
        <f>Price!F244</f>
        <v>6.923</v>
      </c>
      <c r="R244" s="171"/>
      <c r="S244" s="171"/>
      <c r="T244" s="12">
        <f>Price!G244</f>
        <v>9244783</v>
      </c>
      <c r="U244" s="12">
        <f>Price!H244</f>
        <v>203001</v>
      </c>
      <c r="V244" s="13"/>
      <c r="W244" s="13"/>
      <c r="X244" s="19"/>
      <c r="Y244" s="19"/>
    </row>
    <row r="245" spans="1:25" x14ac:dyDescent="0.35">
      <c r="A245" s="43"/>
      <c r="B245" s="161"/>
      <c r="C245" s="161"/>
      <c r="D245" s="161"/>
      <c r="E245" s="69"/>
      <c r="F245" s="50"/>
      <c r="G245" s="50"/>
      <c r="H245" s="50"/>
      <c r="I245" s="176"/>
      <c r="J245" s="176"/>
      <c r="K245" s="48"/>
      <c r="L245" s="46" t="str">
        <f>Price!A245</f>
        <v>Podélný reling vlevo/vpravo, 600mm, černý Terra</v>
      </c>
      <c r="M245" s="15" t="str">
        <f>Price!B245</f>
        <v>ZRG.537RSIC</v>
      </c>
      <c r="N245" s="15" t="str">
        <f>Price!C245</f>
        <v>TERS</v>
      </c>
      <c r="O245" s="472" t="str">
        <f>Price!D245</f>
        <v>!</v>
      </c>
      <c r="P245" s="15">
        <f>Price!E245</f>
        <v>0</v>
      </c>
      <c r="Q245" s="17">
        <f>Price!F245</f>
        <v>6.923</v>
      </c>
      <c r="R245" s="171"/>
      <c r="S245" s="171"/>
      <c r="T245" s="12">
        <f>Price!G245</f>
        <v>9215758</v>
      </c>
      <c r="U245" s="12">
        <f>Price!H245</f>
        <v>202995</v>
      </c>
      <c r="V245" s="13"/>
      <c r="W245" s="13"/>
      <c r="X245" s="19"/>
      <c r="Y245" s="19"/>
    </row>
    <row r="246" spans="1:25" x14ac:dyDescent="0.35">
      <c r="A246" s="43"/>
      <c r="B246" s="161"/>
      <c r="C246" s="161"/>
      <c r="D246" s="161"/>
      <c r="E246" s="69"/>
      <c r="F246" s="50"/>
      <c r="G246" s="50"/>
      <c r="H246" s="50"/>
      <c r="I246" s="176"/>
      <c r="J246" s="176"/>
      <c r="K246" s="48"/>
      <c r="L246" s="46" t="str">
        <f>Price!A246</f>
        <v>Podélný reling vlevo/vpravo, 600mm, nerez (Inox)</v>
      </c>
      <c r="M246" s="15" t="str">
        <f>Price!B246</f>
        <v>ZRG.537RIIC</v>
      </c>
      <c r="N246" s="15" t="str">
        <f>Price!C246</f>
        <v>INGL</v>
      </c>
      <c r="O246" s="472" t="str">
        <f>Price!D246</f>
        <v>!</v>
      </c>
      <c r="P246" s="15">
        <f>Price!E246</f>
        <v>0</v>
      </c>
      <c r="Q246" s="17">
        <f>Price!F246</f>
        <v>13.803739999999999</v>
      </c>
      <c r="R246" s="171"/>
      <c r="S246" s="171"/>
      <c r="T246" s="12">
        <f>Price!G246</f>
        <v>5495041</v>
      </c>
      <c r="U246" s="12">
        <f>Price!H246</f>
        <v>203190</v>
      </c>
      <c r="V246" s="13"/>
      <c r="W246" s="13"/>
      <c r="X246" s="19"/>
      <c r="Y246" s="19"/>
    </row>
    <row r="247" spans="1:25" ht="15" thickBot="1" x14ac:dyDescent="0.4">
      <c r="A247" s="75" t="str">
        <f>IF($C$2=1,L247,IF($C$2=2,L248,IF($C$2=3,L249, IF($C$2=4, L250, "  chyba"))))</f>
        <v>Podélný reling vlevo/vpravo, 650mm, šedý</v>
      </c>
      <c r="B247" s="76" t="str">
        <f t="shared" ref="B247" si="291">IF($C$2=1,M247,IF($C$2=2,M248,IF($C$2=3,M249, IF($C$2=4, M250, "  chyba"))))</f>
        <v>ZRG.587RSIC</v>
      </c>
      <c r="C247" s="76" t="str">
        <f t="shared" ref="C247" si="292">IF($C$2=1,N247,IF($C$2=2,N248,IF($C$2=3,N249, IF($C$2=4, N250, "  chyba"))))</f>
        <v>R906</v>
      </c>
      <c r="D247" s="172">
        <f t="shared" ref="D247" si="293">IF($C$2=1,O247,IF($C$2=2,O248,IF($C$2=3,O249, IF($C$2=4, O250, "  chyba"))))</f>
        <v>0</v>
      </c>
      <c r="E247" s="77">
        <f t="shared" ref="E247" si="294">IF($C$2=1,P247,IF($C$2=2,P248,IF($C$2=3,P249, IF($C$2=4, P250, "  chyba"))))</f>
        <v>0</v>
      </c>
      <c r="F247" s="78">
        <f>IF($C$2=1,Q247,IF($C$2=2,Q248,IF($C$2=3,Q249, IF($C$2=4, Q250, "  chyba"))))*(100-$F$6)/100</f>
        <v>7.9644300000000001</v>
      </c>
      <c r="G247" s="50"/>
      <c r="H247" s="50"/>
      <c r="I247" s="172">
        <f t="shared" ref="I247" si="295">IF($C$2=1,T247,IF($C$2=2,T248,IF($C$2=3,T249, IF($C$2=4, T250, "  chyba"))))</f>
        <v>3892970</v>
      </c>
      <c r="J247" s="172">
        <f t="shared" ref="J247" si="296">IF($C$2=1,U247,IF($C$2=2,U248,IF($C$2=3,U249, IF($C$2=4, U250, "  chyba"))))</f>
        <v>202528</v>
      </c>
      <c r="K247" s="20"/>
      <c r="L247" s="46" t="str">
        <f>Price!A247</f>
        <v>Podélný reling vlevo/vpravo, 650mm, šedý</v>
      </c>
      <c r="M247" s="15" t="str">
        <f>Price!B247</f>
        <v>ZRG.587RSIC</v>
      </c>
      <c r="N247" s="15" t="str">
        <f>Price!C247</f>
        <v>R906</v>
      </c>
      <c r="O247" s="472">
        <f>Price!D247</f>
        <v>0</v>
      </c>
      <c r="P247" s="15">
        <f>Price!E247</f>
        <v>0</v>
      </c>
      <c r="Q247" s="17">
        <f>Price!F247</f>
        <v>7.9644300000000001</v>
      </c>
      <c r="R247" s="171"/>
      <c r="S247" s="171"/>
      <c r="T247" s="12">
        <f>Price!G247</f>
        <v>3892970</v>
      </c>
      <c r="U247" s="12">
        <f>Price!H247</f>
        <v>202528</v>
      </c>
      <c r="V247" s="13"/>
      <c r="W247" s="13"/>
      <c r="X247" s="19"/>
      <c r="Y247" s="19"/>
    </row>
    <row r="248" spans="1:25" x14ac:dyDescent="0.35">
      <c r="A248" s="65"/>
      <c r="B248" s="162"/>
      <c r="C248" s="162"/>
      <c r="D248" s="162"/>
      <c r="E248" s="64"/>
      <c r="F248" s="52"/>
      <c r="G248" s="52"/>
      <c r="H248" s="52"/>
      <c r="I248" s="52"/>
      <c r="J248" s="52"/>
      <c r="K248" s="47"/>
      <c r="L248" s="46" t="str">
        <f>Price!A248</f>
        <v>Podélný reling vlevo/vpravo, 650mm, hedvábně bílý</v>
      </c>
      <c r="M248" s="15" t="str">
        <f>Price!B248</f>
        <v>ZRG.587RSIC</v>
      </c>
      <c r="N248" s="15" t="str">
        <f>Price!C248</f>
        <v>SEIW</v>
      </c>
      <c r="O248" s="472">
        <f>Price!D248</f>
        <v>0</v>
      </c>
      <c r="P248" s="15">
        <f>Price!E248</f>
        <v>0</v>
      </c>
      <c r="Q248" s="17">
        <f>Price!F248</f>
        <v>7.9644300000000001</v>
      </c>
      <c r="R248" s="171"/>
      <c r="S248" s="171"/>
      <c r="T248" s="12">
        <f>Price!G248</f>
        <v>4273717</v>
      </c>
      <c r="U248" s="12">
        <f>Price!H248</f>
        <v>202529</v>
      </c>
      <c r="V248" s="13"/>
      <c r="W248" s="13"/>
      <c r="X248" s="19"/>
      <c r="Y248" s="19"/>
    </row>
    <row r="249" spans="1:25" x14ac:dyDescent="0.35">
      <c r="A249" s="43"/>
      <c r="B249" s="161"/>
      <c r="C249" s="161"/>
      <c r="D249" s="161"/>
      <c r="E249" s="69"/>
      <c r="F249" s="70"/>
      <c r="G249" s="70"/>
      <c r="H249" s="70"/>
      <c r="I249" s="70"/>
      <c r="J249" s="70"/>
      <c r="K249" s="20"/>
      <c r="L249" s="46" t="str">
        <f>Price!A249</f>
        <v>Podélný reling vlevo/vpravo, 650mm, černý Terra</v>
      </c>
      <c r="M249" s="15" t="str">
        <f>Price!B249</f>
        <v>ZRG.587RSIC</v>
      </c>
      <c r="N249" s="15" t="str">
        <f>Price!C249</f>
        <v>TERS</v>
      </c>
      <c r="O249" s="472" t="str">
        <f>Price!D249</f>
        <v>!</v>
      </c>
      <c r="P249" s="15">
        <f>Price!E249</f>
        <v>0</v>
      </c>
      <c r="Q249" s="17">
        <f>Price!F249</f>
        <v>7.1949199999999998</v>
      </c>
      <c r="R249" s="171"/>
      <c r="S249" s="171"/>
      <c r="T249" s="12">
        <f>Price!G249</f>
        <v>4651778</v>
      </c>
      <c r="U249" s="12">
        <f>Price!H249</f>
        <v>202996</v>
      </c>
      <c r="V249" s="13"/>
      <c r="W249" s="13"/>
      <c r="X249" s="19"/>
      <c r="Y249" s="19"/>
    </row>
    <row r="250" spans="1:25" x14ac:dyDescent="0.35">
      <c r="A250" s="43"/>
      <c r="B250" s="162"/>
      <c r="C250" s="162"/>
      <c r="D250" s="162"/>
      <c r="E250" s="69"/>
      <c r="F250" s="50"/>
      <c r="G250" s="50"/>
      <c r="H250" s="50"/>
      <c r="I250" s="50"/>
      <c r="J250" s="50"/>
      <c r="K250" s="20"/>
      <c r="L250" s="46" t="str">
        <f>Price!A250</f>
        <v>Podélný reling vlevo/vpravo, 650mm, nerez (Inox)</v>
      </c>
      <c r="M250" s="15" t="str">
        <f>Price!B250</f>
        <v>ZRG.587RIIC</v>
      </c>
      <c r="N250" s="15" t="str">
        <f>Price!C250</f>
        <v>INGL</v>
      </c>
      <c r="O250" s="472" t="str">
        <f>Price!D250</f>
        <v>!</v>
      </c>
      <c r="P250" s="15">
        <f>Price!E250</f>
        <v>0</v>
      </c>
      <c r="Q250" s="17">
        <f>Price!F250</f>
        <v>14.37495</v>
      </c>
      <c r="R250" s="171"/>
      <c r="S250" s="171"/>
      <c r="T250" s="12">
        <f>Price!G250</f>
        <v>9950987</v>
      </c>
      <c r="U250" s="12">
        <f>Price!H250</f>
        <v>203194</v>
      </c>
      <c r="V250" s="13"/>
      <c r="W250" s="13"/>
      <c r="X250" s="19"/>
      <c r="Y250" s="19"/>
    </row>
    <row r="251" spans="1:25" x14ac:dyDescent="0.35">
      <c r="A251" s="65"/>
      <c r="B251" s="161"/>
      <c r="C251" s="161"/>
      <c r="D251" s="161"/>
      <c r="E251" s="64"/>
      <c r="F251" s="52"/>
      <c r="G251" s="52"/>
      <c r="H251" s="52"/>
      <c r="I251" s="52"/>
      <c r="J251" s="52"/>
      <c r="K251" s="47"/>
      <c r="L251" s="46">
        <f>Price!A251</f>
        <v>0</v>
      </c>
      <c r="M251" s="15">
        <f>Price!B251</f>
        <v>0</v>
      </c>
      <c r="N251" s="15">
        <f>Price!C251</f>
        <v>0</v>
      </c>
      <c r="O251" s="472">
        <f>Price!D251</f>
        <v>0</v>
      </c>
      <c r="P251" s="15">
        <f>Price!E251</f>
        <v>0</v>
      </c>
      <c r="Q251" s="17">
        <f>Price!F251</f>
        <v>0</v>
      </c>
      <c r="R251" s="171"/>
      <c r="S251" s="171"/>
      <c r="T251" s="12">
        <f>Price!G251</f>
        <v>0</v>
      </c>
      <c r="U251" s="12">
        <f>Price!H251</f>
        <v>0</v>
      </c>
      <c r="V251" s="13"/>
      <c r="W251" s="13"/>
      <c r="X251" s="19"/>
      <c r="Y251" s="19"/>
    </row>
    <row r="252" spans="1:25" x14ac:dyDescent="0.35">
      <c r="A252" s="43"/>
      <c r="B252" s="162"/>
      <c r="C252" s="162"/>
      <c r="D252" s="162"/>
      <c r="E252" s="69"/>
      <c r="F252" s="70"/>
      <c r="G252" s="70"/>
      <c r="H252" s="70"/>
      <c r="I252" s="70"/>
      <c r="J252" s="70"/>
      <c r="K252" s="20"/>
      <c r="L252" s="46">
        <f>Price!A252</f>
        <v>0</v>
      </c>
      <c r="M252" s="15">
        <f>Price!B252</f>
        <v>0</v>
      </c>
      <c r="N252" s="15">
        <f>Price!C252</f>
        <v>0</v>
      </c>
      <c r="O252" s="472">
        <f>Price!D252</f>
        <v>0</v>
      </c>
      <c r="P252" s="15">
        <f>Price!E252</f>
        <v>0</v>
      </c>
      <c r="Q252" s="17">
        <f>Price!F252</f>
        <v>0</v>
      </c>
      <c r="R252" s="171"/>
      <c r="S252" s="171"/>
      <c r="T252" s="12">
        <f>Price!G252</f>
        <v>0</v>
      </c>
      <c r="U252" s="12">
        <f>Price!H252</f>
        <v>0</v>
      </c>
      <c r="V252" s="13"/>
      <c r="W252" s="13"/>
      <c r="X252" s="19"/>
      <c r="Y252" s="19"/>
    </row>
    <row r="253" spans="1:25" x14ac:dyDescent="0.35">
      <c r="A253" s="43"/>
      <c r="B253" s="161"/>
      <c r="C253" s="161"/>
      <c r="D253" s="161"/>
      <c r="E253" s="69"/>
      <c r="F253" s="70"/>
      <c r="G253" s="70"/>
      <c r="H253" s="70"/>
      <c r="I253" s="70"/>
      <c r="J253" s="70"/>
      <c r="K253" s="20"/>
      <c r="L253" s="46" t="str">
        <f>Price!A253</f>
        <v xml:space="preserve">   Zásuvné prvky</v>
      </c>
      <c r="M253" s="15">
        <f>Price!B253</f>
        <v>0</v>
      </c>
      <c r="N253" s="15">
        <f>Price!C253</f>
        <v>0</v>
      </c>
      <c r="O253" s="472">
        <f>Price!D253</f>
        <v>0</v>
      </c>
      <c r="P253" s="15">
        <f>Price!E253</f>
        <v>0</v>
      </c>
      <c r="Q253" s="17">
        <f>Price!F253</f>
        <v>0</v>
      </c>
      <c r="R253" s="171"/>
      <c r="S253" s="171"/>
      <c r="T253" s="12">
        <f>Price!G253</f>
        <v>0</v>
      </c>
      <c r="U253" s="12">
        <f>Price!H253</f>
        <v>0</v>
      </c>
      <c r="V253" s="13"/>
      <c r="W253" s="13"/>
      <c r="X253" s="19"/>
      <c r="Y253" s="19"/>
    </row>
    <row r="254" spans="1:25" ht="15" thickBot="1" x14ac:dyDescent="0.4">
      <c r="A254" s="83" t="str">
        <f>IF($C$3=1,L254,IF($C$3=2,L255,"  chyba"))</f>
        <v>Zásuvný prvek D, 270mm, čiré sko</v>
      </c>
      <c r="B254" s="86" t="str">
        <f>IF($C$3=1,M254,IF($C$3=2,M255,"  chyba"))</f>
        <v>Z37R237D</v>
      </c>
      <c r="C254" s="86" t="str">
        <f>IF($C$3=1,N254,IF($C$3=2,N255,"  chyba"))</f>
        <v>KL</v>
      </c>
      <c r="D254" s="174" t="str">
        <f>IF($C$3=1,O254,IF($C$3=2,O255,"  chyba"))</f>
        <v>!</v>
      </c>
      <c r="E254" s="84"/>
      <c r="F254" s="85">
        <f>IF($C$3=1,Q254,IF($C$3=2,Q255,0))*(100-$F$6)/100</f>
        <v>9.78749</v>
      </c>
      <c r="G254" s="169"/>
      <c r="H254" s="169"/>
      <c r="I254" s="174">
        <f>IF($C$3=1,T254,IF($C$3=2,T255,"  chyba"))</f>
        <v>2774799</v>
      </c>
      <c r="J254" s="174">
        <f>IF($C$3=1,U254,IF($C$3=2,U255,"  chyba"))</f>
        <v>222070</v>
      </c>
      <c r="K254" s="20"/>
      <c r="L254" s="46" t="str">
        <f>Price!A254</f>
        <v>Zásuvný prvek D, 270mm, čiré sko</v>
      </c>
      <c r="M254" s="15" t="str">
        <f>Price!B254</f>
        <v>Z37R237D</v>
      </c>
      <c r="N254" s="15" t="str">
        <f>Price!C254</f>
        <v>KL</v>
      </c>
      <c r="O254" s="472" t="str">
        <f>Price!D254</f>
        <v>!</v>
      </c>
      <c r="P254" s="15">
        <f>Price!E254</f>
        <v>0</v>
      </c>
      <c r="Q254" s="17">
        <f>Price!F254</f>
        <v>9.78749</v>
      </c>
      <c r="R254" s="171"/>
      <c r="S254" s="171"/>
      <c r="T254" s="12">
        <f>Price!G254</f>
        <v>2774799</v>
      </c>
      <c r="U254" s="12">
        <f>Price!H254</f>
        <v>222070</v>
      </c>
      <c r="V254" s="13"/>
      <c r="W254" s="13"/>
      <c r="X254" s="19"/>
      <c r="Y254" s="19"/>
    </row>
    <row r="255" spans="1:25" x14ac:dyDescent="0.35">
      <c r="A255" s="43"/>
      <c r="B255" s="161"/>
      <c r="C255" s="161"/>
      <c r="D255" s="161"/>
      <c r="E255" s="69"/>
      <c r="F255" s="70"/>
      <c r="G255" s="70"/>
      <c r="H255" s="70"/>
      <c r="I255" s="70"/>
      <c r="J255" s="70"/>
      <c r="K255" s="20"/>
      <c r="L255" s="46" t="str">
        <f>Price!A255</f>
        <v>Zásuvný prvek D, 270mm, saténované sko</v>
      </c>
      <c r="M255" s="15" t="str">
        <f>Price!B255</f>
        <v>Z37R237D</v>
      </c>
      <c r="N255" s="15" t="str">
        <f>Price!C255</f>
        <v>SA</v>
      </c>
      <c r="O255" s="472" t="str">
        <f>Price!D255</f>
        <v>!</v>
      </c>
      <c r="P255" s="15">
        <f>Price!E255</f>
        <v>0</v>
      </c>
      <c r="Q255" s="17">
        <f>Price!F255</f>
        <v>11.71772</v>
      </c>
      <c r="R255" s="171"/>
      <c r="S255" s="171"/>
      <c r="T255" s="12">
        <f>Price!G255</f>
        <v>6040986</v>
      </c>
      <c r="U255" s="12">
        <f>Price!H255</f>
        <v>222071</v>
      </c>
      <c r="V255" s="13"/>
      <c r="W255" s="13"/>
      <c r="X255" s="19"/>
      <c r="Y255" s="19"/>
    </row>
    <row r="256" spans="1:25" ht="15" thickBot="1" x14ac:dyDescent="0.4">
      <c r="A256" s="83" t="str">
        <f>IF($C$3=1,L256,IF($C$3=2,L257,"  chyba"))</f>
        <v>Zásuvný prvek D, 300mm, čiré sko</v>
      </c>
      <c r="B256" s="86" t="str">
        <f>IF($C$3=1,M256,IF($C$3=2,M257,"  chyba"))</f>
        <v>Z37R267D</v>
      </c>
      <c r="C256" s="86" t="str">
        <f>IF($C$3=1,N256,IF($C$3=2,N257,"  chyba"))</f>
        <v>KL</v>
      </c>
      <c r="D256" s="174" t="str">
        <f>IF($C$3=1,O256,IF($C$3=2,O257,"  chyba"))</f>
        <v>!</v>
      </c>
      <c r="E256" s="84"/>
      <c r="F256" s="85">
        <f>IF($C$3=1,Q256,IF($C$3=2,Q257,0))*(100-$F$6)/100</f>
        <v>10.956569999999999</v>
      </c>
      <c r="G256" s="169"/>
      <c r="H256" s="169"/>
      <c r="I256" s="174">
        <f>IF($C$3=1,T256,IF($C$3=2,T257,"  chyba"))</f>
        <v>3308193</v>
      </c>
      <c r="J256" s="174">
        <f>IF($C$3=1,U256,IF($C$3=2,U257,"  chyba"))</f>
        <v>222074</v>
      </c>
      <c r="K256" s="20"/>
      <c r="L256" s="46" t="str">
        <f>Price!A256</f>
        <v>Zásuvný prvek D, 300mm, čiré sko</v>
      </c>
      <c r="M256" s="15" t="str">
        <f>Price!B256</f>
        <v>Z37R267D</v>
      </c>
      <c r="N256" s="15" t="str">
        <f>Price!C256</f>
        <v>KL</v>
      </c>
      <c r="O256" s="472" t="str">
        <f>Price!D256</f>
        <v>!</v>
      </c>
      <c r="P256" s="15">
        <f>Price!E256</f>
        <v>0</v>
      </c>
      <c r="Q256" s="17">
        <f>Price!F256</f>
        <v>10.956569999999999</v>
      </c>
      <c r="R256" s="171"/>
      <c r="S256" s="171"/>
      <c r="T256" s="12">
        <f>Price!G256</f>
        <v>3308193</v>
      </c>
      <c r="U256" s="12">
        <f>Price!H256</f>
        <v>222074</v>
      </c>
      <c r="V256" s="13"/>
      <c r="W256" s="13"/>
      <c r="X256" s="19"/>
      <c r="Y256" s="19"/>
    </row>
    <row r="257" spans="1:25" x14ac:dyDescent="0.35">
      <c r="A257" s="43"/>
      <c r="B257" s="161"/>
      <c r="C257" s="161"/>
      <c r="D257" s="161"/>
      <c r="E257" s="69"/>
      <c r="F257" s="70"/>
      <c r="G257" s="70"/>
      <c r="H257" s="70"/>
      <c r="I257" s="70"/>
      <c r="J257" s="70"/>
      <c r="K257" s="20"/>
      <c r="L257" s="46" t="str">
        <f>Price!A257</f>
        <v>Zásuvný prvek D, 300mm, saténované sko</v>
      </c>
      <c r="M257" s="15" t="str">
        <f>Price!B257</f>
        <v>Z37R267D</v>
      </c>
      <c r="N257" s="15" t="str">
        <f>Price!C257</f>
        <v>SA</v>
      </c>
      <c r="O257" s="472" t="str">
        <f>Price!D257</f>
        <v>!</v>
      </c>
      <c r="P257" s="15">
        <f>Price!E257</f>
        <v>0</v>
      </c>
      <c r="Q257" s="17">
        <f>Price!F257</f>
        <v>11.599959999999999</v>
      </c>
      <c r="R257" s="171"/>
      <c r="S257" s="171"/>
      <c r="T257" s="12">
        <f>Price!G257</f>
        <v>2389528</v>
      </c>
      <c r="U257" s="12">
        <f>Price!H257</f>
        <v>222075</v>
      </c>
      <c r="V257" s="13"/>
      <c r="W257" s="13"/>
      <c r="X257" s="19"/>
      <c r="Y257" s="19"/>
    </row>
    <row r="258" spans="1:25" ht="15" thickBot="1" x14ac:dyDescent="0.4">
      <c r="A258" s="83" t="str">
        <f>IF($C$3=1,L258,IF($C$3=2,L259,"  chyba"))</f>
        <v>Zásuvný prvek D, 350mm, čiré sko</v>
      </c>
      <c r="B258" s="86" t="str">
        <f>IF($C$3=1,M258,IF($C$3=2,M259,"  chyba"))</f>
        <v>Z37R317D</v>
      </c>
      <c r="C258" s="86" t="str">
        <f>IF($C$3=1,N258,IF($C$3=2,N259,"  chyba"))</f>
        <v>KL</v>
      </c>
      <c r="D258" s="174" t="str">
        <f>IF($C$3=1,O258,IF($C$3=2,O259,"  chyba"))</f>
        <v>!</v>
      </c>
      <c r="E258" s="84"/>
      <c r="F258" s="85">
        <f>IF($C$3=1,Q258,IF($C$3=2,Q259,0))*(100-$F$6)/100</f>
        <v>10.55153</v>
      </c>
      <c r="G258" s="169"/>
      <c r="H258" s="169"/>
      <c r="I258" s="174">
        <f>IF($C$3=1,T258,IF($C$3=2,T259,"  chyba"))</f>
        <v>7929860</v>
      </c>
      <c r="J258" s="174">
        <f>IF($C$3=1,U258,IF($C$3=2,U259,"  chyba"))</f>
        <v>222078</v>
      </c>
      <c r="K258" s="20"/>
      <c r="L258" s="46" t="str">
        <f>Price!A258</f>
        <v>Zásuvný prvek D, 350mm, čiré sko</v>
      </c>
      <c r="M258" s="15" t="str">
        <f>Price!B258</f>
        <v>Z37R317D</v>
      </c>
      <c r="N258" s="15" t="str">
        <f>Price!C258</f>
        <v>KL</v>
      </c>
      <c r="O258" s="472" t="str">
        <f>Price!D258</f>
        <v>!</v>
      </c>
      <c r="P258" s="15">
        <f>Price!E258</f>
        <v>0</v>
      </c>
      <c r="Q258" s="17">
        <f>Price!F258</f>
        <v>10.55153</v>
      </c>
      <c r="R258" s="171"/>
      <c r="S258" s="171"/>
      <c r="T258" s="12">
        <f>Price!G258</f>
        <v>7929860</v>
      </c>
      <c r="U258" s="12">
        <f>Price!H258</f>
        <v>222078</v>
      </c>
      <c r="V258" s="13"/>
      <c r="W258" s="13"/>
      <c r="X258" s="19"/>
      <c r="Y258" s="19"/>
    </row>
    <row r="259" spans="1:25" x14ac:dyDescent="0.35">
      <c r="A259" s="43"/>
      <c r="B259" s="161"/>
      <c r="C259" s="161"/>
      <c r="D259" s="161"/>
      <c r="E259" s="69"/>
      <c r="F259" s="70"/>
      <c r="G259" s="70"/>
      <c r="H259" s="70"/>
      <c r="I259" s="70"/>
      <c r="J259" s="70"/>
      <c r="K259" s="20"/>
      <c r="L259" s="46" t="str">
        <f>Price!A259</f>
        <v>Zásuvný prvek D, 350mm, saténované sko</v>
      </c>
      <c r="M259" s="15" t="str">
        <f>Price!B259</f>
        <v>Z37R317D</v>
      </c>
      <c r="N259" s="15" t="str">
        <f>Price!C259</f>
        <v>SA</v>
      </c>
      <c r="O259" s="472" t="str">
        <f>Price!D259</f>
        <v>!</v>
      </c>
      <c r="P259" s="15">
        <f>Price!E259</f>
        <v>0</v>
      </c>
      <c r="Q259" s="17">
        <f>Price!F259</f>
        <v>12.97845</v>
      </c>
      <c r="R259" s="171"/>
      <c r="S259" s="171"/>
      <c r="T259" s="12">
        <f>Price!G259</f>
        <v>3132465</v>
      </c>
      <c r="U259" s="12">
        <f>Price!H259</f>
        <v>222079</v>
      </c>
      <c r="V259" s="13"/>
      <c r="W259" s="13"/>
      <c r="X259" s="19"/>
      <c r="Y259" s="19"/>
    </row>
    <row r="260" spans="1:25" ht="15" thickBot="1" x14ac:dyDescent="0.4">
      <c r="A260" s="83" t="str">
        <f>IF($C$3=1,L260,IF($C$3=2,L261,"  chyba"))</f>
        <v>Zásuvný prvek D, 400mm, čiré sko</v>
      </c>
      <c r="B260" s="86" t="str">
        <f>IF($C$3=1,M260,IF($C$3=2,M261,"  chyba"))</f>
        <v>Z37R367D</v>
      </c>
      <c r="C260" s="86" t="str">
        <f>IF($C$3=1,N260,IF($C$3=2,N261,"  chyba"))</f>
        <v>KL</v>
      </c>
      <c r="D260" s="174">
        <f>IF($C$3=1,O260,IF($C$3=2,O261,"  chyba"))</f>
        <v>0</v>
      </c>
      <c r="E260" s="84"/>
      <c r="F260" s="85">
        <f>IF($C$3=1,Q260,IF($C$3=2,Q261,0))*(100-$F$6)/100</f>
        <v>11.739190000000001</v>
      </c>
      <c r="G260" s="169"/>
      <c r="H260" s="169"/>
      <c r="I260" s="174">
        <f>IF($C$3=1,T260,IF($C$3=2,T261,"  chyba"))</f>
        <v>1224597</v>
      </c>
      <c r="J260" s="174">
        <f>IF($C$3=1,U260,IF($C$3=2,U261,"  chyba"))</f>
        <v>222083</v>
      </c>
      <c r="K260" s="20"/>
      <c r="L260" s="46" t="str">
        <f>Price!A260</f>
        <v>Zásuvný prvek D, 400mm, čiré sko</v>
      </c>
      <c r="M260" s="15" t="str">
        <f>Price!B260</f>
        <v>Z37R367D</v>
      </c>
      <c r="N260" s="15" t="str">
        <f>Price!C260</f>
        <v>KL</v>
      </c>
      <c r="O260" s="472">
        <f>Price!D260</f>
        <v>0</v>
      </c>
      <c r="P260" s="15">
        <f>Price!E260</f>
        <v>0</v>
      </c>
      <c r="Q260" s="17">
        <f>Price!F260</f>
        <v>11.739190000000001</v>
      </c>
      <c r="R260" s="171"/>
      <c r="S260" s="171"/>
      <c r="T260" s="12">
        <f>Price!G260</f>
        <v>1224597</v>
      </c>
      <c r="U260" s="12">
        <f>Price!H260</f>
        <v>222083</v>
      </c>
      <c r="V260" s="13"/>
      <c r="W260" s="13"/>
      <c r="X260" s="19"/>
      <c r="Y260" s="19"/>
    </row>
    <row r="261" spans="1:25" x14ac:dyDescent="0.35">
      <c r="A261" s="43"/>
      <c r="B261" s="161"/>
      <c r="C261" s="161"/>
      <c r="D261" s="161"/>
      <c r="E261" s="69"/>
      <c r="F261" s="70"/>
      <c r="G261" s="70"/>
      <c r="H261" s="70"/>
      <c r="I261" s="70"/>
      <c r="J261" s="70"/>
      <c r="K261" s="20"/>
      <c r="L261" s="46" t="str">
        <f>Price!A261</f>
        <v>Zásuvný prvek D, 400mm, saténované sko</v>
      </c>
      <c r="M261" s="15" t="str">
        <f>Price!B261</f>
        <v>Z37R367D</v>
      </c>
      <c r="N261" s="15" t="str">
        <f>Price!C261</f>
        <v>SA</v>
      </c>
      <c r="O261" s="472">
        <f>Price!D261</f>
        <v>0</v>
      </c>
      <c r="P261" s="15">
        <f>Price!E261</f>
        <v>0</v>
      </c>
      <c r="Q261" s="17">
        <f>Price!F261</f>
        <v>12.74545</v>
      </c>
      <c r="R261" s="171"/>
      <c r="S261" s="171"/>
      <c r="T261" s="12">
        <f>Price!G261</f>
        <v>7491368</v>
      </c>
      <c r="U261" s="12">
        <f>Price!H261</f>
        <v>222084</v>
      </c>
      <c r="V261" s="13"/>
      <c r="W261" s="13"/>
      <c r="X261" s="19"/>
      <c r="Y261" s="19"/>
    </row>
    <row r="262" spans="1:25" ht="15" thickBot="1" x14ac:dyDescent="0.4">
      <c r="A262" s="83" t="str">
        <f>IF($C$3=1,L262,IF($C$3=2,L263,"  chyba"))</f>
        <v>Zásuvný prvek D, 450mm, čiré sko</v>
      </c>
      <c r="B262" s="86" t="str">
        <f>IF($C$3=1,M262,IF($C$3=2,M263,"  chyba"))</f>
        <v>Z37R417D</v>
      </c>
      <c r="C262" s="86" t="str">
        <f>IF($C$3=1,N262,IF($C$3=2,N263,"  chyba"))</f>
        <v>KL</v>
      </c>
      <c r="D262" s="174">
        <f>IF($C$3=1,O262,IF($C$3=2,O263,"  chyba"))</f>
        <v>0</v>
      </c>
      <c r="E262" s="84"/>
      <c r="F262" s="85">
        <f>IF($C$3=1,Q262,IF($C$3=2,Q263,0))*(100-$F$6)/100</f>
        <v>14.23917</v>
      </c>
      <c r="G262" s="169"/>
      <c r="H262" s="169"/>
      <c r="I262" s="174">
        <f>IF($C$3=1,T262,IF($C$3=2,T263,"  chyba"))</f>
        <v>2294507</v>
      </c>
      <c r="J262" s="174">
        <f>IF($C$3=1,U262,IF($C$3=2,U263,"  chyba"))</f>
        <v>222089</v>
      </c>
      <c r="K262" s="20"/>
      <c r="L262" s="46" t="str">
        <f>Price!A262</f>
        <v>Zásuvný prvek D, 450mm, čiré sko</v>
      </c>
      <c r="M262" s="15" t="str">
        <f>Price!B262</f>
        <v>Z37R417D</v>
      </c>
      <c r="N262" s="15" t="str">
        <f>Price!C262</f>
        <v>KL</v>
      </c>
      <c r="O262" s="472">
        <f>Price!D262</f>
        <v>0</v>
      </c>
      <c r="P262" s="15">
        <f>Price!E262</f>
        <v>0</v>
      </c>
      <c r="Q262" s="17">
        <f>Price!F262</f>
        <v>14.23917</v>
      </c>
      <c r="R262" s="171"/>
      <c r="S262" s="171"/>
      <c r="T262" s="12">
        <f>Price!G262</f>
        <v>2294507</v>
      </c>
      <c r="U262" s="12">
        <f>Price!H262</f>
        <v>222089</v>
      </c>
      <c r="V262" s="13"/>
      <c r="W262" s="13"/>
      <c r="X262" s="19"/>
      <c r="Y262" s="19"/>
    </row>
    <row r="263" spans="1:25" x14ac:dyDescent="0.35">
      <c r="A263" s="43"/>
      <c r="B263" s="161"/>
      <c r="C263" s="161"/>
      <c r="D263" s="161"/>
      <c r="E263" s="69"/>
      <c r="F263" s="70"/>
      <c r="G263" s="70"/>
      <c r="H263" s="70"/>
      <c r="I263" s="70"/>
      <c r="J263" s="70"/>
      <c r="K263" s="20"/>
      <c r="L263" s="46" t="str">
        <f>Price!A263</f>
        <v>Zásuvný prvek D, 450mm, saténované sko</v>
      </c>
      <c r="M263" s="15" t="str">
        <f>Price!B263</f>
        <v>Z37R417D</v>
      </c>
      <c r="N263" s="15" t="str">
        <f>Price!C263</f>
        <v>SA</v>
      </c>
      <c r="O263" s="472">
        <f>Price!D263</f>
        <v>0</v>
      </c>
      <c r="P263" s="15">
        <f>Price!E263</f>
        <v>0</v>
      </c>
      <c r="Q263" s="17">
        <f>Price!F263</f>
        <v>14.23917</v>
      </c>
      <c r="R263" s="171"/>
      <c r="S263" s="171"/>
      <c r="T263" s="12">
        <f>Price!G263</f>
        <v>1236119</v>
      </c>
      <c r="U263" s="12">
        <f>Price!H263</f>
        <v>222089</v>
      </c>
      <c r="V263" s="13"/>
      <c r="W263" s="13"/>
      <c r="X263" s="19"/>
      <c r="Y263" s="19"/>
    </row>
    <row r="264" spans="1:25" ht="15" thickBot="1" x14ac:dyDescent="0.4">
      <c r="A264" s="83" t="str">
        <f>IF($C$3=1,L264,IF($C$3=2,L265,"  chyba"))</f>
        <v>Zásuvný prvek D, 500mm, čiré sko</v>
      </c>
      <c r="B264" s="86" t="str">
        <f>IF($C$3=1,M264,IF($C$3=2,M265,"  chyba"))</f>
        <v>Z37R467D</v>
      </c>
      <c r="C264" s="86" t="str">
        <f>IF($C$3=1,N264,IF($C$3=2,N265,"  chyba"))</f>
        <v>KL</v>
      </c>
      <c r="D264" s="174">
        <f>IF($C$3=1,O264,IF($C$3=2,O265,"  chyba"))</f>
        <v>0</v>
      </c>
      <c r="E264" s="84"/>
      <c r="F264" s="85">
        <f>IF($C$3=1,Q264,IF($C$3=2,Q265,0))*(100-$F$6)/100</f>
        <v>11.697749999999999</v>
      </c>
      <c r="G264" s="169"/>
      <c r="H264" s="169"/>
      <c r="I264" s="174">
        <f>IF($C$3=1,T264,IF($C$3=2,T265,"  chyba"))</f>
        <v>2291585</v>
      </c>
      <c r="J264" s="174">
        <f>IF($C$3=1,U264,IF($C$3=2,U265,"  chyba"))</f>
        <v>222092</v>
      </c>
      <c r="K264" s="20"/>
      <c r="L264" s="46" t="str">
        <f>Price!A264</f>
        <v>Zásuvný prvek D, 500mm, čiré sko</v>
      </c>
      <c r="M264" s="15" t="str">
        <f>Price!B264</f>
        <v>Z37R467D</v>
      </c>
      <c r="N264" s="15" t="str">
        <f>Price!C264</f>
        <v>KL</v>
      </c>
      <c r="O264" s="472">
        <f>Price!D264</f>
        <v>0</v>
      </c>
      <c r="P264" s="15">
        <f>Price!E264</f>
        <v>0</v>
      </c>
      <c r="Q264" s="17">
        <f>Price!F264</f>
        <v>11.697749999999999</v>
      </c>
      <c r="R264" s="171"/>
      <c r="S264" s="171"/>
      <c r="T264" s="12">
        <f>Price!G264</f>
        <v>2291585</v>
      </c>
      <c r="U264" s="12">
        <f>Price!H264</f>
        <v>222092</v>
      </c>
      <c r="V264" s="13"/>
      <c r="W264" s="13"/>
      <c r="X264" s="19"/>
      <c r="Y264" s="19"/>
    </row>
    <row r="265" spans="1:25" x14ac:dyDescent="0.35">
      <c r="A265" s="43"/>
      <c r="B265" s="63"/>
      <c r="C265" s="63"/>
      <c r="D265" s="63"/>
      <c r="E265" s="69"/>
      <c r="F265" s="70"/>
      <c r="G265" s="70"/>
      <c r="H265" s="70"/>
      <c r="I265" s="177"/>
      <c r="J265" s="177"/>
      <c r="K265" s="20"/>
      <c r="L265" s="46" t="str">
        <f>Price!A265</f>
        <v>Zásuvný prvek D, 500mm, saténované sko</v>
      </c>
      <c r="M265" s="15" t="str">
        <f>Price!B265</f>
        <v>Z37R467D</v>
      </c>
      <c r="N265" s="15" t="str">
        <f>Price!C265</f>
        <v>SA</v>
      </c>
      <c r="O265" s="472">
        <f>Price!D265</f>
        <v>0</v>
      </c>
      <c r="P265" s="15">
        <f>Price!E265</f>
        <v>0</v>
      </c>
      <c r="Q265" s="17">
        <f>Price!F265</f>
        <v>14.86964</v>
      </c>
      <c r="R265" s="171"/>
      <c r="S265" s="171"/>
      <c r="T265" s="12">
        <f>Price!G265</f>
        <v>1699007</v>
      </c>
      <c r="U265" s="12">
        <f>Price!H265</f>
        <v>222093</v>
      </c>
      <c r="V265" s="13"/>
      <c r="W265" s="13"/>
      <c r="X265" s="19"/>
      <c r="Y265" s="19"/>
    </row>
    <row r="266" spans="1:25" ht="15" thickBot="1" x14ac:dyDescent="0.4">
      <c r="A266" s="83" t="str">
        <f>IF($C$3=1,L266,IF($C$3=2,L267,"  chyba"))</f>
        <v>Zásuvný prvek D, 550mm, čiré sko</v>
      </c>
      <c r="B266" s="86" t="str">
        <f>IF($C$3=1,M266,IF($C$3=2,M267,"  chyba"))</f>
        <v>Z37R517D</v>
      </c>
      <c r="C266" s="86" t="str">
        <f>IF($C$3=1,N266,IF($C$3=2,N267,"  chyba"))</f>
        <v>KL</v>
      </c>
      <c r="D266" s="174">
        <f>IF($C$3=1,O266,IF($C$3=2,O267,"  chyba"))</f>
        <v>0</v>
      </c>
      <c r="E266" s="84"/>
      <c r="F266" s="85">
        <f>IF($C$3=1,Q266,IF($C$3=2,Q267,0))*(100-$F$6)/100</f>
        <v>13.304410000000001</v>
      </c>
      <c r="G266" s="169"/>
      <c r="H266" s="169"/>
      <c r="I266" s="174">
        <f>IF($C$3=1,T266,IF($C$3=2,T267,"  chyba"))</f>
        <v>2557206</v>
      </c>
      <c r="J266" s="174">
        <f>IF($C$3=1,U266,IF($C$3=2,U267,"  chyba"))</f>
        <v>222097</v>
      </c>
      <c r="K266" s="47"/>
      <c r="L266" s="46" t="str">
        <f>Price!A266</f>
        <v>Zásuvný prvek D, 550mm, čiré sko</v>
      </c>
      <c r="M266" s="15" t="str">
        <f>Price!B266</f>
        <v>Z37R517D</v>
      </c>
      <c r="N266" s="15" t="str">
        <f>Price!C266</f>
        <v>KL</v>
      </c>
      <c r="O266" s="472">
        <f>Price!D266</f>
        <v>0</v>
      </c>
      <c r="P266" s="15">
        <f>Price!E266</f>
        <v>0</v>
      </c>
      <c r="Q266" s="17">
        <f>Price!F266</f>
        <v>13.304410000000001</v>
      </c>
      <c r="R266" s="171"/>
      <c r="S266" s="171"/>
      <c r="T266" s="12">
        <f>Price!G266</f>
        <v>2557206</v>
      </c>
      <c r="U266" s="12">
        <f>Price!H266</f>
        <v>222097</v>
      </c>
      <c r="V266" s="13"/>
      <c r="W266" s="13"/>
      <c r="X266" s="19"/>
      <c r="Y266" s="19"/>
    </row>
    <row r="267" spans="1:25" x14ac:dyDescent="0.35">
      <c r="A267" s="43"/>
      <c r="B267" s="381"/>
      <c r="C267" s="381"/>
      <c r="D267" s="381"/>
      <c r="E267" s="379"/>
      <c r="F267" s="380"/>
      <c r="G267" s="380"/>
      <c r="H267" s="380"/>
      <c r="I267" s="176"/>
      <c r="J267" s="176"/>
      <c r="K267" s="48"/>
      <c r="L267" s="46" t="str">
        <f>Price!A267</f>
        <v>Zásuvný prvek D, 550mm, saténované sko</v>
      </c>
      <c r="M267" s="15" t="str">
        <f>Price!B267</f>
        <v>Z37R517D</v>
      </c>
      <c r="N267" s="15" t="str">
        <f>Price!C267</f>
        <v>SA</v>
      </c>
      <c r="O267" s="472">
        <f>Price!D267</f>
        <v>0</v>
      </c>
      <c r="P267" s="15">
        <f>Price!E267</f>
        <v>0</v>
      </c>
      <c r="Q267" s="17">
        <f>Price!F267</f>
        <v>16.12961</v>
      </c>
      <c r="R267" s="171"/>
      <c r="S267" s="171"/>
      <c r="T267" s="12">
        <f>Price!G267</f>
        <v>4421646</v>
      </c>
      <c r="U267" s="12">
        <f>Price!H267</f>
        <v>222098</v>
      </c>
      <c r="V267" s="13"/>
      <c r="W267" s="13"/>
      <c r="X267" s="19"/>
      <c r="Y267" s="19"/>
    </row>
    <row r="268" spans="1:25" ht="15" thickBot="1" x14ac:dyDescent="0.4">
      <c r="A268" s="83" t="str">
        <f>IF($C$3=1,L268,IF($C$3=2,L269,"  chyba"))</f>
        <v>Zásuvný prvek D, 600mm, čiré sko</v>
      </c>
      <c r="B268" s="86" t="str">
        <f>IF($C$3=1,M268,IF($C$3=2,M269,"  chyba"))</f>
        <v>Z37R567D</v>
      </c>
      <c r="C268" s="86" t="str">
        <f>IF($C$3=1,N268,IF($C$3=2,N269,"  chyba"))</f>
        <v>KL</v>
      </c>
      <c r="D268" s="174" t="str">
        <f>IF($C$3=1,O268,IF($C$3=2,O269,"  chyba"))</f>
        <v>!</v>
      </c>
      <c r="E268" s="84"/>
      <c r="F268" s="85">
        <f>IF($C$3=1,Q268,IF($C$3=2,Q269,0))*(100-$F$6)/100</f>
        <v>14.08703</v>
      </c>
      <c r="G268" s="169"/>
      <c r="H268" s="169"/>
      <c r="I268" s="174">
        <f>IF($C$3=1,T268,IF($C$3=2,T269,"  chyba"))</f>
        <v>2317239</v>
      </c>
      <c r="J268" s="174">
        <f>IF($C$3=1,U268,IF($C$3=2,U269,"  chyba"))</f>
        <v>222102</v>
      </c>
      <c r="K268" s="48"/>
      <c r="L268" s="46" t="str">
        <f>Price!A268</f>
        <v>Zásuvný prvek D, 600mm, čiré sko</v>
      </c>
      <c r="M268" s="15" t="str">
        <f>Price!B268</f>
        <v>Z37R567D</v>
      </c>
      <c r="N268" s="15" t="str">
        <f>Price!C268</f>
        <v>KL</v>
      </c>
      <c r="O268" s="472" t="str">
        <f>Price!D268</f>
        <v>!</v>
      </c>
      <c r="P268" s="15">
        <f>Price!E268</f>
        <v>0</v>
      </c>
      <c r="Q268" s="17">
        <f>Price!F268</f>
        <v>14.08703</v>
      </c>
      <c r="R268" s="171"/>
      <c r="S268" s="171"/>
      <c r="T268" s="12">
        <f>Price!G268</f>
        <v>2317239</v>
      </c>
      <c r="U268" s="12">
        <f>Price!H268</f>
        <v>222102</v>
      </c>
      <c r="V268" s="13"/>
      <c r="W268" s="13"/>
      <c r="X268" s="19"/>
      <c r="Y268" s="19"/>
    </row>
    <row r="269" spans="1:25" x14ac:dyDescent="0.35">
      <c r="A269" s="43"/>
      <c r="B269" s="381"/>
      <c r="C269" s="381"/>
      <c r="D269" s="381"/>
      <c r="E269" s="379"/>
      <c r="F269" s="380"/>
      <c r="G269" s="380"/>
      <c r="H269" s="380"/>
      <c r="I269" s="176"/>
      <c r="J269" s="176"/>
      <c r="K269" s="48"/>
      <c r="L269" s="46" t="str">
        <f>Price!A269</f>
        <v>Zásuvný prvek D, 600mm, saténované sko</v>
      </c>
      <c r="M269" s="15" t="str">
        <f>Price!B269</f>
        <v>Z37R567D</v>
      </c>
      <c r="N269" s="15" t="str">
        <f>Price!C269</f>
        <v>SA</v>
      </c>
      <c r="O269" s="472" t="str">
        <f>Price!D269</f>
        <v>!</v>
      </c>
      <c r="P269" s="15">
        <f>Price!E269</f>
        <v>0</v>
      </c>
      <c r="Q269" s="17">
        <f>Price!F269</f>
        <v>19.4557</v>
      </c>
      <c r="R269" s="171"/>
      <c r="S269" s="171"/>
      <c r="T269" s="12">
        <f>Price!G269</f>
        <v>5772746</v>
      </c>
      <c r="U269" s="12">
        <f>Price!H269</f>
        <v>222103</v>
      </c>
      <c r="V269" s="13"/>
      <c r="W269" s="13"/>
      <c r="X269" s="19"/>
      <c r="Y269" s="19"/>
    </row>
    <row r="270" spans="1:25" ht="15" thickBot="1" x14ac:dyDescent="0.4">
      <c r="A270" s="83" t="str">
        <f>IF($C$3=1,L270,IF($C$3=2,L271,"  chyba"))</f>
        <v>Zásuvný prvek D, 650mm, čiré sko</v>
      </c>
      <c r="B270" s="86" t="str">
        <f>IF($C$3=1,M270,IF($C$3=2,M271,"  chyba"))</f>
        <v>Z37R617D</v>
      </c>
      <c r="C270" s="86" t="str">
        <f>IF($C$3=1,N270,IF($C$3=2,N271,"  chyba"))</f>
        <v>KL</v>
      </c>
      <c r="D270" s="174">
        <f>IF($C$3=1,O270,IF($C$3=2,O271,"  chyba"))</f>
        <v>0</v>
      </c>
      <c r="E270" s="84"/>
      <c r="F270" s="85">
        <f>IF($C$3=1,Q270,IF($C$3=2,Q271,0))*(100-$F$6)/100</f>
        <v>13.988720000000001</v>
      </c>
      <c r="G270" s="169"/>
      <c r="H270" s="169"/>
      <c r="I270" s="174">
        <f>IF($C$3=1,T270,IF($C$3=2,T271,"  chyba"))</f>
        <v>5253385</v>
      </c>
      <c r="J270" s="174">
        <f>IF($C$3=1,U270,IF($C$3=2,U271,"  chyba"))</f>
        <v>222106</v>
      </c>
      <c r="K270" s="48"/>
      <c r="L270" s="46" t="str">
        <f>Price!A270</f>
        <v>Zásuvný prvek D, 650mm, čiré sko</v>
      </c>
      <c r="M270" s="15" t="str">
        <f>Price!B270</f>
        <v>Z37R617D</v>
      </c>
      <c r="N270" s="15" t="str">
        <f>Price!C270</f>
        <v>KL</v>
      </c>
      <c r="O270" s="472">
        <f>Price!D270</f>
        <v>0</v>
      </c>
      <c r="P270" s="15">
        <f>Price!E270</f>
        <v>0</v>
      </c>
      <c r="Q270" s="17">
        <f>Price!F270</f>
        <v>13.988720000000001</v>
      </c>
      <c r="R270" s="171"/>
      <c r="S270" s="171"/>
      <c r="T270" s="12">
        <f>Price!G270</f>
        <v>5253385</v>
      </c>
      <c r="U270" s="12">
        <f>Price!H270</f>
        <v>222106</v>
      </c>
      <c r="V270" s="13"/>
      <c r="W270" s="13"/>
      <c r="X270" s="19"/>
      <c r="Y270" s="19"/>
    </row>
    <row r="271" spans="1:25" x14ac:dyDescent="0.35">
      <c r="A271" s="43"/>
      <c r="B271" s="381"/>
      <c r="C271" s="381"/>
      <c r="D271" s="381"/>
      <c r="E271" s="379"/>
      <c r="F271" s="380"/>
      <c r="G271" s="380"/>
      <c r="H271" s="380"/>
      <c r="I271" s="176"/>
      <c r="J271" s="176"/>
      <c r="K271" s="48"/>
      <c r="L271" s="46" t="str">
        <f>Price!A271</f>
        <v>Zásuvný prvek D, 650mm, saténované sko</v>
      </c>
      <c r="M271" s="15" t="str">
        <f>Price!B271</f>
        <v>Z37R617D</v>
      </c>
      <c r="N271" s="15" t="str">
        <f>Price!C271</f>
        <v>SA</v>
      </c>
      <c r="O271" s="472">
        <f>Price!D271</f>
        <v>0</v>
      </c>
      <c r="P271" s="15">
        <f>Price!E271</f>
        <v>0</v>
      </c>
      <c r="Q271" s="17">
        <f>Price!F271</f>
        <v>21.748750000000001</v>
      </c>
      <c r="R271" s="171"/>
      <c r="S271" s="171"/>
      <c r="T271" s="12">
        <f>Price!G271</f>
        <v>3645981</v>
      </c>
      <c r="U271" s="12">
        <f>Price!H271</f>
        <v>222108</v>
      </c>
      <c r="V271" s="13"/>
      <c r="W271" s="13"/>
      <c r="X271" s="19"/>
      <c r="Y271" s="19"/>
    </row>
    <row r="272" spans="1:25" x14ac:dyDescent="0.35">
      <c r="A272" s="62"/>
      <c r="B272" s="161"/>
      <c r="C272" s="161"/>
      <c r="D272" s="161"/>
      <c r="E272" s="64"/>
      <c r="F272" s="50"/>
      <c r="G272" s="50"/>
      <c r="H272" s="50"/>
      <c r="I272" s="176"/>
      <c r="J272" s="176"/>
      <c r="K272" s="48"/>
      <c r="L272" s="46">
        <f>Price!A272</f>
        <v>0</v>
      </c>
      <c r="M272" s="15">
        <f>Price!B272</f>
        <v>0</v>
      </c>
      <c r="N272" s="15">
        <f>Price!C272</f>
        <v>0</v>
      </c>
      <c r="O272" s="472">
        <f>Price!D272</f>
        <v>0</v>
      </c>
      <c r="P272" s="15">
        <f>Price!E272</f>
        <v>0</v>
      </c>
      <c r="Q272" s="17">
        <f>Price!F272</f>
        <v>0</v>
      </c>
      <c r="R272" s="171"/>
      <c r="S272" s="171"/>
      <c r="T272" s="12">
        <f>Price!G272</f>
        <v>0</v>
      </c>
      <c r="U272" s="12">
        <f>Price!H272</f>
        <v>0</v>
      </c>
      <c r="V272" s="13"/>
      <c r="W272" s="13"/>
      <c r="X272" s="19"/>
      <c r="Y272" s="19"/>
    </row>
    <row r="273" spans="1:25" ht="15" thickBot="1" x14ac:dyDescent="0.4">
      <c r="A273" s="83" t="str">
        <f>IF($C$3=1,L273,IF($C$3=2,L274,"  chyba"))</f>
        <v>Zásuvný prvek C, 270mm, čiré sko</v>
      </c>
      <c r="B273" s="86" t="str">
        <f>IF($C$3=1,M273,IF($C$3=2,M274,"  chyba"))</f>
        <v>Z37R237C</v>
      </c>
      <c r="C273" s="86" t="str">
        <f>IF($C$3=1,N273,IF($C$3=2,N274,"  chyba"))</f>
        <v>KL</v>
      </c>
      <c r="D273" s="174" t="str">
        <f>IF($C$3=1,O273,IF($C$3=2,O274,"  chyba"))</f>
        <v>!</v>
      </c>
      <c r="E273" s="84"/>
      <c r="F273" s="85">
        <f>IF($C$3=1,Q273,IF($C$3=2,Q274,0))*(100-$F$6)/100</f>
        <v>7.9598199999999997</v>
      </c>
      <c r="G273" s="169"/>
      <c r="H273" s="169"/>
      <c r="I273" s="174">
        <f>IF($C$3=1,T273,IF($C$3=2,T274,"  chyba"))</f>
        <v>3804408</v>
      </c>
      <c r="J273" s="174">
        <f>IF($C$3=1,U273,IF($C$3=2,U274,"  chyba"))</f>
        <v>222067</v>
      </c>
      <c r="K273" s="48"/>
      <c r="L273" s="46" t="str">
        <f>Price!A273</f>
        <v>Zásuvný prvek C, 270mm, čiré sko</v>
      </c>
      <c r="M273" s="15" t="str">
        <f>Price!B273</f>
        <v>Z37R237C</v>
      </c>
      <c r="N273" s="15" t="str">
        <f>Price!C273</f>
        <v>KL</v>
      </c>
      <c r="O273" s="472" t="str">
        <f>Price!D273</f>
        <v>!</v>
      </c>
      <c r="P273" s="15">
        <f>Price!E273</f>
        <v>0</v>
      </c>
      <c r="Q273" s="17">
        <f>Price!F273</f>
        <v>7.9598199999999997</v>
      </c>
      <c r="R273" s="171"/>
      <c r="S273" s="171"/>
      <c r="T273" s="12">
        <f>Price!G273</f>
        <v>3804408</v>
      </c>
      <c r="U273" s="12">
        <f>Price!H273</f>
        <v>222067</v>
      </c>
      <c r="V273" s="13"/>
      <c r="W273" s="13"/>
      <c r="X273" s="19"/>
      <c r="Y273" s="19"/>
    </row>
    <row r="274" spans="1:25" x14ac:dyDescent="0.35">
      <c r="A274" s="43"/>
      <c r="B274" s="162"/>
      <c r="C274" s="162"/>
      <c r="D274" s="162"/>
      <c r="E274" s="69"/>
      <c r="F274" s="50"/>
      <c r="G274" s="50"/>
      <c r="H274" s="50"/>
      <c r="I274" s="50"/>
      <c r="J274" s="50"/>
      <c r="K274" s="48"/>
      <c r="L274" s="46" t="str">
        <f>Price!A274</f>
        <v>Zásuvný prvek C, 270mm, saténované sko</v>
      </c>
      <c r="M274" s="15" t="str">
        <f>Price!B274</f>
        <v>Z37R237C</v>
      </c>
      <c r="N274" s="15" t="str">
        <f>Price!C274</f>
        <v>SA</v>
      </c>
      <c r="O274" s="472" t="str">
        <f>Price!D274</f>
        <v>!</v>
      </c>
      <c r="P274" s="15">
        <f>Price!E274</f>
        <v>0</v>
      </c>
      <c r="Q274" s="17">
        <f>Price!F274</f>
        <v>9.1994699999999998</v>
      </c>
      <c r="R274" s="171"/>
      <c r="S274" s="171"/>
      <c r="T274" s="12">
        <f>Price!G274</f>
        <v>5036146</v>
      </c>
      <c r="U274" s="12">
        <f>Price!H274</f>
        <v>222069</v>
      </c>
      <c r="V274" s="13"/>
      <c r="W274" s="13"/>
      <c r="X274" s="19"/>
      <c r="Y274" s="19"/>
    </row>
    <row r="275" spans="1:25" ht="15" thickBot="1" x14ac:dyDescent="0.4">
      <c r="A275" s="83" t="str">
        <f>IF($C$3=1,L275,IF($C$3=2,L276,"  chyba"))</f>
        <v>Zásuvný prvek C 300mm, čiré sko</v>
      </c>
      <c r="B275" s="86" t="str">
        <f>IF($C$3=1,M275,IF($C$3=2,M276,"  chyba"))</f>
        <v>Z37R267C</v>
      </c>
      <c r="C275" s="86" t="str">
        <f>IF($C$3=1,N275,IF($C$3=2,N276,"  chyba"))</f>
        <v>KL</v>
      </c>
      <c r="D275" s="174" t="str">
        <f>IF($C$3=1,O275,IF($C$3=2,O276,"  chyba"))</f>
        <v>!</v>
      </c>
      <c r="E275" s="84"/>
      <c r="F275" s="85">
        <f>IF($C$3=1,Q275,IF($C$3=2,Q276,0))*(100-$F$6)/100</f>
        <v>8.3418399999999995</v>
      </c>
      <c r="G275" s="169"/>
      <c r="H275" s="169"/>
      <c r="I275" s="174">
        <f>IF($C$3=1,T275,IF($C$3=2,T276,"  chyba"))</f>
        <v>5859728</v>
      </c>
      <c r="J275" s="174">
        <f>IF($C$3=1,U275,IF($C$3=2,U276,"  chyba"))</f>
        <v>222072</v>
      </c>
      <c r="K275" s="48"/>
      <c r="L275" s="46" t="str">
        <f>Price!A275</f>
        <v>Zásuvný prvek C 300mm, čiré sko</v>
      </c>
      <c r="M275" s="15" t="str">
        <f>Price!B275</f>
        <v>Z37R267C</v>
      </c>
      <c r="N275" s="15" t="str">
        <f>Price!C275</f>
        <v>KL</v>
      </c>
      <c r="O275" s="472" t="str">
        <f>Price!D275</f>
        <v>!</v>
      </c>
      <c r="P275" s="15">
        <f>Price!E275</f>
        <v>0</v>
      </c>
      <c r="Q275" s="17">
        <f>Price!F275</f>
        <v>8.3418399999999995</v>
      </c>
      <c r="R275" s="171"/>
      <c r="S275" s="171"/>
      <c r="T275" s="12">
        <f>Price!G275</f>
        <v>5859728</v>
      </c>
      <c r="U275" s="12">
        <f>Price!H275</f>
        <v>222072</v>
      </c>
      <c r="V275" s="13"/>
      <c r="W275" s="13"/>
      <c r="X275" s="19"/>
      <c r="Y275" s="19"/>
    </row>
    <row r="276" spans="1:25" x14ac:dyDescent="0.35">
      <c r="A276" s="43"/>
      <c r="B276" s="162"/>
      <c r="C276" s="162"/>
      <c r="D276" s="162"/>
      <c r="E276" s="69"/>
      <c r="F276" s="50"/>
      <c r="G276" s="50"/>
      <c r="H276" s="50"/>
      <c r="I276" s="50"/>
      <c r="J276" s="50"/>
      <c r="K276" s="48"/>
      <c r="L276" s="46" t="str">
        <f>Price!A276</f>
        <v>Zásuvný prvek C, 300mm, saténované sko</v>
      </c>
      <c r="M276" s="15" t="str">
        <f>Price!B276</f>
        <v>Z37R267C</v>
      </c>
      <c r="N276" s="15" t="str">
        <f>Price!C276</f>
        <v>SA</v>
      </c>
      <c r="O276" s="472" t="str">
        <f>Price!D276</f>
        <v>!</v>
      </c>
      <c r="P276" s="15">
        <f>Price!E276</f>
        <v>0</v>
      </c>
      <c r="Q276" s="17">
        <f>Price!F276</f>
        <v>9.7722999999999995</v>
      </c>
      <c r="R276" s="171"/>
      <c r="S276" s="171"/>
      <c r="T276" s="12">
        <f>Price!G276</f>
        <v>8132199</v>
      </c>
      <c r="U276" s="12">
        <f>Price!H276</f>
        <v>222073</v>
      </c>
      <c r="V276" s="13"/>
      <c r="W276" s="13"/>
      <c r="X276" s="19"/>
      <c r="Y276" s="19"/>
    </row>
    <row r="277" spans="1:25" ht="15" thickBot="1" x14ac:dyDescent="0.4">
      <c r="A277" s="83" t="str">
        <f>IF($C$3=1,L277,IF($C$3=2,L278,"  chyba"))</f>
        <v>Zásuvný prvek C, 350mm, čiré sko</v>
      </c>
      <c r="B277" s="86" t="str">
        <f>IF($C$3=1,M277,IF($C$3=2,M278,"  chyba"))</f>
        <v>Z37R317C</v>
      </c>
      <c r="C277" s="86" t="str">
        <f>IF($C$3=1,N277,IF($C$3=2,N278,"  chyba"))</f>
        <v>KL</v>
      </c>
      <c r="D277" s="174" t="str">
        <f>IF($C$3=1,O277,IF($C$3=2,O278,"  chyba"))</f>
        <v>!</v>
      </c>
      <c r="E277" s="84"/>
      <c r="F277" s="85">
        <f>IF($C$3=1,Q277,IF($C$3=2,Q278,0))*(100-$F$6)/100</f>
        <v>8.7239199999999997</v>
      </c>
      <c r="G277" s="169"/>
      <c r="H277" s="169"/>
      <c r="I277" s="174">
        <f>IF($C$3=1,T277,IF($C$3=2,T278,"  chyba"))</f>
        <v>4171919</v>
      </c>
      <c r="J277" s="174">
        <f>IF($C$3=1,U277,IF($C$3=2,U278,"  chyba"))</f>
        <v>222076</v>
      </c>
      <c r="K277" s="48"/>
      <c r="L277" s="46" t="str">
        <f>Price!A277</f>
        <v>Zásuvný prvek C, 350mm, čiré sko</v>
      </c>
      <c r="M277" s="15" t="str">
        <f>Price!B277</f>
        <v>Z37R317C</v>
      </c>
      <c r="N277" s="15" t="str">
        <f>Price!C277</f>
        <v>KL</v>
      </c>
      <c r="O277" s="472" t="str">
        <f>Price!D277</f>
        <v>!</v>
      </c>
      <c r="P277" s="15">
        <f>Price!E277</f>
        <v>0</v>
      </c>
      <c r="Q277" s="17">
        <f>Price!F277</f>
        <v>8.7239199999999997</v>
      </c>
      <c r="R277" s="171"/>
      <c r="S277" s="171"/>
      <c r="T277" s="12">
        <f>Price!G277</f>
        <v>4171919</v>
      </c>
      <c r="U277" s="12">
        <f>Price!H277</f>
        <v>222076</v>
      </c>
      <c r="V277" s="13"/>
      <c r="W277" s="13"/>
      <c r="X277" s="19"/>
      <c r="Y277" s="19"/>
    </row>
    <row r="278" spans="1:25" x14ac:dyDescent="0.35">
      <c r="A278" s="43"/>
      <c r="B278" s="162"/>
      <c r="C278" s="162"/>
      <c r="D278" s="162"/>
      <c r="E278" s="69"/>
      <c r="F278" s="50"/>
      <c r="G278" s="50"/>
      <c r="H278" s="50"/>
      <c r="I278" s="50"/>
      <c r="J278" s="50"/>
      <c r="K278" s="48"/>
      <c r="L278" s="46" t="str">
        <f>Price!A278</f>
        <v>Zásuvný prvek C, 350mm, saténované sko</v>
      </c>
      <c r="M278" s="15" t="str">
        <f>Price!B278</f>
        <v>Z37R317C</v>
      </c>
      <c r="N278" s="15" t="str">
        <f>Price!C278</f>
        <v>SA</v>
      </c>
      <c r="O278" s="472" t="str">
        <f>Price!D278</f>
        <v>!</v>
      </c>
      <c r="P278" s="15">
        <f>Price!E278</f>
        <v>0</v>
      </c>
      <c r="Q278" s="17">
        <f>Price!F278</f>
        <v>10.34498</v>
      </c>
      <c r="R278" s="171"/>
      <c r="S278" s="171"/>
      <c r="T278" s="12">
        <f>Price!G278</f>
        <v>7015370</v>
      </c>
      <c r="U278" s="12">
        <f>Price!H278</f>
        <v>222077</v>
      </c>
      <c r="V278" s="13"/>
      <c r="W278" s="13"/>
      <c r="X278" s="19"/>
      <c r="Y278" s="19"/>
    </row>
    <row r="279" spans="1:25" ht="15" thickBot="1" x14ac:dyDescent="0.4">
      <c r="A279" s="83" t="str">
        <f>IF($C$3=1,L279,IF($C$3=2,L280,"  chyba"))</f>
        <v>Zásuvný prvek C, 400mm, čiré sko</v>
      </c>
      <c r="B279" s="86" t="str">
        <f>IF($C$3=1,M279,IF($C$3=2,M280,"  chyba"))</f>
        <v>Z37R367C</v>
      </c>
      <c r="C279" s="86" t="str">
        <f>IF($C$3=1,N279,IF($C$3=2,N280,"  chyba"))</f>
        <v>KL</v>
      </c>
      <c r="D279" s="174" t="str">
        <f>IF($C$3=1,O279,IF($C$3=2,O280,"  chyba"))</f>
        <v>!</v>
      </c>
      <c r="E279" s="84"/>
      <c r="F279" s="85">
        <f>IF($C$3=1,Q279,IF($C$3=2,Q280,0))*(100-$F$6)/100</f>
        <v>9.1059199999999993</v>
      </c>
      <c r="G279" s="169"/>
      <c r="H279" s="169"/>
      <c r="I279" s="174">
        <f>IF($C$3=1,T279,IF($C$3=2,T280,"  chyba"))</f>
        <v>5254946</v>
      </c>
      <c r="J279" s="174">
        <f>IF($C$3=1,U279,IF($C$3=2,U280,"  chyba"))</f>
        <v>222081</v>
      </c>
      <c r="K279" s="48"/>
      <c r="L279" s="46" t="str">
        <f>Price!A279</f>
        <v>Zásuvný prvek C, 400mm, čiré sko</v>
      </c>
      <c r="M279" s="15" t="str">
        <f>Price!B279</f>
        <v>Z37R367C</v>
      </c>
      <c r="N279" s="15" t="str">
        <f>Price!C279</f>
        <v>KL</v>
      </c>
      <c r="O279" s="472" t="str">
        <f>Price!D279</f>
        <v>!</v>
      </c>
      <c r="P279" s="15">
        <f>Price!E279</f>
        <v>0</v>
      </c>
      <c r="Q279" s="17">
        <f>Price!F279</f>
        <v>9.1059199999999993</v>
      </c>
      <c r="R279" s="171"/>
      <c r="S279" s="171"/>
      <c r="T279" s="12">
        <f>Price!G279</f>
        <v>5254946</v>
      </c>
      <c r="U279" s="12">
        <f>Price!H279</f>
        <v>222081</v>
      </c>
      <c r="V279" s="13"/>
      <c r="W279" s="13"/>
      <c r="X279" s="19"/>
      <c r="Y279" s="19"/>
    </row>
    <row r="280" spans="1:25" x14ac:dyDescent="0.35">
      <c r="A280" s="43"/>
      <c r="B280" s="162"/>
      <c r="C280" s="162"/>
      <c r="D280" s="162"/>
      <c r="E280" s="69"/>
      <c r="F280" s="50"/>
      <c r="G280" s="50"/>
      <c r="H280" s="50"/>
      <c r="I280" s="50"/>
      <c r="J280" s="50"/>
      <c r="K280" s="48"/>
      <c r="L280" s="46" t="str">
        <f>Price!A280</f>
        <v>Zásuvný prvek C, 400mm, saténované sko</v>
      </c>
      <c r="M280" s="15" t="str">
        <f>Price!B280</f>
        <v>Z37R367C</v>
      </c>
      <c r="N280" s="15" t="str">
        <f>Price!C280</f>
        <v>SA</v>
      </c>
      <c r="O280" s="472" t="str">
        <f>Price!D280</f>
        <v>!</v>
      </c>
      <c r="P280" s="15">
        <f>Price!E280</f>
        <v>0</v>
      </c>
      <c r="Q280" s="17">
        <f>Price!F280</f>
        <v>10.917809999999999</v>
      </c>
      <c r="R280" s="171"/>
      <c r="S280" s="171"/>
      <c r="T280" s="12">
        <f>Price!G280</f>
        <v>2409562</v>
      </c>
      <c r="U280" s="12">
        <f>Price!H280</f>
        <v>222082</v>
      </c>
      <c r="V280" s="13"/>
      <c r="W280" s="13"/>
      <c r="X280" s="19"/>
      <c r="Y280" s="19"/>
    </row>
    <row r="281" spans="1:25" ht="15" thickBot="1" x14ac:dyDescent="0.4">
      <c r="A281" s="83" t="str">
        <f>IF($C$3=1,L281,IF($C$3=2,L282,"  chyba"))</f>
        <v>Zásuvný prvek C, 450mm, čiré sko</v>
      </c>
      <c r="B281" s="86" t="str">
        <f>IF($C$3=1,M281,IF($C$3=2,M282,"  chyba"))</f>
        <v>Z37R417C</v>
      </c>
      <c r="C281" s="86" t="str">
        <f>IF($C$3=1,N281,IF($C$3=2,N282,"  chyba"))</f>
        <v>KL</v>
      </c>
      <c r="D281" s="174" t="str">
        <f>IF($C$3=1,O281,IF($C$3=2,O282,"  chyba"))</f>
        <v>!</v>
      </c>
      <c r="E281" s="84"/>
      <c r="F281" s="85">
        <f>IF($C$3=1,Q281,IF($C$3=2,Q282,0))*(100-$F$6)/100</f>
        <v>9.4879499999999997</v>
      </c>
      <c r="G281" s="169"/>
      <c r="H281" s="169"/>
      <c r="I281" s="174">
        <f>IF($C$3=1,T281,IF($C$3=2,T282,"  chyba"))</f>
        <v>9507673</v>
      </c>
      <c r="J281" s="174">
        <f>IF($C$3=1,U281,IF($C$3=2,U282,"  chyba"))</f>
        <v>222085</v>
      </c>
      <c r="K281" s="48"/>
      <c r="L281" s="46" t="str">
        <f>Price!A281</f>
        <v>Zásuvný prvek C, 450mm, čiré sko</v>
      </c>
      <c r="M281" s="15" t="str">
        <f>Price!B281</f>
        <v>Z37R417C</v>
      </c>
      <c r="N281" s="15" t="str">
        <f>Price!C281</f>
        <v>KL</v>
      </c>
      <c r="O281" s="472" t="str">
        <f>Price!D281</f>
        <v>!</v>
      </c>
      <c r="P281" s="15">
        <f>Price!E281</f>
        <v>0</v>
      </c>
      <c r="Q281" s="17">
        <f>Price!F281</f>
        <v>9.4879499999999997</v>
      </c>
      <c r="R281" s="171"/>
      <c r="S281" s="171"/>
      <c r="T281" s="12">
        <f>Price!G281</f>
        <v>9507673</v>
      </c>
      <c r="U281" s="12">
        <f>Price!H281</f>
        <v>222085</v>
      </c>
      <c r="V281" s="13"/>
      <c r="W281" s="13"/>
      <c r="X281" s="19"/>
      <c r="Y281" s="19"/>
    </row>
    <row r="282" spans="1:25" x14ac:dyDescent="0.35">
      <c r="A282" s="43"/>
      <c r="B282" s="162"/>
      <c r="C282" s="162"/>
      <c r="D282" s="162"/>
      <c r="E282" s="69"/>
      <c r="F282" s="50"/>
      <c r="G282" s="50"/>
      <c r="H282" s="50"/>
      <c r="I282" s="50"/>
      <c r="J282" s="50"/>
      <c r="K282" s="48"/>
      <c r="L282" s="46" t="str">
        <f>Price!A282</f>
        <v>Zásuvný prvek C, 450mm, saténované sko</v>
      </c>
      <c r="M282" s="15" t="str">
        <f>Price!B282</f>
        <v>Z37R417C</v>
      </c>
      <c r="N282" s="15" t="str">
        <f>Price!C282</f>
        <v>SA</v>
      </c>
      <c r="O282" s="472" t="str">
        <f>Price!D282</f>
        <v>!</v>
      </c>
      <c r="P282" s="15">
        <f>Price!E282</f>
        <v>0</v>
      </c>
      <c r="Q282" s="17">
        <f>Price!F282</f>
        <v>11.49065</v>
      </c>
      <c r="R282" s="171"/>
      <c r="S282" s="171"/>
      <c r="T282" s="12">
        <f>Price!G282</f>
        <v>1253534</v>
      </c>
      <c r="U282" s="12">
        <f>Price!H282</f>
        <v>222086</v>
      </c>
      <c r="V282" s="13"/>
      <c r="W282" s="13"/>
      <c r="X282" s="19"/>
      <c r="Y282" s="19"/>
    </row>
    <row r="283" spans="1:25" ht="15" thickBot="1" x14ac:dyDescent="0.4">
      <c r="A283" s="83" t="str">
        <f>IF($C$3=1,L283,IF($C$3=2,L284,"  chyba"))</f>
        <v>Zásuvný prvek C, 500mm, čiré sko</v>
      </c>
      <c r="B283" s="86" t="str">
        <f>IF($C$3=1,M283,IF($C$3=2,M284,"  chyba"))</f>
        <v>Z37R467C</v>
      </c>
      <c r="C283" s="86" t="str">
        <f>IF($C$3=1,N283,IF($C$3=2,N284,"  chyba"))</f>
        <v>KL</v>
      </c>
      <c r="D283" s="174">
        <f>IF($C$3=1,O283,IF($C$3=2,O284,"  chyba"))</f>
        <v>0</v>
      </c>
      <c r="E283" s="84"/>
      <c r="F283" s="85">
        <f>IF($C$3=1,Q283,IF($C$3=2,Q284,0))*(100-$F$6)/100</f>
        <v>10.56526</v>
      </c>
      <c r="G283" s="169"/>
      <c r="H283" s="169"/>
      <c r="I283" s="174">
        <f>IF($C$3=1,T283,IF($C$3=2,T284,"  chyba"))</f>
        <v>7291705</v>
      </c>
      <c r="J283" s="174">
        <f>IF($C$3=1,U283,IF($C$3=2,U284,"  chyba"))</f>
        <v>222090</v>
      </c>
      <c r="K283" s="48"/>
      <c r="L283" s="46" t="str">
        <f>Price!A283</f>
        <v>Zásuvný prvek C, 500mm, čiré sko</v>
      </c>
      <c r="M283" s="15" t="str">
        <f>Price!B283</f>
        <v>Z37R467C</v>
      </c>
      <c r="N283" s="15" t="str">
        <f>Price!C283</f>
        <v>KL</v>
      </c>
      <c r="O283" s="472">
        <f>Price!D283</f>
        <v>0</v>
      </c>
      <c r="P283" s="15">
        <f>Price!E283</f>
        <v>0</v>
      </c>
      <c r="Q283" s="17">
        <f>Price!F283</f>
        <v>10.56526</v>
      </c>
      <c r="R283" s="171"/>
      <c r="S283" s="171"/>
      <c r="T283" s="12">
        <f>Price!G283</f>
        <v>7291705</v>
      </c>
      <c r="U283" s="12">
        <f>Price!H283</f>
        <v>222090</v>
      </c>
      <c r="V283" s="13"/>
      <c r="W283" s="13"/>
      <c r="X283" s="19"/>
      <c r="Y283" s="19"/>
    </row>
    <row r="284" spans="1:25" x14ac:dyDescent="0.35">
      <c r="A284" s="43"/>
      <c r="B284" s="162"/>
      <c r="C284" s="162"/>
      <c r="D284" s="162"/>
      <c r="E284" s="69"/>
      <c r="F284" s="50"/>
      <c r="G284" s="50"/>
      <c r="H284" s="50"/>
      <c r="I284" s="50"/>
      <c r="J284" s="50"/>
      <c r="K284" s="48"/>
      <c r="L284" s="46" t="str">
        <f>Price!A284</f>
        <v>Zásuvný prvek C, 500mm, saténované sko</v>
      </c>
      <c r="M284" s="15" t="str">
        <f>Price!B284</f>
        <v>Z37R467C</v>
      </c>
      <c r="N284" s="15" t="str">
        <f>Price!C284</f>
        <v>SA</v>
      </c>
      <c r="O284" s="472">
        <f>Price!D284</f>
        <v>0</v>
      </c>
      <c r="P284" s="15">
        <f>Price!E284</f>
        <v>0</v>
      </c>
      <c r="Q284" s="17">
        <f>Price!F284</f>
        <v>12.9131</v>
      </c>
      <c r="R284" s="171"/>
      <c r="S284" s="171"/>
      <c r="T284" s="12">
        <f>Price!G284</f>
        <v>3964623</v>
      </c>
      <c r="U284" s="12">
        <f>Price!H284</f>
        <v>222091</v>
      </c>
      <c r="V284" s="13"/>
      <c r="W284" s="13"/>
      <c r="X284" s="19"/>
      <c r="Y284" s="19"/>
    </row>
    <row r="285" spans="1:25" ht="15" thickBot="1" x14ac:dyDescent="0.4">
      <c r="A285" s="83" t="str">
        <f>IF($C$3=1,L285,IF($C$3=2,L286,"  chyba"))</f>
        <v>Zásuvný prvek C, 550mm, čiré sko</v>
      </c>
      <c r="B285" s="86" t="str">
        <f>IF($C$3=1,M285,IF($C$3=2,M286,"  chyba"))</f>
        <v>Z37R517C</v>
      </c>
      <c r="C285" s="86" t="str">
        <f>IF($C$3=1,N285,IF($C$3=2,N286,"  chyba"))</f>
        <v>KL</v>
      </c>
      <c r="D285" s="174" t="str">
        <f>IF($C$3=1,O285,IF($C$3=2,O286,"  chyba"))</f>
        <v>!</v>
      </c>
      <c r="E285" s="84"/>
      <c r="F285" s="85">
        <f>IF($C$3=1,Q285,IF($C$3=2,Q286,0))*(100-$F$6)/100</f>
        <v>10.63378</v>
      </c>
      <c r="G285" s="169"/>
      <c r="H285" s="169"/>
      <c r="I285" s="174">
        <f>IF($C$3=1,T285,IF($C$3=2,T286,"  chyba"))</f>
        <v>5688629</v>
      </c>
      <c r="J285" s="174">
        <f>IF($C$3=1,U285,IF($C$3=2,U286,"  chyba"))</f>
        <v>222094</v>
      </c>
      <c r="K285" s="48"/>
      <c r="L285" s="46" t="str">
        <f>Price!A285</f>
        <v>Zásuvný prvek C, 550mm, čiré sko</v>
      </c>
      <c r="M285" s="15" t="str">
        <f>Price!B285</f>
        <v>Z37R517C</v>
      </c>
      <c r="N285" s="15" t="str">
        <f>Price!C285</f>
        <v>KL</v>
      </c>
      <c r="O285" s="472" t="str">
        <f>Price!D285</f>
        <v>!</v>
      </c>
      <c r="P285" s="15">
        <f>Price!E285</f>
        <v>0</v>
      </c>
      <c r="Q285" s="17">
        <f>Price!F285</f>
        <v>10.63378</v>
      </c>
      <c r="R285" s="171"/>
      <c r="S285" s="171"/>
      <c r="T285" s="12">
        <f>Price!G285</f>
        <v>5688629</v>
      </c>
      <c r="U285" s="12">
        <f>Price!H285</f>
        <v>222094</v>
      </c>
      <c r="V285" s="13"/>
      <c r="W285" s="13"/>
      <c r="X285" s="19"/>
      <c r="Y285" s="19"/>
    </row>
    <row r="286" spans="1:25" x14ac:dyDescent="0.35">
      <c r="A286" s="43"/>
      <c r="B286" s="162"/>
      <c r="C286" s="162"/>
      <c r="D286" s="162"/>
      <c r="E286" s="69"/>
      <c r="F286" s="50"/>
      <c r="G286" s="50"/>
      <c r="H286" s="50"/>
      <c r="I286" s="50"/>
      <c r="J286" s="50"/>
      <c r="K286" s="48"/>
      <c r="L286" s="46" t="str">
        <f>Price!A286</f>
        <v>Zásuvný prvek C, 550mm, saténované sko</v>
      </c>
      <c r="M286" s="15" t="str">
        <f>Price!B286</f>
        <v>Z37R517C</v>
      </c>
      <c r="N286" s="15" t="str">
        <f>Price!C286</f>
        <v>SA</v>
      </c>
      <c r="O286" s="472" t="str">
        <f>Price!D286</f>
        <v>!</v>
      </c>
      <c r="P286" s="15">
        <f>Price!E286</f>
        <v>0</v>
      </c>
      <c r="Q286" s="17">
        <f>Price!F286</f>
        <v>14.302</v>
      </c>
      <c r="R286" s="171"/>
      <c r="S286" s="171"/>
      <c r="T286" s="12">
        <f>Price!G286</f>
        <v>7608000</v>
      </c>
      <c r="U286" s="12">
        <f>Price!H286</f>
        <v>222095</v>
      </c>
      <c r="V286" s="13"/>
      <c r="W286" s="13"/>
      <c r="X286" s="19"/>
      <c r="Y286" s="19"/>
    </row>
    <row r="287" spans="1:25" ht="15" thickBot="1" x14ac:dyDescent="0.4">
      <c r="A287" s="83" t="str">
        <f>IF($C$3=1,L287,IF($C$3=2,L288,"  chyba"))</f>
        <v>Zásuvný prvek C, 600mm, čiré sko</v>
      </c>
      <c r="B287" s="86" t="str">
        <f>IF($C$3=1,M287,IF($C$3=2,M288,"  chyba"))</f>
        <v>Z37R567C</v>
      </c>
      <c r="C287" s="86" t="str">
        <f>IF($C$3=1,N287,IF($C$3=2,N288,"  chyba"))</f>
        <v>KL</v>
      </c>
      <c r="D287" s="174" t="str">
        <f>IF($C$3=1,O287,IF($C$3=2,O288,"  chyba"))</f>
        <v>!</v>
      </c>
      <c r="E287" s="84"/>
      <c r="F287" s="85">
        <f>IF($C$3=1,Q287,IF($C$3=2,Q288,0))*(100-$F$6)/100</f>
        <v>11.39742</v>
      </c>
      <c r="G287" s="169"/>
      <c r="H287" s="169"/>
      <c r="I287" s="174">
        <f>IF($C$3=1,T287,IF($C$3=2,T288,"  chyba"))</f>
        <v>9544431</v>
      </c>
      <c r="J287" s="174">
        <f>IF($C$3=1,U287,IF($C$3=2,U288,"  chyba"))</f>
        <v>222099</v>
      </c>
      <c r="K287" s="48"/>
      <c r="L287" s="46" t="str">
        <f>Price!A287</f>
        <v>Zásuvný prvek C, 600mm, čiré sko</v>
      </c>
      <c r="M287" s="15" t="str">
        <f>Price!B287</f>
        <v>Z37R567C</v>
      </c>
      <c r="N287" s="15" t="str">
        <f>Price!C287</f>
        <v>KL</v>
      </c>
      <c r="O287" s="472" t="str">
        <f>Price!D287</f>
        <v>!</v>
      </c>
      <c r="P287" s="15">
        <f>Price!E287</f>
        <v>0</v>
      </c>
      <c r="Q287" s="17">
        <f>Price!F287</f>
        <v>11.39742</v>
      </c>
      <c r="R287" s="171"/>
      <c r="S287" s="171"/>
      <c r="T287" s="12">
        <f>Price!G287</f>
        <v>9544431</v>
      </c>
      <c r="U287" s="12">
        <f>Price!H287</f>
        <v>222099</v>
      </c>
      <c r="V287" s="13"/>
      <c r="W287" s="13"/>
      <c r="X287" s="19"/>
      <c r="Y287" s="19"/>
    </row>
    <row r="288" spans="1:25" x14ac:dyDescent="0.35">
      <c r="A288" s="43"/>
      <c r="B288" s="162"/>
      <c r="C288" s="162"/>
      <c r="D288" s="162"/>
      <c r="E288" s="69"/>
      <c r="F288" s="50"/>
      <c r="G288" s="50"/>
      <c r="H288" s="50"/>
      <c r="I288" s="50"/>
      <c r="J288" s="50"/>
      <c r="K288" s="48"/>
      <c r="L288" s="46" t="str">
        <f>Price!A288</f>
        <v>Zásuvný prvek C, 600mm, saténované sko</v>
      </c>
      <c r="M288" s="15" t="str">
        <f>Price!B288</f>
        <v>Z37R567C</v>
      </c>
      <c r="N288" s="15" t="str">
        <f>Price!C288</f>
        <v>SA</v>
      </c>
      <c r="O288" s="472" t="str">
        <f>Price!D288</f>
        <v>!</v>
      </c>
      <c r="P288" s="15">
        <f>Price!E288</f>
        <v>0</v>
      </c>
      <c r="Q288" s="17">
        <f>Price!F288</f>
        <v>16.540310000000002</v>
      </c>
      <c r="R288" s="171"/>
      <c r="S288" s="171"/>
      <c r="T288" s="12">
        <f>Price!G288</f>
        <v>8250939</v>
      </c>
      <c r="U288" s="12">
        <f>Price!H288</f>
        <v>222100</v>
      </c>
      <c r="V288" s="13"/>
      <c r="W288" s="13"/>
      <c r="X288" s="19"/>
      <c r="Y288" s="19"/>
    </row>
    <row r="289" spans="1:25" ht="15" thickBot="1" x14ac:dyDescent="0.4">
      <c r="A289" s="83" t="str">
        <f>IF($C$3=1,L289,IF($C$3=2,L290,"  chyba"))</f>
        <v>Zásuvný prvek C, 650mm, čiré sko</v>
      </c>
      <c r="B289" s="86" t="str">
        <f>IF($C$3=1,M289,IF($C$3=2,M290,"  chyba"))</f>
        <v>Z37R617C</v>
      </c>
      <c r="C289" s="86" t="str">
        <f>IF($C$3=1,N289,IF($C$3=2,N290,"  chyba"))</f>
        <v>KL</v>
      </c>
      <c r="D289" s="174" t="str">
        <f>IF($C$3=1,O289,IF($C$3=2,O290,"  chyba"))</f>
        <v>!</v>
      </c>
      <c r="E289" s="84"/>
      <c r="F289" s="85">
        <f>IF($C$3=1,Q289,IF($C$3=2,Q290,0))*(100-$F$6)/100</f>
        <v>12.16109</v>
      </c>
      <c r="G289" s="169"/>
      <c r="H289" s="169"/>
      <c r="I289" s="174">
        <f>IF($C$3=1,T289,IF($C$3=2,T290,"  chyba"))</f>
        <v>2152523</v>
      </c>
      <c r="J289" s="174">
        <f>IF($C$3=1,U289,IF($C$3=2,U290,"  chyba"))</f>
        <v>222104</v>
      </c>
      <c r="K289" s="48"/>
      <c r="L289" s="46" t="str">
        <f>Price!A289</f>
        <v>Zásuvný prvek C, 650mm, čiré sko</v>
      </c>
      <c r="M289" s="15" t="str">
        <f>Price!B289</f>
        <v>Z37R617C</v>
      </c>
      <c r="N289" s="15" t="str">
        <f>Price!C289</f>
        <v>KL</v>
      </c>
      <c r="O289" s="472" t="str">
        <f>Price!D289</f>
        <v>!</v>
      </c>
      <c r="P289" s="15">
        <f>Price!E289</f>
        <v>0</v>
      </c>
      <c r="Q289" s="17">
        <f>Price!F289</f>
        <v>12.16109</v>
      </c>
      <c r="R289" s="171"/>
      <c r="S289" s="171"/>
      <c r="T289" s="12">
        <f>Price!G289</f>
        <v>2152523</v>
      </c>
      <c r="U289" s="12">
        <f>Price!H289</f>
        <v>222104</v>
      </c>
      <c r="V289" s="13"/>
      <c r="W289" s="13"/>
      <c r="X289" s="19"/>
      <c r="Y289" s="19"/>
    </row>
    <row r="290" spans="1:25" x14ac:dyDescent="0.35">
      <c r="A290" s="43"/>
      <c r="B290" s="162"/>
      <c r="C290" s="162"/>
      <c r="D290" s="162"/>
      <c r="E290" s="69"/>
      <c r="F290" s="50"/>
      <c r="G290" s="50"/>
      <c r="H290" s="50"/>
      <c r="I290" s="50"/>
      <c r="J290" s="50"/>
      <c r="K290" s="48"/>
      <c r="L290" s="46" t="str">
        <f>Price!A290</f>
        <v>Zásuvný prvek C, 650mm, saténované sko</v>
      </c>
      <c r="M290" s="15" t="str">
        <f>Price!B290</f>
        <v>Z37R617C</v>
      </c>
      <c r="N290" s="15" t="str">
        <f>Price!C290</f>
        <v>SA</v>
      </c>
      <c r="O290" s="472" t="str">
        <f>Price!D290</f>
        <v>!</v>
      </c>
      <c r="P290" s="15">
        <f>Price!E290</f>
        <v>0</v>
      </c>
      <c r="Q290" s="17">
        <f>Price!F290</f>
        <v>18.778649999999999</v>
      </c>
      <c r="R290" s="171"/>
      <c r="S290" s="171"/>
      <c r="T290" s="12">
        <f>Price!G290</f>
        <v>4922166</v>
      </c>
      <c r="U290" s="12">
        <f>Price!H290</f>
        <v>222105</v>
      </c>
      <c r="V290" s="13"/>
      <c r="W290" s="13"/>
      <c r="X290" s="19"/>
      <c r="Y290" s="19"/>
    </row>
    <row r="291" spans="1:25" x14ac:dyDescent="0.35">
      <c r="A291" s="43"/>
      <c r="B291" s="161"/>
      <c r="C291" s="161"/>
      <c r="D291" s="161"/>
      <c r="E291" s="69"/>
      <c r="F291" s="50"/>
      <c r="G291" s="50"/>
      <c r="H291" s="50"/>
      <c r="I291" s="50"/>
      <c r="J291" s="50"/>
      <c r="K291" s="48"/>
      <c r="L291" s="46">
        <f>Price!A291</f>
        <v>0</v>
      </c>
      <c r="M291" s="15">
        <f>Price!B291</f>
        <v>0</v>
      </c>
      <c r="N291" s="15">
        <f>Price!C291</f>
        <v>0</v>
      </c>
      <c r="O291" s="472">
        <f>Price!D291</f>
        <v>0</v>
      </c>
      <c r="P291" s="15">
        <f>Price!E291</f>
        <v>0</v>
      </c>
      <c r="Q291" s="17">
        <f>Price!F291</f>
        <v>0</v>
      </c>
      <c r="R291" s="171"/>
      <c r="S291" s="171"/>
      <c r="T291" s="12">
        <f>Price!G291</f>
        <v>0</v>
      </c>
      <c r="U291" s="12">
        <f>Price!H291</f>
        <v>0</v>
      </c>
      <c r="V291" s="13"/>
      <c r="W291" s="13"/>
      <c r="X291" s="19"/>
      <c r="Y291" s="19"/>
    </row>
    <row r="292" spans="1:25" ht="15" thickBot="1" x14ac:dyDescent="0.4">
      <c r="A292" s="75" t="str">
        <f>IF($C$2=1,L292,IF($C$2=2,L293,IF($C$2=3,L294,IF($C$2=4," ","  chyba"))))</f>
        <v>Kovový zásuvný prvek D, 450mm, šedý</v>
      </c>
      <c r="B292" s="75" t="str">
        <f t="shared" ref="B292" si="297">IF($C$2=1,M292,IF($C$2=2,M293,IF($C$2=3,M294,IF($C$2=4," ","  chyba"))))</f>
        <v>Z37A417D</v>
      </c>
      <c r="C292" s="75" t="str">
        <f t="shared" ref="C292" si="298">IF($C$2=1,N292,IF($C$2=2,N293,IF($C$2=3,N294,IF($C$2=4," ","  chyba"))))</f>
        <v>R906</v>
      </c>
      <c r="D292" s="75">
        <f t="shared" ref="D292" si="299">IF($C$2=1,O292,IF($C$2=2,O293,IF($C$2=3,O294,IF($C$2=4," ","  chyba"))))</f>
        <v>0</v>
      </c>
      <c r="E292" s="75">
        <f t="shared" ref="E292" si="300">IF($C$2=1,P292,IF($C$2=2,P293,IF($C$2=3,P294,IF($C$2=4," ","  chyba"))))</f>
        <v>0</v>
      </c>
      <c r="F292" s="540">
        <f>IF($C$2=1,Q292,IF($C$2=2,Q293,IF($C$2=3,Q294,IF($C$2=4,0,"  chyba"))))*(100-$F$6)/100</f>
        <v>6.1435899999999997</v>
      </c>
      <c r="G292" s="50"/>
      <c r="H292" s="50"/>
      <c r="I292" s="75">
        <f t="shared" ref="I292" si="301">IF($C$2=1,T292,IF($C$2=2,T293,IF($C$2=3,T294,IF($C$2=4," ","  chyba"))))</f>
        <v>7183333</v>
      </c>
      <c r="J292" s="75">
        <f t="shared" ref="J292" si="302">IF($C$2=1,U292,IF($C$2=2,U293,IF($C$2=3,U294,IF($C$2=4," ","  chyba"))))</f>
        <v>210781</v>
      </c>
      <c r="K292" s="48"/>
      <c r="L292" s="46" t="str">
        <f>Price!A292</f>
        <v>Kovový zásuvný prvek D, 450mm, šedý</v>
      </c>
      <c r="M292" s="15" t="str">
        <f>Price!B292</f>
        <v>Z37A417D</v>
      </c>
      <c r="N292" s="15" t="str">
        <f>Price!C292</f>
        <v>R906</v>
      </c>
      <c r="O292" s="472">
        <f>Price!D292</f>
        <v>0</v>
      </c>
      <c r="P292" s="15">
        <f>Price!E292</f>
        <v>0</v>
      </c>
      <c r="Q292" s="17">
        <f>Price!F292</f>
        <v>6.1435899999999997</v>
      </c>
      <c r="R292" s="171"/>
      <c r="S292" s="171"/>
      <c r="T292" s="12">
        <f>Price!G292</f>
        <v>7183333</v>
      </c>
      <c r="U292" s="12">
        <f>Price!H292</f>
        <v>210781</v>
      </c>
      <c r="V292" s="13"/>
      <c r="W292" s="13"/>
      <c r="X292" s="19"/>
      <c r="Y292" s="19"/>
    </row>
    <row r="293" spans="1:25" x14ac:dyDescent="0.35">
      <c r="A293" s="43"/>
      <c r="B293" s="161"/>
      <c r="C293" s="161"/>
      <c r="D293" s="161"/>
      <c r="E293" s="69"/>
      <c r="F293" s="50"/>
      <c r="G293" s="50"/>
      <c r="H293" s="50"/>
      <c r="I293" s="50"/>
      <c r="J293" s="50"/>
      <c r="K293" s="48"/>
      <c r="L293" s="46" t="str">
        <f>Price!A293</f>
        <v>Kovový zásuvný prvek D, 450mm, hedvábně bílý</v>
      </c>
      <c r="M293" s="15" t="str">
        <f>Price!B293</f>
        <v>Z37A417D</v>
      </c>
      <c r="N293" s="15" t="str">
        <f>Price!C293</f>
        <v>SEIW</v>
      </c>
      <c r="O293" s="472">
        <f>Price!D293</f>
        <v>0</v>
      </c>
      <c r="P293" s="15">
        <f>Price!E293</f>
        <v>0</v>
      </c>
      <c r="Q293" s="17">
        <f>Price!F293</f>
        <v>6.1435899999999997</v>
      </c>
      <c r="R293" s="171"/>
      <c r="S293" s="171"/>
      <c r="T293" s="12">
        <f>Price!G293</f>
        <v>8790595</v>
      </c>
      <c r="U293" s="12">
        <f>Price!H293</f>
        <v>210782</v>
      </c>
      <c r="V293" s="13"/>
      <c r="W293" s="13"/>
      <c r="X293" s="19"/>
      <c r="Y293" s="19"/>
    </row>
    <row r="294" spans="1:25" x14ac:dyDescent="0.35">
      <c r="A294" s="43"/>
      <c r="B294" s="161"/>
      <c r="C294" s="161"/>
      <c r="D294" s="161"/>
      <c r="E294" s="69"/>
      <c r="F294" s="50"/>
      <c r="G294" s="50"/>
      <c r="H294" s="50"/>
      <c r="I294" s="50"/>
      <c r="J294" s="50"/>
      <c r="K294" s="48"/>
      <c r="L294" s="46" t="str">
        <f>Price!A294</f>
        <v>Kovový zásuvný prvek D, 450mm, černý Terra</v>
      </c>
      <c r="M294" s="15" t="str">
        <f>Price!B294</f>
        <v>Z37A417D</v>
      </c>
      <c r="N294" s="15" t="str">
        <f>Price!C294</f>
        <v>TERS</v>
      </c>
      <c r="O294" s="472">
        <f>Price!D294</f>
        <v>0</v>
      </c>
      <c r="P294" s="15">
        <f>Price!E294</f>
        <v>0</v>
      </c>
      <c r="Q294" s="17">
        <f>Price!F294</f>
        <v>6.1435899999999997</v>
      </c>
      <c r="R294" s="171"/>
      <c r="S294" s="171"/>
      <c r="T294" s="12">
        <f>Price!G294</f>
        <v>2498246</v>
      </c>
      <c r="U294" s="12">
        <f>Price!H294</f>
        <v>210783</v>
      </c>
      <c r="V294" s="13"/>
      <c r="W294" s="13"/>
      <c r="X294" s="19"/>
      <c r="Y294" s="19"/>
    </row>
    <row r="295" spans="1:25" ht="15" thickBot="1" x14ac:dyDescent="0.4">
      <c r="A295" s="75" t="str">
        <f>IF($C$2=1,L295,IF($C$2=2,L296,IF($C$2=3,L297,IF($C$2=4," ","  chyba"))))</f>
        <v>Kovový zásuvný prvek D, 500mm, šedý</v>
      </c>
      <c r="B295" s="75" t="str">
        <f t="shared" ref="B295" si="303">IF($C$2=1,M295,IF($C$2=2,M296,IF($C$2=3,M297,IF($C$2=4," ","  chyba"))))</f>
        <v>Z37A467D</v>
      </c>
      <c r="C295" s="75" t="str">
        <f t="shared" ref="C295" si="304">IF($C$2=1,N295,IF($C$2=2,N296,IF($C$2=3,N297,IF($C$2=4," ","  chyba"))))</f>
        <v>R906</v>
      </c>
      <c r="D295" s="75">
        <f t="shared" ref="D295" si="305">IF($C$2=1,O295,IF($C$2=2,O296,IF($C$2=3,O297,IF($C$2=4," ","  chyba"))))</f>
        <v>0</v>
      </c>
      <c r="E295" s="75">
        <f t="shared" ref="E295" si="306">IF($C$2=1,P295,IF($C$2=2,P296,IF($C$2=3,P297,IF($C$2=4," ","  chyba"))))</f>
        <v>0</v>
      </c>
      <c r="F295" s="540">
        <f>IF($C$2=1,Q295,IF($C$2=2,Q296,IF($C$2=3,Q297,IF($C$2=4,0,"  chyba"))))*(100-$F$6)/100</f>
        <v>6.4565700000000001</v>
      </c>
      <c r="G295" s="50"/>
      <c r="H295" s="50"/>
      <c r="I295" s="75">
        <f t="shared" ref="I295" si="307">IF($C$2=1,T295,IF($C$2=2,T296,IF($C$2=3,T297,IF($C$2=4," ","  chyba"))))</f>
        <v>4222766</v>
      </c>
      <c r="J295" s="75">
        <f t="shared" ref="J295" si="308">IF($C$2=1,U295,IF($C$2=2,U296,IF($C$2=3,U297,IF($C$2=4," ","  chyba"))))</f>
        <v>210787</v>
      </c>
      <c r="K295" s="48"/>
      <c r="L295" s="46" t="str">
        <f>Price!A295</f>
        <v>Kovový zásuvný prvek D, 500mm, šedý</v>
      </c>
      <c r="M295" s="15" t="str">
        <f>Price!B295</f>
        <v>Z37A467D</v>
      </c>
      <c r="N295" s="15" t="str">
        <f>Price!C295</f>
        <v>R906</v>
      </c>
      <c r="O295" s="472">
        <f>Price!D295</f>
        <v>0</v>
      </c>
      <c r="P295" s="15">
        <f>Price!E295</f>
        <v>0</v>
      </c>
      <c r="Q295" s="17">
        <f>Price!F295</f>
        <v>6.4565700000000001</v>
      </c>
      <c r="R295" s="171"/>
      <c r="S295" s="171"/>
      <c r="T295" s="12">
        <f>Price!G295</f>
        <v>4222766</v>
      </c>
      <c r="U295" s="12">
        <f>Price!H295</f>
        <v>210787</v>
      </c>
      <c r="V295" s="13"/>
      <c r="W295" s="13"/>
      <c r="X295" s="19"/>
      <c r="Y295" s="19"/>
    </row>
    <row r="296" spans="1:25" x14ac:dyDescent="0.35">
      <c r="A296" s="43"/>
      <c r="B296" s="162"/>
      <c r="C296" s="162"/>
      <c r="D296" s="162"/>
      <c r="E296" s="69"/>
      <c r="F296" s="50"/>
      <c r="G296" s="50"/>
      <c r="H296" s="50"/>
      <c r="I296" s="175"/>
      <c r="J296" s="175"/>
      <c r="K296" s="48"/>
      <c r="L296" s="46" t="str">
        <f>Price!A296</f>
        <v>Kovový zásuvný prvek D, 500mm, hedvábně bílý</v>
      </c>
      <c r="M296" s="15" t="str">
        <f>Price!B296</f>
        <v>Z37A467D</v>
      </c>
      <c r="N296" s="15" t="str">
        <f>Price!C296</f>
        <v>SEIW</v>
      </c>
      <c r="O296" s="472">
        <f>Price!D296</f>
        <v>0</v>
      </c>
      <c r="P296" s="15">
        <f>Price!E296</f>
        <v>0</v>
      </c>
      <c r="Q296" s="17">
        <f>Price!F296</f>
        <v>6.4565700000000001</v>
      </c>
      <c r="R296" s="171"/>
      <c r="S296" s="171"/>
      <c r="T296" s="12">
        <f>Price!G296</f>
        <v>7984939</v>
      </c>
      <c r="U296" s="12">
        <f>Price!H296</f>
        <v>210788</v>
      </c>
      <c r="V296" s="13"/>
      <c r="W296" s="13"/>
      <c r="X296" s="19"/>
      <c r="Y296" s="19"/>
    </row>
    <row r="297" spans="1:25" x14ac:dyDescent="0.35">
      <c r="A297" s="43"/>
      <c r="B297" s="161"/>
      <c r="C297" s="161"/>
      <c r="D297" s="161"/>
      <c r="E297" s="69"/>
      <c r="F297" s="50"/>
      <c r="G297" s="50"/>
      <c r="H297" s="50"/>
      <c r="I297" s="176"/>
      <c r="J297" s="176"/>
      <c r="K297" s="48"/>
      <c r="L297" s="46" t="str">
        <f>Price!A297</f>
        <v>Kovový zásuvný prvek D, 500mm, černý Terra</v>
      </c>
      <c r="M297" s="15" t="str">
        <f>Price!B297</f>
        <v>Z37A467D</v>
      </c>
      <c r="N297" s="15" t="str">
        <f>Price!C297</f>
        <v>TERS</v>
      </c>
      <c r="O297" s="472" t="str">
        <f>Price!D297</f>
        <v>!</v>
      </c>
      <c r="P297" s="15">
        <f>Price!E297</f>
        <v>0</v>
      </c>
      <c r="Q297" s="17">
        <f>Price!F297</f>
        <v>6.4565700000000001</v>
      </c>
      <c r="R297" s="171"/>
      <c r="S297" s="171"/>
      <c r="T297" s="12">
        <f>Price!G297</f>
        <v>5581246</v>
      </c>
      <c r="U297" s="12">
        <f>Price!H297</f>
        <v>210789</v>
      </c>
      <c r="V297" s="13"/>
      <c r="W297" s="13"/>
      <c r="X297" s="19"/>
      <c r="Y297" s="19"/>
    </row>
    <row r="298" spans="1:25" ht="15" thickBot="1" x14ac:dyDescent="0.4">
      <c r="A298" s="75" t="str">
        <f>IF($C$2=1,L298,IF($C$2=2,L299,IF($C$2=3,L300,IF($C$2=4," ","  chyba"))))</f>
        <v>Kovový zásuvný prvek D, 550mm, šedý</v>
      </c>
      <c r="B298" s="75" t="str">
        <f t="shared" ref="B298" si="309">IF($C$2=1,M298,IF($C$2=2,M299,IF($C$2=3,M300,IF($C$2=4," ","  chyba"))))</f>
        <v>Z37A517D</v>
      </c>
      <c r="C298" s="75" t="str">
        <f t="shared" ref="C298" si="310">IF($C$2=1,N298,IF($C$2=2,N299,IF($C$2=3,N300,IF($C$2=4," ","  chyba"))))</f>
        <v>R906</v>
      </c>
      <c r="D298" s="75">
        <f t="shared" ref="D298" si="311">IF($C$2=1,O298,IF($C$2=2,O299,IF($C$2=3,O300,IF($C$2=4," ","  chyba"))))</f>
        <v>0</v>
      </c>
      <c r="E298" s="75">
        <f t="shared" ref="E298" si="312">IF($C$2=1,P298,IF($C$2=2,P299,IF($C$2=3,P300,IF($C$2=4," ","  chyba"))))</f>
        <v>0</v>
      </c>
      <c r="F298" s="540">
        <f>IF($C$2=1,Q298,IF($C$2=2,Q299,IF($C$2=3,Q300,IF($C$2=4,0,"  chyba"))))*(100-$F$6)/100</f>
        <v>6.9749699999999999</v>
      </c>
      <c r="G298" s="50"/>
      <c r="H298" s="50"/>
      <c r="I298" s="75">
        <f t="shared" ref="I298" si="313">IF($C$2=1,T298,IF($C$2=2,T299,IF($C$2=3,T300,IF($C$2=4," ","  chyba"))))</f>
        <v>4851238</v>
      </c>
      <c r="J298" s="75">
        <f t="shared" ref="J298" si="314">IF($C$2=1,U298,IF($C$2=2,U299,IF($C$2=3,U300,IF($C$2=4," ","  chyba"))))</f>
        <v>210793</v>
      </c>
      <c r="K298" s="48"/>
      <c r="L298" s="46" t="str">
        <f>Price!A298</f>
        <v>Kovový zásuvný prvek D, 550mm, šedý</v>
      </c>
      <c r="M298" s="15" t="str">
        <f>Price!B298</f>
        <v>Z37A517D</v>
      </c>
      <c r="N298" s="15" t="str">
        <f>Price!C298</f>
        <v>R906</v>
      </c>
      <c r="O298" s="472">
        <f>Price!D298</f>
        <v>0</v>
      </c>
      <c r="P298" s="15">
        <f>Price!E298</f>
        <v>0</v>
      </c>
      <c r="Q298" s="17">
        <f>Price!F298</f>
        <v>6.9749699999999999</v>
      </c>
      <c r="R298" s="171"/>
      <c r="S298" s="171"/>
      <c r="T298" s="12">
        <f>Price!G298</f>
        <v>4851238</v>
      </c>
      <c r="U298" s="12">
        <f>Price!H298</f>
        <v>210793</v>
      </c>
      <c r="V298" s="13"/>
      <c r="W298" s="13"/>
      <c r="X298" s="19"/>
      <c r="Y298" s="19"/>
    </row>
    <row r="299" spans="1:25" x14ac:dyDescent="0.35">
      <c r="A299" s="43"/>
      <c r="B299" s="162"/>
      <c r="C299" s="162"/>
      <c r="D299" s="162"/>
      <c r="E299" s="69"/>
      <c r="F299" s="50"/>
      <c r="G299" s="50"/>
      <c r="H299" s="50"/>
      <c r="I299" s="175"/>
      <c r="J299" s="175"/>
      <c r="K299" s="53"/>
      <c r="L299" s="46" t="str">
        <f>Price!A299</f>
        <v>Kovový zásuvný prvek D, 550mm, hedvábně bílý</v>
      </c>
      <c r="M299" s="15" t="str">
        <f>Price!B299</f>
        <v>Z37A517D</v>
      </c>
      <c r="N299" s="15" t="str">
        <f>Price!C299</f>
        <v>SEIW</v>
      </c>
      <c r="O299" s="472">
        <f>Price!D299</f>
        <v>0</v>
      </c>
      <c r="P299" s="15">
        <f>Price!E299</f>
        <v>0</v>
      </c>
      <c r="Q299" s="17">
        <f>Price!F299</f>
        <v>6.9749699999999999</v>
      </c>
      <c r="R299" s="171"/>
      <c r="S299" s="171"/>
      <c r="T299" s="12">
        <f>Price!G299</f>
        <v>9629759</v>
      </c>
      <c r="U299" s="12">
        <f>Price!H299</f>
        <v>210794</v>
      </c>
      <c r="V299" s="13"/>
      <c r="W299" s="13"/>
      <c r="X299" s="19"/>
      <c r="Y299" s="19"/>
    </row>
    <row r="300" spans="1:25" x14ac:dyDescent="0.35">
      <c r="A300" s="43"/>
      <c r="B300" s="161"/>
      <c r="C300" s="161"/>
      <c r="D300" s="161"/>
      <c r="E300" s="69"/>
      <c r="F300" s="50"/>
      <c r="G300" s="50"/>
      <c r="H300" s="50"/>
      <c r="I300" s="176"/>
      <c r="J300" s="176"/>
      <c r="K300" s="53"/>
      <c r="L300" s="46" t="str">
        <f>Price!A300</f>
        <v>Kovový zásuvný prvek D, 550mm, černý Terra</v>
      </c>
      <c r="M300" s="15" t="str">
        <f>Price!B300</f>
        <v>Z37A517D</v>
      </c>
      <c r="N300" s="15" t="str">
        <f>Price!C300</f>
        <v>TERS</v>
      </c>
      <c r="O300" s="472" t="str">
        <f>Price!D300</f>
        <v>!</v>
      </c>
      <c r="P300" s="15">
        <f>Price!E300</f>
        <v>0</v>
      </c>
      <c r="Q300" s="17">
        <f>Price!F300</f>
        <v>6.9749699999999999</v>
      </c>
      <c r="R300" s="171"/>
      <c r="S300" s="171"/>
      <c r="T300" s="12">
        <f>Price!G300</f>
        <v>4286938</v>
      </c>
      <c r="U300" s="12">
        <f>Price!H300</f>
        <v>210795</v>
      </c>
      <c r="V300" s="13"/>
      <c r="W300" s="13"/>
      <c r="X300" s="19"/>
      <c r="Y300" s="19"/>
    </row>
    <row r="301" spans="1:25" ht="15" thickBot="1" x14ac:dyDescent="0.4">
      <c r="A301" s="75">
        <f>IF($C$2=1,L301,IF($C$2=2,L302,IF($C$2=3,L303,IF($C$2=4," ","  chyba"))))</f>
        <v>0</v>
      </c>
      <c r="B301" s="75">
        <f t="shared" ref="B301" si="315">IF($C$2=1,M301,IF($C$2=2,M302,IF($C$2=3,M303,IF($C$2=4," ","  chyba"))))</f>
        <v>0</v>
      </c>
      <c r="C301" s="75">
        <f t="shared" ref="C301" si="316">IF($C$2=1,N301,IF($C$2=2,N302,IF($C$2=3,N303,IF($C$2=4," ","  chyba"))))</f>
        <v>0</v>
      </c>
      <c r="D301" s="75">
        <f t="shared" ref="D301" si="317">IF($C$2=1,O301,IF($C$2=2,O302,IF($C$2=3,O303,IF($C$2=4," ","  chyba"))))</f>
        <v>0</v>
      </c>
      <c r="E301" s="75">
        <f t="shared" ref="E301" si="318">IF($C$2=1,P301,IF($C$2=2,P302,IF($C$2=3,P303,IF($C$2=4," ","  chyba"))))</f>
        <v>0</v>
      </c>
      <c r="F301" s="540">
        <f>IF($C$2=1,Q301,IF($C$2=2,Q302,IF($C$2=3,Q303,IF($C$2=4,0,"  chyba"))))*(100-$F$6)/100</f>
        <v>0</v>
      </c>
      <c r="G301" s="50"/>
      <c r="H301" s="50"/>
      <c r="I301" s="75">
        <f t="shared" ref="I301" si="319">IF($C$2=1,T301,IF($C$2=2,T302,IF($C$2=3,T303,IF($C$2=4," ","  chyba"))))</f>
        <v>0</v>
      </c>
      <c r="J301" s="75">
        <f t="shared" ref="J301" si="320">IF($C$2=1,U301,IF($C$2=2,U302,IF($C$2=3,U303,IF($C$2=4," ","  chyba"))))</f>
        <v>0</v>
      </c>
      <c r="K301" s="53"/>
      <c r="L301" s="46">
        <f>Price!A301</f>
        <v>0</v>
      </c>
      <c r="M301" s="15">
        <f>Price!B301</f>
        <v>0</v>
      </c>
      <c r="N301" s="15">
        <f>Price!C301</f>
        <v>0</v>
      </c>
      <c r="O301" s="472">
        <f>Price!D301</f>
        <v>0</v>
      </c>
      <c r="P301" s="15">
        <f>Price!E301</f>
        <v>0</v>
      </c>
      <c r="Q301" s="17">
        <f>Price!F301</f>
        <v>0</v>
      </c>
      <c r="R301" s="171"/>
      <c r="S301" s="171"/>
      <c r="T301" s="12">
        <f>Price!G301</f>
        <v>0</v>
      </c>
      <c r="U301" s="12">
        <f>Price!H301</f>
        <v>0</v>
      </c>
      <c r="V301" s="13"/>
      <c r="W301" s="13"/>
      <c r="X301" s="19"/>
      <c r="Y301" s="19"/>
    </row>
    <row r="302" spans="1:25" x14ac:dyDescent="0.35">
      <c r="A302" s="43"/>
      <c r="B302" s="162"/>
      <c r="C302" s="162"/>
      <c r="D302" s="162"/>
      <c r="E302" s="69"/>
      <c r="F302" s="50"/>
      <c r="G302" s="50"/>
      <c r="H302" s="50"/>
      <c r="I302" s="175"/>
      <c r="J302" s="175"/>
      <c r="K302" s="53"/>
      <c r="L302" s="46">
        <f>Price!A302</f>
        <v>0</v>
      </c>
      <c r="M302" s="15">
        <f>Price!B302</f>
        <v>0</v>
      </c>
      <c r="N302" s="15">
        <f>Price!C302</f>
        <v>0</v>
      </c>
      <c r="O302" s="472">
        <f>Price!D302</f>
        <v>0</v>
      </c>
      <c r="P302" s="15">
        <f>Price!E302</f>
        <v>0</v>
      </c>
      <c r="Q302" s="17">
        <f>Price!F302</f>
        <v>0</v>
      </c>
      <c r="R302" s="171"/>
      <c r="S302" s="171"/>
      <c r="T302" s="12">
        <f>Price!G302</f>
        <v>0</v>
      </c>
      <c r="U302" s="12">
        <f>Price!H302</f>
        <v>0</v>
      </c>
      <c r="V302" s="13"/>
      <c r="W302" s="13"/>
      <c r="X302" s="19"/>
      <c r="Y302" s="19"/>
    </row>
    <row r="303" spans="1:25" x14ac:dyDescent="0.35">
      <c r="A303" s="43"/>
      <c r="B303" s="161"/>
      <c r="C303" s="161"/>
      <c r="D303" s="161"/>
      <c r="E303" s="69"/>
      <c r="F303" s="50"/>
      <c r="G303" s="50"/>
      <c r="H303" s="50"/>
      <c r="I303" s="176"/>
      <c r="J303" s="176"/>
      <c r="K303" s="48"/>
      <c r="L303" s="46">
        <f>Price!A303</f>
        <v>0</v>
      </c>
      <c r="M303" s="15">
        <f>Price!B303</f>
        <v>0</v>
      </c>
      <c r="N303" s="15">
        <f>Price!C303</f>
        <v>0</v>
      </c>
      <c r="O303" s="472">
        <f>Price!D303</f>
        <v>0</v>
      </c>
      <c r="P303" s="15">
        <f>Price!E303</f>
        <v>0</v>
      </c>
      <c r="Q303" s="17">
        <f>Price!F303</f>
        <v>0</v>
      </c>
      <c r="R303" s="171"/>
      <c r="S303" s="171"/>
      <c r="T303" s="12">
        <f>Price!G303</f>
        <v>0</v>
      </c>
      <c r="U303" s="12">
        <f>Price!H303</f>
        <v>0</v>
      </c>
      <c r="V303" s="13"/>
      <c r="W303" s="13"/>
      <c r="X303" s="19"/>
      <c r="Y303" s="19"/>
    </row>
    <row r="304" spans="1:25" ht="15" thickBot="1" x14ac:dyDescent="0.4">
      <c r="A304" s="75" t="str">
        <f>IF($C$2=1,L304,IF($C$2=2,L305,IF($C$2=3,L306,IF($C$2=4," ","  chyba"))))</f>
        <v>Kovový zásuvný prvek D, 650mm, šedý</v>
      </c>
      <c r="B304" s="75" t="str">
        <f t="shared" ref="B304" si="321">IF($C$2=1,M304,IF($C$2=2,M305,IF($C$2=3,M306,IF($C$2=4," ","  chyba"))))</f>
        <v>Z37A617D</v>
      </c>
      <c r="C304" s="75" t="str">
        <f t="shared" ref="C304" si="322">IF($C$2=1,N304,IF($C$2=2,N305,IF($C$2=3,N306,IF($C$2=4," ","  chyba"))))</f>
        <v>R906</v>
      </c>
      <c r="D304" s="75">
        <f t="shared" ref="D304" si="323">IF($C$2=1,O304,IF($C$2=2,O305,IF($C$2=3,O306,IF($C$2=4," ","  chyba"))))</f>
        <v>0</v>
      </c>
      <c r="E304" s="75">
        <f t="shared" ref="E304" si="324">IF($C$2=1,P304,IF($C$2=2,P305,IF($C$2=3,P306,IF($C$2=4," ","  chyba"))))</f>
        <v>0</v>
      </c>
      <c r="F304" s="540">
        <f>IF($C$2=1,Q304,IF($C$2=2,Q305,IF($C$2=3,Q306,IF($C$2=4,0,"  chyba"))))*(100-$F$6)/100</f>
        <v>8.0120000000000005</v>
      </c>
      <c r="G304" s="50"/>
      <c r="H304" s="50"/>
      <c r="I304" s="75">
        <f t="shared" ref="I304" si="325">IF($C$2=1,T304,IF($C$2=2,T305,IF($C$2=3,T306,IF($C$2=4," ","  chyba"))))</f>
        <v>7126828</v>
      </c>
      <c r="J304" s="75">
        <f t="shared" ref="J304" si="326">IF($C$2=1,U304,IF($C$2=2,U305,IF($C$2=3,U306,IF($C$2=4," ","  chyba"))))</f>
        <v>210799</v>
      </c>
      <c r="K304" s="54"/>
      <c r="L304" s="46" t="str">
        <f>Price!A304</f>
        <v>Kovový zásuvný prvek D, 650mm, šedý</v>
      </c>
      <c r="M304" s="15" t="str">
        <f>Price!B304</f>
        <v>Z37A617D</v>
      </c>
      <c r="N304" s="15" t="str">
        <f>Price!C304</f>
        <v>R906</v>
      </c>
      <c r="O304" s="472">
        <f>Price!D304</f>
        <v>0</v>
      </c>
      <c r="P304" s="15">
        <f>Price!E304</f>
        <v>0</v>
      </c>
      <c r="Q304" s="17">
        <f>Price!F304</f>
        <v>8.0120000000000005</v>
      </c>
      <c r="R304" s="171"/>
      <c r="S304" s="171"/>
      <c r="T304" s="12">
        <f>Price!G304</f>
        <v>7126828</v>
      </c>
      <c r="U304" s="12">
        <f>Price!H304</f>
        <v>210799</v>
      </c>
      <c r="V304" s="13"/>
      <c r="W304" s="13"/>
      <c r="X304" s="19"/>
      <c r="Y304" s="19"/>
    </row>
    <row r="305" spans="1:25" x14ac:dyDescent="0.35">
      <c r="A305" s="43"/>
      <c r="B305" s="162"/>
      <c r="C305" s="162"/>
      <c r="D305" s="162"/>
      <c r="E305" s="69"/>
      <c r="F305" s="50"/>
      <c r="G305" s="50"/>
      <c r="H305" s="50"/>
      <c r="I305" s="175"/>
      <c r="J305" s="175"/>
      <c r="K305" s="54"/>
      <c r="L305" s="46" t="str">
        <f>Price!A305</f>
        <v>Kovový zásuvný prvek D, 650mm, hedvábně bílý</v>
      </c>
      <c r="M305" s="15" t="str">
        <f>Price!B305</f>
        <v>Z37A617D</v>
      </c>
      <c r="N305" s="15" t="str">
        <f>Price!C305</f>
        <v>SEIW</v>
      </c>
      <c r="O305" s="472">
        <f>Price!D305</f>
        <v>0</v>
      </c>
      <c r="P305" s="15">
        <f>Price!E305</f>
        <v>0</v>
      </c>
      <c r="Q305" s="17">
        <f>Price!F305</f>
        <v>8.0120000000000005</v>
      </c>
      <c r="R305" s="171"/>
      <c r="S305" s="171"/>
      <c r="T305" s="12">
        <f>Price!G305</f>
        <v>7510918</v>
      </c>
      <c r="U305" s="12">
        <f>Price!H305</f>
        <v>210800</v>
      </c>
      <c r="V305" s="13"/>
      <c r="W305" s="13"/>
      <c r="X305" s="19"/>
      <c r="Y305" s="19"/>
    </row>
    <row r="306" spans="1:25" x14ac:dyDescent="0.35">
      <c r="A306" s="43"/>
      <c r="B306" s="162"/>
      <c r="C306" s="162"/>
      <c r="D306" s="162"/>
      <c r="E306" s="69"/>
      <c r="F306" s="50"/>
      <c r="G306" s="50"/>
      <c r="H306" s="50"/>
      <c r="I306" s="175"/>
      <c r="J306" s="175"/>
      <c r="K306" s="54"/>
      <c r="L306" s="46" t="str">
        <f>Price!A306</f>
        <v>Kovový zásuvný prvek D, 650mm, černý Terra</v>
      </c>
      <c r="M306" s="15" t="str">
        <f>Price!B306</f>
        <v>Z37A467D</v>
      </c>
      <c r="N306" s="15" t="str">
        <f>Price!C306</f>
        <v>TERS</v>
      </c>
      <c r="O306" s="472" t="str">
        <f>Price!D306</f>
        <v>!</v>
      </c>
      <c r="P306" s="15">
        <f>Price!E306</f>
        <v>0</v>
      </c>
      <c r="Q306" s="17">
        <f>Price!F306</f>
        <v>8.0120000000000005</v>
      </c>
      <c r="R306" s="171"/>
      <c r="S306" s="171"/>
      <c r="T306" s="12">
        <f>Price!G306</f>
        <v>1874439</v>
      </c>
      <c r="U306" s="12">
        <f>Price!H306</f>
        <v>210801</v>
      </c>
      <c r="V306" s="13"/>
      <c r="W306" s="13"/>
      <c r="X306" s="19"/>
      <c r="Y306" s="19"/>
    </row>
    <row r="307" spans="1:25" x14ac:dyDescent="0.35">
      <c r="A307" s="43"/>
      <c r="B307" s="162"/>
      <c r="C307" s="162"/>
      <c r="D307" s="162"/>
      <c r="E307" s="69"/>
      <c r="F307" s="50"/>
      <c r="G307" s="50"/>
      <c r="H307" s="50"/>
      <c r="I307" s="175"/>
      <c r="J307" s="175"/>
      <c r="K307" s="54"/>
      <c r="L307" s="46">
        <f>Price!A307</f>
        <v>0</v>
      </c>
      <c r="M307" s="15">
        <f>Price!B307</f>
        <v>0</v>
      </c>
      <c r="N307" s="15">
        <f>Price!C307</f>
        <v>0</v>
      </c>
      <c r="O307" s="472">
        <f>Price!D307</f>
        <v>0</v>
      </c>
      <c r="P307" s="15">
        <f>Price!E307</f>
        <v>0</v>
      </c>
      <c r="Q307" s="17">
        <f>Price!F307</f>
        <v>0</v>
      </c>
      <c r="R307" s="171"/>
      <c r="S307" s="171"/>
      <c r="T307" s="12">
        <f>Price!G307</f>
        <v>0</v>
      </c>
      <c r="U307" s="12">
        <f>Price!H307</f>
        <v>0</v>
      </c>
      <c r="V307" s="13"/>
      <c r="W307" s="13"/>
      <c r="X307" s="19"/>
      <c r="Y307" s="19"/>
    </row>
    <row r="308" spans="1:25" ht="15" thickBot="1" x14ac:dyDescent="0.4">
      <c r="A308" s="75" t="str">
        <f>IF($C$2=1,L308,IF($C$2=2,L309,IF($C$2=3,L310,IF($C$2=4," ","  chyba"))))</f>
        <v>Kovový zásuvný prvek C, 450mm, šedý</v>
      </c>
      <c r="B308" s="75" t="str">
        <f t="shared" ref="B308" si="327">IF($C$2=1,M308,IF($C$2=2,M309,IF($C$2=3,M310,IF($C$2=4," ","  chyba"))))</f>
        <v>Z37A417C</v>
      </c>
      <c r="C308" s="75" t="str">
        <f t="shared" ref="C308" si="328">IF($C$2=1,N308,IF($C$2=2,N309,IF($C$2=3,N310,IF($C$2=4," ","  chyba"))))</f>
        <v>R906</v>
      </c>
      <c r="D308" s="75" t="str">
        <f t="shared" ref="D308" si="329">IF($C$2=1,O308,IF($C$2=2,O309,IF($C$2=3,O310,IF($C$2=4," ","  chyba"))))</f>
        <v>!</v>
      </c>
      <c r="E308" s="75">
        <f t="shared" ref="E308" si="330">IF($C$2=1,P308,IF($C$2=2,P309,IF($C$2=3,P310,IF($C$2=4," ","  chyba"))))</f>
        <v>0</v>
      </c>
      <c r="F308" s="540">
        <f>IF($C$2=1,Q308,IF($C$2=2,Q309,IF($C$2=3,Q310,IF($C$2=4,0,"  chyba"))))*(100-$F$6)/100</f>
        <v>5.6445800000000013</v>
      </c>
      <c r="G308" s="50"/>
      <c r="H308" s="50"/>
      <c r="I308" s="75">
        <f t="shared" ref="I308" si="331">IF($C$2=1,T308,IF($C$2=2,T309,IF($C$2=3,T310,IF($C$2=4," ","  chyba"))))</f>
        <v>8168478</v>
      </c>
      <c r="J308" s="75">
        <f t="shared" ref="J308" si="332">IF($C$2=1,U308,IF($C$2=2,U309,IF($C$2=3,U310,IF($C$2=4," ","  chyba"))))</f>
        <v>210778</v>
      </c>
      <c r="K308" s="54"/>
      <c r="L308" s="46" t="str">
        <f>Price!A308</f>
        <v>Kovový zásuvný prvek C, 450mm, šedý</v>
      </c>
      <c r="M308" s="15" t="str">
        <f>Price!B308</f>
        <v>Z37A417C</v>
      </c>
      <c r="N308" s="15" t="str">
        <f>Price!C308</f>
        <v>R906</v>
      </c>
      <c r="O308" s="472" t="str">
        <f>Price!D308</f>
        <v>!</v>
      </c>
      <c r="P308" s="15">
        <f>Price!E308</f>
        <v>0</v>
      </c>
      <c r="Q308" s="17">
        <f>Price!F308</f>
        <v>5.6445800000000004</v>
      </c>
      <c r="R308" s="171"/>
      <c r="S308" s="171"/>
      <c r="T308" s="12">
        <f>Price!G308</f>
        <v>8168478</v>
      </c>
      <c r="U308" s="12">
        <f>Price!H308</f>
        <v>210778</v>
      </c>
      <c r="V308" s="13"/>
      <c r="W308" s="13"/>
      <c r="X308" s="19"/>
      <c r="Y308" s="19"/>
    </row>
    <row r="309" spans="1:25" x14ac:dyDescent="0.35">
      <c r="A309" s="43"/>
      <c r="B309" s="162"/>
      <c r="C309" s="162"/>
      <c r="D309" s="162"/>
      <c r="E309" s="69"/>
      <c r="F309" s="50"/>
      <c r="G309" s="50"/>
      <c r="H309" s="50"/>
      <c r="I309" s="175"/>
      <c r="J309" s="175"/>
      <c r="K309" s="54"/>
      <c r="L309" s="46" t="str">
        <f>Price!A309</f>
        <v>Kovový zásuvný prvek C, 450mm, hedvábně bílý</v>
      </c>
      <c r="M309" s="15" t="str">
        <f>Price!B309</f>
        <v>Z37A417C</v>
      </c>
      <c r="N309" s="15" t="str">
        <f>Price!C309</f>
        <v>SEIW</v>
      </c>
      <c r="O309" s="472" t="str">
        <f>Price!D309</f>
        <v>!</v>
      </c>
      <c r="P309" s="15">
        <f>Price!E309</f>
        <v>0</v>
      </c>
      <c r="Q309" s="17">
        <f>Price!F309</f>
        <v>5.6445800000000004</v>
      </c>
      <c r="R309" s="171"/>
      <c r="S309" s="171"/>
      <c r="T309" s="12">
        <f>Price!G309</f>
        <v>6610192</v>
      </c>
      <c r="U309" s="12">
        <f>Price!H309</f>
        <v>210779</v>
      </c>
      <c r="V309" s="13"/>
      <c r="W309" s="13"/>
      <c r="X309" s="19"/>
      <c r="Y309" s="19"/>
    </row>
    <row r="310" spans="1:25" x14ac:dyDescent="0.35">
      <c r="A310" s="43"/>
      <c r="B310" s="162"/>
      <c r="C310" s="162"/>
      <c r="D310" s="162"/>
      <c r="E310" s="69"/>
      <c r="F310" s="50"/>
      <c r="G310" s="50"/>
      <c r="H310" s="50"/>
      <c r="I310" s="175"/>
      <c r="J310" s="175"/>
      <c r="K310" s="54"/>
      <c r="L310" s="46" t="str">
        <f>Price!A310</f>
        <v>Kovový zásuvný prvek C, 450mm, černý Terra</v>
      </c>
      <c r="M310" s="15" t="str">
        <f>Price!B310</f>
        <v>Z37A417C</v>
      </c>
      <c r="N310" s="15" t="str">
        <f>Price!C310</f>
        <v>TERS</v>
      </c>
      <c r="O310" s="472" t="str">
        <f>Price!D310</f>
        <v>!</v>
      </c>
      <c r="P310" s="15">
        <f>Price!E310</f>
        <v>0</v>
      </c>
      <c r="Q310" s="17">
        <f>Price!F310</f>
        <v>5.2385700000000002</v>
      </c>
      <c r="R310" s="171"/>
      <c r="S310" s="171"/>
      <c r="T310" s="12">
        <f>Price!G310</f>
        <v>1422256</v>
      </c>
      <c r="U310" s="12">
        <f>Price!H310</f>
        <v>210780</v>
      </c>
      <c r="V310" s="13"/>
      <c r="W310" s="13"/>
      <c r="X310" s="19"/>
      <c r="Y310" s="19"/>
    </row>
    <row r="311" spans="1:25" ht="15" thickBot="1" x14ac:dyDescent="0.4">
      <c r="A311" s="75" t="str">
        <f>IF($C$2=1,L311,IF($C$2=2,L312,IF($C$2=3,L313,IF($C$2=4," ","  chyba"))))</f>
        <v>Kovový zásuvný prvek C, 500mm, šedý</v>
      </c>
      <c r="B311" s="75" t="str">
        <f t="shared" ref="B311" si="333">IF($C$2=1,M311,IF($C$2=2,M312,IF($C$2=3,M313,IF($C$2=4," ","  chyba"))))</f>
        <v>Z37A467C</v>
      </c>
      <c r="C311" s="75" t="str">
        <f t="shared" ref="C311" si="334">IF($C$2=1,N311,IF($C$2=2,N312,IF($C$2=3,N313,IF($C$2=4," ","  chyba"))))</f>
        <v>R906</v>
      </c>
      <c r="D311" s="75">
        <f t="shared" ref="D311" si="335">IF($C$2=1,O311,IF($C$2=2,O312,IF($C$2=3,O313,IF($C$2=4," ","  chyba"))))</f>
        <v>0</v>
      </c>
      <c r="E311" s="75">
        <f t="shared" ref="E311" si="336">IF($C$2=1,P311,IF($C$2=2,P312,IF($C$2=3,P313,IF($C$2=4," ","  chyba"))))</f>
        <v>0</v>
      </c>
      <c r="F311" s="540">
        <f>IF($C$2=1,Q311,IF($C$2=2,Q312,IF($C$2=3,Q313,IF($C$2=4,0,"  chyba"))))*(100-$F$6)/100</f>
        <v>5.8695899999999996</v>
      </c>
      <c r="G311" s="50"/>
      <c r="H311" s="50"/>
      <c r="I311" s="75">
        <f t="shared" ref="I311" si="337">IF($C$2=1,T311,IF($C$2=2,T312,IF($C$2=3,T313,IF($C$2=4," ","  chyba"))))</f>
        <v>2406463</v>
      </c>
      <c r="J311" s="75">
        <f t="shared" ref="J311" si="338">IF($C$2=1,U311,IF($C$2=2,U312,IF($C$2=3,U313,IF($C$2=4," ","  chyba"))))</f>
        <v>210784</v>
      </c>
      <c r="K311" s="54"/>
      <c r="L311" s="46" t="str">
        <f>Price!A311</f>
        <v>Kovový zásuvný prvek C, 500mm, šedý</v>
      </c>
      <c r="M311" s="15" t="str">
        <f>Price!B311</f>
        <v>Z37A467C</v>
      </c>
      <c r="N311" s="15" t="str">
        <f>Price!C311</f>
        <v>R906</v>
      </c>
      <c r="O311" s="472">
        <f>Price!D311</f>
        <v>0</v>
      </c>
      <c r="P311" s="15">
        <f>Price!E311</f>
        <v>0</v>
      </c>
      <c r="Q311" s="17">
        <f>Price!F311</f>
        <v>5.8695899999999996</v>
      </c>
      <c r="R311" s="171"/>
      <c r="S311" s="171"/>
      <c r="T311" s="12">
        <f>Price!G311</f>
        <v>2406463</v>
      </c>
      <c r="U311" s="12">
        <f>Price!H311</f>
        <v>210784</v>
      </c>
      <c r="V311" s="13"/>
      <c r="W311" s="13"/>
      <c r="X311" s="19"/>
      <c r="Y311" s="19"/>
    </row>
    <row r="312" spans="1:25" x14ac:dyDescent="0.35">
      <c r="A312" s="43"/>
      <c r="B312" s="162"/>
      <c r="C312" s="162"/>
      <c r="D312" s="162"/>
      <c r="E312" s="69"/>
      <c r="F312" s="50"/>
      <c r="G312" s="50"/>
      <c r="H312" s="50"/>
      <c r="I312" s="175"/>
      <c r="J312" s="175"/>
      <c r="K312" s="54"/>
      <c r="L312" s="46" t="str">
        <f>Price!A312</f>
        <v>Kovový zásuvný prvek C, 500mm, hedvábně bílý</v>
      </c>
      <c r="M312" s="15" t="str">
        <f>Price!B312</f>
        <v>Z37A467C</v>
      </c>
      <c r="N312" s="15" t="str">
        <f>Price!C312</f>
        <v>SEIW</v>
      </c>
      <c r="O312" s="472">
        <f>Price!D312</f>
        <v>0</v>
      </c>
      <c r="P312" s="15">
        <f>Price!E312</f>
        <v>0</v>
      </c>
      <c r="Q312" s="17">
        <f>Price!F312</f>
        <v>5.8695899999999996</v>
      </c>
      <c r="R312" s="171"/>
      <c r="S312" s="171"/>
      <c r="T312" s="12">
        <f>Price!G312</f>
        <v>1548847</v>
      </c>
      <c r="U312" s="12">
        <f>Price!H312</f>
        <v>210785</v>
      </c>
      <c r="V312" s="13"/>
      <c r="W312" s="13"/>
      <c r="X312" s="19"/>
      <c r="Y312" s="19"/>
    </row>
    <row r="313" spans="1:25" x14ac:dyDescent="0.35">
      <c r="A313" s="43"/>
      <c r="B313" s="162"/>
      <c r="C313" s="162"/>
      <c r="D313" s="162"/>
      <c r="E313" s="69"/>
      <c r="F313" s="50"/>
      <c r="G313" s="50"/>
      <c r="H313" s="50"/>
      <c r="I313" s="175"/>
      <c r="J313" s="175"/>
      <c r="K313" s="54"/>
      <c r="L313" s="46" t="str">
        <f>Price!A313</f>
        <v>Kovový zásuvný prvek C, 500mm, černý Terra</v>
      </c>
      <c r="M313" s="15" t="str">
        <f>Price!B313</f>
        <v>Z37A467C</v>
      </c>
      <c r="N313" s="15" t="str">
        <f>Price!C313</f>
        <v>TERS</v>
      </c>
      <c r="O313" s="472" t="str">
        <f>Price!D313</f>
        <v>!</v>
      </c>
      <c r="P313" s="15">
        <f>Price!E313</f>
        <v>0</v>
      </c>
      <c r="Q313" s="17">
        <f>Price!F313</f>
        <v>5.4834899999999998</v>
      </c>
      <c r="R313" s="171"/>
      <c r="S313" s="171"/>
      <c r="T313" s="12">
        <f>Price!G313</f>
        <v>7982816</v>
      </c>
      <c r="U313" s="12">
        <f>Price!H313</f>
        <v>210786</v>
      </c>
      <c r="V313" s="13"/>
      <c r="W313" s="13"/>
      <c r="X313" s="19"/>
      <c r="Y313" s="19"/>
    </row>
    <row r="314" spans="1:25" ht="15" thickBot="1" x14ac:dyDescent="0.4">
      <c r="A314" s="75" t="str">
        <f>IF($C$2=1,L314,IF($C$2=2,L315,IF($C$2=3,L316,IF($C$2=4," ","  chyba"))))</f>
        <v>Kovový zásuvný prvek C, 550mm, šedý</v>
      </c>
      <c r="B314" s="75" t="str">
        <f t="shared" ref="B314" si="339">IF($C$2=1,M314,IF($C$2=2,M315,IF($C$2=3,M316,IF($C$2=4," ","  chyba"))))</f>
        <v>Z37A517C</v>
      </c>
      <c r="C314" s="75" t="str">
        <f t="shared" ref="C314" si="340">IF($C$2=1,N314,IF($C$2=2,N315,IF($C$2=3,N316,IF($C$2=4," ","  chyba"))))</f>
        <v>R906</v>
      </c>
      <c r="D314" s="75" t="str">
        <f t="shared" ref="D314" si="341">IF($C$2=1,O314,IF($C$2=2,O315,IF($C$2=3,O316,IF($C$2=4," ","  chyba"))))</f>
        <v>!</v>
      </c>
      <c r="E314" s="75">
        <f t="shared" ref="E314" si="342">IF($C$2=1,P314,IF($C$2=2,P315,IF($C$2=3,P316,IF($C$2=4," ","  chyba"))))</f>
        <v>0</v>
      </c>
      <c r="F314" s="540">
        <f>IF($C$2=1,Q314,IF($C$2=2,Q315,IF($C$2=3,Q316,IF($C$2=4,0,"  chyba"))))*(100-$F$6)/100</f>
        <v>5.9517800000000003</v>
      </c>
      <c r="G314" s="50"/>
      <c r="H314" s="50"/>
      <c r="I314" s="75">
        <f t="shared" ref="I314" si="343">IF($C$2=1,T314,IF($C$2=2,T315,IF($C$2=3,T316,IF($C$2=4," ","  chyba"))))</f>
        <v>5511982</v>
      </c>
      <c r="J314" s="75">
        <f t="shared" ref="J314" si="344">IF($C$2=1,U314,IF($C$2=2,U315,IF($C$2=3,U316,IF($C$2=4," ","  chyba"))))</f>
        <v>210790</v>
      </c>
      <c r="K314" s="54"/>
      <c r="L314" s="46" t="str">
        <f>Price!A314</f>
        <v>Kovový zásuvný prvek C, 550mm, šedý</v>
      </c>
      <c r="M314" s="15" t="str">
        <f>Price!B314</f>
        <v>Z37A517C</v>
      </c>
      <c r="N314" s="15" t="str">
        <f>Price!C314</f>
        <v>R906</v>
      </c>
      <c r="O314" s="472" t="str">
        <f>Price!D314</f>
        <v>!</v>
      </c>
      <c r="P314" s="15">
        <f>Price!E314</f>
        <v>0</v>
      </c>
      <c r="Q314" s="17">
        <f>Price!F314</f>
        <v>5.9517800000000003</v>
      </c>
      <c r="R314" s="171"/>
      <c r="S314" s="171"/>
      <c r="T314" s="12">
        <f>Price!G314</f>
        <v>5511982</v>
      </c>
      <c r="U314" s="12">
        <f>Price!H314</f>
        <v>210790</v>
      </c>
      <c r="V314" s="13"/>
      <c r="W314" s="13"/>
      <c r="X314" s="19"/>
      <c r="Y314" s="19"/>
    </row>
    <row r="315" spans="1:25" x14ac:dyDescent="0.35">
      <c r="A315" s="43"/>
      <c r="B315" s="162"/>
      <c r="C315" s="162"/>
      <c r="D315" s="162"/>
      <c r="E315" s="69"/>
      <c r="F315" s="50"/>
      <c r="G315" s="50"/>
      <c r="H315" s="50"/>
      <c r="I315" s="175"/>
      <c r="J315" s="175"/>
      <c r="K315" s="54"/>
      <c r="L315" s="46" t="str">
        <f>Price!A315</f>
        <v>Kovový zásuvný prvek C, 550mm, hedvábně bílý</v>
      </c>
      <c r="M315" s="15" t="str">
        <f>Price!B315</f>
        <v>Z37A517C</v>
      </c>
      <c r="N315" s="15" t="str">
        <f>Price!C315</f>
        <v>SEIW</v>
      </c>
      <c r="O315" s="472" t="str">
        <f>Price!D315</f>
        <v>!</v>
      </c>
      <c r="P315" s="15">
        <f>Price!E315</f>
        <v>0</v>
      </c>
      <c r="Q315" s="17">
        <f>Price!F315</f>
        <v>5.9517800000000003</v>
      </c>
      <c r="R315" s="171"/>
      <c r="S315" s="171"/>
      <c r="T315" s="12">
        <f>Price!G315</f>
        <v>9103982</v>
      </c>
      <c r="U315" s="12">
        <f>Price!H315</f>
        <v>210791</v>
      </c>
      <c r="V315" s="13"/>
      <c r="W315" s="13"/>
      <c r="X315" s="19"/>
      <c r="Y315" s="19"/>
    </row>
    <row r="316" spans="1:25" x14ac:dyDescent="0.35">
      <c r="A316" s="43"/>
      <c r="B316" s="162"/>
      <c r="C316" s="162"/>
      <c r="D316" s="162"/>
      <c r="E316" s="69"/>
      <c r="F316" s="50"/>
      <c r="G316" s="50"/>
      <c r="H316" s="50"/>
      <c r="I316" s="175"/>
      <c r="J316" s="175"/>
      <c r="K316" s="54"/>
      <c r="L316" s="46" t="str">
        <f>Price!A316</f>
        <v>Kovový zásuvný prvek C, 550mm, černý Terra</v>
      </c>
      <c r="M316" s="15" t="str">
        <f>Price!B316</f>
        <v>Z37A517C</v>
      </c>
      <c r="N316" s="15" t="str">
        <f>Price!C316</f>
        <v>TERS</v>
      </c>
      <c r="O316" s="472" t="str">
        <f>Price!D316</f>
        <v>!</v>
      </c>
      <c r="P316" s="15">
        <f>Price!E316</f>
        <v>0</v>
      </c>
      <c r="Q316" s="17">
        <f>Price!F316</f>
        <v>5.9517800000000003</v>
      </c>
      <c r="R316" s="171"/>
      <c r="S316" s="171"/>
      <c r="T316" s="12">
        <f>Price!G316</f>
        <v>1845403</v>
      </c>
      <c r="U316" s="12">
        <f>Price!H316</f>
        <v>210792</v>
      </c>
      <c r="V316" s="13"/>
      <c r="W316" s="13"/>
      <c r="X316" s="19"/>
      <c r="Y316" s="19"/>
    </row>
    <row r="317" spans="1:25" ht="15" thickBot="1" x14ac:dyDescent="0.4">
      <c r="A317" s="75">
        <f>IF($C$2=1,L317,IF($C$2=2,L318,IF($C$2=3,L319,IF($C$2=4," ","  chyba"))))</f>
        <v>0</v>
      </c>
      <c r="B317" s="75">
        <f t="shared" ref="B317" si="345">IF($C$2=1,M317,IF($C$2=2,M318,IF($C$2=3,M319,IF($C$2=4," ","  chyba"))))</f>
        <v>0</v>
      </c>
      <c r="C317" s="75">
        <f t="shared" ref="C317" si="346">IF($C$2=1,N317,IF($C$2=2,N318,IF($C$2=3,N319,IF($C$2=4," ","  chyba"))))</f>
        <v>0</v>
      </c>
      <c r="D317" s="75">
        <f t="shared" ref="D317" si="347">IF($C$2=1,O317,IF($C$2=2,O318,IF($C$2=3,O319,IF($C$2=4," ","  chyba"))))</f>
        <v>0</v>
      </c>
      <c r="E317" s="75">
        <f t="shared" ref="E317" si="348">IF($C$2=1,P317,IF($C$2=2,P318,IF($C$2=3,P319,IF($C$2=4," ","  chyba"))))</f>
        <v>0</v>
      </c>
      <c r="F317" s="540">
        <f>IF($C$2=1,Q317,IF($C$2=2,Q318,IF($C$2=3,Q319,IF($C$2=4,0,"  chyba"))))*(100-$F$6)/100</f>
        <v>0</v>
      </c>
      <c r="G317" s="50"/>
      <c r="H317" s="50"/>
      <c r="I317" s="75">
        <f t="shared" ref="I317" si="349">IF($C$2=1,T317,IF($C$2=2,T318,IF($C$2=3,T319,IF($C$2=4," ","  chyba"))))</f>
        <v>0</v>
      </c>
      <c r="J317" s="75">
        <f t="shared" ref="J317" si="350">IF($C$2=1,U317,IF($C$2=2,U318,IF($C$2=3,U319,IF($C$2=4," ","  chyba"))))</f>
        <v>0</v>
      </c>
      <c r="K317" s="54"/>
      <c r="L317" s="46">
        <f>Price!A317</f>
        <v>0</v>
      </c>
      <c r="M317" s="15">
        <f>Price!B317</f>
        <v>0</v>
      </c>
      <c r="N317" s="15">
        <f>Price!C317</f>
        <v>0</v>
      </c>
      <c r="O317" s="472">
        <f>Price!D317</f>
        <v>0</v>
      </c>
      <c r="P317" s="15">
        <f>Price!E317</f>
        <v>0</v>
      </c>
      <c r="Q317" s="17">
        <f>Price!F317</f>
        <v>0</v>
      </c>
      <c r="R317" s="171"/>
      <c r="S317" s="171"/>
      <c r="T317" s="12">
        <f>Price!G317</f>
        <v>0</v>
      </c>
      <c r="U317" s="12">
        <f>Price!H317</f>
        <v>0</v>
      </c>
      <c r="V317" s="13"/>
      <c r="W317" s="13"/>
      <c r="X317" s="19"/>
      <c r="Y317" s="19"/>
    </row>
    <row r="318" spans="1:25" x14ac:dyDescent="0.35">
      <c r="A318" s="43"/>
      <c r="B318" s="162"/>
      <c r="C318" s="162"/>
      <c r="D318" s="162"/>
      <c r="E318" s="69"/>
      <c r="F318" s="50"/>
      <c r="G318" s="50"/>
      <c r="H318" s="50"/>
      <c r="I318" s="175"/>
      <c r="J318" s="175"/>
      <c r="K318" s="54"/>
      <c r="L318" s="46">
        <f>Price!A318</f>
        <v>0</v>
      </c>
      <c r="M318" s="15">
        <f>Price!B318</f>
        <v>0</v>
      </c>
      <c r="N318" s="15">
        <f>Price!C318</f>
        <v>0</v>
      </c>
      <c r="O318" s="472">
        <f>Price!D318</f>
        <v>0</v>
      </c>
      <c r="P318" s="15">
        <f>Price!E318</f>
        <v>0</v>
      </c>
      <c r="Q318" s="17">
        <f>Price!F318</f>
        <v>0</v>
      </c>
      <c r="R318" s="171"/>
      <c r="S318" s="171"/>
      <c r="T318" s="12">
        <f>Price!G318</f>
        <v>0</v>
      </c>
      <c r="U318" s="12">
        <f>Price!H318</f>
        <v>0</v>
      </c>
      <c r="V318" s="13"/>
      <c r="W318" s="13"/>
      <c r="X318" s="19"/>
      <c r="Y318" s="19"/>
    </row>
    <row r="319" spans="1:25" x14ac:dyDescent="0.35">
      <c r="A319" s="43"/>
      <c r="B319" s="162"/>
      <c r="C319" s="162"/>
      <c r="D319" s="162"/>
      <c r="E319" s="69"/>
      <c r="F319" s="50"/>
      <c r="G319" s="50"/>
      <c r="H319" s="50"/>
      <c r="I319" s="175"/>
      <c r="J319" s="175"/>
      <c r="K319" s="54"/>
      <c r="L319" s="46">
        <f>Price!A319</f>
        <v>0</v>
      </c>
      <c r="M319" s="15">
        <f>Price!B319</f>
        <v>0</v>
      </c>
      <c r="N319" s="15">
        <f>Price!C319</f>
        <v>0</v>
      </c>
      <c r="O319" s="472">
        <f>Price!D319</f>
        <v>0</v>
      </c>
      <c r="P319" s="15">
        <f>Price!E319</f>
        <v>0</v>
      </c>
      <c r="Q319" s="17">
        <f>Price!F319</f>
        <v>0</v>
      </c>
      <c r="R319" s="171"/>
      <c r="S319" s="171"/>
      <c r="T319" s="12">
        <f>Price!G319</f>
        <v>0</v>
      </c>
      <c r="U319" s="12">
        <f>Price!H319</f>
        <v>0</v>
      </c>
      <c r="V319" s="13"/>
      <c r="W319" s="13"/>
      <c r="X319" s="19"/>
      <c r="Y319" s="19"/>
    </row>
    <row r="320" spans="1:25" ht="15" thickBot="1" x14ac:dyDescent="0.4">
      <c r="A320" s="75" t="str">
        <f>IF($C$2=1,L320,IF($C$2=2,L321,IF($C$2=3,L322,IF($C$2=4," ","  chyba"))))</f>
        <v>Kovový zásuvný prvek C, 650mm, šedý</v>
      </c>
      <c r="B320" s="75" t="str">
        <f t="shared" ref="B320" si="351">IF($C$2=1,M320,IF($C$2=2,M321,IF($C$2=3,M322,IF($C$2=4," ","  chyba"))))</f>
        <v>Z37A617C</v>
      </c>
      <c r="C320" s="75" t="str">
        <f t="shared" ref="C320" si="352">IF($C$2=1,N320,IF($C$2=2,N321,IF($C$2=3,N322,IF($C$2=4," ","  chyba"))))</f>
        <v>R906</v>
      </c>
      <c r="D320" s="75" t="str">
        <f t="shared" ref="D320" si="353">IF($C$2=1,O320,IF($C$2=2,O321,IF($C$2=3,O322,IF($C$2=4," ","  chyba"))))</f>
        <v>!</v>
      </c>
      <c r="E320" s="75">
        <f t="shared" ref="E320" si="354">IF($C$2=1,P320,IF($C$2=2,P321,IF($C$2=3,P322,IF($C$2=4," ","  chyba"))))</f>
        <v>0</v>
      </c>
      <c r="F320" s="540">
        <f>IF($C$2=1,Q320,IF($C$2=2,Q321,IF($C$2=3,Q322,IF($C$2=4,0,"  chyba"))))*(100-$F$6)/100</f>
        <v>6.8881800000000002</v>
      </c>
      <c r="G320" s="50"/>
      <c r="H320" s="50"/>
      <c r="I320" s="75">
        <f t="shared" ref="I320" si="355">IF($C$2=1,T320,IF($C$2=2,T321,IF($C$2=3,T322,IF($C$2=4," ","  chyba"))))</f>
        <v>4040898</v>
      </c>
      <c r="J320" s="75">
        <f t="shared" ref="J320" si="356">IF($C$2=1,U320,IF($C$2=2,U321,IF($C$2=3,U322,IF($C$2=4," ","  chyba"))))</f>
        <v>210796</v>
      </c>
      <c r="K320" s="54"/>
      <c r="L320" s="46" t="str">
        <f>Price!A320</f>
        <v>Kovový zásuvný prvek C, 650mm, šedý</v>
      </c>
      <c r="M320" s="15" t="str">
        <f>Price!B320</f>
        <v>Z37A617C</v>
      </c>
      <c r="N320" s="15" t="str">
        <f>Price!C320</f>
        <v>R906</v>
      </c>
      <c r="O320" s="472" t="str">
        <f>Price!D320</f>
        <v>!</v>
      </c>
      <c r="P320" s="15">
        <f>Price!E320</f>
        <v>0</v>
      </c>
      <c r="Q320" s="17">
        <f>Price!F320</f>
        <v>6.8881800000000002</v>
      </c>
      <c r="R320" s="171"/>
      <c r="S320" s="171"/>
      <c r="T320" s="12">
        <f>Price!G320</f>
        <v>4040898</v>
      </c>
      <c r="U320" s="12">
        <f>Price!H320</f>
        <v>210796</v>
      </c>
      <c r="V320" s="13"/>
      <c r="W320" s="13"/>
      <c r="X320" s="19"/>
      <c r="Y320" s="19"/>
    </row>
    <row r="321" spans="1:25" x14ac:dyDescent="0.35">
      <c r="A321" s="43"/>
      <c r="B321" s="162"/>
      <c r="C321" s="162"/>
      <c r="D321" s="162"/>
      <c r="E321" s="69"/>
      <c r="F321" s="50"/>
      <c r="G321" s="50"/>
      <c r="H321" s="50"/>
      <c r="I321" s="175"/>
      <c r="J321" s="175"/>
      <c r="K321" s="54"/>
      <c r="L321" s="46" t="str">
        <f>Price!A321</f>
        <v>Kovový zásuvný prvek C, 650mm, hedvábně bílý</v>
      </c>
      <c r="M321" s="15" t="str">
        <f>Price!B321</f>
        <v>Z37A617C</v>
      </c>
      <c r="N321" s="15" t="str">
        <f>Price!C321</f>
        <v>SEIW</v>
      </c>
      <c r="O321" s="472" t="str">
        <f>Price!D321</f>
        <v>!</v>
      </c>
      <c r="P321" s="15">
        <f>Price!E321</f>
        <v>0</v>
      </c>
      <c r="Q321" s="17">
        <f>Price!F321</f>
        <v>7.1608299999999998</v>
      </c>
      <c r="R321" s="171"/>
      <c r="S321" s="171"/>
      <c r="T321" s="12">
        <f>Price!G321</f>
        <v>9177129</v>
      </c>
      <c r="U321" s="12">
        <f>Price!H321</f>
        <v>210797</v>
      </c>
      <c r="V321" s="13"/>
      <c r="W321" s="13"/>
      <c r="X321" s="19"/>
      <c r="Y321" s="19"/>
    </row>
    <row r="322" spans="1:25" x14ac:dyDescent="0.35">
      <c r="A322" s="43"/>
      <c r="B322" s="162"/>
      <c r="C322" s="162"/>
      <c r="D322" s="162"/>
      <c r="E322" s="69"/>
      <c r="F322" s="50"/>
      <c r="G322" s="50"/>
      <c r="H322" s="50"/>
      <c r="I322" s="175"/>
      <c r="J322" s="175"/>
      <c r="K322" s="54"/>
      <c r="L322" s="46" t="str">
        <f>Price!A322</f>
        <v>Kovový zásuvný prvek C, 650mm, černý Terra</v>
      </c>
      <c r="M322" s="15" t="str">
        <f>Price!B322</f>
        <v>Z37A617C</v>
      </c>
      <c r="N322" s="15" t="str">
        <f>Price!C322</f>
        <v>TERS</v>
      </c>
      <c r="O322" s="472" t="str">
        <f>Price!D322</f>
        <v>!</v>
      </c>
      <c r="P322" s="15">
        <f>Price!E322</f>
        <v>0</v>
      </c>
      <c r="Q322" s="17">
        <f>Price!F322</f>
        <v>6.8881800000000002</v>
      </c>
      <c r="R322" s="171"/>
      <c r="S322" s="171"/>
      <c r="T322" s="12">
        <f>Price!G322</f>
        <v>4973064</v>
      </c>
      <c r="U322" s="12">
        <f>Price!H322</f>
        <v>210798</v>
      </c>
      <c r="V322" s="13"/>
      <c r="W322" s="13"/>
      <c r="X322" s="19"/>
      <c r="Y322" s="19"/>
    </row>
    <row r="323" spans="1:25" x14ac:dyDescent="0.35">
      <c r="A323" s="43"/>
      <c r="B323" s="162"/>
      <c r="C323" s="162"/>
      <c r="D323" s="162"/>
      <c r="E323" s="69"/>
      <c r="F323" s="50"/>
      <c r="G323" s="50"/>
      <c r="H323" s="50"/>
      <c r="I323" s="175"/>
      <c r="J323" s="175"/>
      <c r="K323" s="54"/>
      <c r="L323" s="46"/>
      <c r="M323" s="15"/>
      <c r="N323" s="15"/>
      <c r="O323" s="472">
        <f>Price!D323</f>
        <v>0</v>
      </c>
      <c r="P323" s="15">
        <f>Price!E323</f>
        <v>0</v>
      </c>
      <c r="Q323" s="17"/>
      <c r="R323" s="171"/>
      <c r="S323" s="171"/>
      <c r="T323" s="12"/>
      <c r="U323" s="12"/>
      <c r="V323" s="13"/>
      <c r="W323" s="13"/>
      <c r="X323" s="19"/>
      <c r="Y323" s="19"/>
    </row>
    <row r="324" spans="1:25" ht="15" thickBot="1" x14ac:dyDescent="0.4">
      <c r="A324" s="75" t="str">
        <f>IF($C$2=1,L324,IF($C$2=2,L325,IF($C$2=3,L326, IF($C$2=4, L327, "  chyba"))))</f>
        <v>Sada držáků zásuvného prvku C, bílošedá</v>
      </c>
      <c r="B324" s="76" t="str">
        <f t="shared" ref="B324" si="357">IF($C$2=1,M324,IF($C$2=2,M325,IF($C$2=3,M326, IF($C$2=4, M327, "  chyba"))))</f>
        <v>Z36C0080</v>
      </c>
      <c r="C324" s="76" t="str">
        <f t="shared" ref="C324" si="358">IF($C$2=1,N324,IF($C$2=2,N325,IF($C$2=3,N326, IF($C$2=4, N327, "  chyba"))))</f>
        <v>WGR</v>
      </c>
      <c r="D324" s="172">
        <f t="shared" ref="D324" si="359">IF($C$2=1,O324,IF($C$2=2,O325,IF($C$2=3,O326, IF($C$2=4, O327, "  chyba"))))</f>
        <v>0</v>
      </c>
      <c r="E324" s="77">
        <f t="shared" ref="E324" si="360">IF($C$2=1,P324,IF($C$2=2,P325,IF($C$2=3,P326, IF($C$2=4, P327, "  chyba"))))</f>
        <v>0</v>
      </c>
      <c r="F324" s="78">
        <f>IF($C$2=1,Q324,IF($C$2=2,Q325,IF($C$2=3,Q326, IF($C$2=4, Q327, "  chyba"))))*(100-$F$6)/100</f>
        <v>2.3597199999999998</v>
      </c>
      <c r="G324" s="50"/>
      <c r="H324" s="50"/>
      <c r="I324" s="172">
        <f t="shared" ref="I324" si="361">IF($C$2=1,T324,IF($C$2=2,T325,IF($C$2=3,T326, IF($C$2=4, T327, "  chyba"))))</f>
        <v>7602540</v>
      </c>
      <c r="J324" s="172">
        <f t="shared" ref="J324" si="362">IF($C$2=1,U324,IF($C$2=2,U325,IF($C$2=3,U326, IF($C$2=4, U327, "  chyba"))))</f>
        <v>205991</v>
      </c>
      <c r="K324" s="54"/>
      <c r="L324" s="46" t="str">
        <f>Price!A324</f>
        <v>Sada držáků zásuvného prvku C, bílošedá</v>
      </c>
      <c r="M324" s="15" t="str">
        <f>Price!B324</f>
        <v>Z36C0080</v>
      </c>
      <c r="N324" s="15" t="str">
        <f>Price!C324</f>
        <v>WGR</v>
      </c>
      <c r="O324" s="472">
        <f>Price!D324</f>
        <v>0</v>
      </c>
      <c r="P324" s="15">
        <f>Price!E324</f>
        <v>0</v>
      </c>
      <c r="Q324" s="17">
        <f>Price!F324</f>
        <v>2.3597199999999998</v>
      </c>
      <c r="R324" s="171"/>
      <c r="S324" s="171"/>
      <c r="T324" s="12">
        <f>Price!G324</f>
        <v>7602540</v>
      </c>
      <c r="U324" s="12">
        <f>Price!H324</f>
        <v>205991</v>
      </c>
      <c r="V324" s="13"/>
      <c r="W324" s="13"/>
      <c r="X324" s="19"/>
      <c r="Y324" s="19"/>
    </row>
    <row r="325" spans="1:25" x14ac:dyDescent="0.35">
      <c r="A325" s="43"/>
      <c r="B325" s="162"/>
      <c r="C325" s="162"/>
      <c r="D325" s="162"/>
      <c r="E325" s="69"/>
      <c r="F325" s="50"/>
      <c r="G325" s="50"/>
      <c r="H325" s="50"/>
      <c r="I325" s="175"/>
      <c r="J325" s="175"/>
      <c r="K325" s="54"/>
      <c r="L325" s="46" t="str">
        <f>Price!A325</f>
        <v>Sada držáků zásuvného prvku C, hedvábně bílá</v>
      </c>
      <c r="M325" s="15" t="str">
        <f>Price!B325</f>
        <v>Z36C0080</v>
      </c>
      <c r="N325" s="15" t="str">
        <f>Price!C325</f>
        <v>SEIW</v>
      </c>
      <c r="O325" s="472">
        <f>Price!D325</f>
        <v>0</v>
      </c>
      <c r="P325" s="15">
        <f>Price!E325</f>
        <v>0</v>
      </c>
      <c r="Q325" s="17">
        <f>Price!F325</f>
        <v>2.3597199999999998</v>
      </c>
      <c r="R325" s="171"/>
      <c r="S325" s="171"/>
      <c r="T325" s="12">
        <f>Price!G325</f>
        <v>1725109</v>
      </c>
      <c r="U325" s="12">
        <f>Price!H325</f>
        <v>210816</v>
      </c>
      <c r="V325" s="13"/>
      <c r="W325" s="13"/>
      <c r="X325" s="19"/>
      <c r="Y325" s="19"/>
    </row>
    <row r="326" spans="1:25" x14ac:dyDescent="0.35">
      <c r="A326" s="43"/>
      <c r="B326" s="161"/>
      <c r="C326" s="161"/>
      <c r="D326" s="161"/>
      <c r="E326" s="69"/>
      <c r="F326" s="50"/>
      <c r="G326" s="50"/>
      <c r="H326" s="50"/>
      <c r="I326" s="176"/>
      <c r="J326" s="176"/>
      <c r="K326" s="54"/>
      <c r="L326" s="46" t="str">
        <f>Price!A326</f>
        <v>Sada držáků zásuvného prvku C, černá</v>
      </c>
      <c r="M326" s="15" t="str">
        <f>Price!B326</f>
        <v>Z36C0080</v>
      </c>
      <c r="N326" s="15" t="str">
        <f>Price!C326</f>
        <v xml:space="preserve">S </v>
      </c>
      <c r="O326" s="472" t="str">
        <f>Price!D326</f>
        <v>!</v>
      </c>
      <c r="P326" s="15">
        <f>Price!E326</f>
        <v>0</v>
      </c>
      <c r="Q326" s="17">
        <f>Price!F326</f>
        <v>2.3597199999999998</v>
      </c>
      <c r="R326" s="171"/>
      <c r="S326" s="171"/>
      <c r="T326" s="12">
        <f>Price!G326</f>
        <v>6806959</v>
      </c>
      <c r="U326" s="12">
        <f>Price!H326</f>
        <v>210815</v>
      </c>
      <c r="V326" s="13"/>
      <c r="W326" s="13"/>
      <c r="X326" s="19"/>
      <c r="Y326" s="19"/>
    </row>
    <row r="327" spans="1:25" x14ac:dyDescent="0.35">
      <c r="A327" s="43"/>
      <c r="B327" s="161"/>
      <c r="C327" s="161"/>
      <c r="D327" s="161"/>
      <c r="E327" s="69"/>
      <c r="F327" s="50"/>
      <c r="G327" s="50"/>
      <c r="H327" s="50"/>
      <c r="I327" s="176"/>
      <c r="J327" s="176"/>
      <c r="K327" s="54"/>
      <c r="L327" s="46" t="str">
        <f>Price!A327</f>
        <v>Sada držáků zásuvného prvku C, prachově šedá</v>
      </c>
      <c r="M327" s="15" t="str">
        <f>Price!B327</f>
        <v>Z36C0080</v>
      </c>
      <c r="N327" s="15" t="str">
        <f>Price!C327</f>
        <v>R737</v>
      </c>
      <c r="O327" s="472" t="str">
        <f>Price!D327</f>
        <v>!</v>
      </c>
      <c r="P327" s="15">
        <f>Price!E327</f>
        <v>0</v>
      </c>
      <c r="Q327" s="17">
        <f>Price!F327</f>
        <v>2.2410100000000002</v>
      </c>
      <c r="R327" s="171"/>
      <c r="S327" s="171"/>
      <c r="T327" s="12">
        <f>Price!G327</f>
        <v>4419894</v>
      </c>
      <c r="U327" s="12">
        <f>Price!H327</f>
        <v>210814</v>
      </c>
      <c r="V327" s="13"/>
      <c r="W327" s="13"/>
      <c r="X327" s="19"/>
      <c r="Y327" s="19"/>
    </row>
    <row r="328" spans="1:25" ht="15" thickBot="1" x14ac:dyDescent="0.4">
      <c r="A328" s="75" t="str">
        <f>IF($C$2=1,L328,IF($C$2=2,L329,IF($C$2=3,L330, IF($C$2=4, L331, "  chyba"))))</f>
        <v>Sada držáků zásuvného prvku D, bílošedá</v>
      </c>
      <c r="B328" s="76" t="str">
        <f t="shared" ref="B328" si="363">IF($C$2=1,M328,IF($C$2=2,M329,IF($C$2=3,M330, IF($C$2=4, M331, "  chyba"))))</f>
        <v>Z36D0080</v>
      </c>
      <c r="C328" s="76" t="str">
        <f t="shared" ref="C328" si="364">IF($C$2=1,N328,IF($C$2=2,N329,IF($C$2=3,N330, IF($C$2=4, N331, "  chyba"))))</f>
        <v>WGR</v>
      </c>
      <c r="D328" s="172">
        <f t="shared" ref="D328" si="365">IF($C$2=1,O328,IF($C$2=2,O329,IF($C$2=3,O330, IF($C$2=4, O331, "  chyba"))))</f>
        <v>0</v>
      </c>
      <c r="E328" s="77">
        <f t="shared" ref="E328" si="366">IF($C$2=1,P328,IF($C$2=2,P329,IF($C$2=3,P330, IF($C$2=4, P331, "  chyba"))))</f>
        <v>0</v>
      </c>
      <c r="F328" s="78">
        <f>IF($C$2=1,Q328,IF($C$2=2,Q329,IF($C$2=3,Q330, IF($C$2=4, Q331, "  chyba"))))*(100-$F$6)/100</f>
        <v>2.4851200000000002</v>
      </c>
      <c r="G328" s="50"/>
      <c r="H328" s="50"/>
      <c r="I328" s="172">
        <f t="shared" ref="I328" si="367">IF($C$2=1,T328,IF($C$2=2,T329,IF($C$2=3,T330, IF($C$2=4, T331, "  chyba"))))</f>
        <v>1004836</v>
      </c>
      <c r="J328" s="172">
        <f t="shared" ref="J328" si="368">IF($C$2=1,U328,IF($C$2=2,U329,IF($C$2=3,U330, IF($C$2=4, U331, "  chyba"))))</f>
        <v>202570</v>
      </c>
      <c r="K328" s="54"/>
      <c r="L328" s="46" t="str">
        <f>Price!A328</f>
        <v>Sada držáků zásuvného prvku D, bílošedá</v>
      </c>
      <c r="M328" s="15" t="str">
        <f>Price!B328</f>
        <v>Z36D0080</v>
      </c>
      <c r="N328" s="15" t="str">
        <f>Price!C328</f>
        <v>WGR</v>
      </c>
      <c r="O328" s="472">
        <f>Price!D328</f>
        <v>0</v>
      </c>
      <c r="P328" s="15">
        <f>Price!E328</f>
        <v>0</v>
      </c>
      <c r="Q328" s="17">
        <f>Price!F328</f>
        <v>2.4851200000000002</v>
      </c>
      <c r="R328" s="171"/>
      <c r="S328" s="171"/>
      <c r="T328" s="12">
        <f>Price!G328</f>
        <v>1004836</v>
      </c>
      <c r="U328" s="12">
        <f>Price!H328</f>
        <v>202570</v>
      </c>
      <c r="V328" s="13"/>
      <c r="W328" s="13"/>
      <c r="X328" s="19"/>
      <c r="Y328" s="19"/>
    </row>
    <row r="329" spans="1:25" x14ac:dyDescent="0.35">
      <c r="A329" s="65"/>
      <c r="B329" s="162"/>
      <c r="C329" s="162"/>
      <c r="D329" s="162"/>
      <c r="E329" s="64"/>
      <c r="F329" s="52"/>
      <c r="G329" s="52"/>
      <c r="H329" s="52"/>
      <c r="I329" s="175"/>
      <c r="J329" s="175"/>
      <c r="K329" s="47"/>
      <c r="L329" s="46" t="str">
        <f>Price!A329</f>
        <v>Sada držáků zásuvného prvku D, hedvábně bílá</v>
      </c>
      <c r="M329" s="15" t="str">
        <f>Price!B329</f>
        <v>Z36D0080</v>
      </c>
      <c r="N329" s="15" t="str">
        <f>Price!C329</f>
        <v>SEIW</v>
      </c>
      <c r="O329" s="472">
        <f>Price!D329</f>
        <v>0</v>
      </c>
      <c r="P329" s="15">
        <f>Price!E329</f>
        <v>0</v>
      </c>
      <c r="Q329" s="17">
        <f>Price!F329</f>
        <v>2.4851200000000002</v>
      </c>
      <c r="R329" s="171"/>
      <c r="S329" s="171"/>
      <c r="T329" s="12">
        <f>Price!G329</f>
        <v>1110359</v>
      </c>
      <c r="U329" s="12">
        <f>Price!H329</f>
        <v>202571</v>
      </c>
      <c r="V329" s="13"/>
      <c r="W329" s="13"/>
      <c r="X329" s="19"/>
      <c r="Y329" s="19"/>
    </row>
    <row r="330" spans="1:25" x14ac:dyDescent="0.35">
      <c r="A330" s="43"/>
      <c r="B330" s="161"/>
      <c r="C330" s="161"/>
      <c r="D330" s="161"/>
      <c r="E330" s="69"/>
      <c r="F330" s="50"/>
      <c r="G330" s="50"/>
      <c r="H330" s="50"/>
      <c r="I330" s="176"/>
      <c r="J330" s="176"/>
      <c r="K330" s="54"/>
      <c r="L330" s="46" t="str">
        <f>Price!A330</f>
        <v>Sada držáků zásuvného prvku D, černá</v>
      </c>
      <c r="M330" s="15" t="str">
        <f>Price!B330</f>
        <v>Z36D0080</v>
      </c>
      <c r="N330" s="15" t="str">
        <f>Price!C330</f>
        <v xml:space="preserve">S </v>
      </c>
      <c r="O330" s="472" t="str">
        <f>Price!D330</f>
        <v>!</v>
      </c>
      <c r="P330" s="15">
        <f>Price!E330</f>
        <v>0</v>
      </c>
      <c r="Q330" s="17">
        <f>Price!F330</f>
        <v>2.4851200000000002</v>
      </c>
      <c r="R330" s="171"/>
      <c r="S330" s="171"/>
      <c r="T330" s="12">
        <f>Price!G330</f>
        <v>4178837</v>
      </c>
      <c r="U330" s="12">
        <f>Price!H330</f>
        <v>203079</v>
      </c>
      <c r="V330" s="13"/>
      <c r="W330" s="13"/>
      <c r="X330" s="19"/>
      <c r="Y330" s="19"/>
    </row>
    <row r="331" spans="1:25" x14ac:dyDescent="0.35">
      <c r="A331" s="43"/>
      <c r="B331" s="162"/>
      <c r="C331" s="162"/>
      <c r="D331" s="162"/>
      <c r="E331" s="69"/>
      <c r="F331" s="50"/>
      <c r="G331" s="50"/>
      <c r="H331" s="50"/>
      <c r="I331" s="175"/>
      <c r="J331" s="175"/>
      <c r="K331" s="54"/>
      <c r="L331" s="46" t="str">
        <f>Price!A331</f>
        <v>Sada držáků zásuvného prvku D, prachově šedá</v>
      </c>
      <c r="M331" s="15" t="str">
        <f>Price!B331</f>
        <v>Z36D0080</v>
      </c>
      <c r="N331" s="15" t="str">
        <f>Price!C331</f>
        <v>R737</v>
      </c>
      <c r="O331" s="472" t="str">
        <f>Price!D331</f>
        <v>!</v>
      </c>
      <c r="P331" s="15">
        <f>Price!E331</f>
        <v>0</v>
      </c>
      <c r="Q331" s="17">
        <f>Price!F331</f>
        <v>2.4851200000000002</v>
      </c>
      <c r="R331" s="171"/>
      <c r="S331" s="171"/>
      <c r="T331" s="12">
        <f>Price!G331</f>
        <v>4312103</v>
      </c>
      <c r="U331" s="12">
        <f>Price!H331</f>
        <v>227339</v>
      </c>
      <c r="V331" s="13"/>
      <c r="W331" s="13"/>
      <c r="X331" s="19"/>
      <c r="Y331" s="19"/>
    </row>
    <row r="332" spans="1:25" x14ac:dyDescent="0.35">
      <c r="A332" s="65"/>
      <c r="B332" s="161"/>
      <c r="C332" s="161"/>
      <c r="D332" s="161"/>
      <c r="E332" s="64"/>
      <c r="F332" s="52"/>
      <c r="G332" s="52"/>
      <c r="H332" s="52"/>
      <c r="I332" s="176"/>
      <c r="J332" s="176"/>
      <c r="K332" s="47"/>
      <c r="L332" s="46">
        <f>Price!A332</f>
        <v>0</v>
      </c>
      <c r="M332" s="15">
        <f>Price!B332</f>
        <v>0</v>
      </c>
      <c r="N332" s="15">
        <f>Price!C332</f>
        <v>0</v>
      </c>
      <c r="O332" s="472">
        <f>Price!D332</f>
        <v>0</v>
      </c>
      <c r="P332" s="15">
        <f>Price!E332</f>
        <v>0</v>
      </c>
      <c r="Q332" s="17">
        <f>Price!F332</f>
        <v>0</v>
      </c>
      <c r="R332" s="171"/>
      <c r="S332" s="171"/>
      <c r="T332" s="12">
        <f>Price!G332</f>
        <v>0</v>
      </c>
      <c r="U332" s="12">
        <f>Price!H332</f>
        <v>0</v>
      </c>
      <c r="V332" s="13"/>
      <c r="W332" s="13"/>
      <c r="X332" s="19"/>
      <c r="Y332" s="19"/>
    </row>
    <row r="333" spans="1:25" x14ac:dyDescent="0.35">
      <c r="A333" s="66"/>
      <c r="B333" s="162"/>
      <c r="C333" s="162"/>
      <c r="D333" s="162"/>
      <c r="E333" s="69"/>
      <c r="F333" s="50"/>
      <c r="G333" s="50"/>
      <c r="H333" s="50"/>
      <c r="I333" s="175"/>
      <c r="J333" s="175"/>
      <c r="K333" s="20"/>
      <c r="L333" s="46" t="str">
        <f>Price!A333</f>
        <v xml:space="preserve">   SPACE CORNER</v>
      </c>
      <c r="M333" s="15">
        <f>Price!B333</f>
        <v>0</v>
      </c>
      <c r="N333" s="15">
        <f>Price!C333</f>
        <v>0</v>
      </c>
      <c r="O333" s="472">
        <f>Price!D333</f>
        <v>0</v>
      </c>
      <c r="P333" s="15">
        <f>Price!E333</f>
        <v>0</v>
      </c>
      <c r="Q333" s="17">
        <f>Price!F333</f>
        <v>0</v>
      </c>
      <c r="R333" s="171"/>
      <c r="S333" s="171"/>
      <c r="T333" s="12">
        <f>Price!G333</f>
        <v>0</v>
      </c>
      <c r="U333" s="12">
        <f>Price!H333</f>
        <v>0</v>
      </c>
      <c r="V333" s="13"/>
      <c r="W333" s="13"/>
      <c r="X333" s="19"/>
      <c r="Y333" s="19"/>
    </row>
    <row r="334" spans="1:25" ht="15" thickBot="1" x14ac:dyDescent="0.4">
      <c r="A334" s="75" t="str">
        <f>IF($C$2=1,L334,IF($C$2=2,L335,IF($C$2=3,L336, IF($C$2=4, L337, "  chyba"))))</f>
        <v>Sada kování SPACE CORNER, M, šedá</v>
      </c>
      <c r="B334" s="76" t="str">
        <f t="shared" ref="B334" si="369">IF($C$2=1,M334,IF($C$2=2,M335,IF($C$2=3,M336, IF($C$2=4, M337, "  chyba"))))</f>
        <v>ZSF.340E.M1</v>
      </c>
      <c r="C334" s="76" t="str">
        <f t="shared" ref="C334" si="370">IF($C$2=1,N334,IF($C$2=2,N335,IF($C$2=3,N336, IF($C$2=4, N337, "  chyba"))))</f>
        <v>ST/6</v>
      </c>
      <c r="D334" s="172">
        <f t="shared" ref="D334" si="371">IF($C$2=1,O334,IF($C$2=2,O335,IF($C$2=3,O336, IF($C$2=4, O337, "  chyba"))))</f>
        <v>0</v>
      </c>
      <c r="E334" s="77">
        <f t="shared" ref="E334" si="372">IF($C$2=1,P334,IF($C$2=2,P335,IF($C$2=3,P336, IF($C$2=4, P337, "  chyba"))))</f>
        <v>0</v>
      </c>
      <c r="F334" s="78">
        <f>IF($C$2=1,Q334,IF($C$2=2,Q335,IF($C$2=3,Q336, IF($C$2=4, Q337, "  chyba"))))*(100-$F$6)/100</f>
        <v>11.78777</v>
      </c>
      <c r="G334" s="50"/>
      <c r="H334" s="50"/>
      <c r="I334" s="172">
        <f t="shared" ref="I334" si="373">IF($C$2=1,T334,IF($C$2=2,T335,IF($C$2=3,T336, IF($C$2=4, T337, "  chyba"))))</f>
        <v>8761550</v>
      </c>
      <c r="J334" s="172">
        <f t="shared" ref="J334" si="374">IF($C$2=1,U334,IF($C$2=2,U335,IF($C$2=3,U336, IF($C$2=4, U337, "  chyba"))))</f>
        <v>14296</v>
      </c>
      <c r="K334" s="20"/>
      <c r="L334" s="46" t="str">
        <f>Price!A334</f>
        <v>Sada kování SPACE CORNER, M, šedá</v>
      </c>
      <c r="M334" s="15" t="str">
        <f>Price!B334</f>
        <v>ZSF.340E.M1</v>
      </c>
      <c r="N334" s="15" t="str">
        <f>Price!C334</f>
        <v>ST/6</v>
      </c>
      <c r="O334" s="472">
        <f>Price!D334</f>
        <v>0</v>
      </c>
      <c r="P334" s="15">
        <f>Price!E334</f>
        <v>0</v>
      </c>
      <c r="Q334" s="17">
        <f>Price!F334</f>
        <v>11.78777</v>
      </c>
      <c r="R334" s="171"/>
      <c r="S334" s="171"/>
      <c r="T334" s="12">
        <f>Price!G334</f>
        <v>8761550</v>
      </c>
      <c r="U334" s="12">
        <f>Price!H334</f>
        <v>14296</v>
      </c>
      <c r="V334" s="13"/>
      <c r="X334" s="19"/>
      <c r="Y334" s="19"/>
    </row>
    <row r="335" spans="1:25" x14ac:dyDescent="0.35">
      <c r="A335" s="62"/>
      <c r="B335" s="162"/>
      <c r="C335" s="162"/>
      <c r="D335" s="162"/>
      <c r="E335" s="69"/>
      <c r="F335" s="50"/>
      <c r="G335" s="50"/>
      <c r="H335" s="50"/>
      <c r="I335" s="175"/>
      <c r="J335" s="175"/>
      <c r="K335" s="20"/>
      <c r="L335" s="46" t="str">
        <f>Price!A335</f>
        <v>Sada kování SPACE CORNER, M, hedvábně bílá</v>
      </c>
      <c r="M335" s="15" t="str">
        <f>Price!B335</f>
        <v>ZSF.340E.M1</v>
      </c>
      <c r="N335" s="15" t="str">
        <f>Price!C335</f>
        <v>SEIW</v>
      </c>
      <c r="O335" s="472">
        <f>Price!D335</f>
        <v>0</v>
      </c>
      <c r="P335" s="15">
        <f>Price!E335</f>
        <v>0</v>
      </c>
      <c r="Q335" s="17">
        <f>Price!F335</f>
        <v>10.81949</v>
      </c>
      <c r="R335" s="171"/>
      <c r="S335" s="171"/>
      <c r="T335" s="12">
        <f>Price!G335</f>
        <v>8761552</v>
      </c>
      <c r="U335" s="12">
        <f>Price!H335</f>
        <v>176747</v>
      </c>
      <c r="V335" s="13"/>
      <c r="W335" s="13"/>
      <c r="X335" s="19"/>
      <c r="Y335" s="19"/>
    </row>
    <row r="336" spans="1:25" x14ac:dyDescent="0.35">
      <c r="A336" s="65"/>
      <c r="B336" s="161"/>
      <c r="C336" s="161"/>
      <c r="D336" s="161"/>
      <c r="E336" s="64"/>
      <c r="F336" s="52"/>
      <c r="G336" s="52"/>
      <c r="H336" s="52"/>
      <c r="I336" s="176"/>
      <c r="J336" s="176"/>
      <c r="K336" s="47"/>
      <c r="L336" s="46" t="str">
        <f>Price!A336</f>
        <v>Sada kování SPACE CORNER, M, černá Terra</v>
      </c>
      <c r="M336" s="15" t="str">
        <f>Price!B336</f>
        <v>ZSF.340E.M1</v>
      </c>
      <c r="N336" s="15" t="str">
        <f>Price!C336</f>
        <v>STTS</v>
      </c>
      <c r="O336" s="472" t="str">
        <f>Price!D336</f>
        <v>!</v>
      </c>
      <c r="P336" s="15">
        <f>Price!E336</f>
        <v>0</v>
      </c>
      <c r="Q336" s="17">
        <f>Price!F336</f>
        <v>10.59953</v>
      </c>
      <c r="R336" s="171"/>
      <c r="S336" s="171"/>
      <c r="T336" s="12">
        <f>Price!G336</f>
        <v>8761554</v>
      </c>
      <c r="U336" s="12">
        <f>Price!H336</f>
        <v>203204</v>
      </c>
      <c r="V336" s="13"/>
      <c r="W336" s="13"/>
      <c r="X336" s="19"/>
      <c r="Y336" s="19"/>
    </row>
    <row r="337" spans="1:25" x14ac:dyDescent="0.35">
      <c r="A337" s="65"/>
      <c r="B337" s="161"/>
      <c r="C337" s="161"/>
      <c r="D337" s="161"/>
      <c r="E337" s="64"/>
      <c r="F337" s="52"/>
      <c r="G337" s="52"/>
      <c r="H337" s="52"/>
      <c r="I337" s="176"/>
      <c r="J337" s="176"/>
      <c r="K337" s="47"/>
      <c r="L337" s="46" t="str">
        <f>Price!A337</f>
        <v>Sada kování SPACE CORNER, M, nikl</v>
      </c>
      <c r="M337" s="15" t="str">
        <f>Price!B337</f>
        <v>ZSF.340E.M1</v>
      </c>
      <c r="N337" s="15" t="str">
        <f>Price!C337</f>
        <v>ST/NI</v>
      </c>
      <c r="O337" s="472" t="str">
        <f>Price!D337</f>
        <v>!</v>
      </c>
      <c r="P337" s="15">
        <f>Price!E337</f>
        <v>0</v>
      </c>
      <c r="Q337" s="17">
        <f>Price!F337</f>
        <v>12.58563</v>
      </c>
      <c r="R337" s="171"/>
      <c r="S337" s="171"/>
      <c r="T337" s="12">
        <f>Price!G337</f>
        <v>8761553</v>
      </c>
      <c r="U337" s="12">
        <f>Price!H337</f>
        <v>14292</v>
      </c>
      <c r="V337" s="13"/>
      <c r="W337" s="13"/>
      <c r="X337" s="19"/>
      <c r="Y337" s="19"/>
    </row>
    <row r="338" spans="1:25" ht="15" thickBot="1" x14ac:dyDescent="0.4">
      <c r="A338" s="75" t="str">
        <f>IF($C$2=1,L338,IF($C$2=2,L339,IF($C$2=3,L340, IF($C$2=4, L341, "  chyba"))))</f>
        <v>Sada kování SPACE CORNER, D, šedá</v>
      </c>
      <c r="B338" s="76" t="str">
        <f t="shared" ref="B338" si="375">IF($C$2=1,M338,IF($C$2=2,M339,IF($C$2=3,M340, IF($C$2=4, M341, "  chyba"))))</f>
        <v>ZSF.345E.D1</v>
      </c>
      <c r="C338" s="76" t="str">
        <f t="shared" ref="C338" si="376">IF($C$2=1,N338,IF($C$2=2,N339,IF($C$2=3,N340, IF($C$2=4, N341, "  chyba"))))</f>
        <v>ST/6</v>
      </c>
      <c r="D338" s="172">
        <f t="shared" ref="D338" si="377">IF($C$2=1,O338,IF($C$2=2,O339,IF($C$2=3,O340, IF($C$2=4, O341, "  chyba"))))</f>
        <v>0</v>
      </c>
      <c r="E338" s="77">
        <f t="shared" ref="E338" si="378">IF($C$2=1,P338,IF($C$2=2,P339,IF($C$2=3,P340, IF($C$2=4, P341, "  chyba"))))</f>
        <v>0</v>
      </c>
      <c r="F338" s="78">
        <f>IF($C$2=1,Q338,IF($C$2=2,Q339,IF($C$2=3,Q340, IF($C$2=4, Q341, "  chyba"))))*(100-$F$6)/100</f>
        <v>16.024339999999999</v>
      </c>
      <c r="G338" s="50"/>
      <c r="H338" s="50"/>
      <c r="I338" s="172">
        <f t="shared" ref="I338" si="379">IF($C$2=1,T338,IF($C$2=2,T339,IF($C$2=3,T340, IF($C$2=4, T341, "  chyba"))))</f>
        <v>9149630</v>
      </c>
      <c r="J338" s="172">
        <f t="shared" ref="J338" si="380">IF($C$2=1,U338,IF($C$2=2,U339,IF($C$2=3,U340, IF($C$2=4, U341, "  chyba"))))</f>
        <v>14297</v>
      </c>
      <c r="K338" s="20"/>
      <c r="L338" s="46" t="str">
        <f>Price!A338</f>
        <v>Sada kování SPACE CORNER, D, šedá</v>
      </c>
      <c r="M338" s="15" t="str">
        <f>Price!B338</f>
        <v>ZSF.345E.D1</v>
      </c>
      <c r="N338" s="15" t="str">
        <f>Price!C338</f>
        <v>ST/6</v>
      </c>
      <c r="O338" s="472">
        <f>Price!D338</f>
        <v>0</v>
      </c>
      <c r="P338" s="15">
        <f>Price!E338</f>
        <v>0</v>
      </c>
      <c r="Q338" s="17">
        <f>Price!F338</f>
        <v>16.024339999999999</v>
      </c>
      <c r="R338" s="171"/>
      <c r="S338" s="171"/>
      <c r="T338" s="12">
        <f>Price!G338</f>
        <v>9149630</v>
      </c>
      <c r="U338" s="12">
        <f>Price!H338</f>
        <v>14297</v>
      </c>
      <c r="V338" s="13"/>
      <c r="W338" s="13"/>
      <c r="X338" s="19"/>
      <c r="Y338" s="19"/>
    </row>
    <row r="339" spans="1:25" x14ac:dyDescent="0.35">
      <c r="A339" s="43"/>
      <c r="B339" s="162"/>
      <c r="C339" s="162"/>
      <c r="D339" s="162"/>
      <c r="E339" s="69"/>
      <c r="F339" s="50"/>
      <c r="G339" s="50"/>
      <c r="H339" s="50"/>
      <c r="I339" s="175"/>
      <c r="J339" s="175"/>
      <c r="K339" s="20"/>
      <c r="L339" s="46" t="str">
        <f>Price!A339</f>
        <v>Sada kování SPACE CORNER, D, hedvábně bílá</v>
      </c>
      <c r="M339" s="15" t="str">
        <f>Price!B339</f>
        <v>ZSF.345E.D1</v>
      </c>
      <c r="N339" s="15" t="str">
        <f>Price!C339</f>
        <v>SEIW</v>
      </c>
      <c r="O339" s="472">
        <f>Price!D339</f>
        <v>0</v>
      </c>
      <c r="P339" s="15">
        <f>Price!E339</f>
        <v>0</v>
      </c>
      <c r="Q339" s="17">
        <f>Price!F339</f>
        <v>16.26896</v>
      </c>
      <c r="R339" s="171"/>
      <c r="S339" s="171"/>
      <c r="T339" s="12">
        <f>Price!G339</f>
        <v>9149632</v>
      </c>
      <c r="U339" s="12">
        <f>Price!H339</f>
        <v>202554</v>
      </c>
      <c r="V339" s="13"/>
      <c r="W339" s="13"/>
      <c r="X339" s="19"/>
      <c r="Y339" s="19"/>
    </row>
    <row r="340" spans="1:25" x14ac:dyDescent="0.35">
      <c r="A340" s="43"/>
      <c r="B340" s="161"/>
      <c r="C340" s="161"/>
      <c r="D340" s="161"/>
      <c r="E340" s="69"/>
      <c r="F340" s="50"/>
      <c r="G340" s="50"/>
      <c r="H340" s="50"/>
      <c r="I340" s="176"/>
      <c r="J340" s="176"/>
      <c r="K340" s="20"/>
      <c r="L340" s="46" t="str">
        <f>Price!A340</f>
        <v>Sada kování SPACE CORNER, D, černá Terra</v>
      </c>
      <c r="M340" s="15" t="str">
        <f>Price!B340</f>
        <v>ZSF.345E.D1</v>
      </c>
      <c r="N340" s="15" t="str">
        <f>Price!C340</f>
        <v>STTS</v>
      </c>
      <c r="O340" s="472" t="str">
        <f>Price!D340</f>
        <v>!</v>
      </c>
      <c r="P340" s="15">
        <f>Price!E340</f>
        <v>0</v>
      </c>
      <c r="Q340" s="17">
        <f>Price!F340</f>
        <v>14.409050000000001</v>
      </c>
      <c r="R340" s="171"/>
      <c r="S340" s="171"/>
      <c r="T340" s="12">
        <f>Price!G340</f>
        <v>9149634</v>
      </c>
      <c r="U340" s="12">
        <f>Price!H340</f>
        <v>203205</v>
      </c>
      <c r="V340" s="13"/>
      <c r="W340" s="13"/>
      <c r="X340" s="19"/>
      <c r="Y340" s="19"/>
    </row>
    <row r="341" spans="1:25" x14ac:dyDescent="0.35">
      <c r="A341" s="43"/>
      <c r="B341" s="161"/>
      <c r="C341" s="161"/>
      <c r="D341" s="161"/>
      <c r="E341" s="69"/>
      <c r="F341" s="50"/>
      <c r="G341" s="50"/>
      <c r="H341" s="50"/>
      <c r="I341" s="176"/>
      <c r="J341" s="176"/>
      <c r="K341" s="20"/>
      <c r="L341" s="46" t="str">
        <f>Price!A341</f>
        <v>Sada kování SPACE CORNER, D, nikl</v>
      </c>
      <c r="M341" s="15" t="str">
        <f>Price!B341</f>
        <v>ZSF.345E.D1</v>
      </c>
      <c r="N341" s="15" t="str">
        <f>Price!C341</f>
        <v>ST/NI</v>
      </c>
      <c r="O341" s="472" t="str">
        <f>Price!D341</f>
        <v>!</v>
      </c>
      <c r="P341" s="15">
        <f>Price!E341</f>
        <v>0</v>
      </c>
      <c r="Q341" s="17">
        <f>Price!F341</f>
        <v>18.20496</v>
      </c>
      <c r="R341" s="171"/>
      <c r="S341" s="171"/>
      <c r="T341" s="12">
        <f>Price!G341</f>
        <v>9149633</v>
      </c>
      <c r="U341" s="12">
        <f>Price!H341</f>
        <v>14295</v>
      </c>
      <c r="V341" s="13"/>
      <c r="W341" s="13"/>
      <c r="X341" s="19"/>
      <c r="Y341" s="19"/>
    </row>
    <row r="342" spans="1:25" x14ac:dyDescent="0.35">
      <c r="A342" s="43"/>
      <c r="B342" s="161"/>
      <c r="C342" s="161"/>
      <c r="D342" s="161"/>
      <c r="E342" s="69"/>
      <c r="F342" s="50"/>
      <c r="G342" s="50"/>
      <c r="H342" s="50"/>
      <c r="I342" s="176"/>
      <c r="J342" s="176"/>
      <c r="K342" s="20"/>
      <c r="L342" s="46"/>
      <c r="M342" s="15"/>
      <c r="N342" s="15"/>
      <c r="O342" s="472"/>
      <c r="P342" s="15"/>
      <c r="Q342" s="17"/>
      <c r="R342" s="171"/>
      <c r="S342" s="171"/>
      <c r="T342" s="12"/>
      <c r="U342" s="12"/>
      <c r="V342" s="13"/>
      <c r="W342" s="13"/>
      <c r="X342" s="19"/>
      <c r="Y342" s="19"/>
    </row>
    <row r="343" spans="1:25" ht="15" thickBot="1" x14ac:dyDescent="0.4">
      <c r="A343" s="533" t="str">
        <f>IF($C$2=1,L343,IF($C$2=2,L344,IF($C$2=3,L343,IF($C$2=4,L343,"  chyba"))))</f>
        <v>Sada kování SYNCROMOTION, M, šedá</v>
      </c>
      <c r="B343" s="533" t="str">
        <f t="shared" ref="B343:J343" si="381">IF($C$2=1,M343,IF($C$2=2,M344,IF($C$2=3,M343,IF($C$2=4,M343,"  chyba"))))</f>
        <v>Z33M00E0A6</v>
      </c>
      <c r="C343" s="533" t="str">
        <f t="shared" si="381"/>
        <v>R737</v>
      </c>
      <c r="D343" s="533">
        <f t="shared" si="381"/>
        <v>0</v>
      </c>
      <c r="E343" s="533">
        <f t="shared" si="381"/>
        <v>0</v>
      </c>
      <c r="F343" s="546">
        <f>IF($C$2=1,Q343,IF($C$2=2,Q344,IF($C$2=3,Q343,IF($C$2=4,Q343,"  chyba"))))*(100-$F$6)/100</f>
        <v>40.633789999999998</v>
      </c>
      <c r="G343" s="538"/>
      <c r="H343" s="538"/>
      <c r="I343" s="533">
        <f t="shared" si="381"/>
        <v>7144460</v>
      </c>
      <c r="J343" s="533">
        <f t="shared" si="381"/>
        <v>13890</v>
      </c>
      <c r="K343" s="20"/>
      <c r="L343" s="46" t="str">
        <f>Price!A343</f>
        <v>Sada kování SYNCROMOTION, M, šedá</v>
      </c>
      <c r="M343" s="15" t="str">
        <f>Price!B343</f>
        <v>Z33M00E0A6</v>
      </c>
      <c r="N343" s="15" t="str">
        <f>Price!C343</f>
        <v>R737</v>
      </c>
      <c r="O343" s="472">
        <f>Price!D343</f>
        <v>0</v>
      </c>
      <c r="P343" s="15">
        <f>Price!E343</f>
        <v>0</v>
      </c>
      <c r="Q343" s="17">
        <f>Price!F343</f>
        <v>40.633789999999998</v>
      </c>
      <c r="R343" s="171"/>
      <c r="S343" s="171"/>
      <c r="T343" s="12">
        <f>Price!G343</f>
        <v>7144460</v>
      </c>
      <c r="U343" s="12">
        <f>Price!H343</f>
        <v>13890</v>
      </c>
      <c r="V343" s="13"/>
      <c r="X343" s="19"/>
      <c r="Y343" s="19"/>
    </row>
    <row r="344" spans="1:25" x14ac:dyDescent="0.35">
      <c r="A344" s="62"/>
      <c r="B344" s="162"/>
      <c r="C344" s="162"/>
      <c r="D344" s="162"/>
      <c r="E344" s="69"/>
      <c r="F344" s="50"/>
      <c r="G344" s="50"/>
      <c r="H344" s="50"/>
      <c r="I344" s="175"/>
      <c r="J344" s="175"/>
      <c r="K344" s="20"/>
      <c r="L344" s="46" t="str">
        <f>Price!A344</f>
        <v>Sada kování SYNCROMOTION, M, hedvábně bílá</v>
      </c>
      <c r="M344" s="15" t="str">
        <f>Price!B344</f>
        <v xml:space="preserve">Z33M00E0A6 </v>
      </c>
      <c r="N344" s="15" t="str">
        <f>Price!C344</f>
        <v>SEIW</v>
      </c>
      <c r="O344" s="472">
        <f>Price!D344</f>
        <v>0</v>
      </c>
      <c r="P344" s="15">
        <f>Price!E344</f>
        <v>0</v>
      </c>
      <c r="Q344" s="17">
        <f>Price!F344</f>
        <v>41.763359999999999</v>
      </c>
      <c r="R344" s="171"/>
      <c r="S344" s="171"/>
      <c r="T344" s="12">
        <f>Price!G344</f>
        <v>7144462</v>
      </c>
      <c r="U344" s="12" t="str">
        <f>Price!H344</f>
        <v>IN700MB</v>
      </c>
      <c r="V344" s="13"/>
      <c r="W344" s="13"/>
      <c r="X344" s="19"/>
      <c r="Y344" s="19"/>
    </row>
    <row r="345" spans="1:25" x14ac:dyDescent="0.35">
      <c r="A345" s="62"/>
      <c r="B345" s="161"/>
      <c r="C345" s="161"/>
      <c r="D345" s="161"/>
      <c r="E345" s="69"/>
      <c r="F345" s="50"/>
      <c r="G345" s="50"/>
      <c r="H345" s="50"/>
      <c r="I345" s="176"/>
      <c r="J345" s="176"/>
      <c r="K345" s="20"/>
      <c r="L345" s="46">
        <f>Price!A345</f>
        <v>0</v>
      </c>
      <c r="M345" s="15">
        <f>Price!B345</f>
        <v>0</v>
      </c>
      <c r="N345" s="15">
        <f>Price!C345</f>
        <v>0</v>
      </c>
      <c r="O345" s="472">
        <f>Price!D345</f>
        <v>0</v>
      </c>
      <c r="P345" s="15">
        <f>Price!E345</f>
        <v>0</v>
      </c>
      <c r="Q345" s="17">
        <f>Price!F345</f>
        <v>0</v>
      </c>
      <c r="R345" s="171"/>
      <c r="S345" s="171"/>
      <c r="T345" s="12">
        <f>Price!G345</f>
        <v>0</v>
      </c>
      <c r="U345" s="12">
        <f>Price!H345</f>
        <v>0</v>
      </c>
      <c r="V345" s="13"/>
      <c r="W345" s="13"/>
      <c r="X345" s="19"/>
      <c r="Y345" s="19"/>
    </row>
    <row r="346" spans="1:25" ht="15" thickBot="1" x14ac:dyDescent="0.4">
      <c r="A346" s="533" t="str">
        <f>IF($C$2=1,L346,IF($C$2=2,L347,IF($C$2=3,L346,IF($C$2=4,L346,"  chyba"))))</f>
        <v>Sada kování SYNCROMOTION, D, šedá</v>
      </c>
      <c r="B346" s="533" t="str">
        <f t="shared" ref="B346" si="382">IF($C$2=1,M346,IF($C$2=2,M347,IF($C$2=3,M346,IF($C$2=4,M346,"  chyba"))))</f>
        <v>Z33D00E0A6</v>
      </c>
      <c r="C346" s="533" t="str">
        <f t="shared" ref="C346" si="383">IF($C$2=1,N346,IF($C$2=2,N347,IF($C$2=3,N346,IF($C$2=4,N346,"  chyba"))))</f>
        <v>R737</v>
      </c>
      <c r="D346" s="533">
        <f t="shared" ref="D346" si="384">IF($C$2=1,O346,IF($C$2=2,O347,IF($C$2=3,O346,IF($C$2=4,O346,"  chyba"))))</f>
        <v>0</v>
      </c>
      <c r="E346" s="533">
        <f t="shared" ref="E346" si="385">IF($C$2=1,P346,IF($C$2=2,P347,IF($C$2=3,P346,IF($C$2=4,P346,"  chyba"))))</f>
        <v>0</v>
      </c>
      <c r="F346" s="546">
        <f>IF($C$2=1,Q346,IF($C$2=2,Q347,IF($C$2=3,Q346,IF($C$2=4,Q346,"  chyba"))))*(100-$F$6)/100</f>
        <v>55.538930000000001</v>
      </c>
      <c r="G346" s="538"/>
      <c r="H346" s="538"/>
      <c r="I346" s="533">
        <f t="shared" ref="I346" si="386">IF($C$2=1,T346,IF($C$2=2,T347,IF($C$2=3,T346,IF($C$2=4,T346,"  chyba"))))</f>
        <v>7144380</v>
      </c>
      <c r="J346" s="533">
        <f t="shared" ref="J346" si="387">IF($C$2=1,U346,IF($C$2=2,U347,IF($C$2=3,U346,IF($C$2=4,U346,"  chyba"))))</f>
        <v>13891</v>
      </c>
      <c r="K346" s="47"/>
      <c r="L346" s="46" t="str">
        <f>Price!A346</f>
        <v>Sada kování SYNCROMOTION, D, šedá</v>
      </c>
      <c r="M346" s="15" t="str">
        <f>Price!B346</f>
        <v>Z33D00E0A6</v>
      </c>
      <c r="N346" s="15" t="str">
        <f>Price!C346</f>
        <v>R737</v>
      </c>
      <c r="O346" s="472">
        <f>Price!D346</f>
        <v>0</v>
      </c>
      <c r="P346" s="15">
        <f>Price!E346</f>
        <v>0</v>
      </c>
      <c r="Q346" s="17">
        <f>Price!F346</f>
        <v>55.538930000000001</v>
      </c>
      <c r="R346" s="171"/>
      <c r="S346" s="171"/>
      <c r="T346" s="12">
        <f>Price!G346</f>
        <v>7144380</v>
      </c>
      <c r="U346" s="12">
        <f>Price!H346</f>
        <v>13891</v>
      </c>
      <c r="V346" s="13"/>
      <c r="W346" s="13"/>
      <c r="X346" s="19"/>
      <c r="Y346" s="19"/>
    </row>
    <row r="347" spans="1:25" x14ac:dyDescent="0.35">
      <c r="A347" s="62"/>
      <c r="B347" s="162"/>
      <c r="C347" s="162"/>
      <c r="D347" s="162"/>
      <c r="E347" s="69"/>
      <c r="F347" s="50"/>
      <c r="G347" s="50"/>
      <c r="H347" s="50"/>
      <c r="I347" s="175"/>
      <c r="J347" s="175"/>
      <c r="K347" s="20"/>
      <c r="L347" s="46" t="str">
        <f>Price!A347</f>
        <v>Sada kování SYNCROMOTION, D, hedvábně bílá</v>
      </c>
      <c r="M347" s="15" t="str">
        <f>Price!B347</f>
        <v>Z33D00E0A6</v>
      </c>
      <c r="N347" s="15" t="str">
        <f>Price!C347</f>
        <v>SEIW</v>
      </c>
      <c r="O347" s="472">
        <f>Price!D347</f>
        <v>0</v>
      </c>
      <c r="P347" s="15">
        <f>Price!E347</f>
        <v>0</v>
      </c>
      <c r="Q347" s="17">
        <f>Price!F347</f>
        <v>56.265050000000002</v>
      </c>
      <c r="R347" s="171"/>
      <c r="S347" s="171"/>
      <c r="T347" s="12">
        <f>Price!G347</f>
        <v>7144382</v>
      </c>
      <c r="U347" s="12">
        <f>Price!H347</f>
        <v>202559</v>
      </c>
      <c r="V347" s="13"/>
      <c r="W347" s="13"/>
      <c r="X347" s="19"/>
      <c r="Y347" s="19"/>
    </row>
    <row r="348" spans="1:25" x14ac:dyDescent="0.35">
      <c r="A348" s="62"/>
      <c r="B348" s="161"/>
      <c r="C348" s="161"/>
      <c r="D348" s="161"/>
      <c r="E348" s="69"/>
      <c r="F348" s="50"/>
      <c r="G348" s="50"/>
      <c r="H348" s="50"/>
      <c r="I348" s="176"/>
      <c r="J348" s="176"/>
      <c r="K348" s="20"/>
      <c r="L348" s="46"/>
      <c r="M348" s="15"/>
      <c r="N348" s="15"/>
      <c r="O348" s="472">
        <f>Price!D348</f>
        <v>0</v>
      </c>
      <c r="P348" s="15">
        <f>Price!E348</f>
        <v>0</v>
      </c>
      <c r="Q348" s="17"/>
      <c r="R348" s="171"/>
      <c r="S348" s="171"/>
      <c r="T348" s="12"/>
      <c r="U348" s="12">
        <f>Price!H348</f>
        <v>0</v>
      </c>
      <c r="V348" s="13"/>
      <c r="W348" s="13"/>
      <c r="X348" s="19"/>
      <c r="Y348" s="19"/>
    </row>
    <row r="349" spans="1:25" ht="15" thickBot="1" x14ac:dyDescent="0.4">
      <c r="A349" s="75" t="str">
        <f>IF($C$2=1,L349,IF($C$2=2,L350,IF($C$2=3,L351, IF($C$2=4, L352, "  chyba"))))</f>
        <v>Držáky zadní stěny M SPACE-CORNER, šedé</v>
      </c>
      <c r="B349" s="76" t="str">
        <f t="shared" ref="B349" si="388">IF($C$2=1,M349,IF($C$2=2,M350,IF($C$2=3,M351, IF($C$2=4, M352, "  chyba"))))</f>
        <v>Z30M000S.45</v>
      </c>
      <c r="C349" s="76" t="str">
        <f t="shared" ref="C349" si="389">IF($C$2=1,N349,IF($C$2=2,N350,IF($C$2=3,N351, IF($C$2=4, N352, "  chyba"))))</f>
        <v>R906</v>
      </c>
      <c r="D349" s="172">
        <f t="shared" ref="D349" si="390">IF($C$2=1,O349,IF($C$2=2,O350,IF($C$2=3,O351, IF($C$2=4, O352, "  chyba"))))</f>
        <v>0</v>
      </c>
      <c r="E349" s="77">
        <f t="shared" ref="E349" si="391">IF($C$2=1,P349,IF($C$2=2,P350,IF($C$2=3,P351, IF($C$2=4, P352, "  chyba"))))</f>
        <v>0</v>
      </c>
      <c r="F349" s="78">
        <f>IF($C$2=1,Q349,IF($C$2=2,Q350,IF($C$2=3,Q351, IF($C$2=4, Q352, "  chyba"))))*(100-$F$6)/100</f>
        <v>2.7293500000000002</v>
      </c>
      <c r="G349" s="50"/>
      <c r="H349" s="50"/>
      <c r="I349" s="172">
        <f t="shared" ref="I349" si="392">IF($C$2=1,T349,IF($C$2=2,T350,IF($C$2=3,T351, IF($C$2=4, T352, "  chyba"))))</f>
        <v>8373549</v>
      </c>
      <c r="J349" s="172">
        <f t="shared" ref="J349" si="393">IF($C$2=1,U349,IF($C$2=2,U350,IF($C$2=3,U351, IF($C$2=4, U352, "  chyba"))))</f>
        <v>13892</v>
      </c>
      <c r="K349" s="20"/>
      <c r="L349" s="46" t="str">
        <f>Price!A349</f>
        <v>Držáky zadní stěny M SPACE-CORNER, šedé</v>
      </c>
      <c r="M349" s="15" t="str">
        <f>Price!B349</f>
        <v>Z30M000S.45</v>
      </c>
      <c r="N349" s="15" t="str">
        <f>Price!C349</f>
        <v>R906</v>
      </c>
      <c r="O349" s="472">
        <f>Price!D349</f>
        <v>0</v>
      </c>
      <c r="P349" s="15">
        <f>Price!E349</f>
        <v>0</v>
      </c>
      <c r="Q349" s="17">
        <f>Price!F349</f>
        <v>2.7293500000000002</v>
      </c>
      <c r="R349" s="171"/>
      <c r="S349" s="171"/>
      <c r="T349" s="12">
        <f>Price!G349</f>
        <v>8373549</v>
      </c>
      <c r="U349" s="12">
        <f>Price!H349</f>
        <v>13892</v>
      </c>
      <c r="V349" s="13"/>
      <c r="W349" s="13"/>
      <c r="X349" s="19"/>
      <c r="Y349" s="19"/>
    </row>
    <row r="350" spans="1:25" x14ac:dyDescent="0.35">
      <c r="A350" s="65"/>
      <c r="B350" s="162"/>
      <c r="C350" s="162"/>
      <c r="D350" s="162"/>
      <c r="E350" s="64"/>
      <c r="F350" s="52"/>
      <c r="G350" s="52"/>
      <c r="H350" s="52"/>
      <c r="I350" s="175"/>
      <c r="J350" s="175"/>
      <c r="K350" s="47"/>
      <c r="L350" s="46" t="str">
        <f>Price!A350</f>
        <v>Držáky zadní stěny M SPACE-CORNER, hedv.bílé</v>
      </c>
      <c r="M350" s="15" t="str">
        <f>Price!B350</f>
        <v>Z30M000S.45</v>
      </c>
      <c r="N350" s="15" t="str">
        <f>Price!C350</f>
        <v>SEIW</v>
      </c>
      <c r="O350" s="472">
        <f>Price!D350</f>
        <v>0</v>
      </c>
      <c r="P350" s="15">
        <f>Price!E350</f>
        <v>0</v>
      </c>
      <c r="Q350" s="17">
        <f>Price!F350</f>
        <v>2.7293599999999998</v>
      </c>
      <c r="R350" s="171"/>
      <c r="S350" s="171"/>
      <c r="T350" s="12">
        <f>Price!G350</f>
        <v>3899999</v>
      </c>
      <c r="U350" s="12" t="str">
        <f>Price!H350</f>
        <v>IN102SB</v>
      </c>
      <c r="V350" s="13"/>
      <c r="W350" s="13"/>
      <c r="X350" s="19"/>
      <c r="Y350" s="19"/>
    </row>
    <row r="351" spans="1:25" x14ac:dyDescent="0.35">
      <c r="A351" s="62"/>
      <c r="B351" s="161"/>
      <c r="C351" s="161"/>
      <c r="D351" s="161"/>
      <c r="E351" s="69"/>
      <c r="F351" s="50"/>
      <c r="G351" s="50"/>
      <c r="H351" s="50"/>
      <c r="I351" s="176"/>
      <c r="J351" s="176"/>
      <c r="K351" s="20"/>
      <c r="L351" s="46" t="str">
        <f>Price!A351</f>
        <v>Držáky zadní stěny M SPACE-CORNER, černé Terra</v>
      </c>
      <c r="M351" s="15" t="str">
        <f>Price!B351</f>
        <v>Z30M000S.45</v>
      </c>
      <c r="N351" s="15" t="str">
        <f>Price!C351</f>
        <v>TERS</v>
      </c>
      <c r="O351" s="472" t="str">
        <f>Price!D351</f>
        <v>!</v>
      </c>
      <c r="P351" s="15">
        <f>Price!E351</f>
        <v>0</v>
      </c>
      <c r="Q351" s="17">
        <f>Price!F351</f>
        <v>2.7293599999999998</v>
      </c>
      <c r="R351" s="171"/>
      <c r="S351" s="171"/>
      <c r="T351" s="12">
        <f>Price!G351</f>
        <v>4478258</v>
      </c>
      <c r="U351" s="12" t="str">
        <f>Price!H351</f>
        <v>IN102SC</v>
      </c>
      <c r="V351" s="13"/>
      <c r="W351" s="13"/>
      <c r="X351" s="19"/>
      <c r="Y351" s="19"/>
    </row>
    <row r="352" spans="1:25" x14ac:dyDescent="0.35">
      <c r="A352" s="62"/>
      <c r="B352" s="161"/>
      <c r="C352" s="161"/>
      <c r="D352" s="161"/>
      <c r="E352" s="69"/>
      <c r="F352" s="50"/>
      <c r="G352" s="50"/>
      <c r="H352" s="50"/>
      <c r="I352" s="176"/>
      <c r="J352" s="176"/>
      <c r="K352" s="20"/>
      <c r="L352" s="46" t="str">
        <f>Price!A352</f>
        <v>Držáky zadní stěny M SPACE-CORNER, nikl</v>
      </c>
      <c r="M352" s="15" t="str">
        <f>Price!B352</f>
        <v>Z30M000S.45</v>
      </c>
      <c r="N352" s="15" t="str">
        <f>Price!C352</f>
        <v>NI</v>
      </c>
      <c r="O352" s="472" t="str">
        <f>Price!D352</f>
        <v>!</v>
      </c>
      <c r="P352" s="15">
        <f>Price!E352</f>
        <v>0</v>
      </c>
      <c r="Q352" s="17">
        <f>Price!F352</f>
        <v>4.1059599999999996</v>
      </c>
      <c r="R352" s="171"/>
      <c r="S352" s="171"/>
      <c r="T352" s="12">
        <f>Price!G352</f>
        <v>8495458</v>
      </c>
      <c r="U352" s="12" t="str">
        <f>Price!H352</f>
        <v>IN102SN</v>
      </c>
      <c r="V352" s="13"/>
      <c r="W352" s="13"/>
      <c r="X352" s="19"/>
      <c r="Y352" s="19"/>
    </row>
    <row r="353" spans="1:25" ht="15" thickBot="1" x14ac:dyDescent="0.4">
      <c r="A353" s="75" t="str">
        <f>IF($C$2=1,L353,IF($C$2=2,L354,IF($C$2=3,L355, IF($C$2=4, L356, "  chyba"))))</f>
        <v>Držáky zadní stěny D SPACE-CORNER, šedé</v>
      </c>
      <c r="B353" s="76" t="str">
        <f t="shared" ref="B353" si="394">IF($C$2=1,M353,IF($C$2=2,M354,IF($C$2=3,M355, IF($C$2=4, M356, "  chyba"))))</f>
        <v>Z30D000SL45</v>
      </c>
      <c r="C353" s="76" t="str">
        <f t="shared" ref="C353" si="395">IF($C$2=1,N353,IF($C$2=2,N354,IF($C$2=3,N355, IF($C$2=4, N356, "  chyba"))))</f>
        <v>R906</v>
      </c>
      <c r="D353" s="172">
        <f t="shared" ref="D353" si="396">IF($C$2=1,O353,IF($C$2=2,O354,IF($C$2=3,O355, IF($C$2=4, O356, "  chyba"))))</f>
        <v>0</v>
      </c>
      <c r="E353" s="77">
        <f t="shared" ref="E353" si="397">IF($C$2=1,P353,IF($C$2=2,P354,IF($C$2=3,P355, IF($C$2=4, P356, "  chyba"))))</f>
        <v>0</v>
      </c>
      <c r="F353" s="78">
        <f>IF($C$2=1,Q353,IF($C$2=2,Q354,IF($C$2=3,Q355, IF($C$2=4, Q356, "  chyba"))))*(100-$F$6)/100</f>
        <v>3.9593700000000003</v>
      </c>
      <c r="G353" s="50"/>
      <c r="H353" s="50"/>
      <c r="I353" s="172">
        <f t="shared" ref="I353" si="398">IF($C$2=1,T353,IF($C$2=2,T354,IF($C$2=3,T355, IF($C$2=4, T356, "  chyba"))))</f>
        <v>4597273</v>
      </c>
      <c r="J353" s="172">
        <f t="shared" ref="J353" si="399">IF($C$2=1,U353,IF($C$2=2,U354,IF($C$2=3,U355, IF($C$2=4, U356, "  chyba"))))</f>
        <v>203293</v>
      </c>
      <c r="K353" s="20"/>
      <c r="L353" s="46" t="str">
        <f>Price!A353</f>
        <v>Držáky zadní stěny D SPACE-CORNER, šedé</v>
      </c>
      <c r="M353" s="15" t="str">
        <f>Price!B353</f>
        <v>Z30D000SL45</v>
      </c>
      <c r="N353" s="15" t="str">
        <f>Price!C353</f>
        <v>R906</v>
      </c>
      <c r="O353" s="472">
        <f>Price!D353</f>
        <v>0</v>
      </c>
      <c r="P353" s="15">
        <f>Price!E353</f>
        <v>0</v>
      </c>
      <c r="Q353" s="17">
        <f>Price!F353</f>
        <v>3.9593699999999998</v>
      </c>
      <c r="R353" s="171"/>
      <c r="S353" s="171"/>
      <c r="T353" s="12">
        <f>Price!G353</f>
        <v>4597273</v>
      </c>
      <c r="U353" s="12">
        <f>Price!H353</f>
        <v>203293</v>
      </c>
      <c r="V353" s="13"/>
      <c r="W353" s="13"/>
      <c r="X353" s="19"/>
      <c r="Y353" s="19"/>
    </row>
    <row r="354" spans="1:25" x14ac:dyDescent="0.35">
      <c r="A354" s="65"/>
      <c r="B354" s="162"/>
      <c r="C354" s="162"/>
      <c r="D354" s="162"/>
      <c r="E354" s="64"/>
      <c r="F354" s="52"/>
      <c r="G354" s="52"/>
      <c r="H354" s="52"/>
      <c r="I354" s="175"/>
      <c r="J354" s="175"/>
      <c r="K354" s="47"/>
      <c r="L354" s="46" t="str">
        <f>Price!A354</f>
        <v>Držáky zadní stěny D SPACE-CORNER, hedv.bílé</v>
      </c>
      <c r="M354" s="15" t="str">
        <f>Price!B354</f>
        <v>Z30D000SL45</v>
      </c>
      <c r="N354" s="15" t="str">
        <f>Price!C354</f>
        <v>SEIW</v>
      </c>
      <c r="O354" s="472">
        <f>Price!D354</f>
        <v>0</v>
      </c>
      <c r="P354" s="15">
        <f>Price!E354</f>
        <v>0</v>
      </c>
      <c r="Q354" s="17">
        <f>Price!F354</f>
        <v>4.4032299999999998</v>
      </c>
      <c r="R354" s="171"/>
      <c r="S354" s="171"/>
      <c r="T354" s="12">
        <f>Price!G354</f>
        <v>9535289</v>
      </c>
      <c r="U354" s="12" t="str">
        <f>Price!H354</f>
        <v>IN104B</v>
      </c>
      <c r="V354" s="13"/>
      <c r="W354" s="13"/>
      <c r="X354" s="19"/>
      <c r="Y354" s="19"/>
    </row>
    <row r="355" spans="1:25" x14ac:dyDescent="0.35">
      <c r="A355" s="62"/>
      <c r="B355" s="161"/>
      <c r="C355" s="161"/>
      <c r="D355" s="161"/>
      <c r="E355" s="69"/>
      <c r="F355" s="50"/>
      <c r="G355" s="50"/>
      <c r="H355" s="50"/>
      <c r="I355" s="176"/>
      <c r="J355" s="176"/>
      <c r="K355" s="20"/>
      <c r="L355" s="46" t="str">
        <f>Price!A355</f>
        <v>Držáky zadní stěny D SPACE-CORNER, černé Terra</v>
      </c>
      <c r="M355" s="15" t="str">
        <f>Price!B355</f>
        <v>Z30D000SL45</v>
      </c>
      <c r="N355" s="15" t="str">
        <f>Price!C355</f>
        <v>TERS</v>
      </c>
      <c r="O355" s="472" t="str">
        <f>Price!D355</f>
        <v>!</v>
      </c>
      <c r="P355" s="15">
        <f>Price!E355</f>
        <v>0</v>
      </c>
      <c r="Q355" s="17">
        <f>Price!F355</f>
        <v>4.9776199999999999</v>
      </c>
      <c r="R355" s="171"/>
      <c r="S355" s="171"/>
      <c r="T355" s="12">
        <f>Price!G355</f>
        <v>4069104</v>
      </c>
      <c r="U355" s="12" t="str">
        <f>Price!H355</f>
        <v>IN104C</v>
      </c>
      <c r="V355" s="13"/>
      <c r="W355" s="13"/>
      <c r="X355" s="19"/>
      <c r="Y355" s="19"/>
    </row>
    <row r="356" spans="1:25" x14ac:dyDescent="0.35">
      <c r="A356" s="62"/>
      <c r="B356" s="161"/>
      <c r="C356" s="161"/>
      <c r="D356" s="161"/>
      <c r="E356" s="69"/>
      <c r="F356" s="50"/>
      <c r="G356" s="50"/>
      <c r="H356" s="50"/>
      <c r="I356" s="176"/>
      <c r="J356" s="176"/>
      <c r="K356" s="20"/>
      <c r="L356" s="46" t="str">
        <f>Price!A356</f>
        <v>Držáky zadní stěny D SPACE-CORNER, nikl</v>
      </c>
      <c r="M356" s="15" t="str">
        <f>Price!B356</f>
        <v>Z30D000SL45</v>
      </c>
      <c r="N356" s="15" t="str">
        <f>Price!C356</f>
        <v>NI</v>
      </c>
      <c r="O356" s="472" t="str">
        <f>Price!D356</f>
        <v>!</v>
      </c>
      <c r="P356" s="15">
        <f>Price!E356</f>
        <v>0</v>
      </c>
      <c r="Q356" s="17">
        <f>Price!F356</f>
        <v>7.0516500000000004</v>
      </c>
      <c r="R356" s="171"/>
      <c r="S356" s="171"/>
      <c r="T356" s="12">
        <f>Price!G356</f>
        <v>4784474</v>
      </c>
      <c r="U356" s="12" t="str">
        <f>Price!H356</f>
        <v>IN104N</v>
      </c>
      <c r="V356" s="13"/>
      <c r="W356" s="13"/>
      <c r="X356" s="19"/>
      <c r="Y356" s="19"/>
    </row>
    <row r="357" spans="1:25" x14ac:dyDescent="0.35">
      <c r="A357" s="43"/>
      <c r="B357" s="161"/>
      <c r="C357" s="161"/>
      <c r="D357" s="161"/>
      <c r="E357" s="69"/>
      <c r="F357" s="50"/>
      <c r="G357" s="50"/>
      <c r="H357" s="50"/>
      <c r="I357" s="176"/>
      <c r="J357" s="176"/>
      <c r="K357" s="20"/>
      <c r="L357" s="46">
        <f>Price!A357</f>
        <v>0</v>
      </c>
      <c r="M357" s="15">
        <f>Price!B357</f>
        <v>0</v>
      </c>
      <c r="N357" s="15">
        <f>Price!C357</f>
        <v>0</v>
      </c>
      <c r="O357" s="472">
        <f>Price!D357</f>
        <v>0</v>
      </c>
      <c r="P357" s="15">
        <f>Price!E357</f>
        <v>0</v>
      </c>
      <c r="Q357" s="17">
        <f>Price!F357</f>
        <v>0</v>
      </c>
      <c r="R357" s="171"/>
      <c r="S357" s="171"/>
      <c r="T357" s="12">
        <f>Price!G357</f>
        <v>0</v>
      </c>
      <c r="U357" s="12">
        <f>Price!H357</f>
        <v>0</v>
      </c>
      <c r="V357" s="13"/>
      <c r="W357" s="13"/>
      <c r="X357" s="19"/>
      <c r="Y357" s="19"/>
    </row>
    <row r="358" spans="1:25" x14ac:dyDescent="0.35">
      <c r="A358" s="43"/>
      <c r="B358" s="161"/>
      <c r="C358" s="161"/>
      <c r="D358" s="161"/>
      <c r="E358" s="69"/>
      <c r="F358" s="50"/>
      <c r="G358" s="50"/>
      <c r="H358" s="50"/>
      <c r="I358" s="176"/>
      <c r="J358" s="176"/>
      <c r="K358" s="20"/>
      <c r="L358" s="46" t="str">
        <f>Price!A358</f>
        <v xml:space="preserve">   Dřezový výsuv, odpadky</v>
      </c>
      <c r="M358" s="15">
        <f>Price!B358</f>
        <v>0</v>
      </c>
      <c r="N358" s="15">
        <f>Price!C358</f>
        <v>0</v>
      </c>
      <c r="O358" s="472">
        <f>Price!D358</f>
        <v>0</v>
      </c>
      <c r="P358" s="15">
        <f>Price!E358</f>
        <v>0</v>
      </c>
      <c r="Q358" s="17">
        <f>Price!F358</f>
        <v>0</v>
      </c>
      <c r="R358" s="171"/>
      <c r="S358" s="171"/>
      <c r="T358" s="12">
        <f>Price!G358</f>
        <v>0</v>
      </c>
      <c r="U358" s="12">
        <f>Price!H358</f>
        <v>0</v>
      </c>
      <c r="V358" s="13"/>
      <c r="W358" s="13"/>
      <c r="X358" s="19"/>
      <c r="Y358" s="19"/>
    </row>
    <row r="359" spans="1:25" ht="15" thickBot="1" x14ac:dyDescent="0.4">
      <c r="A359" s="75" t="str">
        <f>IF($C$2=1,L359,IF($C$2=2,L360,IF($C$2=3,L361, IF($C$2=4, L362, "  chyba"))))</f>
        <v>Bočnice dřezové, 500 mm, šedé</v>
      </c>
      <c r="B359" s="76" t="str">
        <f t="shared" ref="B359" si="400">IF($C$2=1,M359,IF($C$2=2,M360,IF($C$2=3,M361, IF($C$2=4, M362, "  chyba"))))</f>
        <v>378M5004SG</v>
      </c>
      <c r="C359" s="76" t="str">
        <f t="shared" ref="C359" si="401">IF($C$2=1,N359,IF($C$2=2,N360,IF($C$2=3,N361, IF($C$2=4, N362, "  chyba"))))</f>
        <v>WA/G</v>
      </c>
      <c r="D359" s="172">
        <f t="shared" ref="D359" si="402">IF($C$2=1,O359,IF($C$2=2,O360,IF($C$2=3,O361, IF($C$2=4, O362, "  chyba"))))</f>
        <v>0</v>
      </c>
      <c r="E359" s="77">
        <f t="shared" ref="E359" si="403">IF($C$2=1,P359,IF($C$2=2,P360,IF($C$2=3,P361, IF($C$2=4, P362, "  chyba"))))</f>
        <v>0</v>
      </c>
      <c r="F359" s="78">
        <f>IF($C$2=1,Q359,IF($C$2=2,Q360,IF($C$2=3,Q361, IF($C$2=4, Q362, "  chyba"))))*(100-$F$6)/100</f>
        <v>20.000679999999999</v>
      </c>
      <c r="G359" s="50"/>
      <c r="H359" s="50"/>
      <c r="I359" s="172">
        <f t="shared" ref="I359" si="404">IF($C$2=1,T359,IF($C$2=2,T360,IF($C$2=3,T361, IF($C$2=4, T362, "  chyba"))))</f>
        <v>8734707</v>
      </c>
      <c r="J359" s="172">
        <f t="shared" ref="J359" si="405">IF($C$2=1,U359,IF($C$2=2,U360,IF($C$2=3,U361, IF($C$2=4, U362, "  chyba"))))</f>
        <v>14184</v>
      </c>
      <c r="K359" s="47"/>
      <c r="L359" s="46" t="str">
        <f>Price!A359</f>
        <v>Bočnice dřezové, 500 mm, šedé</v>
      </c>
      <c r="M359" s="15" t="str">
        <f>Price!B359</f>
        <v>378M5004SG</v>
      </c>
      <c r="N359" s="15" t="str">
        <f>Price!C359</f>
        <v>WA/G</v>
      </c>
      <c r="O359" s="472">
        <f>Price!D359</f>
        <v>0</v>
      </c>
      <c r="P359" s="15">
        <f>Price!E359</f>
        <v>0</v>
      </c>
      <c r="Q359" s="17">
        <f>Price!F359</f>
        <v>20.000679999999999</v>
      </c>
      <c r="R359" s="171"/>
      <c r="S359" s="171"/>
      <c r="T359" s="12">
        <f>Price!G359</f>
        <v>8734707</v>
      </c>
      <c r="U359" s="12">
        <f>Price!H359</f>
        <v>14184</v>
      </c>
      <c r="V359" s="13"/>
      <c r="W359" s="13"/>
      <c r="X359" s="19"/>
      <c r="Y359" s="19"/>
    </row>
    <row r="360" spans="1:25" x14ac:dyDescent="0.35">
      <c r="A360" s="43"/>
      <c r="B360" s="161"/>
      <c r="C360" s="161"/>
      <c r="D360" s="161"/>
      <c r="E360" s="69"/>
      <c r="F360" s="70"/>
      <c r="G360" s="70"/>
      <c r="H360" s="70"/>
      <c r="I360" s="176"/>
      <c r="J360" s="176"/>
      <c r="K360" s="20"/>
      <c r="L360" s="46" t="str">
        <f>Price!A360</f>
        <v>Bočnice dřezové, 500 mm, hedvábně bílé</v>
      </c>
      <c r="M360" s="15" t="str">
        <f>Price!B360</f>
        <v>378M5004SG</v>
      </c>
      <c r="N360" s="15" t="str">
        <f>Price!C360</f>
        <v>SW/G</v>
      </c>
      <c r="O360" s="472">
        <f>Price!D360</f>
        <v>0</v>
      </c>
      <c r="P360" s="15">
        <f>Price!E360</f>
        <v>0</v>
      </c>
      <c r="Q360" s="17">
        <f>Price!F360</f>
        <v>20.000679999999999</v>
      </c>
      <c r="R360" s="171"/>
      <c r="S360" s="171"/>
      <c r="T360" s="12">
        <f>Price!G360</f>
        <v>8801547</v>
      </c>
      <c r="U360" s="12" t="str">
        <f>Price!H360</f>
        <v>IN450B</v>
      </c>
      <c r="V360" s="13"/>
      <c r="W360" s="13"/>
      <c r="X360" s="19"/>
      <c r="Y360" s="19"/>
    </row>
    <row r="361" spans="1:25" x14ac:dyDescent="0.35">
      <c r="A361" s="43"/>
      <c r="B361" s="161"/>
      <c r="C361" s="161"/>
      <c r="D361" s="161"/>
      <c r="E361" s="69"/>
      <c r="F361" s="50"/>
      <c r="G361" s="50"/>
      <c r="H361" s="50"/>
      <c r="I361" s="176"/>
      <c r="J361" s="176"/>
      <c r="K361" s="20"/>
      <c r="L361" s="46" t="str">
        <f>Price!A361</f>
        <v>Bočnice dřezové, 500 mm, černé Terra</v>
      </c>
      <c r="M361" s="15" t="str">
        <f>Price!B361</f>
        <v>378M5004SG</v>
      </c>
      <c r="N361" s="15" t="str">
        <f>Price!C361</f>
        <v>TS/G</v>
      </c>
      <c r="O361" s="472">
        <f>Price!D361</f>
        <v>0</v>
      </c>
      <c r="P361" s="15">
        <f>Price!E361</f>
        <v>0</v>
      </c>
      <c r="Q361" s="17">
        <f>Price!F361</f>
        <v>20</v>
      </c>
      <c r="R361" s="171"/>
      <c r="S361" s="171"/>
      <c r="T361" s="12">
        <f>Price!G361</f>
        <v>8764468</v>
      </c>
      <c r="U361" s="12" t="str">
        <f>Price!H361</f>
        <v>IN450C</v>
      </c>
      <c r="V361" s="13"/>
      <c r="W361" s="13"/>
      <c r="X361" s="19"/>
      <c r="Y361" s="19"/>
    </row>
    <row r="362" spans="1:25" x14ac:dyDescent="0.35">
      <c r="A362" s="65"/>
      <c r="B362" s="162"/>
      <c r="C362" s="162"/>
      <c r="D362" s="162"/>
      <c r="E362" s="64"/>
      <c r="F362" s="52"/>
      <c r="G362" s="52"/>
      <c r="H362" s="52"/>
      <c r="I362" s="175"/>
      <c r="J362" s="175"/>
      <c r="K362" s="47"/>
      <c r="L362" s="46" t="str">
        <f>Price!A362</f>
        <v>Bočnice dřezové, 500 mm, nerez (Inox)</v>
      </c>
      <c r="M362" s="15" t="str">
        <f>Price!B362</f>
        <v>378M5004IG</v>
      </c>
      <c r="N362" s="15" t="str">
        <f>Price!C362</f>
        <v>INGL</v>
      </c>
      <c r="O362" s="472" t="str">
        <f>Price!D362</f>
        <v>!</v>
      </c>
      <c r="P362" s="15">
        <f>Price!E362</f>
        <v>0</v>
      </c>
      <c r="Q362" s="17">
        <f>Price!F362</f>
        <v>29.959540000000001</v>
      </c>
      <c r="R362" s="171"/>
      <c r="S362" s="171"/>
      <c r="T362" s="12">
        <f>Price!G362</f>
        <v>9746396</v>
      </c>
      <c r="U362" s="12">
        <f>Price!H362</f>
        <v>288486</v>
      </c>
      <c r="V362" s="13"/>
      <c r="W362" s="13"/>
      <c r="X362" s="19"/>
      <c r="Y362" s="19"/>
    </row>
    <row r="363" spans="1:25" x14ac:dyDescent="0.35">
      <c r="A363" s="43"/>
      <c r="B363" s="161"/>
      <c r="C363" s="161"/>
      <c r="D363" s="161"/>
      <c r="E363" s="69"/>
      <c r="F363" s="70"/>
      <c r="G363" s="70"/>
      <c r="H363" s="70"/>
      <c r="I363" s="176"/>
      <c r="J363" s="176"/>
      <c r="K363" s="48"/>
      <c r="L363" s="46">
        <f>Price!A363</f>
        <v>0</v>
      </c>
      <c r="M363" s="15">
        <f>Price!B363</f>
        <v>0</v>
      </c>
      <c r="N363" s="15">
        <f>Price!C363</f>
        <v>0</v>
      </c>
      <c r="O363" s="472">
        <f>Price!D363</f>
        <v>0</v>
      </c>
      <c r="P363" s="15">
        <f>Price!E363</f>
        <v>0</v>
      </c>
      <c r="Q363" s="17">
        <f>Price!F363</f>
        <v>0</v>
      </c>
      <c r="R363" s="171"/>
      <c r="S363" s="171"/>
      <c r="T363" s="12">
        <f>Price!G363</f>
        <v>0</v>
      </c>
      <c r="U363" s="12">
        <f>Price!H363</f>
        <v>0</v>
      </c>
      <c r="V363" s="13"/>
      <c r="W363" s="13"/>
      <c r="X363" s="19"/>
      <c r="Y363" s="19"/>
    </row>
    <row r="364" spans="1:25" x14ac:dyDescent="0.35">
      <c r="A364" s="43"/>
      <c r="B364" s="161"/>
      <c r="C364" s="161"/>
      <c r="D364" s="161"/>
      <c r="E364" s="69"/>
      <c r="F364" s="70"/>
      <c r="G364" s="70"/>
      <c r="H364" s="70"/>
      <c r="I364" s="176"/>
      <c r="J364" s="176"/>
      <c r="K364" s="48"/>
      <c r="L364" s="46">
        <f>Price!A364</f>
        <v>0</v>
      </c>
      <c r="M364" s="15">
        <f>Price!B364</f>
        <v>0</v>
      </c>
      <c r="N364" s="15">
        <f>Price!C364</f>
        <v>0</v>
      </c>
      <c r="O364" s="472">
        <f>Price!D364</f>
        <v>0</v>
      </c>
      <c r="P364" s="15">
        <f>Price!E364</f>
        <v>0</v>
      </c>
      <c r="Q364" s="17">
        <f>Price!F364</f>
        <v>0</v>
      </c>
      <c r="R364" s="171"/>
      <c r="S364" s="171"/>
      <c r="T364" s="12">
        <f>Price!G364</f>
        <v>0</v>
      </c>
      <c r="U364" s="12">
        <f>Price!H364</f>
        <v>0</v>
      </c>
      <c r="V364" s="13"/>
      <c r="X364" s="19"/>
      <c r="Y364" s="19"/>
    </row>
    <row r="365" spans="1:25" x14ac:dyDescent="0.35">
      <c r="A365" s="79" t="str">
        <f>L365</f>
        <v>Adaptér příčky dřezového výsuvu</v>
      </c>
      <c r="B365" s="80" t="str">
        <f>M365</f>
        <v>Z30N0002.6Z</v>
      </c>
      <c r="C365" s="80" t="str">
        <f>N365</f>
        <v>R737</v>
      </c>
      <c r="D365" s="173">
        <f>O365</f>
        <v>0</v>
      </c>
      <c r="E365" s="81"/>
      <c r="F365" s="17">
        <f>Q365*(100-$F$6)/100</f>
        <v>2.1192299999999999</v>
      </c>
      <c r="G365" s="50"/>
      <c r="H365" s="50"/>
      <c r="I365" s="173">
        <f>T365</f>
        <v>6689160</v>
      </c>
      <c r="J365" s="173">
        <f>U365</f>
        <v>14180</v>
      </c>
      <c r="K365" s="48"/>
      <c r="L365" s="46" t="str">
        <f>Price!A365</f>
        <v>Adaptér příčky dřezového výsuvu</v>
      </c>
      <c r="M365" s="15" t="str">
        <f>Price!B365</f>
        <v>Z30N0002.6Z</v>
      </c>
      <c r="N365" s="15" t="str">
        <f>Price!C365</f>
        <v>R737</v>
      </c>
      <c r="O365" s="472">
        <f>Price!D365</f>
        <v>0</v>
      </c>
      <c r="P365" s="15">
        <f>Price!E365</f>
        <v>0</v>
      </c>
      <c r="Q365" s="17">
        <f>Price!F365</f>
        <v>2.1192299999999999</v>
      </c>
      <c r="R365" s="171"/>
      <c r="S365" s="171"/>
      <c r="T365" s="12">
        <f>Price!G365</f>
        <v>6689160</v>
      </c>
      <c r="U365" s="12">
        <f>Price!H365</f>
        <v>14180</v>
      </c>
      <c r="V365" s="13"/>
      <c r="W365" s="13"/>
      <c r="X365" s="19"/>
      <c r="Y365" s="19"/>
    </row>
    <row r="366" spans="1:25" x14ac:dyDescent="0.35">
      <c r="A366" s="43"/>
      <c r="B366" s="161"/>
      <c r="C366" s="161"/>
      <c r="D366" s="161"/>
      <c r="E366" s="69"/>
      <c r="F366" s="70"/>
      <c r="G366" s="70"/>
      <c r="H366" s="70"/>
      <c r="I366" s="70"/>
      <c r="J366" s="70"/>
      <c r="K366" s="48"/>
      <c r="L366" s="46">
        <f>Price!A366</f>
        <v>0</v>
      </c>
      <c r="M366" s="15">
        <f>Price!B366</f>
        <v>0</v>
      </c>
      <c r="N366" s="15">
        <f>Price!C366</f>
        <v>0</v>
      </c>
      <c r="O366" s="472">
        <f>Price!D366</f>
        <v>0</v>
      </c>
      <c r="P366" s="15">
        <f>Price!E366</f>
        <v>0</v>
      </c>
      <c r="Q366" s="17">
        <f>Price!F366</f>
        <v>0</v>
      </c>
      <c r="R366" s="171"/>
      <c r="S366" s="171"/>
      <c r="T366" s="12">
        <f>Price!G366</f>
        <v>0</v>
      </c>
      <c r="U366" s="12">
        <f>Price!H366</f>
        <v>0</v>
      </c>
      <c r="V366" s="13"/>
      <c r="W366" s="13"/>
      <c r="X366" s="19"/>
      <c r="Y366" s="19"/>
    </row>
    <row r="367" spans="1:25" x14ac:dyDescent="0.35">
      <c r="A367" s="66"/>
      <c r="B367" s="161"/>
      <c r="C367" s="161"/>
      <c r="D367" s="161"/>
      <c r="E367" s="69"/>
      <c r="F367" s="70"/>
      <c r="G367" s="70"/>
      <c r="H367" s="70"/>
      <c r="I367" s="70"/>
      <c r="J367" s="70"/>
      <c r="K367" s="48"/>
      <c r="L367" s="46" t="str">
        <f>Price!A367</f>
        <v>Sada pro zavěšené odp. koše LW 410-414mm, šedá</v>
      </c>
      <c r="M367" s="15" t="str">
        <f>Price!B367</f>
        <v>Z30M383S0W</v>
      </c>
      <c r="N367" s="15" t="str">
        <f>Price!C367</f>
        <v>WAWG</v>
      </c>
      <c r="O367" s="472">
        <f>Price!D367</f>
        <v>0</v>
      </c>
      <c r="P367" s="15">
        <f>Price!E367</f>
        <v>0</v>
      </c>
      <c r="Q367" s="17">
        <f>Price!F367</f>
        <v>39.219340000000003</v>
      </c>
      <c r="R367" s="171"/>
      <c r="S367" s="171"/>
      <c r="T367" s="12">
        <f>Price!G367</f>
        <v>3915505</v>
      </c>
      <c r="U367" s="12">
        <f>Price!H367</f>
        <v>203337</v>
      </c>
      <c r="V367" s="13"/>
      <c r="W367" s="13"/>
      <c r="X367" s="19"/>
      <c r="Y367" s="19"/>
    </row>
    <row r="368" spans="1:25" x14ac:dyDescent="0.35">
      <c r="A368" s="43"/>
      <c r="B368" s="161"/>
      <c r="C368" s="161"/>
      <c r="D368" s="161"/>
      <c r="E368" s="69"/>
      <c r="F368" s="70"/>
      <c r="G368" s="70"/>
      <c r="H368" s="70"/>
      <c r="I368" s="70"/>
      <c r="J368" s="70"/>
      <c r="K368" s="20"/>
      <c r="L368" s="46" t="str">
        <f>Price!A368</f>
        <v>Sada pro zavěšené odp. koše LW 416-420mm, šedá</v>
      </c>
      <c r="M368" s="15" t="str">
        <f>Price!B368</f>
        <v>Z30M389S0W</v>
      </c>
      <c r="N368" s="15" t="str">
        <f>Price!C368</f>
        <v>WAWG</v>
      </c>
      <c r="O368" s="472">
        <f>Price!D368</f>
        <v>0</v>
      </c>
      <c r="P368" s="15">
        <f>Price!E368</f>
        <v>0</v>
      </c>
      <c r="Q368" s="17">
        <f>Price!F368</f>
        <v>39.219340000000003</v>
      </c>
      <c r="R368" s="171"/>
      <c r="S368" s="171"/>
      <c r="T368" s="12">
        <f>Price!G368</f>
        <v>1842529</v>
      </c>
      <c r="U368" s="12">
        <f>Price!H368</f>
        <v>203341</v>
      </c>
      <c r="V368" s="13"/>
      <c r="W368" s="13"/>
      <c r="X368" s="19"/>
      <c r="Y368" s="19"/>
    </row>
    <row r="369" spans="1:25" x14ac:dyDescent="0.35">
      <c r="A369" s="43"/>
      <c r="B369" s="161"/>
      <c r="C369" s="161"/>
      <c r="D369" s="161"/>
      <c r="E369" s="69"/>
      <c r="F369" s="70"/>
      <c r="G369" s="70"/>
      <c r="H369" s="70"/>
      <c r="I369" s="70"/>
      <c r="J369" s="70"/>
      <c r="K369" s="20"/>
      <c r="L369" s="46" t="str">
        <f>Price!A369</f>
        <v>Sada pro zavěšené odp. koše LW 460-464mm, šedá</v>
      </c>
      <c r="M369" s="15" t="str">
        <f>Price!B369</f>
        <v>Z30M433S0W</v>
      </c>
      <c r="N369" s="15" t="str">
        <f>Price!C369</f>
        <v>WAWG</v>
      </c>
      <c r="O369" s="472">
        <f>Price!D369</f>
        <v>0</v>
      </c>
      <c r="P369" s="15">
        <f>Price!E369</f>
        <v>0</v>
      </c>
      <c r="Q369" s="17">
        <f>Price!F369</f>
        <v>39.506239999999998</v>
      </c>
      <c r="R369" s="171"/>
      <c r="S369" s="171"/>
      <c r="T369" s="12">
        <f>Price!G369</f>
        <v>7695504</v>
      </c>
      <c r="U369" s="12">
        <f>Price!H369</f>
        <v>203342</v>
      </c>
      <c r="V369" s="13"/>
      <c r="W369" s="13"/>
      <c r="X369" s="19"/>
      <c r="Y369" s="19"/>
    </row>
    <row r="370" spans="1:25" x14ac:dyDescent="0.35">
      <c r="A370" s="65"/>
      <c r="B370" s="162"/>
      <c r="C370" s="162"/>
      <c r="D370" s="162"/>
      <c r="E370" s="64"/>
      <c r="F370" s="52"/>
      <c r="G370" s="52"/>
      <c r="H370" s="52"/>
      <c r="I370" s="52"/>
      <c r="J370" s="52"/>
      <c r="K370" s="47"/>
      <c r="L370" s="46" t="str">
        <f>Price!A370</f>
        <v>Sada pro zavěšené odp. koše LW 466-470mm, šedá</v>
      </c>
      <c r="M370" s="15" t="str">
        <f>Price!B370</f>
        <v>Z30M439S0W</v>
      </c>
      <c r="N370" s="15" t="str">
        <f>Price!C370</f>
        <v>WAWG</v>
      </c>
      <c r="O370" s="472">
        <f>Price!D370</f>
        <v>0</v>
      </c>
      <c r="P370" s="15">
        <f>Price!E370</f>
        <v>0</v>
      </c>
      <c r="Q370" s="17">
        <f>Price!F370</f>
        <v>39.506239999999998</v>
      </c>
      <c r="R370" s="171"/>
      <c r="S370" s="171"/>
      <c r="T370" s="12">
        <f>Price!G370</f>
        <v>7519915</v>
      </c>
      <c r="U370" s="12">
        <f>Price!H370</f>
        <v>203344</v>
      </c>
      <c r="V370" s="13"/>
      <c r="W370" s="13"/>
      <c r="X370" s="19"/>
      <c r="Y370" s="19"/>
    </row>
    <row r="371" spans="1:25" x14ac:dyDescent="0.35">
      <c r="A371" s="65"/>
      <c r="B371" s="162"/>
      <c r="C371" s="162"/>
      <c r="D371" s="162"/>
      <c r="E371" s="64"/>
      <c r="F371" s="52"/>
      <c r="G371" s="52"/>
      <c r="H371" s="52"/>
      <c r="I371" s="52"/>
      <c r="J371" s="52"/>
      <c r="K371" s="47"/>
      <c r="L371" s="46" t="str">
        <f>Price!A371</f>
        <v>Sada pro zavěšené odp. koše LW 510-514mm, šedá</v>
      </c>
      <c r="M371" s="15" t="str">
        <f>Price!B371</f>
        <v>Z30M483S0W</v>
      </c>
      <c r="N371" s="15" t="str">
        <f>Price!C371</f>
        <v>WAWG</v>
      </c>
      <c r="O371" s="472">
        <f>Price!D371</f>
        <v>0</v>
      </c>
      <c r="P371" s="15">
        <f>Price!E371</f>
        <v>0</v>
      </c>
      <c r="Q371" s="17">
        <f>Price!F371</f>
        <v>39.793140000000001</v>
      </c>
      <c r="R371" s="171"/>
      <c r="S371" s="171"/>
      <c r="T371" s="12">
        <f>Price!G371</f>
        <v>7830104</v>
      </c>
      <c r="U371" s="12">
        <f>Price!H371</f>
        <v>203346</v>
      </c>
      <c r="V371" s="13"/>
      <c r="W371" s="13"/>
      <c r="X371" s="19"/>
      <c r="Y371" s="19"/>
    </row>
    <row r="372" spans="1:25" x14ac:dyDescent="0.35">
      <c r="A372" s="65"/>
      <c r="B372" s="162"/>
      <c r="C372" s="162"/>
      <c r="D372" s="162"/>
      <c r="E372" s="64"/>
      <c r="F372" s="52"/>
      <c r="G372" s="52"/>
      <c r="H372" s="52"/>
      <c r="I372" s="52"/>
      <c r="J372" s="52"/>
      <c r="K372" s="47"/>
      <c r="L372" s="46" t="str">
        <f>Price!A372</f>
        <v>Sada pro zavěšené odp. koše LW 516-520mm, šedá</v>
      </c>
      <c r="M372" s="15" t="str">
        <f>Price!B372</f>
        <v>Z30M489S0W</v>
      </c>
      <c r="N372" s="15" t="str">
        <f>Price!C372</f>
        <v>WAWG</v>
      </c>
      <c r="O372" s="472">
        <f>Price!D372</f>
        <v>0</v>
      </c>
      <c r="P372" s="15">
        <f>Price!E372</f>
        <v>0</v>
      </c>
      <c r="Q372" s="17">
        <f>Price!F372</f>
        <v>39.793140000000001</v>
      </c>
      <c r="R372" s="171"/>
      <c r="S372" s="171"/>
      <c r="T372" s="12">
        <f>Price!G372</f>
        <v>4059564</v>
      </c>
      <c r="U372" s="12">
        <f>Price!H372</f>
        <v>203348</v>
      </c>
      <c r="V372" s="13"/>
      <c r="W372" s="13"/>
      <c r="X372" s="19"/>
      <c r="Y372" s="19"/>
    </row>
    <row r="373" spans="1:25" x14ac:dyDescent="0.35">
      <c r="A373" s="65"/>
      <c r="B373" s="162"/>
      <c r="C373" s="162"/>
      <c r="D373" s="162"/>
      <c r="E373" s="64"/>
      <c r="F373" s="52"/>
      <c r="G373" s="52"/>
      <c r="H373" s="52"/>
      <c r="I373" s="52"/>
      <c r="J373" s="52"/>
      <c r="K373" s="47"/>
      <c r="L373" s="46" t="str">
        <f>Price!A373</f>
        <v>Sada pro zavěšené odp. koše LW 560-564mm, šedá</v>
      </c>
      <c r="M373" s="15" t="str">
        <f>Price!B373</f>
        <v>Z30M533S0W</v>
      </c>
      <c r="N373" s="15" t="str">
        <f>Price!C373</f>
        <v>WAWG</v>
      </c>
      <c r="O373" s="472">
        <f>Price!D373</f>
        <v>0</v>
      </c>
      <c r="P373" s="15">
        <f>Price!E373</f>
        <v>0</v>
      </c>
      <c r="Q373" s="17">
        <f>Price!F373</f>
        <v>40.080060000000003</v>
      </c>
      <c r="R373" s="171"/>
      <c r="S373" s="171"/>
      <c r="T373" s="12">
        <f>Price!G373</f>
        <v>6278623</v>
      </c>
      <c r="U373" s="12">
        <f>Price!H373</f>
        <v>203352</v>
      </c>
      <c r="V373" s="13"/>
      <c r="W373" s="13"/>
      <c r="X373" s="19"/>
      <c r="Y373" s="19"/>
    </row>
    <row r="374" spans="1:25" x14ac:dyDescent="0.35">
      <c r="A374" s="43"/>
      <c r="B374" s="161"/>
      <c r="C374" s="161"/>
      <c r="D374" s="161"/>
      <c r="E374" s="69"/>
      <c r="F374" s="70"/>
      <c r="G374" s="70"/>
      <c r="H374" s="70"/>
      <c r="I374" s="70"/>
      <c r="J374" s="70"/>
      <c r="K374" s="20"/>
      <c r="L374" s="46" t="str">
        <f>Price!A374</f>
        <v>Sada pro zavěšené odp. koše LW 566-570mm, šedá</v>
      </c>
      <c r="M374" s="15" t="str">
        <f>Price!B374</f>
        <v>Z30M539S0W</v>
      </c>
      <c r="N374" s="15" t="str">
        <f>Price!C374</f>
        <v>WAWG</v>
      </c>
      <c r="O374" s="472">
        <f>Price!D374</f>
        <v>0</v>
      </c>
      <c r="P374" s="15">
        <f>Price!E374</f>
        <v>0</v>
      </c>
      <c r="Q374" s="17">
        <f>Price!F374</f>
        <v>40.080060000000003</v>
      </c>
      <c r="R374" s="171"/>
      <c r="S374" s="171"/>
      <c r="T374" s="12">
        <f>Price!G374</f>
        <v>7042924</v>
      </c>
      <c r="U374" s="12">
        <f>Price!H374</f>
        <v>203357</v>
      </c>
      <c r="V374" s="13"/>
      <c r="W374" s="13"/>
      <c r="X374" s="19"/>
      <c r="Y374" s="19"/>
    </row>
    <row r="375" spans="1:25" x14ac:dyDescent="0.35">
      <c r="A375" s="43"/>
      <c r="B375" s="161"/>
      <c r="C375" s="161"/>
      <c r="D375" s="161"/>
      <c r="E375" s="69"/>
      <c r="F375" s="70"/>
      <c r="G375" s="70"/>
      <c r="H375" s="70"/>
      <c r="I375" s="70"/>
      <c r="J375" s="70"/>
      <c r="K375" s="48"/>
      <c r="L375" s="46" t="str">
        <f>Price!A375</f>
        <v>Sada pro zavěšené odp. koše LW 760-764mm, šedá</v>
      </c>
      <c r="M375" s="15" t="str">
        <f>Price!B375</f>
        <v>Z30M733S0W</v>
      </c>
      <c r="N375" s="15" t="str">
        <f>Price!C375</f>
        <v>WAWG</v>
      </c>
      <c r="O375" s="472">
        <f>Price!D375</f>
        <v>0</v>
      </c>
      <c r="P375" s="15">
        <f>Price!E375</f>
        <v>0</v>
      </c>
      <c r="Q375" s="17">
        <f>Price!F375</f>
        <v>44.289490000000001</v>
      </c>
      <c r="R375" s="171"/>
      <c r="S375" s="171"/>
      <c r="T375" s="12">
        <f>Price!G375</f>
        <v>9286690</v>
      </c>
      <c r="U375" s="12">
        <f>Price!H375</f>
        <v>203358</v>
      </c>
      <c r="V375" s="13"/>
      <c r="W375" s="13"/>
      <c r="X375" s="19"/>
      <c r="Y375" s="19"/>
    </row>
    <row r="376" spans="1:25" x14ac:dyDescent="0.35">
      <c r="A376" s="65"/>
      <c r="B376" s="162"/>
      <c r="C376" s="162"/>
      <c r="D376" s="162"/>
      <c r="E376" s="64"/>
      <c r="F376" s="52"/>
      <c r="G376" s="52"/>
      <c r="H376" s="52"/>
      <c r="I376" s="52"/>
      <c r="J376" s="52"/>
      <c r="K376" s="47"/>
      <c r="L376" s="46" t="str">
        <f>Price!A376</f>
        <v>Sada pro zavěšené odp. koše LW 860-864mm, šedá</v>
      </c>
      <c r="M376" s="15" t="str">
        <f>Price!B376</f>
        <v>Z30M833S0W</v>
      </c>
      <c r="N376" s="15" t="str">
        <f>Price!C376</f>
        <v>WAWG</v>
      </c>
      <c r="O376" s="472">
        <f>Price!D376</f>
        <v>0</v>
      </c>
      <c r="P376" s="15">
        <f>Price!E376</f>
        <v>0</v>
      </c>
      <c r="Q376" s="17">
        <f>Price!F376</f>
        <v>45.106949999999998</v>
      </c>
      <c r="R376" s="171"/>
      <c r="S376" s="171"/>
      <c r="T376" s="12">
        <f>Price!G376</f>
        <v>8132340</v>
      </c>
      <c r="U376" s="12">
        <f>Price!H376</f>
        <v>203361</v>
      </c>
      <c r="V376" s="13"/>
      <c r="W376" s="13"/>
      <c r="X376" s="19"/>
      <c r="Y376" s="19"/>
    </row>
    <row r="377" spans="1:25" x14ac:dyDescent="0.35">
      <c r="A377" s="65"/>
      <c r="B377" s="162"/>
      <c r="C377" s="162"/>
      <c r="D377" s="162"/>
      <c r="E377" s="64"/>
      <c r="F377" s="52"/>
      <c r="G377" s="52"/>
      <c r="H377" s="52"/>
      <c r="I377" s="52"/>
      <c r="J377" s="52"/>
      <c r="K377" s="47"/>
      <c r="L377" s="46" t="str">
        <f>Price!A377</f>
        <v>Sada pro zavěšené odp. koše LW 866-870mm, šedá</v>
      </c>
      <c r="M377" s="15" t="str">
        <f>Price!B377</f>
        <v>Z30M839S0W</v>
      </c>
      <c r="N377" s="15" t="str">
        <f>Price!C377</f>
        <v>WAWG</v>
      </c>
      <c r="O377" s="472">
        <f>Price!D377</f>
        <v>0</v>
      </c>
      <c r="P377" s="15">
        <f>Price!E377</f>
        <v>0</v>
      </c>
      <c r="Q377" s="17">
        <f>Price!F377</f>
        <v>45.106949999999998</v>
      </c>
      <c r="R377" s="171"/>
      <c r="S377" s="171"/>
      <c r="T377" s="12">
        <f>Price!G377</f>
        <v>1518239</v>
      </c>
      <c r="U377" s="12">
        <f>Price!H377</f>
        <v>203366</v>
      </c>
      <c r="V377" s="13"/>
      <c r="W377" s="13"/>
      <c r="X377" s="19"/>
      <c r="Y377" s="19"/>
    </row>
    <row r="378" spans="1:25" x14ac:dyDescent="0.35">
      <c r="A378" s="65"/>
      <c r="B378" s="162"/>
      <c r="C378" s="162"/>
      <c r="D378" s="162"/>
      <c r="E378" s="64"/>
      <c r="F378" s="52"/>
      <c r="G378" s="52"/>
      <c r="H378" s="52"/>
      <c r="I378" s="52"/>
      <c r="J378" s="52"/>
      <c r="K378" s="47"/>
      <c r="L378" s="46">
        <f>Price!A378</f>
        <v>0</v>
      </c>
      <c r="M378" s="15">
        <f>Price!B378</f>
        <v>0</v>
      </c>
      <c r="N378" s="15">
        <f>Price!C378</f>
        <v>0</v>
      </c>
      <c r="O378" s="472">
        <f>Price!D378</f>
        <v>0</v>
      </c>
      <c r="P378" s="15">
        <f>Price!E378</f>
        <v>0</v>
      </c>
      <c r="Q378" s="17">
        <f>Price!F378</f>
        <v>0</v>
      </c>
      <c r="R378" s="171"/>
      <c r="S378" s="171"/>
      <c r="T378" s="12">
        <f>Price!G378</f>
        <v>0</v>
      </c>
      <c r="U378" s="12">
        <f>Price!H378</f>
        <v>0</v>
      </c>
      <c r="V378" s="13"/>
      <c r="W378" s="13"/>
      <c r="X378" s="19"/>
      <c r="Y378" s="19"/>
    </row>
    <row r="379" spans="1:25" x14ac:dyDescent="0.35">
      <c r="A379" s="65"/>
      <c r="B379" s="162"/>
      <c r="C379" s="162"/>
      <c r="D379" s="162"/>
      <c r="E379" s="64"/>
      <c r="F379" s="52"/>
      <c r="G379" s="52"/>
      <c r="H379" s="52"/>
      <c r="I379" s="52"/>
      <c r="J379" s="52"/>
      <c r="K379" s="47"/>
      <c r="L379" s="46">
        <f>Price!A379</f>
        <v>0</v>
      </c>
      <c r="M379" s="15">
        <f>Price!B379</f>
        <v>0</v>
      </c>
      <c r="N379" s="15">
        <f>Price!C379</f>
        <v>0</v>
      </c>
      <c r="O379" s="472">
        <f>Price!D379</f>
        <v>0</v>
      </c>
      <c r="P379" s="15">
        <f>Price!E379</f>
        <v>0</v>
      </c>
      <c r="Q379" s="17">
        <f>Price!F379</f>
        <v>0</v>
      </c>
      <c r="R379" s="171"/>
      <c r="S379" s="171"/>
      <c r="T379" s="12">
        <f>Price!G379</f>
        <v>0</v>
      </c>
      <c r="U379" s="12">
        <f>Price!H379</f>
        <v>0</v>
      </c>
      <c r="V379" s="13"/>
      <c r="W379" s="13"/>
      <c r="X379" s="19"/>
      <c r="Y379" s="19"/>
    </row>
    <row r="380" spans="1:25" x14ac:dyDescent="0.35">
      <c r="A380" s="65"/>
      <c r="B380" s="162"/>
      <c r="C380" s="162"/>
      <c r="D380" s="162"/>
      <c r="E380" s="64"/>
      <c r="F380" s="52"/>
      <c r="G380" s="52"/>
      <c r="H380" s="52"/>
      <c r="I380" s="52"/>
      <c r="J380" s="52"/>
      <c r="K380" s="47"/>
      <c r="L380" s="46" t="str">
        <f>Price!A380</f>
        <v xml:space="preserve">   ORGA-LINE sady misek</v>
      </c>
      <c r="M380" s="15">
        <f>Price!B380</f>
        <v>0</v>
      </c>
      <c r="N380" s="15">
        <f>Price!C380</f>
        <v>0</v>
      </c>
      <c r="O380" s="472">
        <f>Price!D380</f>
        <v>0</v>
      </c>
      <c r="P380" s="15">
        <f>Price!E380</f>
        <v>0</v>
      </c>
      <c r="Q380" s="17">
        <f>Price!F380</f>
        <v>0</v>
      </c>
      <c r="R380" s="171"/>
      <c r="S380" s="171"/>
      <c r="T380" s="12">
        <f>Price!G380</f>
        <v>0</v>
      </c>
      <c r="U380" s="12">
        <f>Price!H380</f>
        <v>0</v>
      </c>
      <c r="V380" s="13"/>
      <c r="W380" s="13"/>
      <c r="X380" s="19"/>
      <c r="Y380" s="19"/>
    </row>
    <row r="381" spans="1:25" x14ac:dyDescent="0.35">
      <c r="A381" s="79" t="str">
        <f t="shared" ref="A381" si="406">L381</f>
        <v>Sada BI1, 450 mm</v>
      </c>
      <c r="B381" s="80" t="str">
        <f t="shared" ref="B381" si="407">M381</f>
        <v>ZSI.450BI1N</v>
      </c>
      <c r="C381" s="80" t="str">
        <f t="shared" ref="C381" si="408">N381</f>
        <v>IG/G</v>
      </c>
      <c r="D381" s="173">
        <f>O381</f>
        <v>0</v>
      </c>
      <c r="E381" s="81"/>
      <c r="F381" s="17">
        <f t="shared" ref="F381" si="409">Q381*(100-$F$6)/100</f>
        <v>27.854489999999995</v>
      </c>
      <c r="G381" s="50"/>
      <c r="H381" s="50"/>
      <c r="I381" s="173">
        <f t="shared" ref="I381" si="410">T381</f>
        <v>6700230</v>
      </c>
      <c r="J381" s="173">
        <f t="shared" ref="J381" si="411">U381</f>
        <v>176760</v>
      </c>
      <c r="K381" s="47"/>
      <c r="L381" s="46" t="str">
        <f>Price!A381</f>
        <v>Sada BI1, 450 mm</v>
      </c>
      <c r="M381" s="15" t="str">
        <f>Price!B381</f>
        <v>ZSI.450BI1N</v>
      </c>
      <c r="N381" s="15" t="str">
        <f>Price!C381</f>
        <v>IG/G</v>
      </c>
      <c r="O381" s="472">
        <f>Price!D381</f>
        <v>0</v>
      </c>
      <c r="P381" s="15">
        <f>Price!E381</f>
        <v>0</v>
      </c>
      <c r="Q381" s="17">
        <f>Price!F381</f>
        <v>27.854489999999998</v>
      </c>
      <c r="R381" s="171"/>
      <c r="S381" s="171"/>
      <c r="T381" s="12">
        <f>Price!G381</f>
        <v>6700230</v>
      </c>
      <c r="U381" s="12">
        <f>Price!H381</f>
        <v>176760</v>
      </c>
      <c r="V381" s="13"/>
      <c r="W381" s="13"/>
      <c r="X381" s="19"/>
      <c r="Y381" s="19"/>
    </row>
    <row r="382" spans="1:25" x14ac:dyDescent="0.35">
      <c r="A382" s="79" t="str">
        <f t="shared" ref="A382:A405" si="412">L382</f>
        <v>Sada BI1, 500 mm</v>
      </c>
      <c r="B382" s="80" t="str">
        <f t="shared" ref="B382:B405" si="413">M382</f>
        <v>ZSI.500BI1N</v>
      </c>
      <c r="C382" s="80" t="str">
        <f t="shared" ref="C382:C405" si="414">N382</f>
        <v>IG/G</v>
      </c>
      <c r="D382" s="173">
        <f t="shared" ref="D382:D406" si="415">O382</f>
        <v>0</v>
      </c>
      <c r="E382" s="81"/>
      <c r="F382" s="17">
        <f t="shared" ref="F382:F405" si="416">Q382*(100-$F$6)/100</f>
        <v>33.880009999999999</v>
      </c>
      <c r="G382" s="50"/>
      <c r="H382" s="50"/>
      <c r="I382" s="173">
        <f t="shared" ref="I382:I405" si="417">T382</f>
        <v>6700070</v>
      </c>
      <c r="J382" s="173">
        <f t="shared" ref="J382:J405" si="418">U382</f>
        <v>12989</v>
      </c>
      <c r="K382" s="47"/>
      <c r="L382" s="46" t="str">
        <f>Price!A382</f>
        <v>Sada BI1, 500 mm</v>
      </c>
      <c r="M382" s="15" t="str">
        <f>Price!B382</f>
        <v>ZSI.500BI1N</v>
      </c>
      <c r="N382" s="15" t="str">
        <f>Price!C382</f>
        <v>IG/G</v>
      </c>
      <c r="O382" s="472">
        <f>Price!D382</f>
        <v>0</v>
      </c>
      <c r="P382" s="15">
        <f>Price!E382</f>
        <v>0</v>
      </c>
      <c r="Q382" s="17">
        <f>Price!F382</f>
        <v>33.880009999999999</v>
      </c>
      <c r="R382" s="171"/>
      <c r="S382" s="171"/>
      <c r="T382" s="12">
        <f>Price!G382</f>
        <v>6700070</v>
      </c>
      <c r="U382" s="12">
        <f>Price!H382</f>
        <v>12989</v>
      </c>
      <c r="V382" s="13"/>
      <c r="W382" s="13"/>
      <c r="X382" s="19"/>
      <c r="Y382" s="19"/>
    </row>
    <row r="383" spans="1:25" x14ac:dyDescent="0.35">
      <c r="A383" s="79" t="str">
        <f t="shared" ref="A383:A386" si="419">L383</f>
        <v>Sada BI1, 550 mm</v>
      </c>
      <c r="B383" s="80" t="str">
        <f t="shared" ref="B383:B386" si="420">M383</f>
        <v>ZSI.550BI1N</v>
      </c>
      <c r="C383" s="80" t="str">
        <f t="shared" ref="C383:C386" si="421">N383</f>
        <v>IG/G</v>
      </c>
      <c r="D383" s="173">
        <f t="shared" si="415"/>
        <v>0</v>
      </c>
      <c r="E383" s="81"/>
      <c r="F383" s="17">
        <f t="shared" ref="F383:F386" si="422">Q383*(100-$F$6)/100</f>
        <v>36.572949999999999</v>
      </c>
      <c r="G383" s="50"/>
      <c r="H383" s="50"/>
      <c r="I383" s="173">
        <f t="shared" ref="I383:I386" si="423">T383</f>
        <v>6698800</v>
      </c>
      <c r="J383" s="173">
        <f t="shared" ref="J383:J386" si="424">U383</f>
        <v>176773</v>
      </c>
      <c r="K383" s="47"/>
      <c r="L383" s="46" t="str">
        <f>Price!A383</f>
        <v>Sada BI1, 550 mm</v>
      </c>
      <c r="M383" s="15" t="str">
        <f>Price!B383</f>
        <v>ZSI.550BI1N</v>
      </c>
      <c r="N383" s="15" t="str">
        <f>Price!C383</f>
        <v>IG/G</v>
      </c>
      <c r="O383" s="472">
        <f>Price!D383</f>
        <v>0</v>
      </c>
      <c r="P383" s="15">
        <f>Price!E383</f>
        <v>0</v>
      </c>
      <c r="Q383" s="17">
        <f>Price!F383</f>
        <v>36.572949999999999</v>
      </c>
      <c r="R383" s="171"/>
      <c r="S383" s="171"/>
      <c r="T383" s="12">
        <f>Price!G383</f>
        <v>6698800</v>
      </c>
      <c r="U383" s="12">
        <f>Price!H383</f>
        <v>176773</v>
      </c>
      <c r="V383" s="13"/>
      <c r="W383" s="13"/>
      <c r="X383" s="19"/>
      <c r="Y383" s="19"/>
    </row>
    <row r="384" spans="1:25" x14ac:dyDescent="0.35">
      <c r="A384" s="79" t="str">
        <f t="shared" si="419"/>
        <v>Sada BI1, 600 mm</v>
      </c>
      <c r="B384" s="80" t="str">
        <f t="shared" si="420"/>
        <v>ZSI.600BI1N</v>
      </c>
      <c r="C384" s="80" t="str">
        <f t="shared" si="421"/>
        <v>IG/G</v>
      </c>
      <c r="D384" s="173">
        <f t="shared" si="415"/>
        <v>0</v>
      </c>
      <c r="E384" s="81"/>
      <c r="F384" s="17">
        <f t="shared" si="422"/>
        <v>42.864629999999998</v>
      </c>
      <c r="G384" s="50"/>
      <c r="H384" s="50"/>
      <c r="I384" s="173">
        <f t="shared" si="423"/>
        <v>6699100</v>
      </c>
      <c r="J384" s="173">
        <f t="shared" si="424"/>
        <v>176778</v>
      </c>
      <c r="K384" s="47"/>
      <c r="L384" s="46" t="str">
        <f>Price!A384</f>
        <v>Sada BI1, 600 mm</v>
      </c>
      <c r="M384" s="15" t="str">
        <f>Price!B384</f>
        <v>ZSI.600BI1N</v>
      </c>
      <c r="N384" s="15" t="str">
        <f>Price!C384</f>
        <v>IG/G</v>
      </c>
      <c r="O384" s="472">
        <f>Price!D384</f>
        <v>0</v>
      </c>
      <c r="P384" s="15">
        <f>Price!E384</f>
        <v>0</v>
      </c>
      <c r="Q384" s="17">
        <f>Price!F384</f>
        <v>42.864629999999998</v>
      </c>
      <c r="R384" s="171"/>
      <c r="S384" s="171"/>
      <c r="T384" s="12">
        <f>Price!G384</f>
        <v>6699100</v>
      </c>
      <c r="U384" s="12">
        <f>Price!H384</f>
        <v>176778</v>
      </c>
      <c r="V384" s="13"/>
      <c r="W384" s="13"/>
      <c r="X384" s="19"/>
      <c r="Y384" s="19"/>
    </row>
    <row r="385" spans="1:25" x14ac:dyDescent="0.35">
      <c r="A385" s="79" t="str">
        <f t="shared" si="419"/>
        <v>Sada BI1, 650 mm</v>
      </c>
      <c r="B385" s="80" t="str">
        <f t="shared" si="420"/>
        <v>ZSI.650BI1N</v>
      </c>
      <c r="C385" s="80" t="str">
        <f t="shared" si="421"/>
        <v>IG/G</v>
      </c>
      <c r="D385" s="173">
        <f t="shared" si="415"/>
        <v>0</v>
      </c>
      <c r="E385" s="81"/>
      <c r="F385" s="17">
        <f t="shared" si="422"/>
        <v>49.022210000000001</v>
      </c>
      <c r="G385" s="50"/>
      <c r="H385" s="50"/>
      <c r="I385" s="173">
        <f t="shared" si="423"/>
        <v>6698230</v>
      </c>
      <c r="J385" s="173">
        <f t="shared" si="424"/>
        <v>176787</v>
      </c>
      <c r="K385" s="47"/>
      <c r="L385" s="46" t="str">
        <f>Price!A385</f>
        <v>Sada BI1, 650 mm</v>
      </c>
      <c r="M385" s="15" t="str">
        <f>Price!B385</f>
        <v>ZSI.650BI1N</v>
      </c>
      <c r="N385" s="15" t="str">
        <f>Price!C385</f>
        <v>IG/G</v>
      </c>
      <c r="O385" s="472">
        <f>Price!D385</f>
        <v>0</v>
      </c>
      <c r="P385" s="15">
        <f>Price!E385</f>
        <v>0</v>
      </c>
      <c r="Q385" s="17">
        <f>Price!F385</f>
        <v>49.022210000000001</v>
      </c>
      <c r="R385" s="171"/>
      <c r="S385" s="171"/>
      <c r="T385" s="12">
        <f>Price!G385</f>
        <v>6698230</v>
      </c>
      <c r="U385" s="12">
        <f>Price!H385</f>
        <v>176787</v>
      </c>
      <c r="V385" s="13"/>
      <c r="W385" s="13"/>
      <c r="X385" s="19"/>
      <c r="Y385" s="19"/>
    </row>
    <row r="386" spans="1:25" x14ac:dyDescent="0.35">
      <c r="A386" s="79" t="str">
        <f t="shared" si="419"/>
        <v>Sada BI2, 450 mm</v>
      </c>
      <c r="B386" s="80" t="str">
        <f t="shared" si="420"/>
        <v>ZSI.450BI2N</v>
      </c>
      <c r="C386" s="80" t="str">
        <f t="shared" si="421"/>
        <v>IG/G</v>
      </c>
      <c r="D386" s="173">
        <f t="shared" si="415"/>
        <v>0</v>
      </c>
      <c r="E386" s="81"/>
      <c r="F386" s="17">
        <f t="shared" si="422"/>
        <v>32.756999999999998</v>
      </c>
      <c r="G386" s="50"/>
      <c r="H386" s="50"/>
      <c r="I386" s="173">
        <f t="shared" si="423"/>
        <v>6699800</v>
      </c>
      <c r="J386" s="173">
        <f t="shared" si="424"/>
        <v>176761</v>
      </c>
      <c r="K386" s="47"/>
      <c r="L386" s="46" t="str">
        <f>Price!A386</f>
        <v>Sada BI2, 450 mm</v>
      </c>
      <c r="M386" s="15" t="str">
        <f>Price!B386</f>
        <v>ZSI.450BI2N</v>
      </c>
      <c r="N386" s="15" t="str">
        <f>Price!C386</f>
        <v>IG/G</v>
      </c>
      <c r="O386" s="472">
        <f>Price!D386</f>
        <v>0</v>
      </c>
      <c r="P386" s="15">
        <f>Price!E386</f>
        <v>0</v>
      </c>
      <c r="Q386" s="17">
        <f>Price!F386</f>
        <v>32.756999999999998</v>
      </c>
      <c r="R386" s="171"/>
      <c r="S386" s="171"/>
      <c r="T386" s="12">
        <f>Price!G386</f>
        <v>6699800</v>
      </c>
      <c r="U386" s="12">
        <f>Price!H386</f>
        <v>176761</v>
      </c>
      <c r="V386" s="13"/>
      <c r="W386" s="13"/>
      <c r="X386" s="19"/>
      <c r="Y386" s="19"/>
    </row>
    <row r="387" spans="1:25" x14ac:dyDescent="0.35">
      <c r="A387" s="79" t="str">
        <f t="shared" si="412"/>
        <v>Sada BI2, 500 mm</v>
      </c>
      <c r="B387" s="80" t="str">
        <f>M387</f>
        <v>ZSI.500BI2N</v>
      </c>
      <c r="C387" s="80" t="str">
        <f>N387</f>
        <v>IG/G</v>
      </c>
      <c r="D387" s="173">
        <f t="shared" si="415"/>
        <v>0</v>
      </c>
      <c r="E387" s="81"/>
      <c r="F387" s="17">
        <f>Q387*(100-$F$6)/100</f>
        <v>38.677849999999999</v>
      </c>
      <c r="G387" s="50"/>
      <c r="H387" s="50"/>
      <c r="I387" s="173">
        <f>T387</f>
        <v>6698580</v>
      </c>
      <c r="J387" s="173">
        <f>U387</f>
        <v>176768</v>
      </c>
      <c r="K387" s="47"/>
      <c r="L387" s="46" t="str">
        <f>Price!A387</f>
        <v>Sada BI2, 500 mm</v>
      </c>
      <c r="M387" s="15" t="str">
        <f>Price!B387</f>
        <v>ZSI.500BI2N</v>
      </c>
      <c r="N387" s="15" t="str">
        <f>Price!C387</f>
        <v>IG/G</v>
      </c>
      <c r="O387" s="472">
        <f>Price!D387</f>
        <v>0</v>
      </c>
      <c r="P387" s="15">
        <f>Price!E387</f>
        <v>0</v>
      </c>
      <c r="Q387" s="17">
        <f>Price!F387</f>
        <v>38.677849999999999</v>
      </c>
      <c r="R387" s="171"/>
      <c r="S387" s="171"/>
      <c r="T387" s="12">
        <f>Price!G387</f>
        <v>6698580</v>
      </c>
      <c r="U387" s="12">
        <f>Price!H387</f>
        <v>176768</v>
      </c>
      <c r="V387" s="13"/>
      <c r="W387" s="13"/>
      <c r="X387" s="19"/>
      <c r="Y387" s="19"/>
    </row>
    <row r="388" spans="1:25" x14ac:dyDescent="0.35">
      <c r="A388" s="79" t="str">
        <f t="shared" ref="A388:A391" si="425">L388</f>
        <v>Sada BI2, 550 mm</v>
      </c>
      <c r="B388" s="80" t="str">
        <f t="shared" ref="B388:B391" si="426">M388</f>
        <v>ZSI.550BI2N</v>
      </c>
      <c r="C388" s="80" t="str">
        <f t="shared" ref="C388:C391" si="427">N388</f>
        <v>IG/G</v>
      </c>
      <c r="D388" s="173">
        <f t="shared" si="415"/>
        <v>0</v>
      </c>
      <c r="E388" s="81"/>
      <c r="F388" s="17">
        <f t="shared" ref="F388:F391" si="428">Q388*(100-$F$6)/100</f>
        <v>45.077739999999991</v>
      </c>
      <c r="G388" s="50"/>
      <c r="H388" s="50"/>
      <c r="I388" s="173">
        <f t="shared" ref="I388:I391" si="429">T388</f>
        <v>6698400</v>
      </c>
      <c r="J388" s="173">
        <f t="shared" ref="J388:J391" si="430">U388</f>
        <v>176774</v>
      </c>
      <c r="K388" s="47"/>
      <c r="L388" s="46" t="str">
        <f>Price!A388</f>
        <v>Sada BI2, 550 mm</v>
      </c>
      <c r="M388" s="15" t="str">
        <f>Price!B388</f>
        <v>ZSI.550BI2N</v>
      </c>
      <c r="N388" s="15" t="str">
        <f>Price!C388</f>
        <v>IG/G</v>
      </c>
      <c r="O388" s="472">
        <f>Price!D388</f>
        <v>0</v>
      </c>
      <c r="P388" s="15">
        <f>Price!E388</f>
        <v>0</v>
      </c>
      <c r="Q388" s="17">
        <f>Price!F388</f>
        <v>45.077739999999999</v>
      </c>
      <c r="R388" s="171"/>
      <c r="S388" s="171"/>
      <c r="T388" s="12">
        <f>Price!G388</f>
        <v>6698400</v>
      </c>
      <c r="U388" s="12">
        <f>Price!H388</f>
        <v>176774</v>
      </c>
      <c r="V388" s="13"/>
      <c r="W388" s="13"/>
      <c r="X388" s="19"/>
      <c r="Y388" s="19"/>
    </row>
    <row r="389" spans="1:25" x14ac:dyDescent="0.35">
      <c r="A389" s="79" t="str">
        <f t="shared" si="425"/>
        <v>Sada BI2, 600 mm</v>
      </c>
      <c r="B389" s="80" t="str">
        <f t="shared" si="426"/>
        <v>ZSI.600BI2N</v>
      </c>
      <c r="C389" s="80" t="str">
        <f t="shared" si="427"/>
        <v>IG/G</v>
      </c>
      <c r="D389" s="173">
        <f t="shared" si="415"/>
        <v>0</v>
      </c>
      <c r="E389" s="81"/>
      <c r="F389" s="17">
        <f t="shared" si="428"/>
        <v>51.383819999999993</v>
      </c>
      <c r="G389" s="50"/>
      <c r="H389" s="50"/>
      <c r="I389" s="173">
        <f t="shared" si="429"/>
        <v>6699550</v>
      </c>
      <c r="J389" s="173">
        <f t="shared" si="430"/>
        <v>176779</v>
      </c>
      <c r="K389" s="47"/>
      <c r="L389" s="46" t="str">
        <f>Price!A389</f>
        <v>Sada BI2, 600 mm</v>
      </c>
      <c r="M389" s="15" t="str">
        <f>Price!B389</f>
        <v>ZSI.600BI2N</v>
      </c>
      <c r="N389" s="15" t="str">
        <f>Price!C389</f>
        <v>IG/G</v>
      </c>
      <c r="O389" s="472">
        <f>Price!D389</f>
        <v>0</v>
      </c>
      <c r="P389" s="15">
        <f>Price!E389</f>
        <v>0</v>
      </c>
      <c r="Q389" s="17">
        <f>Price!F389</f>
        <v>51.38382</v>
      </c>
      <c r="R389" s="171"/>
      <c r="S389" s="171"/>
      <c r="T389" s="12">
        <f>Price!G389</f>
        <v>6699550</v>
      </c>
      <c r="U389" s="12">
        <f>Price!H389</f>
        <v>176779</v>
      </c>
      <c r="V389" s="13"/>
      <c r="W389" s="13"/>
      <c r="X389" s="19"/>
      <c r="Y389" s="19"/>
    </row>
    <row r="390" spans="1:25" x14ac:dyDescent="0.35">
      <c r="A390" s="79" t="str">
        <f t="shared" si="425"/>
        <v>Sada BI2, 650 mm</v>
      </c>
      <c r="B390" s="80" t="str">
        <f t="shared" si="426"/>
        <v>ZSI.650BI2N</v>
      </c>
      <c r="C390" s="80" t="str">
        <f t="shared" si="427"/>
        <v>IG/G</v>
      </c>
      <c r="D390" s="173">
        <f t="shared" si="415"/>
        <v>0</v>
      </c>
      <c r="E390" s="81"/>
      <c r="F390" s="17">
        <f t="shared" si="428"/>
        <v>58.345699999999994</v>
      </c>
      <c r="G390" s="50"/>
      <c r="H390" s="50"/>
      <c r="I390" s="173">
        <f t="shared" si="429"/>
        <v>6699470</v>
      </c>
      <c r="J390" s="173">
        <f t="shared" si="430"/>
        <v>176788</v>
      </c>
      <c r="K390" s="47"/>
      <c r="L390" s="46" t="str">
        <f>Price!A390</f>
        <v>Sada BI2, 650 mm</v>
      </c>
      <c r="M390" s="15" t="str">
        <f>Price!B390</f>
        <v>ZSI.650BI2N</v>
      </c>
      <c r="N390" s="15" t="str">
        <f>Price!C390</f>
        <v>IG/G</v>
      </c>
      <c r="O390" s="472">
        <f>Price!D390</f>
        <v>0</v>
      </c>
      <c r="P390" s="15">
        <f>Price!E390</f>
        <v>0</v>
      </c>
      <c r="Q390" s="17">
        <f>Price!F390</f>
        <v>58.345700000000001</v>
      </c>
      <c r="R390" s="171"/>
      <c r="S390" s="171"/>
      <c r="T390" s="12">
        <f>Price!G390</f>
        <v>6699470</v>
      </c>
      <c r="U390" s="12">
        <f>Price!H390</f>
        <v>176788</v>
      </c>
      <c r="V390" s="13"/>
      <c r="W390" s="13"/>
      <c r="X390" s="19"/>
      <c r="Y390" s="19"/>
    </row>
    <row r="391" spans="1:25" x14ac:dyDescent="0.35">
      <c r="A391" s="79" t="str">
        <f t="shared" si="425"/>
        <v>Sada BI3, 450 mm</v>
      </c>
      <c r="B391" s="80" t="str">
        <f t="shared" si="426"/>
        <v>ZSI.450BI3N</v>
      </c>
      <c r="C391" s="80" t="str">
        <f t="shared" si="427"/>
        <v>IG/G</v>
      </c>
      <c r="D391" s="173">
        <f t="shared" si="415"/>
        <v>0</v>
      </c>
      <c r="E391" s="81"/>
      <c r="F391" s="17">
        <f t="shared" si="428"/>
        <v>43.159669999999998</v>
      </c>
      <c r="G391" s="50"/>
      <c r="H391" s="50"/>
      <c r="I391" s="173">
        <f t="shared" si="429"/>
        <v>6908650</v>
      </c>
      <c r="J391" s="173">
        <f t="shared" si="430"/>
        <v>12983</v>
      </c>
      <c r="K391" s="47"/>
      <c r="L391" s="46" t="str">
        <f>Price!A391</f>
        <v>Sada BI3, 450 mm</v>
      </c>
      <c r="M391" s="15" t="str">
        <f>Price!B391</f>
        <v>ZSI.450BI3N</v>
      </c>
      <c r="N391" s="15" t="str">
        <f>Price!C391</f>
        <v>IG/G</v>
      </c>
      <c r="O391" s="472">
        <f>Price!D391</f>
        <v>0</v>
      </c>
      <c r="P391" s="15">
        <f>Price!E391</f>
        <v>0</v>
      </c>
      <c r="Q391" s="17">
        <f>Price!F391</f>
        <v>43.159669999999998</v>
      </c>
      <c r="R391" s="171"/>
      <c r="S391" s="171"/>
      <c r="T391" s="12">
        <f>Price!G391</f>
        <v>6908650</v>
      </c>
      <c r="U391" s="12">
        <f>Price!H391</f>
        <v>12983</v>
      </c>
      <c r="V391" s="13"/>
      <c r="W391" s="13"/>
      <c r="X391" s="19"/>
      <c r="Y391" s="19"/>
    </row>
    <row r="392" spans="1:25" x14ac:dyDescent="0.35">
      <c r="A392" s="79" t="str">
        <f t="shared" si="412"/>
        <v>Sada BI3, 500 mm</v>
      </c>
      <c r="B392" s="80" t="str">
        <f t="shared" si="413"/>
        <v>ZSI.500BI3</v>
      </c>
      <c r="C392" s="80" t="str">
        <f t="shared" si="414"/>
        <v>IG/G</v>
      </c>
      <c r="D392" s="173">
        <f t="shared" si="415"/>
        <v>0</v>
      </c>
      <c r="E392" s="81"/>
      <c r="F392" s="17">
        <f t="shared" si="416"/>
        <v>53.315179999999998</v>
      </c>
      <c r="G392" s="50"/>
      <c r="H392" s="50"/>
      <c r="I392" s="173">
        <f t="shared" si="417"/>
        <v>3695280</v>
      </c>
      <c r="J392" s="173">
        <f t="shared" si="418"/>
        <v>12984</v>
      </c>
      <c r="K392" s="47"/>
      <c r="L392" s="46" t="str">
        <f>Price!A392</f>
        <v>Sada BI3, 500 mm</v>
      </c>
      <c r="M392" s="15" t="str">
        <f>Price!B392</f>
        <v>ZSI.500BI3</v>
      </c>
      <c r="N392" s="15" t="str">
        <f>Price!C392</f>
        <v>IG/G</v>
      </c>
      <c r="O392" s="472">
        <f>Price!D392</f>
        <v>0</v>
      </c>
      <c r="P392" s="15">
        <f>Price!E392</f>
        <v>0</v>
      </c>
      <c r="Q392" s="17">
        <f>Price!F392</f>
        <v>53.315179999999998</v>
      </c>
      <c r="R392" s="171"/>
      <c r="S392" s="171"/>
      <c r="T392" s="12">
        <f>Price!G392</f>
        <v>3695280</v>
      </c>
      <c r="U392" s="12">
        <f>Price!H392</f>
        <v>12984</v>
      </c>
      <c r="V392" s="13"/>
      <c r="W392" s="13"/>
      <c r="X392" s="19"/>
      <c r="Y392" s="19"/>
    </row>
    <row r="393" spans="1:25" x14ac:dyDescent="0.35">
      <c r="A393" s="79" t="str">
        <f t="shared" ref="A393:A396" si="431">L393</f>
        <v>Sada BI3, 550 mm</v>
      </c>
      <c r="B393" s="80" t="str">
        <f t="shared" ref="B393:B396" si="432">M393</f>
        <v>ZSI.550BI3</v>
      </c>
      <c r="C393" s="80" t="str">
        <f t="shared" ref="C393:C396" si="433">N393</f>
        <v>IG/G</v>
      </c>
      <c r="D393" s="173">
        <f t="shared" si="415"/>
        <v>0</v>
      </c>
      <c r="E393" s="81"/>
      <c r="F393" s="17">
        <f t="shared" ref="F393:F396" si="434">Q393*(100-$F$6)/100</f>
        <v>60.554529999999993</v>
      </c>
      <c r="G393" s="50"/>
      <c r="H393" s="50"/>
      <c r="I393" s="173">
        <f t="shared" ref="I393:I396" si="435">T393</f>
        <v>3695360</v>
      </c>
      <c r="J393" s="173">
        <f t="shared" ref="J393:J396" si="436">U393</f>
        <v>12985</v>
      </c>
      <c r="K393" s="47"/>
      <c r="L393" s="46" t="str">
        <f>Price!A393</f>
        <v>Sada BI3, 550 mm</v>
      </c>
      <c r="M393" s="15" t="str">
        <f>Price!B393</f>
        <v>ZSI.550BI3</v>
      </c>
      <c r="N393" s="15" t="str">
        <f>Price!C393</f>
        <v>IG/G</v>
      </c>
      <c r="O393" s="472">
        <f>Price!D393</f>
        <v>0</v>
      </c>
      <c r="P393" s="15">
        <f>Price!E393</f>
        <v>0</v>
      </c>
      <c r="Q393" s="17">
        <f>Price!F393</f>
        <v>60.55453</v>
      </c>
      <c r="R393" s="171"/>
      <c r="S393" s="171"/>
      <c r="T393" s="12">
        <f>Price!G393</f>
        <v>3695360</v>
      </c>
      <c r="U393" s="12">
        <f>Price!H393</f>
        <v>12985</v>
      </c>
      <c r="V393" s="13"/>
      <c r="W393" s="13"/>
      <c r="X393" s="19"/>
      <c r="Y393" s="19"/>
    </row>
    <row r="394" spans="1:25" x14ac:dyDescent="0.35">
      <c r="A394" s="79" t="str">
        <f t="shared" si="431"/>
        <v>Sada BI3, 600 mm</v>
      </c>
      <c r="B394" s="80" t="str">
        <f t="shared" si="432"/>
        <v>ZSI.600BI3</v>
      </c>
      <c r="C394" s="80" t="str">
        <f t="shared" si="433"/>
        <v>IG/G</v>
      </c>
      <c r="D394" s="173">
        <f t="shared" si="415"/>
        <v>0</v>
      </c>
      <c r="E394" s="81"/>
      <c r="F394" s="17">
        <f t="shared" si="434"/>
        <v>64.283320000000003</v>
      </c>
      <c r="G394" s="50"/>
      <c r="H394" s="50"/>
      <c r="I394" s="173">
        <f t="shared" si="435"/>
        <v>3700600</v>
      </c>
      <c r="J394" s="173">
        <f t="shared" si="436"/>
        <v>176780</v>
      </c>
      <c r="K394" s="47"/>
      <c r="L394" s="46" t="str">
        <f>Price!A394</f>
        <v>Sada BI3, 600 mm</v>
      </c>
      <c r="M394" s="15" t="str">
        <f>Price!B394</f>
        <v>ZSI.600BI3</v>
      </c>
      <c r="N394" s="15" t="str">
        <f>Price!C394</f>
        <v>IG/G</v>
      </c>
      <c r="O394" s="472">
        <f>Price!D394</f>
        <v>0</v>
      </c>
      <c r="P394" s="15">
        <f>Price!E394</f>
        <v>0</v>
      </c>
      <c r="Q394" s="17">
        <f>Price!F394</f>
        <v>64.283320000000003</v>
      </c>
      <c r="R394" s="171"/>
      <c r="S394" s="171"/>
      <c r="T394" s="12">
        <f>Price!G394</f>
        <v>3700600</v>
      </c>
      <c r="U394" s="12">
        <f>Price!H394</f>
        <v>176780</v>
      </c>
      <c r="V394" s="13"/>
      <c r="W394" s="13"/>
      <c r="X394" s="19"/>
      <c r="Y394" s="19"/>
    </row>
    <row r="395" spans="1:25" x14ac:dyDescent="0.35">
      <c r="A395" s="79" t="str">
        <f t="shared" si="431"/>
        <v>Sada BI3, 650 mm</v>
      </c>
      <c r="B395" s="80" t="str">
        <f t="shared" si="432"/>
        <v>ZSI.650BI3</v>
      </c>
      <c r="C395" s="80" t="str">
        <f t="shared" si="433"/>
        <v>IG/G</v>
      </c>
      <c r="D395" s="173">
        <f t="shared" si="415"/>
        <v>0</v>
      </c>
      <c r="E395" s="81"/>
      <c r="F395" s="17">
        <f t="shared" si="434"/>
        <v>78.98603</v>
      </c>
      <c r="G395" s="50"/>
      <c r="H395" s="50"/>
      <c r="I395" s="173">
        <f t="shared" si="435"/>
        <v>3695500</v>
      </c>
      <c r="J395" s="173">
        <f t="shared" si="436"/>
        <v>12986</v>
      </c>
      <c r="K395" s="47"/>
      <c r="L395" s="46" t="str">
        <f>Price!A395</f>
        <v>Sada BI3, 650 mm</v>
      </c>
      <c r="M395" s="15" t="str">
        <f>Price!B395</f>
        <v>ZSI.650BI3</v>
      </c>
      <c r="N395" s="15" t="str">
        <f>Price!C395</f>
        <v>IG/G</v>
      </c>
      <c r="O395" s="472">
        <f>Price!D395</f>
        <v>0</v>
      </c>
      <c r="P395" s="15">
        <f>Price!E395</f>
        <v>0</v>
      </c>
      <c r="Q395" s="17">
        <f>Price!F395</f>
        <v>78.98603</v>
      </c>
      <c r="R395" s="171"/>
      <c r="S395" s="171"/>
      <c r="T395" s="12">
        <f>Price!G395</f>
        <v>3695500</v>
      </c>
      <c r="U395" s="12">
        <f>Price!H395</f>
        <v>12986</v>
      </c>
      <c r="V395" s="13"/>
      <c r="W395" s="13"/>
      <c r="X395" s="19"/>
      <c r="Y395" s="19"/>
    </row>
    <row r="396" spans="1:25" x14ac:dyDescent="0.35">
      <c r="A396" s="79" t="str">
        <f t="shared" si="431"/>
        <v>Sada pro SPACE CORNER, NL 600mm</v>
      </c>
      <c r="B396" s="80" t="str">
        <f t="shared" si="432"/>
        <v>ZSI.450BI3E</v>
      </c>
      <c r="C396" s="80" t="str">
        <f t="shared" si="433"/>
        <v>IG/G</v>
      </c>
      <c r="D396" s="173" t="str">
        <f t="shared" si="415"/>
        <v>!</v>
      </c>
      <c r="E396" s="81"/>
      <c r="F396" s="17">
        <f t="shared" si="434"/>
        <v>47.621290000000002</v>
      </c>
      <c r="G396" s="50"/>
      <c r="H396" s="50"/>
      <c r="I396" s="173">
        <f t="shared" si="435"/>
        <v>6700660</v>
      </c>
      <c r="J396" s="173">
        <f t="shared" si="436"/>
        <v>12967</v>
      </c>
      <c r="K396" s="47"/>
      <c r="L396" s="46" t="str">
        <f>Price!A396</f>
        <v>Sada pro SPACE CORNER, NL 600mm</v>
      </c>
      <c r="M396" s="15" t="str">
        <f>Price!B396</f>
        <v>ZSI.450BI3E</v>
      </c>
      <c r="N396" s="15" t="str">
        <f>Price!C396</f>
        <v>IG/G</v>
      </c>
      <c r="O396" s="472" t="str">
        <f>Price!D396</f>
        <v>!</v>
      </c>
      <c r="P396" s="15">
        <f>Price!E396</f>
        <v>0</v>
      </c>
      <c r="Q396" s="17">
        <f>Price!F396</f>
        <v>47.621290000000002</v>
      </c>
      <c r="R396" s="171"/>
      <c r="S396" s="171"/>
      <c r="T396" s="12">
        <f>Price!G396</f>
        <v>6700660</v>
      </c>
      <c r="U396" s="12">
        <f>Price!H396</f>
        <v>12967</v>
      </c>
      <c r="V396" s="13"/>
      <c r="W396" s="13"/>
      <c r="X396" s="19"/>
      <c r="Y396" s="19"/>
    </row>
    <row r="397" spans="1:25" x14ac:dyDescent="0.35">
      <c r="A397" s="79" t="str">
        <f t="shared" si="412"/>
        <v>Sada pro SPACE CORNER, NL 650mm</v>
      </c>
      <c r="B397" s="80" t="str">
        <f t="shared" si="413"/>
        <v>ZSI.500BI3E</v>
      </c>
      <c r="C397" s="80" t="str">
        <f t="shared" si="414"/>
        <v>IG/G</v>
      </c>
      <c r="D397" s="173">
        <f t="shared" si="415"/>
        <v>0</v>
      </c>
      <c r="E397" s="81"/>
      <c r="F397" s="17">
        <f t="shared" si="416"/>
        <v>57.387929999999997</v>
      </c>
      <c r="G397" s="50"/>
      <c r="H397" s="50"/>
      <c r="I397" s="173">
        <f t="shared" si="417"/>
        <v>6700740</v>
      </c>
      <c r="J397" s="173">
        <f t="shared" si="418"/>
        <v>12993</v>
      </c>
      <c r="K397" s="47"/>
      <c r="L397" s="46" t="str">
        <f>Price!A397</f>
        <v>Sada pro SPACE CORNER, NL 650mm</v>
      </c>
      <c r="M397" s="15" t="str">
        <f>Price!B397</f>
        <v>ZSI.500BI3E</v>
      </c>
      <c r="N397" s="15" t="str">
        <f>Price!C397</f>
        <v>IG/G</v>
      </c>
      <c r="O397" s="472">
        <f>Price!D397</f>
        <v>0</v>
      </c>
      <c r="P397" s="15">
        <f>Price!E397</f>
        <v>0</v>
      </c>
      <c r="Q397" s="17">
        <f>Price!F397</f>
        <v>57.387929999999997</v>
      </c>
      <c r="R397" s="171"/>
      <c r="S397" s="171"/>
      <c r="T397" s="12">
        <f>Price!G397</f>
        <v>6700740</v>
      </c>
      <c r="U397" s="12">
        <f>Price!H397</f>
        <v>12993</v>
      </c>
      <c r="V397" s="13"/>
      <c r="W397" s="13"/>
      <c r="X397" s="19"/>
      <c r="Y397" s="19"/>
    </row>
    <row r="398" spans="1:25" x14ac:dyDescent="0.35">
      <c r="A398" s="79" t="str">
        <f t="shared" ref="A398" si="437">L398</f>
        <v>Sada pro korpus KB 600mm, NL 450mm</v>
      </c>
      <c r="B398" s="80" t="str">
        <f t="shared" ref="B398" si="438">M398</f>
        <v>ZSI.60VEI4</v>
      </c>
      <c r="C398" s="80" t="str">
        <f t="shared" ref="C398" si="439">N398</f>
        <v>IG/G</v>
      </c>
      <c r="D398" s="173">
        <f t="shared" si="415"/>
        <v>0</v>
      </c>
      <c r="E398" s="81"/>
      <c r="F398" s="17">
        <f t="shared" ref="F398" si="440">Q398*(100-$F$6)/100</f>
        <v>73.077280000000002</v>
      </c>
      <c r="G398" s="50"/>
      <c r="H398" s="50"/>
      <c r="I398" s="173">
        <f t="shared" ref="I398" si="441">T398</f>
        <v>6742800</v>
      </c>
      <c r="J398" s="173">
        <f t="shared" ref="J398" si="442">U398</f>
        <v>12962</v>
      </c>
      <c r="K398" s="48"/>
      <c r="L398" s="46" t="str">
        <f>Price!A398</f>
        <v>Sada pro korpus KB 600mm, NL 450mm</v>
      </c>
      <c r="M398" s="15" t="str">
        <f>Price!B398</f>
        <v>ZSI.60VEI4</v>
      </c>
      <c r="N398" s="15" t="str">
        <f>Price!C398</f>
        <v>IG/G</v>
      </c>
      <c r="O398" s="472">
        <f>Price!D398</f>
        <v>0</v>
      </c>
      <c r="P398" s="15">
        <f>Price!E398</f>
        <v>0</v>
      </c>
      <c r="Q398" s="17">
        <f>Price!F398</f>
        <v>73.077280000000002</v>
      </c>
      <c r="R398" s="171"/>
      <c r="S398" s="171"/>
      <c r="T398" s="12">
        <f>Price!G398</f>
        <v>6742800</v>
      </c>
      <c r="U398" s="12">
        <f>Price!H398</f>
        <v>12962</v>
      </c>
      <c r="V398" s="13"/>
      <c r="W398" s="13"/>
      <c r="X398" s="19"/>
      <c r="Y398" s="19"/>
    </row>
    <row r="399" spans="1:25" x14ac:dyDescent="0.35">
      <c r="A399" s="79" t="str">
        <f t="shared" si="412"/>
        <v>Sada pro korpus KB 600mm, NL 500mm</v>
      </c>
      <c r="B399" s="80" t="str">
        <f t="shared" si="413"/>
        <v>ZSI.60VEI6</v>
      </c>
      <c r="C399" s="80" t="str">
        <f t="shared" si="414"/>
        <v>IG/G</v>
      </c>
      <c r="D399" s="173">
        <f t="shared" si="415"/>
        <v>0</v>
      </c>
      <c r="E399" s="81"/>
      <c r="F399" s="17">
        <f t="shared" si="416"/>
        <v>89.258300000000006</v>
      </c>
      <c r="G399" s="50"/>
      <c r="H399" s="50"/>
      <c r="I399" s="173">
        <f t="shared" si="417"/>
        <v>6715400</v>
      </c>
      <c r="J399" s="173">
        <f t="shared" si="418"/>
        <v>12976</v>
      </c>
      <c r="K399" s="48"/>
      <c r="L399" s="46" t="str">
        <f>Price!A399</f>
        <v>Sada pro korpus KB 600mm, NL 500mm</v>
      </c>
      <c r="M399" s="15" t="str">
        <f>Price!B399</f>
        <v>ZSI.60VEI6</v>
      </c>
      <c r="N399" s="15" t="str">
        <f>Price!C399</f>
        <v>IG/G</v>
      </c>
      <c r="O399" s="472">
        <f>Price!D399</f>
        <v>0</v>
      </c>
      <c r="P399" s="15">
        <f>Price!E399</f>
        <v>0</v>
      </c>
      <c r="Q399" s="17">
        <f>Price!F399</f>
        <v>89.258300000000006</v>
      </c>
      <c r="R399" s="171"/>
      <c r="S399" s="171"/>
      <c r="T399" s="12">
        <f>Price!G399</f>
        <v>6715400</v>
      </c>
      <c r="U399" s="12">
        <f>Price!H399</f>
        <v>12976</v>
      </c>
      <c r="V399" s="13"/>
      <c r="W399" s="13"/>
      <c r="X399" s="19"/>
      <c r="Y399" s="19"/>
    </row>
    <row r="400" spans="1:25" x14ac:dyDescent="0.35">
      <c r="A400" s="79" t="str">
        <f t="shared" ref="A400:A404" si="443">L400</f>
        <v>Sada pro korpus KB 600mm, NL 550mm</v>
      </c>
      <c r="B400" s="80" t="str">
        <f t="shared" ref="B400:B404" si="444">M400</f>
        <v>ZSI.60VEI7</v>
      </c>
      <c r="C400" s="80" t="str">
        <f t="shared" ref="C400:C404" si="445">N400</f>
        <v>IG/G</v>
      </c>
      <c r="D400" s="173">
        <f t="shared" si="415"/>
        <v>0</v>
      </c>
      <c r="E400" s="81"/>
      <c r="F400" s="17">
        <f t="shared" ref="F400:F404" si="446">Q400*(100-$F$6)/100</f>
        <v>103.2907</v>
      </c>
      <c r="G400" s="50"/>
      <c r="H400" s="50"/>
      <c r="I400" s="173">
        <f t="shared" ref="I400:I404" si="447">T400</f>
        <v>6746140</v>
      </c>
      <c r="J400" s="173">
        <f t="shared" ref="J400:J404" si="448">U400</f>
        <v>12973</v>
      </c>
      <c r="K400" s="48"/>
      <c r="L400" s="46" t="str">
        <f>Price!A400</f>
        <v>Sada pro korpus KB 600mm, NL 550mm</v>
      </c>
      <c r="M400" s="15" t="str">
        <f>Price!B400</f>
        <v>ZSI.60VEI7</v>
      </c>
      <c r="N400" s="15" t="str">
        <f>Price!C400</f>
        <v>IG/G</v>
      </c>
      <c r="O400" s="472">
        <f>Price!D400</f>
        <v>0</v>
      </c>
      <c r="P400" s="15">
        <f>Price!E400</f>
        <v>0</v>
      </c>
      <c r="Q400" s="17">
        <f>Price!F400</f>
        <v>103.2907</v>
      </c>
      <c r="R400" s="171"/>
      <c r="S400" s="171"/>
      <c r="T400" s="12">
        <f>Price!G400</f>
        <v>6746140</v>
      </c>
      <c r="U400" s="12">
        <f>Price!H400</f>
        <v>12973</v>
      </c>
      <c r="V400" s="13"/>
      <c r="W400" s="13"/>
      <c r="X400" s="19"/>
      <c r="Y400" s="19"/>
    </row>
    <row r="401" spans="1:25" x14ac:dyDescent="0.35">
      <c r="A401" s="79" t="str">
        <f t="shared" si="443"/>
        <v>Sada pro korpus KB 900mm, NL 450mm</v>
      </c>
      <c r="B401" s="80" t="str">
        <f t="shared" si="444"/>
        <v>ZSI.90VEI4</v>
      </c>
      <c r="C401" s="80" t="str">
        <f t="shared" si="445"/>
        <v>IG/G</v>
      </c>
      <c r="D401" s="173">
        <f t="shared" si="415"/>
        <v>0</v>
      </c>
      <c r="E401" s="81"/>
      <c r="F401" s="17">
        <f t="shared" si="446"/>
        <v>100.48037000000001</v>
      </c>
      <c r="G401" s="50"/>
      <c r="H401" s="50"/>
      <c r="I401" s="173">
        <f t="shared" si="447"/>
        <v>6745760</v>
      </c>
      <c r="J401" s="173">
        <f t="shared" si="448"/>
        <v>13013</v>
      </c>
      <c r="K401" s="48"/>
      <c r="L401" s="46" t="str">
        <f>Price!A401</f>
        <v>Sada pro korpus KB 900mm, NL 450mm</v>
      </c>
      <c r="M401" s="15" t="str">
        <f>Price!B401</f>
        <v>ZSI.90VEI4</v>
      </c>
      <c r="N401" s="15" t="str">
        <f>Price!C401</f>
        <v>IG/G</v>
      </c>
      <c r="O401" s="472">
        <f>Price!D401</f>
        <v>0</v>
      </c>
      <c r="P401" s="15">
        <f>Price!E401</f>
        <v>0</v>
      </c>
      <c r="Q401" s="17">
        <f>Price!F401</f>
        <v>100.48036999999999</v>
      </c>
      <c r="R401" s="171"/>
      <c r="S401" s="171"/>
      <c r="T401" s="12">
        <f>Price!G401</f>
        <v>6745760</v>
      </c>
      <c r="U401" s="12">
        <f>Price!H401</f>
        <v>13013</v>
      </c>
      <c r="V401" s="13"/>
      <c r="W401" s="13"/>
      <c r="X401" s="19"/>
      <c r="Y401" s="19"/>
    </row>
    <row r="402" spans="1:25" x14ac:dyDescent="0.35">
      <c r="A402" s="79" t="str">
        <f t="shared" si="443"/>
        <v>Sada pro korpus KB 900mm, NL 500mm</v>
      </c>
      <c r="B402" s="80" t="str">
        <f t="shared" si="444"/>
        <v>ZSI.90VEI6</v>
      </c>
      <c r="C402" s="80" t="str">
        <f t="shared" si="445"/>
        <v>IG/G</v>
      </c>
      <c r="D402" s="173">
        <f t="shared" si="415"/>
        <v>0</v>
      </c>
      <c r="E402" s="81"/>
      <c r="F402" s="17">
        <f t="shared" si="446"/>
        <v>121.89036</v>
      </c>
      <c r="G402" s="50"/>
      <c r="H402" s="50"/>
      <c r="I402" s="173">
        <f t="shared" si="447"/>
        <v>6720400</v>
      </c>
      <c r="J402" s="173">
        <f t="shared" si="448"/>
        <v>14231</v>
      </c>
      <c r="K402" s="48"/>
      <c r="L402" s="46" t="str">
        <f>Price!A402</f>
        <v>Sada pro korpus KB 900mm, NL 500mm</v>
      </c>
      <c r="M402" s="15" t="str">
        <f>Price!B402</f>
        <v>ZSI.90VEI6</v>
      </c>
      <c r="N402" s="15" t="str">
        <f>Price!C402</f>
        <v>IG/G</v>
      </c>
      <c r="O402" s="472">
        <f>Price!D402</f>
        <v>0</v>
      </c>
      <c r="P402" s="15">
        <f>Price!E402</f>
        <v>0</v>
      </c>
      <c r="Q402" s="17">
        <f>Price!F402</f>
        <v>121.89036</v>
      </c>
      <c r="R402" s="171"/>
      <c r="S402" s="171"/>
      <c r="T402" s="12">
        <f>Price!G402</f>
        <v>6720400</v>
      </c>
      <c r="U402" s="12">
        <f>Price!H402</f>
        <v>14231</v>
      </c>
      <c r="V402" s="13"/>
      <c r="W402" s="13"/>
      <c r="X402" s="19"/>
      <c r="Y402" s="19"/>
    </row>
    <row r="403" spans="1:25" x14ac:dyDescent="0.35">
      <c r="A403" s="79" t="str">
        <f t="shared" si="443"/>
        <v>Sada pro korpus KB 900mm, NL 550mm</v>
      </c>
      <c r="B403" s="80" t="str">
        <f t="shared" si="444"/>
        <v>ZSI.90VEI7</v>
      </c>
      <c r="C403" s="80" t="str">
        <f t="shared" si="445"/>
        <v>IG/G</v>
      </c>
      <c r="D403" s="173">
        <f t="shared" si="415"/>
        <v>0</v>
      </c>
      <c r="E403" s="81"/>
      <c r="F403" s="17">
        <f t="shared" si="446"/>
        <v>139.80625000000001</v>
      </c>
      <c r="G403" s="50"/>
      <c r="H403" s="50"/>
      <c r="I403" s="173">
        <f t="shared" si="447"/>
        <v>6745170</v>
      </c>
      <c r="J403" s="173">
        <f t="shared" si="448"/>
        <v>12987</v>
      </c>
      <c r="K403" s="48"/>
      <c r="L403" s="46" t="str">
        <f>Price!A403</f>
        <v>Sada pro korpus KB 900mm, NL 550mm</v>
      </c>
      <c r="M403" s="15" t="str">
        <f>Price!B403</f>
        <v>ZSI.90VEI7</v>
      </c>
      <c r="N403" s="15" t="str">
        <f>Price!C403</f>
        <v>IG/G</v>
      </c>
      <c r="O403" s="472">
        <f>Price!D403</f>
        <v>0</v>
      </c>
      <c r="P403" s="15">
        <f>Price!E403</f>
        <v>0</v>
      </c>
      <c r="Q403" s="17">
        <f>Price!F403</f>
        <v>139.80625000000001</v>
      </c>
      <c r="R403" s="171"/>
      <c r="S403" s="171"/>
      <c r="T403" s="12">
        <f>Price!G403</f>
        <v>6745170</v>
      </c>
      <c r="U403" s="12">
        <f>Price!H403</f>
        <v>12987</v>
      </c>
      <c r="V403" s="13"/>
      <c r="W403" s="13"/>
      <c r="X403" s="19"/>
      <c r="Y403" s="19"/>
    </row>
    <row r="404" spans="1:25" x14ac:dyDescent="0.35">
      <c r="A404" s="79" t="str">
        <f t="shared" si="443"/>
        <v>Sada pro korpus KB 1200mm, NL 450mm</v>
      </c>
      <c r="B404" s="80" t="str">
        <f t="shared" si="444"/>
        <v>ZSI.12VEI4</v>
      </c>
      <c r="C404" s="80" t="str">
        <f t="shared" si="445"/>
        <v>IG/G</v>
      </c>
      <c r="D404" s="173">
        <f t="shared" si="415"/>
        <v>0</v>
      </c>
      <c r="E404" s="81"/>
      <c r="F404" s="17">
        <f t="shared" si="446"/>
        <v>126.084</v>
      </c>
      <c r="G404" s="50"/>
      <c r="H404" s="50"/>
      <c r="I404" s="173">
        <f t="shared" si="447"/>
        <v>6746200</v>
      </c>
      <c r="J404" s="173">
        <f t="shared" si="448"/>
        <v>134147</v>
      </c>
      <c r="K404" s="48"/>
      <c r="L404" s="46" t="str">
        <f>Price!A404</f>
        <v>Sada pro korpus KB 1200mm, NL 450mm</v>
      </c>
      <c r="M404" s="15" t="str">
        <f>Price!B404</f>
        <v>ZSI.12VEI4</v>
      </c>
      <c r="N404" s="15" t="str">
        <f>Price!C404</f>
        <v>IG/G</v>
      </c>
      <c r="O404" s="472">
        <f>Price!D404</f>
        <v>0</v>
      </c>
      <c r="P404" s="15">
        <f>Price!E404</f>
        <v>0</v>
      </c>
      <c r="Q404" s="17">
        <f>Price!F404</f>
        <v>126.084</v>
      </c>
      <c r="R404" s="171"/>
      <c r="S404" s="171"/>
      <c r="T404" s="12">
        <f>Price!G404</f>
        <v>6746200</v>
      </c>
      <c r="U404" s="12">
        <f>Price!H404</f>
        <v>134147</v>
      </c>
      <c r="V404" s="13"/>
      <c r="W404" s="13"/>
      <c r="X404" s="19"/>
      <c r="Y404" s="19"/>
    </row>
    <row r="405" spans="1:25" x14ac:dyDescent="0.35">
      <c r="A405" s="79" t="str">
        <f t="shared" si="412"/>
        <v>Sada pro korpus KB 1200mm, NL 500mm</v>
      </c>
      <c r="B405" s="80" t="str">
        <f t="shared" si="413"/>
        <v>ZSI.12VEI6</v>
      </c>
      <c r="C405" s="80" t="str">
        <f t="shared" si="414"/>
        <v>IG/G</v>
      </c>
      <c r="D405" s="173">
        <f t="shared" si="415"/>
        <v>0</v>
      </c>
      <c r="E405" s="81"/>
      <c r="F405" s="17">
        <f t="shared" si="416"/>
        <v>149.69191000000001</v>
      </c>
      <c r="G405" s="50"/>
      <c r="H405" s="50"/>
      <c r="I405" s="173">
        <f t="shared" si="417"/>
        <v>6715770</v>
      </c>
      <c r="J405" s="173">
        <f t="shared" si="418"/>
        <v>12982</v>
      </c>
      <c r="K405" s="54"/>
      <c r="L405" s="46" t="str">
        <f>Price!A405</f>
        <v>Sada pro korpus KB 1200mm, NL 500mm</v>
      </c>
      <c r="M405" s="15" t="str">
        <f>Price!B405</f>
        <v>ZSI.12VEI6</v>
      </c>
      <c r="N405" s="15" t="str">
        <f>Price!C405</f>
        <v>IG/G</v>
      </c>
      <c r="O405" s="472">
        <f>Price!D405</f>
        <v>0</v>
      </c>
      <c r="P405" s="15">
        <f>Price!E405</f>
        <v>0</v>
      </c>
      <c r="Q405" s="17">
        <f>Price!F405</f>
        <v>149.69191000000001</v>
      </c>
      <c r="R405" s="171"/>
      <c r="S405" s="171"/>
      <c r="T405" s="12">
        <f>Price!G405</f>
        <v>6715770</v>
      </c>
      <c r="U405" s="12">
        <f>Price!H405</f>
        <v>12982</v>
      </c>
      <c r="V405" s="13"/>
      <c r="W405" s="13"/>
      <c r="X405" s="19"/>
      <c r="Y405" s="19"/>
    </row>
    <row r="406" spans="1:25" x14ac:dyDescent="0.35">
      <c r="A406" s="79" t="str">
        <f t="shared" ref="A406" si="449">L406</f>
        <v>Sada pro korpus KB 1200mm, NL 550mm</v>
      </c>
      <c r="B406" s="80" t="str">
        <f t="shared" ref="B406" si="450">M406</f>
        <v>ZSI.12VEI7</v>
      </c>
      <c r="C406" s="80" t="str">
        <f t="shared" ref="C406" si="451">N406</f>
        <v>IG/G</v>
      </c>
      <c r="D406" s="173">
        <f t="shared" si="415"/>
        <v>0</v>
      </c>
      <c r="E406" s="81"/>
      <c r="F406" s="17">
        <f t="shared" ref="F406" si="452">Q406*(100-$F$6)/100</f>
        <v>174.48204999999999</v>
      </c>
      <c r="G406" s="50"/>
      <c r="H406" s="50"/>
      <c r="I406" s="173">
        <f t="shared" ref="I406" si="453">T406</f>
        <v>6742660</v>
      </c>
      <c r="J406" s="173">
        <f t="shared" ref="J406" si="454">U406</f>
        <v>14230</v>
      </c>
      <c r="K406" s="54"/>
      <c r="L406" s="46" t="str">
        <f>Price!A406</f>
        <v>Sada pro korpus KB 1200mm, NL 550mm</v>
      </c>
      <c r="M406" s="15" t="str">
        <f>Price!B406</f>
        <v>ZSI.12VEI7</v>
      </c>
      <c r="N406" s="15" t="str">
        <f>Price!C406</f>
        <v>IG/G</v>
      </c>
      <c r="O406" s="472">
        <f>Price!D406</f>
        <v>0</v>
      </c>
      <c r="P406" s="15">
        <f>Price!E406</f>
        <v>0</v>
      </c>
      <c r="Q406" s="17">
        <f>Price!F406</f>
        <v>174.48204999999999</v>
      </c>
      <c r="R406" s="171"/>
      <c r="S406" s="171"/>
      <c r="T406" s="12">
        <f>Price!G406</f>
        <v>6742660</v>
      </c>
      <c r="U406" s="12">
        <f>Price!H406</f>
        <v>14230</v>
      </c>
      <c r="V406" s="13"/>
      <c r="W406" s="13"/>
      <c r="X406" s="19"/>
      <c r="Y406" s="19"/>
    </row>
    <row r="407" spans="1:25" x14ac:dyDescent="0.35">
      <c r="A407" s="43"/>
      <c r="B407" s="161"/>
      <c r="C407" s="161"/>
      <c r="D407" s="161"/>
      <c r="E407" s="69"/>
      <c r="F407" s="50"/>
      <c r="G407" s="50"/>
      <c r="H407" s="50"/>
      <c r="I407" s="176"/>
      <c r="J407" s="176"/>
      <c r="K407" s="54"/>
      <c r="L407" s="46">
        <f>Price!A407</f>
        <v>0</v>
      </c>
      <c r="M407" s="15">
        <f>Price!B407</f>
        <v>0</v>
      </c>
      <c r="N407" s="15">
        <f>Price!C407</f>
        <v>0</v>
      </c>
      <c r="O407" s="472">
        <f>Price!D407</f>
        <v>0</v>
      </c>
      <c r="P407" s="15">
        <f>Price!E407</f>
        <v>0</v>
      </c>
      <c r="Q407" s="17">
        <f>Price!F407</f>
        <v>0</v>
      </c>
      <c r="R407" s="171"/>
      <c r="S407" s="171"/>
      <c r="T407" s="12">
        <f>Price!G407</f>
        <v>0</v>
      </c>
      <c r="U407" s="12">
        <f>Price!H407</f>
        <v>0</v>
      </c>
      <c r="V407" s="13"/>
      <c r="W407" s="13"/>
      <c r="X407" s="19"/>
      <c r="Y407" s="19"/>
    </row>
    <row r="408" spans="1:25" x14ac:dyDescent="0.35">
      <c r="A408" s="43"/>
      <c r="B408" s="161"/>
      <c r="C408" s="161"/>
      <c r="D408" s="161"/>
      <c r="E408" s="69"/>
      <c r="F408" s="50"/>
      <c r="G408" s="50"/>
      <c r="H408" s="50"/>
      <c r="I408" s="176"/>
      <c r="J408" s="176"/>
      <c r="K408" s="54"/>
      <c r="L408" s="46" t="str">
        <f>Price!A408</f>
        <v xml:space="preserve">   ORGA-LINE sady rozdělovníků</v>
      </c>
      <c r="M408" s="15">
        <f>Price!B408</f>
        <v>0</v>
      </c>
      <c r="N408" s="15">
        <f>Price!C408</f>
        <v>0</v>
      </c>
      <c r="O408" s="472">
        <f>Price!D408</f>
        <v>0</v>
      </c>
      <c r="P408" s="15">
        <f>Price!E408</f>
        <v>0</v>
      </c>
      <c r="Q408" s="17">
        <f>Price!F408</f>
        <v>0</v>
      </c>
      <c r="R408" s="171"/>
      <c r="S408" s="171"/>
      <c r="T408" s="12">
        <f>Price!G408</f>
        <v>0</v>
      </c>
      <c r="U408" s="12">
        <f>Price!H408</f>
        <v>0</v>
      </c>
      <c r="V408" s="13"/>
      <c r="W408" s="13"/>
      <c r="X408" s="19"/>
      <c r="Y408" s="19"/>
    </row>
    <row r="409" spans="1:25" x14ac:dyDescent="0.35">
      <c r="A409" s="79" t="str">
        <f t="shared" ref="A409" si="455">L409</f>
        <v>Sada FI1, 450mm</v>
      </c>
      <c r="B409" s="80" t="str">
        <f t="shared" ref="B409" si="456">M409</f>
        <v>ZSI.450FI1</v>
      </c>
      <c r="C409" s="80" t="str">
        <f t="shared" ref="C409" si="457">N409</f>
        <v>IG/G</v>
      </c>
      <c r="D409" s="173">
        <f>O409</f>
        <v>0</v>
      </c>
      <c r="E409" s="81"/>
      <c r="F409" s="17">
        <f t="shared" ref="F409" si="458">Q409*(100-$F$6)/100</f>
        <v>24.164940000000001</v>
      </c>
      <c r="G409" s="50"/>
      <c r="H409" s="50"/>
      <c r="I409" s="173">
        <f t="shared" ref="I409" si="459">T409</f>
        <v>3696900</v>
      </c>
      <c r="J409" s="173">
        <f t="shared" ref="J409" si="460">U409</f>
        <v>12994</v>
      </c>
      <c r="K409" s="54"/>
      <c r="L409" s="46" t="str">
        <f>Price!A409</f>
        <v>Sada FI1, 450mm</v>
      </c>
      <c r="M409" s="15" t="str">
        <f>Price!B409</f>
        <v>ZSI.450FI1</v>
      </c>
      <c r="N409" s="15" t="str">
        <f>Price!C409</f>
        <v>IG/G</v>
      </c>
      <c r="O409" s="472">
        <f>Price!D409</f>
        <v>0</v>
      </c>
      <c r="P409" s="15">
        <f>Price!E409</f>
        <v>0</v>
      </c>
      <c r="Q409" s="17">
        <f>Price!F409</f>
        <v>24.164940000000001</v>
      </c>
      <c r="R409" s="171"/>
      <c r="S409" s="171"/>
      <c r="T409" s="12">
        <f>Price!G409</f>
        <v>3696900</v>
      </c>
      <c r="U409" s="12">
        <f>Price!H409</f>
        <v>12994</v>
      </c>
      <c r="V409" s="13"/>
      <c r="W409" s="13"/>
      <c r="X409" s="19"/>
      <c r="Y409" s="19"/>
    </row>
    <row r="410" spans="1:25" x14ac:dyDescent="0.35">
      <c r="A410" s="79" t="str">
        <f t="shared" ref="A410:A425" si="461">L410</f>
        <v>Sada FI1, 500mm</v>
      </c>
      <c r="B410" s="80" t="str">
        <f t="shared" ref="B410:C425" si="462">M410</f>
        <v>ZSI.500FI1</v>
      </c>
      <c r="C410" s="80" t="str">
        <f t="shared" si="462"/>
        <v>IG/G</v>
      </c>
      <c r="D410" s="173">
        <f t="shared" ref="D410:D432" si="463">O410</f>
        <v>0</v>
      </c>
      <c r="E410" s="81"/>
      <c r="F410" s="17">
        <f t="shared" ref="F410:F425" si="464">Q410*(100-$F$6)/100</f>
        <v>26.362890000000004</v>
      </c>
      <c r="G410" s="50"/>
      <c r="H410" s="50"/>
      <c r="I410" s="173">
        <f t="shared" ref="I410:J425" si="465">T410</f>
        <v>3866780</v>
      </c>
      <c r="J410" s="173">
        <f t="shared" si="465"/>
        <v>279167</v>
      </c>
      <c r="K410" s="54"/>
      <c r="L410" s="46" t="str">
        <f>Price!A410</f>
        <v>Sada FI1, 500mm</v>
      </c>
      <c r="M410" s="15" t="str">
        <f>Price!B410</f>
        <v>ZSI.500FI1</v>
      </c>
      <c r="N410" s="15" t="str">
        <f>Price!C410</f>
        <v>IG/G</v>
      </c>
      <c r="O410" s="472">
        <f>Price!D410</f>
        <v>0</v>
      </c>
      <c r="P410" s="15">
        <f>Price!E410</f>
        <v>0</v>
      </c>
      <c r="Q410" s="17">
        <f>Price!F410</f>
        <v>26.36289</v>
      </c>
      <c r="R410" s="171"/>
      <c r="S410" s="171"/>
      <c r="T410" s="12">
        <f>Price!G410</f>
        <v>3866780</v>
      </c>
      <c r="U410" s="12">
        <f>Price!H410</f>
        <v>279167</v>
      </c>
      <c r="V410" s="13"/>
      <c r="W410" s="13"/>
      <c r="X410" s="19"/>
      <c r="Y410" s="19"/>
    </row>
    <row r="411" spans="1:25" x14ac:dyDescent="0.35">
      <c r="A411" s="79" t="str">
        <f t="shared" ref="A411:A414" si="466">L411</f>
        <v>Sada FI1, 550mm</v>
      </c>
      <c r="B411" s="80" t="str">
        <f t="shared" ref="B411:B414" si="467">M411</f>
        <v>ZSI.550FI1</v>
      </c>
      <c r="C411" s="80" t="str">
        <f t="shared" ref="C411:C414" si="468">N411</f>
        <v>IG/G</v>
      </c>
      <c r="D411" s="173">
        <f t="shared" si="463"/>
        <v>0</v>
      </c>
      <c r="E411" s="81"/>
      <c r="F411" s="17">
        <f t="shared" ref="F411:F414" si="469">Q411*(100-$F$6)/100</f>
        <v>33.237119999999997</v>
      </c>
      <c r="G411" s="50"/>
      <c r="H411" s="50"/>
      <c r="I411" s="173">
        <f t="shared" ref="I411:I414" si="470">T411</f>
        <v>3697200</v>
      </c>
      <c r="J411" s="173">
        <f t="shared" ref="J411:J414" si="471">U411</f>
        <v>309263</v>
      </c>
      <c r="K411" s="54"/>
      <c r="L411" s="46" t="str">
        <f>Price!A411</f>
        <v>Sada FI1, 550mm</v>
      </c>
      <c r="M411" s="15" t="str">
        <f>Price!B411</f>
        <v>ZSI.550FI1</v>
      </c>
      <c r="N411" s="15" t="str">
        <f>Price!C411</f>
        <v>IG/G</v>
      </c>
      <c r="O411" s="472">
        <f>Price!D411</f>
        <v>0</v>
      </c>
      <c r="P411" s="15">
        <f>Price!E411</f>
        <v>0</v>
      </c>
      <c r="Q411" s="17">
        <f>Price!F411</f>
        <v>33.237119999999997</v>
      </c>
      <c r="R411" s="171"/>
      <c r="S411" s="171"/>
      <c r="T411" s="12">
        <f>Price!G411</f>
        <v>3697200</v>
      </c>
      <c r="U411" s="12">
        <f>Price!H411</f>
        <v>309263</v>
      </c>
      <c r="V411" s="13"/>
      <c r="W411" s="13"/>
      <c r="X411" s="19"/>
      <c r="Y411" s="19"/>
    </row>
    <row r="412" spans="1:25" x14ac:dyDescent="0.35">
      <c r="A412" s="79" t="str">
        <f t="shared" si="466"/>
        <v>Sada FI1, 600mm</v>
      </c>
      <c r="B412" s="80" t="str">
        <f t="shared" si="467"/>
        <v>ZSI.600FI1</v>
      </c>
      <c r="C412" s="80" t="str">
        <f t="shared" si="468"/>
        <v>IG/G</v>
      </c>
      <c r="D412" s="173">
        <f t="shared" si="463"/>
        <v>0</v>
      </c>
      <c r="E412" s="81"/>
      <c r="F412" s="17">
        <f t="shared" si="469"/>
        <v>0</v>
      </c>
      <c r="G412" s="50"/>
      <c r="H412" s="50"/>
      <c r="I412" s="173">
        <f t="shared" si="470"/>
        <v>3867300</v>
      </c>
      <c r="J412" s="173" t="str">
        <f t="shared" si="471"/>
        <v>-</v>
      </c>
      <c r="K412" s="54"/>
      <c r="L412" s="46" t="str">
        <f>Price!A412</f>
        <v>Sada FI1, 600mm</v>
      </c>
      <c r="M412" s="15" t="str">
        <f>Price!B412</f>
        <v>ZSI.600FI1</v>
      </c>
      <c r="N412" s="15" t="str">
        <f>Price!C412</f>
        <v>IG/G</v>
      </c>
      <c r="O412" s="472">
        <f>Price!D412</f>
        <v>0</v>
      </c>
      <c r="P412" s="15">
        <f>Price!E412</f>
        <v>0</v>
      </c>
      <c r="Q412" s="17">
        <f>Price!F412</f>
        <v>0</v>
      </c>
      <c r="R412" s="171"/>
      <c r="S412" s="171"/>
      <c r="T412" s="12">
        <f>Price!G412</f>
        <v>3867300</v>
      </c>
      <c r="U412" s="12" t="str">
        <f>Price!H412</f>
        <v>-</v>
      </c>
      <c r="V412" s="13"/>
      <c r="W412" s="13"/>
      <c r="X412" s="19"/>
      <c r="Y412" s="19"/>
    </row>
    <row r="413" spans="1:25" x14ac:dyDescent="0.35">
      <c r="A413" s="79" t="str">
        <f t="shared" si="466"/>
        <v>Sada FI1, 650mm</v>
      </c>
      <c r="B413" s="80" t="str">
        <f t="shared" si="467"/>
        <v>ZSI.650FI1</v>
      </c>
      <c r="C413" s="80" t="str">
        <f t="shared" si="468"/>
        <v>IG/G</v>
      </c>
      <c r="D413" s="173">
        <f t="shared" si="463"/>
        <v>0</v>
      </c>
      <c r="E413" s="81"/>
      <c r="F413" s="17">
        <f t="shared" si="469"/>
        <v>48.270380000000003</v>
      </c>
      <c r="G413" s="50"/>
      <c r="H413" s="50"/>
      <c r="I413" s="173">
        <f t="shared" si="470"/>
        <v>3867080</v>
      </c>
      <c r="J413" s="173">
        <f t="shared" si="471"/>
        <v>309266</v>
      </c>
      <c r="K413" s="54"/>
      <c r="L413" s="46" t="str">
        <f>Price!A413</f>
        <v>Sada FI1, 650mm</v>
      </c>
      <c r="M413" s="15" t="str">
        <f>Price!B413</f>
        <v>ZSI.650FI1</v>
      </c>
      <c r="N413" s="15" t="str">
        <f>Price!C413</f>
        <v>IG/G</v>
      </c>
      <c r="O413" s="472">
        <f>Price!D413</f>
        <v>0</v>
      </c>
      <c r="P413" s="15">
        <f>Price!E413</f>
        <v>0</v>
      </c>
      <c r="Q413" s="17">
        <f>Price!F413</f>
        <v>48.270380000000003</v>
      </c>
      <c r="R413" s="171"/>
      <c r="S413" s="171"/>
      <c r="T413" s="12">
        <f>Price!G413</f>
        <v>3867080</v>
      </c>
      <c r="U413" s="12">
        <f>Price!H413</f>
        <v>309266</v>
      </c>
      <c r="V413" s="13"/>
      <c r="W413" s="13"/>
      <c r="X413" s="19"/>
      <c r="Y413" s="19"/>
    </row>
    <row r="414" spans="1:25" x14ac:dyDescent="0.35">
      <c r="A414" s="79" t="str">
        <f t="shared" si="466"/>
        <v>Sada FI2, 450mm</v>
      </c>
      <c r="B414" s="80" t="str">
        <f t="shared" si="467"/>
        <v>ZSI.450FI2N</v>
      </c>
      <c r="C414" s="80" t="str">
        <f t="shared" si="468"/>
        <v>IG/G</v>
      </c>
      <c r="D414" s="173">
        <f t="shared" si="463"/>
        <v>0</v>
      </c>
      <c r="E414" s="81"/>
      <c r="F414" s="17">
        <f t="shared" si="469"/>
        <v>25.19913</v>
      </c>
      <c r="G414" s="50"/>
      <c r="H414" s="50"/>
      <c r="I414" s="173">
        <f t="shared" si="470"/>
        <v>6702360</v>
      </c>
      <c r="J414" s="173">
        <f t="shared" si="471"/>
        <v>13038</v>
      </c>
      <c r="K414" s="54"/>
      <c r="L414" s="46" t="str">
        <f>Price!A414</f>
        <v>Sada FI2, 450mm</v>
      </c>
      <c r="M414" s="15" t="str">
        <f>Price!B414</f>
        <v>ZSI.450FI2N</v>
      </c>
      <c r="N414" s="15" t="str">
        <f>Price!C414</f>
        <v>IG/G</v>
      </c>
      <c r="O414" s="472">
        <f>Price!D414</f>
        <v>0</v>
      </c>
      <c r="P414" s="15">
        <f>Price!E414</f>
        <v>0</v>
      </c>
      <c r="Q414" s="17">
        <f>Price!F414</f>
        <v>25.19913</v>
      </c>
      <c r="R414" s="171"/>
      <c r="S414" s="171"/>
      <c r="T414" s="12">
        <f>Price!G414</f>
        <v>6702360</v>
      </c>
      <c r="U414" s="12">
        <f>Price!H414</f>
        <v>13038</v>
      </c>
      <c r="V414" s="13"/>
      <c r="W414" s="13"/>
      <c r="X414" s="19"/>
      <c r="Y414" s="19"/>
    </row>
    <row r="415" spans="1:25" x14ac:dyDescent="0.35">
      <c r="A415" s="79" t="str">
        <f t="shared" si="461"/>
        <v>Sada FI2, 500mm</v>
      </c>
      <c r="B415" s="80" t="str">
        <f t="shared" si="462"/>
        <v>ZSI.500FI2N</v>
      </c>
      <c r="C415" s="80" t="str">
        <f t="shared" si="462"/>
        <v>IG/G</v>
      </c>
      <c r="D415" s="173">
        <f t="shared" si="463"/>
        <v>0</v>
      </c>
      <c r="E415" s="81"/>
      <c r="F415" s="17">
        <f t="shared" si="464"/>
        <v>27.397280000000002</v>
      </c>
      <c r="G415" s="50"/>
      <c r="H415" s="50"/>
      <c r="I415" s="173">
        <f t="shared" si="465"/>
        <v>6702440</v>
      </c>
      <c r="J415" s="173">
        <f t="shared" si="465"/>
        <v>12992</v>
      </c>
      <c r="K415" s="54"/>
      <c r="L415" s="46" t="str">
        <f>Price!A415</f>
        <v>Sada FI2, 500mm</v>
      </c>
      <c r="M415" s="15" t="str">
        <f>Price!B415</f>
        <v>ZSI.500FI2N</v>
      </c>
      <c r="N415" s="15" t="str">
        <f>Price!C415</f>
        <v>IG/G</v>
      </c>
      <c r="O415" s="472">
        <f>Price!D415</f>
        <v>0</v>
      </c>
      <c r="P415" s="15">
        <f>Price!E415</f>
        <v>0</v>
      </c>
      <c r="Q415" s="17">
        <f>Price!F415</f>
        <v>27.397279999999999</v>
      </c>
      <c r="R415" s="171"/>
      <c r="S415" s="171"/>
      <c r="T415" s="12">
        <f>Price!G415</f>
        <v>6702440</v>
      </c>
      <c r="U415" s="12">
        <f>Price!H415</f>
        <v>12992</v>
      </c>
      <c r="V415" s="13"/>
      <c r="W415" s="13"/>
      <c r="X415" s="19"/>
      <c r="Y415" s="19"/>
    </row>
    <row r="416" spans="1:25" x14ac:dyDescent="0.35">
      <c r="A416" s="79" t="str">
        <f t="shared" ref="A416:A419" si="472">L416</f>
        <v>Sada FI2, 550mm</v>
      </c>
      <c r="B416" s="80" t="str">
        <f t="shared" ref="B416:B419" si="473">M416</f>
        <v>ZSI.550FI2N</v>
      </c>
      <c r="C416" s="80" t="str">
        <f t="shared" ref="C416:C419" si="474">N416</f>
        <v>IG/G</v>
      </c>
      <c r="D416" s="173">
        <f t="shared" si="463"/>
        <v>0</v>
      </c>
      <c r="E416" s="81"/>
      <c r="F416" s="17">
        <f t="shared" ref="F416:F419" si="475">Q416*(100-$F$6)/100</f>
        <v>34.27149</v>
      </c>
      <c r="G416" s="50"/>
      <c r="H416" s="50"/>
      <c r="I416" s="173">
        <f t="shared" ref="I416:I419" si="476">T416</f>
        <v>6702280</v>
      </c>
      <c r="J416" s="173">
        <f t="shared" ref="J416:J419" si="477">U416</f>
        <v>13695</v>
      </c>
      <c r="K416" s="54"/>
      <c r="L416" s="46" t="str">
        <f>Price!A416</f>
        <v>Sada FI2, 550mm</v>
      </c>
      <c r="M416" s="15" t="str">
        <f>Price!B416</f>
        <v>ZSI.550FI2N</v>
      </c>
      <c r="N416" s="15" t="str">
        <f>Price!C416</f>
        <v>IG/G</v>
      </c>
      <c r="O416" s="472">
        <f>Price!D416</f>
        <v>0</v>
      </c>
      <c r="P416" s="15">
        <f>Price!E416</f>
        <v>0</v>
      </c>
      <c r="Q416" s="17">
        <f>Price!F416</f>
        <v>34.27149</v>
      </c>
      <c r="R416" s="171"/>
      <c r="S416" s="171"/>
      <c r="T416" s="12">
        <f>Price!G416</f>
        <v>6702280</v>
      </c>
      <c r="U416" s="12">
        <f>Price!H416</f>
        <v>13695</v>
      </c>
      <c r="V416" s="13"/>
      <c r="W416" s="13"/>
      <c r="X416" s="19"/>
      <c r="Y416" s="19"/>
    </row>
    <row r="417" spans="1:25" x14ac:dyDescent="0.35">
      <c r="A417" s="79" t="str">
        <f t="shared" si="472"/>
        <v>Sada FI2, 600mm</v>
      </c>
      <c r="B417" s="80" t="str">
        <f t="shared" si="473"/>
        <v>ZSI.600FI2N</v>
      </c>
      <c r="C417" s="80" t="str">
        <f t="shared" si="474"/>
        <v>IG/G</v>
      </c>
      <c r="D417" s="173">
        <f t="shared" si="463"/>
        <v>0</v>
      </c>
      <c r="E417" s="81"/>
      <c r="F417" s="17">
        <f t="shared" si="475"/>
        <v>41.475479999999997</v>
      </c>
      <c r="G417" s="50"/>
      <c r="H417" s="50"/>
      <c r="I417" s="173">
        <f t="shared" si="476"/>
        <v>6701470</v>
      </c>
      <c r="J417" s="173">
        <f t="shared" si="477"/>
        <v>176781</v>
      </c>
      <c r="K417" s="54"/>
      <c r="L417" s="46" t="str">
        <f>Price!A417</f>
        <v>Sada FI2, 600mm</v>
      </c>
      <c r="M417" s="15" t="str">
        <f>Price!B417</f>
        <v>ZSI.600FI2N</v>
      </c>
      <c r="N417" s="15" t="str">
        <f>Price!C417</f>
        <v>IG/G</v>
      </c>
      <c r="O417" s="472">
        <f>Price!D417</f>
        <v>0</v>
      </c>
      <c r="P417" s="15">
        <f>Price!E417</f>
        <v>0</v>
      </c>
      <c r="Q417" s="17">
        <f>Price!F417</f>
        <v>41.475479999999997</v>
      </c>
      <c r="R417" s="171"/>
      <c r="S417" s="171"/>
      <c r="T417" s="12">
        <f>Price!G417</f>
        <v>6701470</v>
      </c>
      <c r="U417" s="12">
        <f>Price!H417</f>
        <v>176781</v>
      </c>
      <c r="V417" s="13"/>
      <c r="W417" s="13"/>
      <c r="X417" s="19"/>
      <c r="Y417" s="19"/>
    </row>
    <row r="418" spans="1:25" x14ac:dyDescent="0.35">
      <c r="A418" s="79" t="str">
        <f t="shared" si="472"/>
        <v>Sada FI2, 650mm</v>
      </c>
      <c r="B418" s="80" t="str">
        <f t="shared" si="473"/>
        <v>ZSI.650FI2N</v>
      </c>
      <c r="C418" s="80" t="str">
        <f t="shared" si="474"/>
        <v>IG/G</v>
      </c>
      <c r="D418" s="173">
        <f t="shared" si="463"/>
        <v>0</v>
      </c>
      <c r="E418" s="81"/>
      <c r="F418" s="17">
        <f t="shared" si="475"/>
        <v>43.17924</v>
      </c>
      <c r="G418" s="50"/>
      <c r="H418" s="50"/>
      <c r="I418" s="173">
        <f t="shared" si="476"/>
        <v>6702100</v>
      </c>
      <c r="J418" s="173">
        <f t="shared" si="477"/>
        <v>176789</v>
      </c>
      <c r="K418" s="54"/>
      <c r="L418" s="46" t="str">
        <f>Price!A418</f>
        <v>Sada FI2, 650mm</v>
      </c>
      <c r="M418" s="15" t="str">
        <f>Price!B418</f>
        <v>ZSI.650FI2N</v>
      </c>
      <c r="N418" s="15" t="str">
        <f>Price!C418</f>
        <v>IG/G</v>
      </c>
      <c r="O418" s="472">
        <f>Price!D418</f>
        <v>0</v>
      </c>
      <c r="P418" s="15">
        <f>Price!E418</f>
        <v>0</v>
      </c>
      <c r="Q418" s="17">
        <f>Price!F418</f>
        <v>43.17924</v>
      </c>
      <c r="R418" s="171"/>
      <c r="S418" s="171"/>
      <c r="T418" s="12">
        <f>Price!G418</f>
        <v>6702100</v>
      </c>
      <c r="U418" s="12">
        <f>Price!H418</f>
        <v>176789</v>
      </c>
      <c r="V418" s="13"/>
      <c r="W418" s="13"/>
      <c r="X418" s="19"/>
      <c r="Y418" s="19"/>
    </row>
    <row r="419" spans="1:25" x14ac:dyDescent="0.35">
      <c r="A419" s="79" t="str">
        <f t="shared" si="472"/>
        <v>Sada FI3, 450mm</v>
      </c>
      <c r="B419" s="80" t="str">
        <f t="shared" si="473"/>
        <v>ZSI.450FI3</v>
      </c>
      <c r="C419" s="80" t="str">
        <f t="shared" si="474"/>
        <v>IG/G</v>
      </c>
      <c r="D419" s="173">
        <f t="shared" si="463"/>
        <v>0</v>
      </c>
      <c r="E419" s="81"/>
      <c r="F419" s="17">
        <f t="shared" si="475"/>
        <v>36.719320000000003</v>
      </c>
      <c r="G419" s="50"/>
      <c r="H419" s="50"/>
      <c r="I419" s="173">
        <f t="shared" si="476"/>
        <v>3696680</v>
      </c>
      <c r="J419" s="173">
        <f t="shared" si="477"/>
        <v>12995</v>
      </c>
      <c r="K419" s="54"/>
      <c r="L419" s="46" t="str">
        <f>Price!A419</f>
        <v>Sada FI3, 450mm</v>
      </c>
      <c r="M419" s="15" t="str">
        <f>Price!B419</f>
        <v>ZSI.450FI3</v>
      </c>
      <c r="N419" s="15" t="str">
        <f>Price!C419</f>
        <v>IG/G</v>
      </c>
      <c r="O419" s="472">
        <f>Price!D419</f>
        <v>0</v>
      </c>
      <c r="P419" s="15">
        <f>Price!E419</f>
        <v>0</v>
      </c>
      <c r="Q419" s="17">
        <f>Price!F419</f>
        <v>36.719320000000003</v>
      </c>
      <c r="R419" s="171"/>
      <c r="S419" s="171"/>
      <c r="T419" s="12">
        <f>Price!G419</f>
        <v>3696680</v>
      </c>
      <c r="U419" s="12">
        <f>Price!H419</f>
        <v>12995</v>
      </c>
      <c r="V419" s="13"/>
      <c r="W419" s="13"/>
      <c r="X419" s="19"/>
      <c r="Y419" s="19"/>
    </row>
    <row r="420" spans="1:25" x14ac:dyDescent="0.35">
      <c r="A420" s="79" t="str">
        <f t="shared" si="461"/>
        <v>Sada FI3, 500mm</v>
      </c>
      <c r="B420" s="80" t="str">
        <f t="shared" si="462"/>
        <v>ZSI.500FI3</v>
      </c>
      <c r="C420" s="80" t="str">
        <f t="shared" si="462"/>
        <v>IG/G</v>
      </c>
      <c r="D420" s="173">
        <f t="shared" si="463"/>
        <v>0</v>
      </c>
      <c r="E420" s="81"/>
      <c r="F420" s="17">
        <f t="shared" si="464"/>
        <v>40.01641</v>
      </c>
      <c r="G420" s="50"/>
      <c r="H420" s="50"/>
      <c r="I420" s="173">
        <f t="shared" si="465"/>
        <v>3866940</v>
      </c>
      <c r="J420" s="173">
        <f t="shared" si="465"/>
        <v>12996</v>
      </c>
      <c r="K420" s="54"/>
      <c r="L420" s="46" t="str">
        <f>Price!A420</f>
        <v>Sada FI3, 500mm</v>
      </c>
      <c r="M420" s="15" t="str">
        <f>Price!B420</f>
        <v>ZSI.500FI3</v>
      </c>
      <c r="N420" s="15" t="str">
        <f>Price!C420</f>
        <v>IG/G</v>
      </c>
      <c r="O420" s="472">
        <f>Price!D420</f>
        <v>0</v>
      </c>
      <c r="P420" s="15">
        <f>Price!E420</f>
        <v>0</v>
      </c>
      <c r="Q420" s="17">
        <f>Price!F420</f>
        <v>40.01641</v>
      </c>
      <c r="R420" s="171"/>
      <c r="S420" s="171"/>
      <c r="T420" s="12">
        <f>Price!G420</f>
        <v>3866940</v>
      </c>
      <c r="U420" s="12">
        <f>Price!H420</f>
        <v>12996</v>
      </c>
      <c r="V420" s="13"/>
      <c r="W420" s="13"/>
      <c r="X420" s="19"/>
      <c r="Y420" s="19"/>
    </row>
    <row r="421" spans="1:25" x14ac:dyDescent="0.35">
      <c r="A421" s="79" t="str">
        <f t="shared" ref="A421:A424" si="478">L421</f>
        <v>Sada FI3, 550mm</v>
      </c>
      <c r="B421" s="80" t="str">
        <f t="shared" ref="B421:B424" si="479">M421</f>
        <v>ZSI.550FI3</v>
      </c>
      <c r="C421" s="80" t="str">
        <f t="shared" ref="C421:C424" si="480">N421</f>
        <v>IG/G</v>
      </c>
      <c r="D421" s="173">
        <f t="shared" si="463"/>
        <v>0</v>
      </c>
      <c r="E421" s="81"/>
      <c r="F421" s="17">
        <f t="shared" ref="F421:F424" si="481">Q421*(100-$F$6)/100</f>
        <v>50.327669999999998</v>
      </c>
      <c r="G421" s="50"/>
      <c r="H421" s="50"/>
      <c r="I421" s="173">
        <f t="shared" ref="I421:I424" si="482">T421</f>
        <v>3696840</v>
      </c>
      <c r="J421" s="173">
        <f t="shared" ref="J421:J424" si="483">U421</f>
        <v>12997</v>
      </c>
      <c r="K421" s="54"/>
      <c r="L421" s="46" t="str">
        <f>Price!A421</f>
        <v>Sada FI3, 550mm</v>
      </c>
      <c r="M421" s="15" t="str">
        <f>Price!B421</f>
        <v>ZSI.550FI3</v>
      </c>
      <c r="N421" s="15" t="str">
        <f>Price!C421</f>
        <v>IG/G</v>
      </c>
      <c r="O421" s="472">
        <f>Price!D421</f>
        <v>0</v>
      </c>
      <c r="P421" s="15">
        <f>Price!E421</f>
        <v>0</v>
      </c>
      <c r="Q421" s="17">
        <f>Price!F421</f>
        <v>50.327669999999998</v>
      </c>
      <c r="R421" s="171"/>
      <c r="S421" s="171"/>
      <c r="T421" s="12">
        <f>Price!G421</f>
        <v>3696840</v>
      </c>
      <c r="U421" s="12">
        <f>Price!H421</f>
        <v>12997</v>
      </c>
      <c r="V421" s="13"/>
      <c r="W421" s="13"/>
      <c r="X421" s="19"/>
      <c r="Y421" s="19"/>
    </row>
    <row r="422" spans="1:25" x14ac:dyDescent="0.35">
      <c r="A422" s="79" t="str">
        <f t="shared" si="478"/>
        <v>Sada FI3, 600mm</v>
      </c>
      <c r="B422" s="80" t="str">
        <f t="shared" si="479"/>
        <v>ZSI.600FI3</v>
      </c>
      <c r="C422" s="80" t="str">
        <f t="shared" si="480"/>
        <v>IG/G</v>
      </c>
      <c r="D422" s="173">
        <f t="shared" si="463"/>
        <v>0</v>
      </c>
      <c r="E422" s="81"/>
      <c r="F422" s="17">
        <f t="shared" si="481"/>
        <v>57.414740000000002</v>
      </c>
      <c r="G422" s="50"/>
      <c r="H422" s="50"/>
      <c r="I422" s="173">
        <f t="shared" si="482"/>
        <v>3700890</v>
      </c>
      <c r="J422" s="173">
        <f t="shared" si="483"/>
        <v>176782</v>
      </c>
      <c r="K422" s="54"/>
      <c r="L422" s="46" t="str">
        <f>Price!A422</f>
        <v>Sada FI3, 600mm</v>
      </c>
      <c r="M422" s="15" t="str">
        <f>Price!B422</f>
        <v>ZSI.600FI3</v>
      </c>
      <c r="N422" s="15" t="str">
        <f>Price!C422</f>
        <v>IG/G</v>
      </c>
      <c r="O422" s="472">
        <f>Price!D422</f>
        <v>0</v>
      </c>
      <c r="P422" s="15">
        <f>Price!E422</f>
        <v>0</v>
      </c>
      <c r="Q422" s="17">
        <f>Price!F422</f>
        <v>57.414740000000002</v>
      </c>
      <c r="R422" s="171"/>
      <c r="S422" s="171"/>
      <c r="T422" s="12">
        <f>Price!G422</f>
        <v>3700890</v>
      </c>
      <c r="U422" s="12">
        <f>Price!H422</f>
        <v>176782</v>
      </c>
      <c r="V422" s="13"/>
      <c r="W422" s="13"/>
      <c r="X422" s="19"/>
      <c r="Y422" s="19"/>
    </row>
    <row r="423" spans="1:25" x14ac:dyDescent="0.35">
      <c r="A423" s="79" t="str">
        <f t="shared" si="478"/>
        <v>Sada FI3, 650mm</v>
      </c>
      <c r="B423" s="80" t="str">
        <f t="shared" si="479"/>
        <v>ZSI.650FI3</v>
      </c>
      <c r="C423" s="80" t="str">
        <f t="shared" si="480"/>
        <v>IG/G</v>
      </c>
      <c r="D423" s="173">
        <f t="shared" si="463"/>
        <v>0</v>
      </c>
      <c r="E423" s="81"/>
      <c r="F423" s="17">
        <f t="shared" si="481"/>
        <v>74.162480000000002</v>
      </c>
      <c r="G423" s="50"/>
      <c r="H423" s="50"/>
      <c r="I423" s="173">
        <f t="shared" si="482"/>
        <v>3867240</v>
      </c>
      <c r="J423" s="173">
        <f t="shared" si="483"/>
        <v>12998</v>
      </c>
      <c r="K423" s="54"/>
      <c r="L423" s="46" t="str">
        <f>Price!A423</f>
        <v>Sada FI3, 650mm</v>
      </c>
      <c r="M423" s="15" t="str">
        <f>Price!B423</f>
        <v>ZSI.650FI3</v>
      </c>
      <c r="N423" s="15" t="str">
        <f>Price!C423</f>
        <v>IG/G</v>
      </c>
      <c r="O423" s="472">
        <f>Price!D423</f>
        <v>0</v>
      </c>
      <c r="P423" s="15">
        <f>Price!E423</f>
        <v>0</v>
      </c>
      <c r="Q423" s="17">
        <f>Price!F423</f>
        <v>74.162480000000002</v>
      </c>
      <c r="R423" s="171"/>
      <c r="S423" s="171"/>
      <c r="T423" s="12">
        <f>Price!G423</f>
        <v>3867240</v>
      </c>
      <c r="U423" s="12">
        <f>Price!H423</f>
        <v>12998</v>
      </c>
      <c r="V423" s="13"/>
      <c r="W423" s="13"/>
      <c r="X423" s="19"/>
      <c r="Y423" s="19"/>
    </row>
    <row r="424" spans="1:25" x14ac:dyDescent="0.35">
      <c r="A424" s="79" t="str">
        <f t="shared" si="478"/>
        <v>Sada pro korpus KB 600mm, NL 450mm</v>
      </c>
      <c r="B424" s="80" t="str">
        <f t="shared" si="479"/>
        <v>ZSI.60VUI4</v>
      </c>
      <c r="C424" s="80" t="str">
        <f t="shared" si="480"/>
        <v>IG/G</v>
      </c>
      <c r="D424" s="173">
        <f t="shared" si="463"/>
        <v>0</v>
      </c>
      <c r="E424" s="81"/>
      <c r="F424" s="17">
        <f t="shared" si="481"/>
        <v>71.217339999999993</v>
      </c>
      <c r="G424" s="50"/>
      <c r="H424" s="50"/>
      <c r="I424" s="173">
        <f t="shared" si="482"/>
        <v>6748430</v>
      </c>
      <c r="J424" s="173">
        <f t="shared" si="483"/>
        <v>12963</v>
      </c>
      <c r="K424" s="54"/>
      <c r="L424" s="46" t="str">
        <f>Price!A424</f>
        <v>Sada pro korpus KB 600mm, NL 450mm</v>
      </c>
      <c r="M424" s="15" t="str">
        <f>Price!B424</f>
        <v>ZSI.60VUI4</v>
      </c>
      <c r="N424" s="15" t="str">
        <f>Price!C424</f>
        <v>IG/G</v>
      </c>
      <c r="O424" s="472">
        <f>Price!D424</f>
        <v>0</v>
      </c>
      <c r="P424" s="15">
        <f>Price!E424</f>
        <v>0</v>
      </c>
      <c r="Q424" s="17">
        <f>Price!F424</f>
        <v>71.217339999999993</v>
      </c>
      <c r="R424" s="171"/>
      <c r="S424" s="171"/>
      <c r="T424" s="12">
        <f>Price!G424</f>
        <v>6748430</v>
      </c>
      <c r="U424" s="12">
        <f>Price!H424</f>
        <v>12963</v>
      </c>
      <c r="V424" s="13"/>
      <c r="W424" s="13"/>
      <c r="X424" s="19"/>
      <c r="Y424" s="19"/>
    </row>
    <row r="425" spans="1:25" x14ac:dyDescent="0.35">
      <c r="A425" s="79" t="str">
        <f t="shared" si="461"/>
        <v>Sada pro korpus KB 600mm, NL 500mm</v>
      </c>
      <c r="B425" s="80" t="str">
        <f t="shared" si="462"/>
        <v>ZSI.60VUI6</v>
      </c>
      <c r="C425" s="80" t="str">
        <f t="shared" si="462"/>
        <v>IG/G</v>
      </c>
      <c r="D425" s="173">
        <f t="shared" si="463"/>
        <v>0</v>
      </c>
      <c r="E425" s="81"/>
      <c r="F425" s="17">
        <f t="shared" si="464"/>
        <v>84.367519999999999</v>
      </c>
      <c r="G425" s="50"/>
      <c r="H425" s="50"/>
      <c r="I425" s="173">
        <f t="shared" si="465"/>
        <v>6747970</v>
      </c>
      <c r="J425" s="173">
        <f t="shared" si="465"/>
        <v>92078</v>
      </c>
      <c r="K425" s="54"/>
      <c r="L425" s="46" t="str">
        <f>Price!A425</f>
        <v>Sada pro korpus KB 600mm, NL 500mm</v>
      </c>
      <c r="M425" s="15" t="str">
        <f>Price!B425</f>
        <v>ZSI.60VUI6</v>
      </c>
      <c r="N425" s="15" t="str">
        <f>Price!C425</f>
        <v>IG/G</v>
      </c>
      <c r="O425" s="472">
        <f>Price!D425</f>
        <v>0</v>
      </c>
      <c r="P425" s="15">
        <f>Price!E425</f>
        <v>0</v>
      </c>
      <c r="Q425" s="17">
        <f>Price!F425</f>
        <v>84.367519999999999</v>
      </c>
      <c r="R425" s="171"/>
      <c r="S425" s="171"/>
      <c r="T425" s="12">
        <f>Price!G425</f>
        <v>6747970</v>
      </c>
      <c r="U425" s="12">
        <f>Price!H425</f>
        <v>92078</v>
      </c>
      <c r="V425" s="13"/>
      <c r="W425" s="13"/>
      <c r="X425" s="19"/>
      <c r="Y425" s="19"/>
    </row>
    <row r="426" spans="1:25" x14ac:dyDescent="0.35">
      <c r="A426" s="79" t="str">
        <f t="shared" ref="A426:A429" si="484">L426</f>
        <v>Sada pro korpus KB 600mm, NL 550mm</v>
      </c>
      <c r="B426" s="80" t="str">
        <f t="shared" ref="B426:B429" si="485">M426</f>
        <v>ZSI.60VUI7</v>
      </c>
      <c r="C426" s="80" t="str">
        <f t="shared" ref="C426:C429" si="486">N426</f>
        <v>IG/G</v>
      </c>
      <c r="D426" s="173">
        <f t="shared" si="463"/>
        <v>0</v>
      </c>
      <c r="E426" s="81"/>
      <c r="F426" s="17">
        <f t="shared" ref="F426:F429" si="487">Q426*(100-$F$6)/100</f>
        <v>101.39028</v>
      </c>
      <c r="G426" s="50"/>
      <c r="H426" s="50"/>
      <c r="I426" s="173">
        <f t="shared" ref="I426:I429" si="488">T426</f>
        <v>6747890</v>
      </c>
      <c r="J426" s="173">
        <f t="shared" ref="J426:J429" si="489">U426</f>
        <v>14097</v>
      </c>
      <c r="K426" s="54"/>
      <c r="L426" s="46" t="str">
        <f>Price!A426</f>
        <v>Sada pro korpus KB 600mm, NL 550mm</v>
      </c>
      <c r="M426" s="15" t="str">
        <f>Price!B426</f>
        <v>ZSI.60VUI7</v>
      </c>
      <c r="N426" s="15" t="str">
        <f>Price!C426</f>
        <v>IG/G</v>
      </c>
      <c r="O426" s="472">
        <f>Price!D426</f>
        <v>0</v>
      </c>
      <c r="P426" s="15">
        <f>Price!E426</f>
        <v>0</v>
      </c>
      <c r="Q426" s="17">
        <f>Price!F426</f>
        <v>101.39028</v>
      </c>
      <c r="R426" s="171"/>
      <c r="S426" s="171"/>
      <c r="T426" s="12">
        <f>Price!G426</f>
        <v>6747890</v>
      </c>
      <c r="U426" s="12">
        <f>Price!H426</f>
        <v>14097</v>
      </c>
      <c r="V426" s="13"/>
      <c r="W426" s="13"/>
      <c r="X426" s="19"/>
      <c r="Y426" s="19"/>
    </row>
    <row r="427" spans="1:25" x14ac:dyDescent="0.35">
      <c r="A427" s="79" t="str">
        <f t="shared" si="484"/>
        <v>Sada pro korpus KB 900mm, NL 450 mm</v>
      </c>
      <c r="B427" s="80" t="str">
        <f t="shared" si="485"/>
        <v>ZSI.90VUI4</v>
      </c>
      <c r="C427" s="80" t="str">
        <f t="shared" si="486"/>
        <v>IG/G</v>
      </c>
      <c r="D427" s="173">
        <f t="shared" si="463"/>
        <v>0</v>
      </c>
      <c r="E427" s="81"/>
      <c r="F427" s="17">
        <f t="shared" si="487"/>
        <v>100.48037000000001</v>
      </c>
      <c r="G427" s="50"/>
      <c r="H427" s="50"/>
      <c r="I427" s="173">
        <f t="shared" si="488"/>
        <v>6745760</v>
      </c>
      <c r="J427" s="173">
        <f t="shared" si="489"/>
        <v>13013</v>
      </c>
      <c r="K427" s="54"/>
      <c r="L427" s="46" t="str">
        <f>Price!A427</f>
        <v>Sada pro korpus KB 900mm, NL 450 mm</v>
      </c>
      <c r="M427" s="15" t="str">
        <f>Price!B427</f>
        <v>ZSI.90VUI4</v>
      </c>
      <c r="N427" s="15" t="str">
        <f>Price!C427</f>
        <v>IG/G</v>
      </c>
      <c r="O427" s="472">
        <f>Price!D427</f>
        <v>0</v>
      </c>
      <c r="P427" s="15">
        <f>Price!E427</f>
        <v>0</v>
      </c>
      <c r="Q427" s="17">
        <f>Price!F427</f>
        <v>100.48036999999999</v>
      </c>
      <c r="R427" s="171"/>
      <c r="S427" s="171"/>
      <c r="T427" s="12">
        <f>Price!G427</f>
        <v>6745760</v>
      </c>
      <c r="U427" s="12">
        <f>Price!H427</f>
        <v>13013</v>
      </c>
      <c r="V427" s="13"/>
      <c r="W427" s="13"/>
      <c r="X427" s="19"/>
      <c r="Y427" s="19"/>
    </row>
    <row r="428" spans="1:25" x14ac:dyDescent="0.35">
      <c r="A428" s="79" t="str">
        <f t="shared" si="484"/>
        <v>Sada pro korpus KB 900mm, NL 500 mm</v>
      </c>
      <c r="B428" s="80" t="str">
        <f t="shared" si="485"/>
        <v>ZSI.90VUI6</v>
      </c>
      <c r="C428" s="80" t="str">
        <f t="shared" si="486"/>
        <v>IG/G</v>
      </c>
      <c r="D428" s="173">
        <f t="shared" si="463"/>
        <v>0</v>
      </c>
      <c r="E428" s="81"/>
      <c r="F428" s="17">
        <f t="shared" si="487"/>
        <v>98.289760000000001</v>
      </c>
      <c r="G428" s="50"/>
      <c r="H428" s="50"/>
      <c r="I428" s="173">
        <f t="shared" si="488"/>
        <v>6751140</v>
      </c>
      <c r="J428" s="173">
        <f t="shared" si="489"/>
        <v>12910</v>
      </c>
      <c r="K428" s="54"/>
      <c r="L428" s="46" t="str">
        <f>Price!A428</f>
        <v>Sada pro korpus KB 900mm, NL 500 mm</v>
      </c>
      <c r="M428" s="15" t="str">
        <f>Price!B428</f>
        <v>ZSI.90VUI6</v>
      </c>
      <c r="N428" s="15" t="str">
        <f>Price!C428</f>
        <v>IG/G</v>
      </c>
      <c r="O428" s="472">
        <f>Price!D428</f>
        <v>0</v>
      </c>
      <c r="P428" s="15">
        <f>Price!E428</f>
        <v>0</v>
      </c>
      <c r="Q428" s="17">
        <f>Price!F428</f>
        <v>98.289760000000001</v>
      </c>
      <c r="R428" s="171"/>
      <c r="S428" s="171"/>
      <c r="T428" s="12">
        <f>Price!G428</f>
        <v>6751140</v>
      </c>
      <c r="U428" s="12">
        <f>Price!H428</f>
        <v>12910</v>
      </c>
      <c r="V428" s="13"/>
      <c r="W428" s="13"/>
      <c r="X428" s="19"/>
      <c r="Y428" s="19"/>
    </row>
    <row r="429" spans="1:25" x14ac:dyDescent="0.35">
      <c r="A429" s="79" t="str">
        <f t="shared" si="484"/>
        <v>Sada pro korpus KB 900mm, NL 550 mm</v>
      </c>
      <c r="B429" s="80" t="str">
        <f t="shared" si="485"/>
        <v>ZSI.90VUI7</v>
      </c>
      <c r="C429" s="80" t="str">
        <f t="shared" si="486"/>
        <v>IG/G</v>
      </c>
      <c r="D429" s="173">
        <f t="shared" si="463"/>
        <v>0</v>
      </c>
      <c r="E429" s="81"/>
      <c r="F429" s="17">
        <f t="shared" si="487"/>
        <v>113.6379</v>
      </c>
      <c r="G429" s="50"/>
      <c r="H429" s="50"/>
      <c r="I429" s="173">
        <f t="shared" si="488"/>
        <v>6751060</v>
      </c>
      <c r="J429" s="173">
        <f t="shared" si="489"/>
        <v>12978</v>
      </c>
      <c r="K429" s="54"/>
      <c r="L429" s="46" t="str">
        <f>Price!A429</f>
        <v>Sada pro korpus KB 900mm, NL 550 mm</v>
      </c>
      <c r="M429" s="15" t="str">
        <f>Price!B429</f>
        <v>ZSI.90VUI7</v>
      </c>
      <c r="N429" s="15" t="str">
        <f>Price!C429</f>
        <v>IG/G</v>
      </c>
      <c r="O429" s="472">
        <f>Price!D429</f>
        <v>0</v>
      </c>
      <c r="P429" s="15">
        <f>Price!E429</f>
        <v>0</v>
      </c>
      <c r="Q429" s="17">
        <f>Price!F429</f>
        <v>113.6379</v>
      </c>
      <c r="R429" s="171"/>
      <c r="S429" s="171"/>
      <c r="T429" s="12">
        <f>Price!G429</f>
        <v>6751060</v>
      </c>
      <c r="U429" s="12">
        <f>Price!H429</f>
        <v>12978</v>
      </c>
      <c r="V429" s="13"/>
      <c r="W429" s="13"/>
      <c r="X429" s="19"/>
      <c r="Y429" s="19"/>
    </row>
    <row r="430" spans="1:25" x14ac:dyDescent="0.35">
      <c r="A430" s="79" t="str">
        <f t="shared" ref="A430:A432" si="490">L430</f>
        <v>Sada pro korpus KB 1200mm, NL 450mm</v>
      </c>
      <c r="B430" s="80" t="str">
        <f t="shared" ref="B430:B432" si="491">M430</f>
        <v>ZSI.12VUI4</v>
      </c>
      <c r="C430" s="80" t="str">
        <f t="shared" ref="C430:C432" si="492">N430</f>
        <v>IG/G</v>
      </c>
      <c r="D430" s="173">
        <f t="shared" si="463"/>
        <v>0</v>
      </c>
      <c r="E430" s="81"/>
      <c r="F430" s="17">
        <f t="shared" ref="F430:F432" si="493">Q430*(100-$F$6)/100</f>
        <v>137.53487000000001</v>
      </c>
      <c r="G430" s="50"/>
      <c r="H430" s="50"/>
      <c r="I430" s="173">
        <f t="shared" ref="I430:I432" si="494">T430</f>
        <v>6749300</v>
      </c>
      <c r="J430" s="173">
        <f t="shared" ref="J430:J432" si="495">U430</f>
        <v>12917</v>
      </c>
      <c r="K430" s="54"/>
      <c r="L430" s="46" t="str">
        <f>Price!A430</f>
        <v>Sada pro korpus KB 1200mm, NL 450mm</v>
      </c>
      <c r="M430" s="15" t="str">
        <f>Price!B430</f>
        <v>ZSI.12VUI4</v>
      </c>
      <c r="N430" s="15" t="str">
        <f>Price!C430</f>
        <v>IG/G</v>
      </c>
      <c r="O430" s="472">
        <f>Price!D430</f>
        <v>0</v>
      </c>
      <c r="P430" s="15">
        <f>Price!E430</f>
        <v>0</v>
      </c>
      <c r="Q430" s="17">
        <f>Price!F430</f>
        <v>137.53487000000001</v>
      </c>
      <c r="R430" s="171"/>
      <c r="S430" s="171"/>
      <c r="T430" s="12">
        <f>Price!G430</f>
        <v>6749300</v>
      </c>
      <c r="U430" s="12">
        <f>Price!H430</f>
        <v>12917</v>
      </c>
      <c r="V430" s="13"/>
      <c r="W430" s="13"/>
      <c r="X430" s="19"/>
      <c r="Y430" s="19"/>
    </row>
    <row r="431" spans="1:25" x14ac:dyDescent="0.35">
      <c r="A431" s="79" t="str">
        <f t="shared" si="490"/>
        <v>Sada pro korpus KB 1200mm, NL 500mm</v>
      </c>
      <c r="B431" s="80" t="str">
        <f t="shared" si="491"/>
        <v>ZSI.12VUI6</v>
      </c>
      <c r="C431" s="80" t="str">
        <f t="shared" si="492"/>
        <v>IG/G</v>
      </c>
      <c r="D431" s="173">
        <f t="shared" si="463"/>
        <v>0</v>
      </c>
      <c r="E431" s="81"/>
      <c r="F431" s="17">
        <f t="shared" si="493"/>
        <v>139.91039000000001</v>
      </c>
      <c r="G431" s="50"/>
      <c r="H431" s="50"/>
      <c r="I431" s="173">
        <f t="shared" si="494"/>
        <v>6749830</v>
      </c>
      <c r="J431" s="173">
        <f t="shared" si="495"/>
        <v>92079</v>
      </c>
      <c r="K431" s="54"/>
      <c r="L431" s="46" t="str">
        <f>Price!A431</f>
        <v>Sada pro korpus KB 1200mm, NL 500mm</v>
      </c>
      <c r="M431" s="15" t="str">
        <f>Price!B431</f>
        <v>ZSI.12VUI6</v>
      </c>
      <c r="N431" s="15" t="str">
        <f>Price!C431</f>
        <v>IG/G</v>
      </c>
      <c r="O431" s="472">
        <f>Price!D431</f>
        <v>0</v>
      </c>
      <c r="P431" s="15">
        <f>Price!E431</f>
        <v>0</v>
      </c>
      <c r="Q431" s="17">
        <f>Price!F431</f>
        <v>139.91039000000001</v>
      </c>
      <c r="R431" s="171"/>
      <c r="S431" s="171"/>
      <c r="T431" s="12">
        <f>Price!G431</f>
        <v>6749830</v>
      </c>
      <c r="U431" s="12">
        <f>Price!H431</f>
        <v>92079</v>
      </c>
      <c r="V431" s="13"/>
      <c r="W431" s="13"/>
      <c r="X431" s="19"/>
      <c r="Y431" s="19"/>
    </row>
    <row r="432" spans="1:25" x14ac:dyDescent="0.35">
      <c r="A432" s="79" t="str">
        <f t="shared" si="490"/>
        <v>Sada pro korpus KB 1200mm, NL 550mm</v>
      </c>
      <c r="B432" s="80" t="str">
        <f t="shared" si="491"/>
        <v>ZSI.12VUI7</v>
      </c>
      <c r="C432" s="80" t="str">
        <f t="shared" si="492"/>
        <v>IG/G</v>
      </c>
      <c r="D432" s="173">
        <f t="shared" si="463"/>
        <v>0</v>
      </c>
      <c r="E432" s="81"/>
      <c r="F432" s="17">
        <f t="shared" si="493"/>
        <v>170.68159</v>
      </c>
      <c r="G432" s="50"/>
      <c r="H432" s="50"/>
      <c r="I432" s="173">
        <f t="shared" si="494"/>
        <v>6750900</v>
      </c>
      <c r="J432" s="173">
        <f t="shared" si="495"/>
        <v>225197</v>
      </c>
      <c r="K432" s="54"/>
      <c r="L432" s="46" t="str">
        <f>Price!A432</f>
        <v>Sada pro korpus KB 1200mm, NL 550mm</v>
      </c>
      <c r="M432" s="15" t="str">
        <f>Price!B432</f>
        <v>ZSI.12VUI7</v>
      </c>
      <c r="N432" s="15" t="str">
        <f>Price!C432</f>
        <v>IG/G</v>
      </c>
      <c r="O432" s="472">
        <f>Price!D432</f>
        <v>0</v>
      </c>
      <c r="P432" s="15">
        <f>Price!E432</f>
        <v>0</v>
      </c>
      <c r="Q432" s="17">
        <f>Price!F432</f>
        <v>170.68159</v>
      </c>
      <c r="R432" s="171"/>
      <c r="S432" s="171"/>
      <c r="T432" s="12">
        <f>Price!G432</f>
        <v>6750900</v>
      </c>
      <c r="U432" s="12">
        <f>Price!H432</f>
        <v>225197</v>
      </c>
      <c r="V432" s="13"/>
      <c r="W432" s="13"/>
      <c r="X432" s="19"/>
      <c r="Y432" s="19"/>
    </row>
    <row r="433" spans="1:25" x14ac:dyDescent="0.35">
      <c r="A433" s="66"/>
      <c r="B433" s="161"/>
      <c r="C433" s="161"/>
      <c r="D433" s="161"/>
      <c r="E433" s="69"/>
      <c r="F433" s="50"/>
      <c r="G433" s="50"/>
      <c r="H433" s="50"/>
      <c r="I433" s="176"/>
      <c r="J433" s="176"/>
      <c r="K433" s="48"/>
      <c r="L433" s="46">
        <f>Price!A433</f>
        <v>0</v>
      </c>
      <c r="M433" s="15">
        <f>Price!B433</f>
        <v>0</v>
      </c>
      <c r="N433" s="15">
        <f>Price!C433</f>
        <v>0</v>
      </c>
      <c r="O433" s="472">
        <f>Price!D433</f>
        <v>0</v>
      </c>
      <c r="P433" s="15">
        <f>Price!E433</f>
        <v>0</v>
      </c>
      <c r="Q433" s="17">
        <f>Price!F433</f>
        <v>0</v>
      </c>
      <c r="R433" s="171"/>
      <c r="S433" s="171"/>
      <c r="T433" s="12">
        <f>Price!G433</f>
        <v>0</v>
      </c>
      <c r="U433" s="12">
        <f>Price!H433</f>
        <v>0</v>
      </c>
      <c r="V433" s="13"/>
      <c r="W433" s="13"/>
      <c r="X433" s="19"/>
      <c r="Y433" s="19"/>
    </row>
    <row r="434" spans="1:25" x14ac:dyDescent="0.35">
      <c r="A434" s="43"/>
      <c r="B434" s="161"/>
      <c r="C434" s="161"/>
      <c r="D434" s="161"/>
      <c r="E434" s="69"/>
      <c r="F434" s="50"/>
      <c r="G434" s="50"/>
      <c r="H434" s="50"/>
      <c r="I434" s="176"/>
      <c r="J434" s="176"/>
      <c r="K434" s="54"/>
      <c r="L434" s="46" t="str">
        <f>Price!A434</f>
        <v xml:space="preserve">   ORGA-LINE sady Kombi</v>
      </c>
      <c r="M434" s="15">
        <f>Price!B434</f>
        <v>0</v>
      </c>
      <c r="N434" s="15">
        <f>Price!C434</f>
        <v>0</v>
      </c>
      <c r="O434" s="472">
        <f>Price!D434</f>
        <v>0</v>
      </c>
      <c r="P434" s="15">
        <f>Price!E434</f>
        <v>0</v>
      </c>
      <c r="Q434" s="17">
        <f>Price!F434</f>
        <v>0</v>
      </c>
      <c r="R434" s="171"/>
      <c r="S434" s="171"/>
      <c r="T434" s="12">
        <f>Price!G434</f>
        <v>0</v>
      </c>
      <c r="U434" s="12">
        <f>Price!H434</f>
        <v>0</v>
      </c>
      <c r="V434" s="13"/>
      <c r="W434" s="13"/>
      <c r="X434" s="19"/>
      <c r="Y434" s="19"/>
    </row>
    <row r="435" spans="1:25" x14ac:dyDescent="0.35">
      <c r="A435" s="79" t="str">
        <f t="shared" ref="A435" si="496">L435</f>
        <v>Sada KI2, 450mm</v>
      </c>
      <c r="B435" s="80" t="str">
        <f t="shared" ref="B435" si="497">M435</f>
        <v>ZSI.450KI2N</v>
      </c>
      <c r="C435" s="80" t="str">
        <f t="shared" ref="C435" si="498">N435</f>
        <v>IG/G</v>
      </c>
      <c r="D435" s="173">
        <f>O435</f>
        <v>0</v>
      </c>
      <c r="E435" s="81"/>
      <c r="F435" s="17">
        <f>Q435*(100-$F$6)/100</f>
        <v>40.821069999999999</v>
      </c>
      <c r="G435" s="50"/>
      <c r="H435" s="50"/>
      <c r="I435" s="173">
        <f t="shared" ref="I435" si="499">T435</f>
        <v>6698150</v>
      </c>
      <c r="J435" s="173">
        <f t="shared" ref="J435" si="500">U435</f>
        <v>12999</v>
      </c>
      <c r="K435" s="54"/>
      <c r="L435" s="46" t="str">
        <f>Price!A435</f>
        <v>Sada KI2, 450mm</v>
      </c>
      <c r="M435" s="15" t="str">
        <f>Price!B435</f>
        <v>ZSI.450KI2N</v>
      </c>
      <c r="N435" s="15" t="str">
        <f>Price!C435</f>
        <v>IG/G</v>
      </c>
      <c r="O435" s="472">
        <f>Price!D435</f>
        <v>0</v>
      </c>
      <c r="P435" s="15">
        <f>Price!E435</f>
        <v>0</v>
      </c>
      <c r="Q435" s="17">
        <f>Price!F435</f>
        <v>40.821069999999999</v>
      </c>
      <c r="R435" s="171"/>
      <c r="S435" s="171"/>
      <c r="T435" s="12">
        <f>Price!G435</f>
        <v>6698150</v>
      </c>
      <c r="U435" s="12">
        <f>Price!H435</f>
        <v>12999</v>
      </c>
      <c r="V435" s="13"/>
      <c r="W435" s="13"/>
      <c r="X435" s="19"/>
      <c r="Y435" s="19"/>
    </row>
    <row r="436" spans="1:25" x14ac:dyDescent="0.35">
      <c r="A436" s="79" t="str">
        <f>L436</f>
        <v>Sada KI2, 500mm</v>
      </c>
      <c r="B436" s="80" t="str">
        <f>M436</f>
        <v>ZSI.500KI2N</v>
      </c>
      <c r="C436" s="80" t="str">
        <f>N436</f>
        <v>IG/G</v>
      </c>
      <c r="D436" s="173">
        <f t="shared" ref="D436:D454" si="501">O436</f>
        <v>0</v>
      </c>
      <c r="E436" s="81"/>
      <c r="F436" s="17">
        <f>Q436*(100-$F$6)/100</f>
        <v>47.945549999999997</v>
      </c>
      <c r="G436" s="50"/>
      <c r="H436" s="50"/>
      <c r="I436" s="173">
        <f>T436</f>
        <v>6700580</v>
      </c>
      <c r="J436" s="173">
        <f>U436</f>
        <v>13000</v>
      </c>
      <c r="K436" s="54"/>
      <c r="L436" s="46" t="str">
        <f>Price!A436</f>
        <v>Sada KI2, 500mm</v>
      </c>
      <c r="M436" s="15" t="str">
        <f>Price!B436</f>
        <v>ZSI.500KI2N</v>
      </c>
      <c r="N436" s="15" t="str">
        <f>Price!C436</f>
        <v>IG/G</v>
      </c>
      <c r="O436" s="472">
        <f>Price!D436</f>
        <v>0</v>
      </c>
      <c r="P436" s="15">
        <f>Price!E436</f>
        <v>0</v>
      </c>
      <c r="Q436" s="17">
        <f>Price!F436</f>
        <v>47.945549999999997</v>
      </c>
      <c r="R436" s="171"/>
      <c r="S436" s="171"/>
      <c r="T436" s="12">
        <f>Price!G436</f>
        <v>6700580</v>
      </c>
      <c r="U436" s="12">
        <f>Price!H436</f>
        <v>13000</v>
      </c>
      <c r="V436" s="13"/>
      <c r="W436" s="13"/>
      <c r="X436" s="19"/>
      <c r="Y436" s="19"/>
    </row>
    <row r="437" spans="1:25" x14ac:dyDescent="0.35">
      <c r="A437" s="79" t="str">
        <f t="shared" ref="A437:A454" si="502">L437</f>
        <v>Sada KI2, 550mm</v>
      </c>
      <c r="B437" s="80" t="str">
        <f t="shared" ref="B437:B454" si="503">M437</f>
        <v>ZSI.550KI2N</v>
      </c>
      <c r="C437" s="80" t="str">
        <f t="shared" ref="C437:C454" si="504">N437</f>
        <v>IG/G</v>
      </c>
      <c r="D437" s="173">
        <f t="shared" si="501"/>
        <v>0</v>
      </c>
      <c r="E437" s="81"/>
      <c r="F437" s="17">
        <f t="shared" ref="F437:F454" si="505">Q437*(100-$F$6)/100</f>
        <v>58.175440000000002</v>
      </c>
      <c r="G437" s="50"/>
      <c r="H437" s="50"/>
      <c r="I437" s="173">
        <f t="shared" ref="I437:I454" si="506">T437</f>
        <v>6700150</v>
      </c>
      <c r="J437" s="173">
        <f t="shared" ref="J437:J454" si="507">U437</f>
        <v>13001</v>
      </c>
      <c r="K437" s="54"/>
      <c r="L437" s="46" t="str">
        <f>Price!A437</f>
        <v>Sada KI2, 550mm</v>
      </c>
      <c r="M437" s="15" t="str">
        <f>Price!B437</f>
        <v>ZSI.550KI2N</v>
      </c>
      <c r="N437" s="15" t="str">
        <f>Price!C437</f>
        <v>IG/G</v>
      </c>
      <c r="O437" s="472">
        <f>Price!D437</f>
        <v>0</v>
      </c>
      <c r="P437" s="15">
        <f>Price!E437</f>
        <v>0</v>
      </c>
      <c r="Q437" s="17">
        <f>Price!F437</f>
        <v>58.175440000000002</v>
      </c>
      <c r="R437" s="171"/>
      <c r="S437" s="171"/>
      <c r="T437" s="12">
        <f>Price!G437</f>
        <v>6700150</v>
      </c>
      <c r="U437" s="12">
        <f>Price!H437</f>
        <v>13001</v>
      </c>
      <c r="V437" s="13"/>
      <c r="W437" s="13"/>
      <c r="X437" s="19"/>
      <c r="Y437" s="19"/>
    </row>
    <row r="438" spans="1:25" x14ac:dyDescent="0.35">
      <c r="A438" s="79" t="str">
        <f t="shared" si="502"/>
        <v>Sada KI2, 600mm</v>
      </c>
      <c r="B438" s="80" t="str">
        <f t="shared" si="503"/>
        <v>ZSI.600KI2N</v>
      </c>
      <c r="C438" s="80" t="str">
        <f t="shared" si="504"/>
        <v>IG/G</v>
      </c>
      <c r="D438" s="173">
        <f t="shared" si="501"/>
        <v>0</v>
      </c>
      <c r="E438" s="81"/>
      <c r="F438" s="17">
        <f t="shared" si="505"/>
        <v>62.848950000000002</v>
      </c>
      <c r="G438" s="50"/>
      <c r="H438" s="50"/>
      <c r="I438" s="173">
        <f t="shared" si="506"/>
        <v>6699390</v>
      </c>
      <c r="J438" s="173">
        <f t="shared" si="507"/>
        <v>176783</v>
      </c>
      <c r="K438" s="54"/>
      <c r="L438" s="46" t="str">
        <f>Price!A438</f>
        <v>Sada KI2, 600mm</v>
      </c>
      <c r="M438" s="15" t="str">
        <f>Price!B438</f>
        <v>ZSI.600KI2N</v>
      </c>
      <c r="N438" s="15" t="str">
        <f>Price!C438</f>
        <v>IG/G</v>
      </c>
      <c r="O438" s="472">
        <f>Price!D438</f>
        <v>0</v>
      </c>
      <c r="P438" s="15">
        <f>Price!E438</f>
        <v>0</v>
      </c>
      <c r="Q438" s="17">
        <f>Price!F438</f>
        <v>62.848950000000002</v>
      </c>
      <c r="R438" s="171"/>
      <c r="S438" s="171"/>
      <c r="T438" s="12">
        <f>Price!G438</f>
        <v>6699390</v>
      </c>
      <c r="U438" s="12">
        <f>Price!H438</f>
        <v>176783</v>
      </c>
      <c r="V438" s="13"/>
      <c r="W438" s="13"/>
      <c r="X438" s="19"/>
      <c r="Y438" s="19"/>
    </row>
    <row r="439" spans="1:25" x14ac:dyDescent="0.35">
      <c r="A439" s="79" t="str">
        <f t="shared" si="502"/>
        <v>Sada KI2, 650mm</v>
      </c>
      <c r="B439" s="80" t="str">
        <f t="shared" si="503"/>
        <v>ZSI.650KI2N</v>
      </c>
      <c r="C439" s="80" t="str">
        <f t="shared" si="504"/>
        <v>IG/G</v>
      </c>
      <c r="D439" s="173">
        <f t="shared" si="501"/>
        <v>0</v>
      </c>
      <c r="E439" s="81"/>
      <c r="F439" s="17">
        <f t="shared" si="505"/>
        <v>72.097089999999994</v>
      </c>
      <c r="G439" s="50"/>
      <c r="H439" s="50"/>
      <c r="I439" s="173">
        <f t="shared" si="506"/>
        <v>6701100</v>
      </c>
      <c r="J439" s="173">
        <f t="shared" si="507"/>
        <v>176790</v>
      </c>
      <c r="K439" s="54"/>
      <c r="L439" s="46" t="str">
        <f>Price!A439</f>
        <v>Sada KI2, 650mm</v>
      </c>
      <c r="M439" s="15" t="str">
        <f>Price!B439</f>
        <v>ZSI.650KI2N</v>
      </c>
      <c r="N439" s="15" t="str">
        <f>Price!C439</f>
        <v>IG/G</v>
      </c>
      <c r="O439" s="472">
        <f>Price!D439</f>
        <v>0</v>
      </c>
      <c r="P439" s="15">
        <f>Price!E439</f>
        <v>0</v>
      </c>
      <c r="Q439" s="17">
        <f>Price!F439</f>
        <v>72.097089999999994</v>
      </c>
      <c r="R439" s="171"/>
      <c r="S439" s="171"/>
      <c r="T439" s="12">
        <f>Price!G439</f>
        <v>6701100</v>
      </c>
      <c r="U439" s="12">
        <f>Price!H439</f>
        <v>176790</v>
      </c>
      <c r="V439" s="13"/>
      <c r="W439" s="13"/>
      <c r="X439" s="19"/>
      <c r="Y439" s="19"/>
    </row>
    <row r="440" spans="1:25" x14ac:dyDescent="0.35">
      <c r="A440" s="79" t="str">
        <f t="shared" si="502"/>
        <v>Sada KI3, 450mm</v>
      </c>
      <c r="B440" s="80" t="str">
        <f t="shared" si="503"/>
        <v>ZSI.450KI3N</v>
      </c>
      <c r="C440" s="80" t="str">
        <f t="shared" si="504"/>
        <v>IG/G</v>
      </c>
      <c r="D440" s="173">
        <f t="shared" si="501"/>
        <v>0</v>
      </c>
      <c r="E440" s="81"/>
      <c r="F440" s="17">
        <f t="shared" si="505"/>
        <v>37.636150000000001</v>
      </c>
      <c r="G440" s="50"/>
      <c r="H440" s="50"/>
      <c r="I440" s="173">
        <f t="shared" si="506"/>
        <v>6700800</v>
      </c>
      <c r="J440" s="173">
        <f t="shared" si="507"/>
        <v>176762</v>
      </c>
      <c r="K440" s="54"/>
      <c r="L440" s="46" t="str">
        <f>Price!A440</f>
        <v>Sada KI3, 450mm</v>
      </c>
      <c r="M440" s="15" t="str">
        <f>Price!B440</f>
        <v>ZSI.450KI3N</v>
      </c>
      <c r="N440" s="15" t="str">
        <f>Price!C440</f>
        <v>IG/G</v>
      </c>
      <c r="O440" s="472">
        <f>Price!D440</f>
        <v>0</v>
      </c>
      <c r="P440" s="15">
        <f>Price!E440</f>
        <v>0</v>
      </c>
      <c r="Q440" s="17">
        <f>Price!F440</f>
        <v>37.636150000000001</v>
      </c>
      <c r="R440" s="171"/>
      <c r="S440" s="171"/>
      <c r="T440" s="12">
        <f>Price!G440</f>
        <v>6700800</v>
      </c>
      <c r="U440" s="12">
        <f>Price!H440</f>
        <v>176762</v>
      </c>
      <c r="V440" s="13"/>
      <c r="W440" s="13"/>
      <c r="X440" s="19"/>
      <c r="Y440" s="19"/>
    </row>
    <row r="441" spans="1:25" x14ac:dyDescent="0.35">
      <c r="A441" s="79" t="str">
        <f t="shared" si="502"/>
        <v>Sada KI3, 500mm</v>
      </c>
      <c r="B441" s="80" t="str">
        <f t="shared" si="503"/>
        <v>ZSI.500KI3N</v>
      </c>
      <c r="C441" s="80" t="str">
        <f t="shared" si="504"/>
        <v>IG/G</v>
      </c>
      <c r="D441" s="173">
        <f t="shared" si="501"/>
        <v>0</v>
      </c>
      <c r="E441" s="81"/>
      <c r="F441" s="17">
        <f t="shared" si="505"/>
        <v>44.042470000000002</v>
      </c>
      <c r="G441" s="50"/>
      <c r="H441" s="50"/>
      <c r="I441" s="173">
        <f t="shared" si="506"/>
        <v>6701390</v>
      </c>
      <c r="J441" s="173">
        <f t="shared" si="507"/>
        <v>176769</v>
      </c>
      <c r="K441" s="54"/>
      <c r="L441" s="46" t="str">
        <f>Price!A441</f>
        <v>Sada KI3, 500mm</v>
      </c>
      <c r="M441" s="15" t="str">
        <f>Price!B441</f>
        <v>ZSI.500KI3N</v>
      </c>
      <c r="N441" s="15" t="str">
        <f>Price!C441</f>
        <v>IG/G</v>
      </c>
      <c r="O441" s="472">
        <f>Price!D441</f>
        <v>0</v>
      </c>
      <c r="P441" s="15">
        <f>Price!E441</f>
        <v>0</v>
      </c>
      <c r="Q441" s="17">
        <f>Price!F441</f>
        <v>44.042470000000002</v>
      </c>
      <c r="R441" s="171"/>
      <c r="S441" s="171"/>
      <c r="T441" s="12">
        <f>Price!G441</f>
        <v>6701390</v>
      </c>
      <c r="U441" s="12">
        <f>Price!H441</f>
        <v>176769</v>
      </c>
      <c r="V441" s="13"/>
      <c r="W441" s="13"/>
      <c r="X441" s="19"/>
      <c r="Y441" s="19"/>
    </row>
    <row r="442" spans="1:25" x14ac:dyDescent="0.35">
      <c r="A442" s="79" t="str">
        <f t="shared" si="502"/>
        <v>Sada KI3, 550mm</v>
      </c>
      <c r="B442" s="80" t="str">
        <f t="shared" si="503"/>
        <v>ZSI.550KI3N</v>
      </c>
      <c r="C442" s="80" t="str">
        <f t="shared" si="504"/>
        <v>IG/G</v>
      </c>
      <c r="D442" s="173">
        <f t="shared" si="501"/>
        <v>0</v>
      </c>
      <c r="E442" s="81"/>
      <c r="F442" s="17">
        <f t="shared" si="505"/>
        <v>53.241340000000001</v>
      </c>
      <c r="G442" s="50"/>
      <c r="H442" s="50"/>
      <c r="I442" s="173">
        <f t="shared" si="506"/>
        <v>6701980</v>
      </c>
      <c r="J442" s="173">
        <f t="shared" si="507"/>
        <v>176775</v>
      </c>
      <c r="K442" s="54"/>
      <c r="L442" s="46" t="str">
        <f>Price!A442</f>
        <v>Sada KI3, 550mm</v>
      </c>
      <c r="M442" s="15" t="str">
        <f>Price!B442</f>
        <v>ZSI.550KI3N</v>
      </c>
      <c r="N442" s="15" t="str">
        <f>Price!C442</f>
        <v>IG/G</v>
      </c>
      <c r="O442" s="472">
        <f>Price!D442</f>
        <v>0</v>
      </c>
      <c r="P442" s="15">
        <f>Price!E442</f>
        <v>0</v>
      </c>
      <c r="Q442" s="17">
        <f>Price!F442</f>
        <v>53.241340000000001</v>
      </c>
      <c r="R442" s="171"/>
      <c r="S442" s="171"/>
      <c r="T442" s="12">
        <f>Price!G442</f>
        <v>6701980</v>
      </c>
      <c r="U442" s="12">
        <f>Price!H442</f>
        <v>176775</v>
      </c>
      <c r="V442" s="13"/>
      <c r="W442" s="13"/>
      <c r="X442" s="19"/>
      <c r="Y442" s="19"/>
    </row>
    <row r="443" spans="1:25" x14ac:dyDescent="0.35">
      <c r="A443" s="79" t="str">
        <f t="shared" si="502"/>
        <v>Sada KI3, 600mm</v>
      </c>
      <c r="B443" s="80" t="str">
        <f t="shared" si="503"/>
        <v>ZSI.600KI3N</v>
      </c>
      <c r="C443" s="80" t="str">
        <f t="shared" si="504"/>
        <v>IG/G</v>
      </c>
      <c r="D443" s="173">
        <f t="shared" si="501"/>
        <v>0</v>
      </c>
      <c r="E443" s="81"/>
      <c r="F443" s="17">
        <f t="shared" si="505"/>
        <v>62.62357999999999</v>
      </c>
      <c r="G443" s="50"/>
      <c r="H443" s="50"/>
      <c r="I443" s="173">
        <f t="shared" si="506"/>
        <v>6701800</v>
      </c>
      <c r="J443" s="173">
        <f t="shared" si="507"/>
        <v>176784</v>
      </c>
      <c r="K443" s="54"/>
      <c r="L443" s="46" t="str">
        <f>Price!A443</f>
        <v>Sada KI3, 600mm</v>
      </c>
      <c r="M443" s="15" t="str">
        <f>Price!B443</f>
        <v>ZSI.600KI3N</v>
      </c>
      <c r="N443" s="15" t="str">
        <f>Price!C443</f>
        <v>IG/G</v>
      </c>
      <c r="O443" s="472">
        <f>Price!D443</f>
        <v>0</v>
      </c>
      <c r="P443" s="15">
        <f>Price!E443</f>
        <v>0</v>
      </c>
      <c r="Q443" s="17">
        <f>Price!F443</f>
        <v>62.623579999999997</v>
      </c>
      <c r="R443" s="171"/>
      <c r="S443" s="171"/>
      <c r="T443" s="12">
        <f>Price!G443</f>
        <v>6701800</v>
      </c>
      <c r="U443" s="12">
        <f>Price!H443</f>
        <v>176784</v>
      </c>
      <c r="V443" s="13"/>
      <c r="W443" s="13"/>
      <c r="X443" s="19"/>
      <c r="Y443" s="19"/>
    </row>
    <row r="444" spans="1:25" x14ac:dyDescent="0.35">
      <c r="A444" s="79" t="str">
        <f t="shared" si="502"/>
        <v>Sada KI3, 650mm</v>
      </c>
      <c r="B444" s="80" t="str">
        <f t="shared" si="503"/>
        <v>ZSI.650KI3N</v>
      </c>
      <c r="C444" s="80" t="str">
        <f t="shared" si="504"/>
        <v>IG/G</v>
      </c>
      <c r="D444" s="173">
        <f t="shared" si="501"/>
        <v>0</v>
      </c>
      <c r="E444" s="81"/>
      <c r="F444" s="17">
        <f t="shared" si="505"/>
        <v>71.871709999999993</v>
      </c>
      <c r="G444" s="50"/>
      <c r="H444" s="50"/>
      <c r="I444" s="173">
        <f t="shared" si="506"/>
        <v>6702790</v>
      </c>
      <c r="J444" s="173">
        <f t="shared" si="507"/>
        <v>176791</v>
      </c>
      <c r="K444" s="54"/>
      <c r="L444" s="46" t="str">
        <f>Price!A444</f>
        <v>Sada KI3, 650mm</v>
      </c>
      <c r="M444" s="15" t="str">
        <f>Price!B444</f>
        <v>ZSI.650KI3N</v>
      </c>
      <c r="N444" s="15" t="str">
        <f>Price!C444</f>
        <v>IG/G</v>
      </c>
      <c r="O444" s="472">
        <f>Price!D444</f>
        <v>0</v>
      </c>
      <c r="P444" s="15">
        <f>Price!E444</f>
        <v>0</v>
      </c>
      <c r="Q444" s="17">
        <f>Price!F444</f>
        <v>71.871709999999993</v>
      </c>
      <c r="R444" s="171"/>
      <c r="S444" s="171"/>
      <c r="T444" s="12">
        <f>Price!G444</f>
        <v>6702790</v>
      </c>
      <c r="U444" s="12">
        <f>Price!H444</f>
        <v>176791</v>
      </c>
      <c r="V444" s="13"/>
      <c r="W444" s="13"/>
      <c r="X444" s="19"/>
      <c r="Y444" s="19"/>
    </row>
    <row r="445" spans="1:25" x14ac:dyDescent="0.35">
      <c r="A445" s="79" t="str">
        <f t="shared" si="502"/>
        <v>Sada KI4, 450mm</v>
      </c>
      <c r="B445" s="80" t="str">
        <f t="shared" si="503"/>
        <v>ZSI.450KI4N</v>
      </c>
      <c r="C445" s="80" t="str">
        <f t="shared" si="504"/>
        <v>IG/G</v>
      </c>
      <c r="D445" s="173">
        <f t="shared" si="501"/>
        <v>0</v>
      </c>
      <c r="E445" s="81"/>
      <c r="F445" s="17">
        <f t="shared" si="505"/>
        <v>51.256480000000003</v>
      </c>
      <c r="G445" s="50"/>
      <c r="H445" s="50"/>
      <c r="I445" s="173">
        <f t="shared" si="506"/>
        <v>6701630</v>
      </c>
      <c r="J445" s="173">
        <f t="shared" si="507"/>
        <v>176763</v>
      </c>
      <c r="K445" s="54"/>
      <c r="L445" s="46" t="str">
        <f>Price!A445</f>
        <v>Sada KI4, 450mm</v>
      </c>
      <c r="M445" s="15" t="str">
        <f>Price!B445</f>
        <v>ZSI.450KI4N</v>
      </c>
      <c r="N445" s="15" t="str">
        <f>Price!C445</f>
        <v>IG/G</v>
      </c>
      <c r="O445" s="472">
        <f>Price!D445</f>
        <v>0</v>
      </c>
      <c r="P445" s="15">
        <f>Price!E445</f>
        <v>0</v>
      </c>
      <c r="Q445" s="17">
        <f>Price!F445</f>
        <v>51.256480000000003</v>
      </c>
      <c r="R445" s="171"/>
      <c r="S445" s="171"/>
      <c r="T445" s="12">
        <f>Price!G445</f>
        <v>6701630</v>
      </c>
      <c r="U445" s="12">
        <f>Price!H445</f>
        <v>176763</v>
      </c>
      <c r="V445" s="13"/>
      <c r="W445" s="13"/>
      <c r="X445" s="19"/>
      <c r="Y445" s="19"/>
    </row>
    <row r="446" spans="1:25" x14ac:dyDescent="0.35">
      <c r="A446" s="79" t="str">
        <f t="shared" si="502"/>
        <v>Sada KI4, 500mm</v>
      </c>
      <c r="B446" s="80" t="str">
        <f t="shared" si="503"/>
        <v>ZSI.500KI4</v>
      </c>
      <c r="C446" s="80" t="str">
        <f t="shared" si="504"/>
        <v>IG/G</v>
      </c>
      <c r="D446" s="173">
        <f t="shared" si="501"/>
        <v>0</v>
      </c>
      <c r="E446" s="81"/>
      <c r="F446" s="17">
        <f t="shared" si="505"/>
        <v>68.25694</v>
      </c>
      <c r="G446" s="50"/>
      <c r="H446" s="50"/>
      <c r="I446" s="173">
        <f t="shared" si="506"/>
        <v>3777170</v>
      </c>
      <c r="J446" s="173">
        <f t="shared" si="507"/>
        <v>13003</v>
      </c>
      <c r="K446" s="54"/>
      <c r="L446" s="46" t="str">
        <f>Price!A446</f>
        <v>Sada KI4, 500mm</v>
      </c>
      <c r="M446" s="15" t="str">
        <f>Price!B446</f>
        <v>ZSI.500KI4</v>
      </c>
      <c r="N446" s="15" t="str">
        <f>Price!C446</f>
        <v>IG/G</v>
      </c>
      <c r="O446" s="472">
        <f>Price!D446</f>
        <v>0</v>
      </c>
      <c r="P446" s="15">
        <f>Price!E446</f>
        <v>0</v>
      </c>
      <c r="Q446" s="17">
        <f>Price!F446</f>
        <v>68.25694</v>
      </c>
      <c r="R446" s="171"/>
      <c r="S446" s="171"/>
      <c r="T446" s="12">
        <f>Price!G446</f>
        <v>3777170</v>
      </c>
      <c r="U446" s="12">
        <f>Price!H446</f>
        <v>13003</v>
      </c>
      <c r="V446" s="13"/>
      <c r="W446" s="13"/>
      <c r="X446" s="19"/>
      <c r="Y446" s="19"/>
    </row>
    <row r="447" spans="1:25" x14ac:dyDescent="0.35">
      <c r="A447" s="79" t="str">
        <f t="shared" si="502"/>
        <v>Sada KI4, 550mm</v>
      </c>
      <c r="B447" s="80" t="str">
        <f t="shared" si="503"/>
        <v>ZSI.550KI4</v>
      </c>
      <c r="C447" s="80" t="str">
        <f t="shared" si="504"/>
        <v>IG/G</v>
      </c>
      <c r="D447" s="173">
        <f t="shared" si="501"/>
        <v>0</v>
      </c>
      <c r="E447" s="81"/>
      <c r="F447" s="17">
        <f t="shared" si="505"/>
        <v>70.976650000000006</v>
      </c>
      <c r="G447" s="50"/>
      <c r="H447" s="50"/>
      <c r="I447" s="173">
        <f t="shared" si="506"/>
        <v>3777680</v>
      </c>
      <c r="J447" s="173">
        <f t="shared" si="507"/>
        <v>176776</v>
      </c>
      <c r="K447" s="54"/>
      <c r="L447" s="46" t="str">
        <f>Price!A447</f>
        <v>Sada KI4, 550mm</v>
      </c>
      <c r="M447" s="15" t="str">
        <f>Price!B447</f>
        <v>ZSI.550KI4</v>
      </c>
      <c r="N447" s="15" t="str">
        <f>Price!C447</f>
        <v>IG/G</v>
      </c>
      <c r="O447" s="472">
        <f>Price!D447</f>
        <v>0</v>
      </c>
      <c r="P447" s="15">
        <f>Price!E447</f>
        <v>0</v>
      </c>
      <c r="Q447" s="17">
        <f>Price!F447</f>
        <v>70.976650000000006</v>
      </c>
      <c r="R447" s="171"/>
      <c r="S447" s="171"/>
      <c r="T447" s="12">
        <f>Price!G447</f>
        <v>3777680</v>
      </c>
      <c r="U447" s="12">
        <f>Price!H447</f>
        <v>176776</v>
      </c>
      <c r="V447" s="13"/>
      <c r="W447" s="13"/>
      <c r="X447" s="19"/>
      <c r="Y447" s="19"/>
    </row>
    <row r="448" spans="1:25" x14ac:dyDescent="0.35">
      <c r="A448" s="79" t="str">
        <f t="shared" si="502"/>
        <v>Sada KI4, 600mm</v>
      </c>
      <c r="B448" s="80" t="str">
        <f t="shared" si="503"/>
        <v>ZSI.600KI4</v>
      </c>
      <c r="C448" s="80" t="str">
        <f t="shared" si="504"/>
        <v>IG/G</v>
      </c>
      <c r="D448" s="173">
        <f t="shared" si="501"/>
        <v>0</v>
      </c>
      <c r="E448" s="81"/>
      <c r="F448" s="17">
        <f t="shared" si="505"/>
        <v>85.055520000000001</v>
      </c>
      <c r="G448" s="50"/>
      <c r="H448" s="50"/>
      <c r="I448" s="173">
        <f t="shared" si="506"/>
        <v>3890730</v>
      </c>
      <c r="J448" s="173">
        <f t="shared" si="507"/>
        <v>176785</v>
      </c>
      <c r="K448" s="54"/>
      <c r="L448" s="46" t="str">
        <f>Price!A448</f>
        <v>Sada KI4, 600mm</v>
      </c>
      <c r="M448" s="15" t="str">
        <f>Price!B448</f>
        <v>ZSI.600KI4</v>
      </c>
      <c r="N448" s="15" t="str">
        <f>Price!C448</f>
        <v>IG/G</v>
      </c>
      <c r="O448" s="472">
        <f>Price!D448</f>
        <v>0</v>
      </c>
      <c r="P448" s="15">
        <f>Price!E448</f>
        <v>0</v>
      </c>
      <c r="Q448" s="17">
        <f>Price!F448</f>
        <v>85.055520000000001</v>
      </c>
      <c r="R448" s="171"/>
      <c r="S448" s="171"/>
      <c r="T448" s="12">
        <f>Price!G448</f>
        <v>3890730</v>
      </c>
      <c r="U448" s="12">
        <f>Price!H448</f>
        <v>176785</v>
      </c>
      <c r="V448" s="13"/>
      <c r="W448" s="13"/>
      <c r="X448" s="19"/>
      <c r="Y448" s="19"/>
    </row>
    <row r="449" spans="1:25" x14ac:dyDescent="0.35">
      <c r="A449" s="79" t="str">
        <f t="shared" si="502"/>
        <v>Sada KI4, 650mm</v>
      </c>
      <c r="B449" s="80" t="str">
        <f t="shared" si="503"/>
        <v>ZSI.650KI4</v>
      </c>
      <c r="C449" s="80" t="str">
        <f t="shared" si="504"/>
        <v>IG/G</v>
      </c>
      <c r="D449" s="173">
        <f t="shared" si="501"/>
        <v>0</v>
      </c>
      <c r="E449" s="81"/>
      <c r="F449" s="17">
        <f t="shared" si="505"/>
        <v>94.886810000000011</v>
      </c>
      <c r="G449" s="50"/>
      <c r="H449" s="50"/>
      <c r="I449" s="173">
        <f t="shared" si="506"/>
        <v>3865890</v>
      </c>
      <c r="J449" s="173">
        <f t="shared" si="507"/>
        <v>176792</v>
      </c>
      <c r="K449" s="54"/>
      <c r="L449" s="46" t="str">
        <f>Price!A449</f>
        <v>Sada KI4, 650mm</v>
      </c>
      <c r="M449" s="15" t="str">
        <f>Price!B449</f>
        <v>ZSI.650KI4</v>
      </c>
      <c r="N449" s="15" t="str">
        <f>Price!C449</f>
        <v>IG/G</v>
      </c>
      <c r="O449" s="472">
        <f>Price!D449</f>
        <v>0</v>
      </c>
      <c r="P449" s="15">
        <f>Price!E449</f>
        <v>0</v>
      </c>
      <c r="Q449" s="17">
        <f>Price!F449</f>
        <v>94.886809999999997</v>
      </c>
      <c r="R449" s="171"/>
      <c r="S449" s="171"/>
      <c r="T449" s="12">
        <f>Price!G449</f>
        <v>3865890</v>
      </c>
      <c r="U449" s="12">
        <f>Price!H449</f>
        <v>176792</v>
      </c>
      <c r="V449" s="13"/>
      <c r="W449" s="13"/>
      <c r="X449" s="19"/>
      <c r="Y449" s="19"/>
    </row>
    <row r="450" spans="1:25" x14ac:dyDescent="0.35">
      <c r="A450" s="79" t="str">
        <f t="shared" si="502"/>
        <v>Sada MI3, 450mm</v>
      </c>
      <c r="B450" s="80" t="str">
        <f t="shared" si="503"/>
        <v>ZSI.450MI2</v>
      </c>
      <c r="C450" s="80" t="str">
        <f t="shared" si="504"/>
        <v>IG/G</v>
      </c>
      <c r="D450" s="173">
        <f t="shared" si="501"/>
        <v>0</v>
      </c>
      <c r="E450" s="81"/>
      <c r="F450" s="17">
        <f t="shared" si="505"/>
        <v>65.108220000000003</v>
      </c>
      <c r="G450" s="50"/>
      <c r="H450" s="50"/>
      <c r="I450" s="173">
        <f t="shared" si="506"/>
        <v>3776500</v>
      </c>
      <c r="J450" s="173">
        <f t="shared" si="507"/>
        <v>176764</v>
      </c>
      <c r="K450" s="54"/>
      <c r="L450" s="46" t="str">
        <f>Price!A450</f>
        <v>Sada MI3, 450mm</v>
      </c>
      <c r="M450" s="15" t="str">
        <f>Price!B450</f>
        <v>ZSI.450MI2</v>
      </c>
      <c r="N450" s="15" t="str">
        <f>Price!C450</f>
        <v>IG/G</v>
      </c>
      <c r="O450" s="472">
        <f>Price!D450</f>
        <v>0</v>
      </c>
      <c r="P450" s="15">
        <f>Price!E450</f>
        <v>0</v>
      </c>
      <c r="Q450" s="17">
        <f>Price!F450</f>
        <v>65.108220000000003</v>
      </c>
      <c r="R450" s="171"/>
      <c r="S450" s="171"/>
      <c r="T450" s="12">
        <f>Price!G450</f>
        <v>3776500</v>
      </c>
      <c r="U450" s="12">
        <f>Price!H450</f>
        <v>176764</v>
      </c>
      <c r="V450" s="13"/>
      <c r="W450" s="13"/>
      <c r="X450" s="19"/>
      <c r="Y450" s="19"/>
    </row>
    <row r="451" spans="1:25" x14ac:dyDescent="0.35">
      <c r="A451" s="79" t="str">
        <f t="shared" si="502"/>
        <v>Sada MI3, 500mm</v>
      </c>
      <c r="B451" s="80" t="str">
        <f t="shared" si="503"/>
        <v>ZSI.500MI3</v>
      </c>
      <c r="C451" s="80" t="str">
        <f t="shared" si="504"/>
        <v>IG/G</v>
      </c>
      <c r="D451" s="173">
        <f t="shared" si="501"/>
        <v>0</v>
      </c>
      <c r="E451" s="81"/>
      <c r="F451" s="17">
        <f t="shared" si="505"/>
        <v>73.331860000000006</v>
      </c>
      <c r="G451" s="50"/>
      <c r="H451" s="50"/>
      <c r="I451" s="173">
        <f t="shared" si="506"/>
        <v>3777090</v>
      </c>
      <c r="J451" s="173">
        <f t="shared" si="507"/>
        <v>13005</v>
      </c>
      <c r="K451" s="54"/>
      <c r="L451" s="46" t="str">
        <f>Price!A451</f>
        <v>Sada MI3, 500mm</v>
      </c>
      <c r="M451" s="15" t="str">
        <f>Price!B451</f>
        <v>ZSI.500MI3</v>
      </c>
      <c r="N451" s="15" t="str">
        <f>Price!C451</f>
        <v>IG/G</v>
      </c>
      <c r="O451" s="472">
        <f>Price!D451</f>
        <v>0</v>
      </c>
      <c r="P451" s="15">
        <f>Price!E451</f>
        <v>0</v>
      </c>
      <c r="Q451" s="17">
        <f>Price!F451</f>
        <v>73.331860000000006</v>
      </c>
      <c r="R451" s="171"/>
      <c r="S451" s="171"/>
      <c r="T451" s="12">
        <f>Price!G451</f>
        <v>3777090</v>
      </c>
      <c r="U451" s="12">
        <f>Price!H451</f>
        <v>13005</v>
      </c>
      <c r="V451" s="13"/>
      <c r="W451" s="13"/>
      <c r="X451" s="19"/>
      <c r="Y451" s="19"/>
    </row>
    <row r="452" spans="1:25" x14ac:dyDescent="0.35">
      <c r="A452" s="79" t="str">
        <f t="shared" si="502"/>
        <v>Sada MI3, 550mm</v>
      </c>
      <c r="B452" s="80" t="str">
        <f t="shared" si="503"/>
        <v>ZSI.550MI3</v>
      </c>
      <c r="C452" s="80" t="str">
        <f t="shared" si="504"/>
        <v>IG/G</v>
      </c>
      <c r="D452" s="173">
        <f t="shared" si="501"/>
        <v>0</v>
      </c>
      <c r="E452" s="81"/>
      <c r="F452" s="17">
        <f t="shared" si="505"/>
        <v>78.229100000000003</v>
      </c>
      <c r="G452" s="50"/>
      <c r="H452" s="50"/>
      <c r="I452" s="173">
        <f t="shared" si="506"/>
        <v>3777500</v>
      </c>
      <c r="J452" s="173">
        <f t="shared" si="507"/>
        <v>176777</v>
      </c>
      <c r="K452" s="54"/>
      <c r="L452" s="46" t="str">
        <f>Price!A452</f>
        <v>Sada MI3, 550mm</v>
      </c>
      <c r="M452" s="15" t="str">
        <f>Price!B452</f>
        <v>ZSI.550MI3</v>
      </c>
      <c r="N452" s="15" t="str">
        <f>Price!C452</f>
        <v>IG/G</v>
      </c>
      <c r="O452" s="472">
        <f>Price!D452</f>
        <v>0</v>
      </c>
      <c r="P452" s="15">
        <f>Price!E452</f>
        <v>0</v>
      </c>
      <c r="Q452" s="17">
        <f>Price!F452</f>
        <v>78.229100000000003</v>
      </c>
      <c r="R452" s="171"/>
      <c r="S452" s="171"/>
      <c r="T452" s="12">
        <f>Price!G452</f>
        <v>3777500</v>
      </c>
      <c r="U452" s="12">
        <f>Price!H452</f>
        <v>176777</v>
      </c>
      <c r="V452" s="13"/>
      <c r="W452" s="13"/>
      <c r="X452" s="19"/>
      <c r="Y452" s="19"/>
    </row>
    <row r="453" spans="1:25" x14ac:dyDescent="0.35">
      <c r="A453" s="79" t="str">
        <f t="shared" si="502"/>
        <v>Sada MI3, 600mm</v>
      </c>
      <c r="B453" s="80" t="str">
        <f t="shared" si="503"/>
        <v>ZSI.600MI3</v>
      </c>
      <c r="C453" s="80" t="str">
        <f t="shared" si="504"/>
        <v>IG/G</v>
      </c>
      <c r="D453" s="173">
        <f t="shared" si="501"/>
        <v>0</v>
      </c>
      <c r="E453" s="81"/>
      <c r="F453" s="17">
        <f t="shared" si="505"/>
        <v>90.702070000000006</v>
      </c>
      <c r="G453" s="50"/>
      <c r="H453" s="50"/>
      <c r="I453" s="173">
        <f t="shared" si="506"/>
        <v>3890650</v>
      </c>
      <c r="J453" s="173">
        <f t="shared" si="507"/>
        <v>176786</v>
      </c>
      <c r="K453" s="54"/>
      <c r="L453" s="46" t="str">
        <f>Price!A453</f>
        <v>Sada MI3, 600mm</v>
      </c>
      <c r="M453" s="15" t="str">
        <f>Price!B453</f>
        <v>ZSI.600MI3</v>
      </c>
      <c r="N453" s="15" t="str">
        <f>Price!C453</f>
        <v>IG/G</v>
      </c>
      <c r="O453" s="472">
        <f>Price!D453</f>
        <v>0</v>
      </c>
      <c r="P453" s="15">
        <f>Price!E453</f>
        <v>0</v>
      </c>
      <c r="Q453" s="17">
        <f>Price!F453</f>
        <v>90.702070000000006</v>
      </c>
      <c r="R453" s="171"/>
      <c r="S453" s="171"/>
      <c r="T453" s="12">
        <f>Price!G453</f>
        <v>3890650</v>
      </c>
      <c r="U453" s="12">
        <f>Price!H453</f>
        <v>176786</v>
      </c>
      <c r="V453" s="13"/>
      <c r="W453" s="13"/>
      <c r="X453" s="19"/>
      <c r="Y453" s="19"/>
    </row>
    <row r="454" spans="1:25" x14ac:dyDescent="0.35">
      <c r="A454" s="79" t="str">
        <f t="shared" si="502"/>
        <v>Sada MI3, 650mm</v>
      </c>
      <c r="B454" s="80" t="str">
        <f t="shared" si="503"/>
        <v>ZSI.650MI3</v>
      </c>
      <c r="C454" s="80" t="str">
        <f t="shared" si="504"/>
        <v>IG/G</v>
      </c>
      <c r="D454" s="173">
        <f t="shared" si="501"/>
        <v>0</v>
      </c>
      <c r="E454" s="81"/>
      <c r="F454" s="17">
        <f t="shared" si="505"/>
        <v>103.04093</v>
      </c>
      <c r="G454" s="50"/>
      <c r="H454" s="50"/>
      <c r="I454" s="173">
        <f t="shared" si="506"/>
        <v>3865600</v>
      </c>
      <c r="J454" s="173">
        <f t="shared" si="507"/>
        <v>176793</v>
      </c>
      <c r="K454" s="54"/>
      <c r="L454" s="46" t="str">
        <f>Price!A454</f>
        <v>Sada MI3, 650mm</v>
      </c>
      <c r="M454" s="15" t="str">
        <f>Price!B454</f>
        <v>ZSI.650MI3</v>
      </c>
      <c r="N454" s="15" t="str">
        <f>Price!C454</f>
        <v>IG/G</v>
      </c>
      <c r="O454" s="472">
        <f>Price!D454</f>
        <v>0</v>
      </c>
      <c r="P454" s="15">
        <f>Price!E454</f>
        <v>0</v>
      </c>
      <c r="Q454" s="17">
        <f>Price!F454</f>
        <v>103.04093</v>
      </c>
      <c r="R454" s="171"/>
      <c r="S454" s="171"/>
      <c r="T454" s="12">
        <f>Price!G454</f>
        <v>3865600</v>
      </c>
      <c r="U454" s="12">
        <f>Price!H454</f>
        <v>176793</v>
      </c>
      <c r="V454" s="13"/>
      <c r="W454" s="13"/>
      <c r="X454" s="19"/>
      <c r="Y454" s="19"/>
    </row>
    <row r="455" spans="1:25" x14ac:dyDescent="0.35">
      <c r="A455" s="43"/>
      <c r="B455" s="161"/>
      <c r="C455" s="161"/>
      <c r="D455" s="161"/>
      <c r="E455" s="69"/>
      <c r="F455" s="50"/>
      <c r="G455" s="50"/>
      <c r="H455" s="50"/>
      <c r="I455" s="176"/>
      <c r="J455" s="176"/>
      <c r="K455" s="54"/>
      <c r="L455" s="46"/>
      <c r="M455" s="15"/>
      <c r="N455" s="15"/>
      <c r="O455" s="472">
        <f>Price!D455</f>
        <v>0</v>
      </c>
      <c r="P455" s="15">
        <f>Price!E455</f>
        <v>0</v>
      </c>
      <c r="Q455" s="17"/>
      <c r="R455" s="171"/>
      <c r="S455" s="171"/>
      <c r="T455" s="12"/>
      <c r="U455" s="12"/>
      <c r="V455" s="13"/>
      <c r="W455" s="13"/>
      <c r="X455" s="19"/>
      <c r="Y455" s="19"/>
    </row>
    <row r="456" spans="1:25" x14ac:dyDescent="0.35">
      <c r="A456" s="43"/>
      <c r="B456" s="161"/>
      <c r="C456" s="161"/>
      <c r="D456" s="161"/>
      <c r="E456" s="69"/>
      <c r="F456" s="50"/>
      <c r="G456" s="50"/>
      <c r="H456" s="50"/>
      <c r="I456" s="176"/>
      <c r="J456" s="176"/>
      <c r="K456" s="54"/>
      <c r="L456" s="46" t="str">
        <f>Price!A456</f>
        <v xml:space="preserve">   ORGA-LINE doplňky</v>
      </c>
      <c r="M456" s="15">
        <f>Price!B456</f>
        <v>0</v>
      </c>
      <c r="N456" s="15">
        <f>Price!C456</f>
        <v>0</v>
      </c>
      <c r="O456" s="472">
        <f>Price!D456</f>
        <v>0</v>
      </c>
      <c r="P456" s="15">
        <f>Price!E456</f>
        <v>0</v>
      </c>
      <c r="Q456" s="17">
        <f>Price!F456</f>
        <v>0</v>
      </c>
      <c r="R456" s="171"/>
      <c r="S456" s="171"/>
      <c r="T456" s="12">
        <f>Price!G456</f>
        <v>0</v>
      </c>
      <c r="U456" s="12">
        <f>Price!H456</f>
        <v>0</v>
      </c>
      <c r="V456" s="13"/>
      <c r="W456" s="13"/>
      <c r="X456" s="19"/>
      <c r="Y456" s="19"/>
    </row>
    <row r="457" spans="1:25" x14ac:dyDescent="0.35">
      <c r="A457" s="79" t="str">
        <f t="shared" ref="A457:A462" si="508">L457</f>
        <v>Miska 88x88mm</v>
      </c>
      <c r="B457" s="80" t="str">
        <f t="shared" ref="B457:B462" si="509">M457</f>
        <v>ZSI.010SI</v>
      </c>
      <c r="C457" s="80" t="str">
        <f t="shared" ref="C457:C462" si="510">N457</f>
        <v>IG/G</v>
      </c>
      <c r="D457" s="173">
        <f>O457</f>
        <v>0</v>
      </c>
      <c r="E457" s="81"/>
      <c r="F457" s="17">
        <f t="shared" ref="F457:F462" si="511">Q457*(100-$F$6)/100</f>
        <v>3.6650700000000001</v>
      </c>
      <c r="G457" s="50"/>
      <c r="H457" s="50"/>
      <c r="I457" s="173">
        <f t="shared" ref="I457:I462" si="512">T457</f>
        <v>5726900</v>
      </c>
      <c r="J457" s="173">
        <f t="shared" ref="J457:J462" si="513">U457</f>
        <v>13011</v>
      </c>
      <c r="K457" s="54"/>
      <c r="L457" s="46" t="str">
        <f>Price!A457</f>
        <v>Miska 88x88mm</v>
      </c>
      <c r="M457" s="15" t="str">
        <f>Price!B457</f>
        <v>ZSI.010SI</v>
      </c>
      <c r="N457" s="15" t="str">
        <f>Price!C457</f>
        <v>IG/G</v>
      </c>
      <c r="O457" s="472">
        <f>Price!D457</f>
        <v>0</v>
      </c>
      <c r="P457" s="15">
        <f>Price!E457</f>
        <v>0</v>
      </c>
      <c r="Q457" s="17">
        <f>Price!F457</f>
        <v>3.6650700000000001</v>
      </c>
      <c r="R457" s="171"/>
      <c r="S457" s="171"/>
      <c r="T457" s="12">
        <f>Price!G457</f>
        <v>5726900</v>
      </c>
      <c r="U457" s="12">
        <f>Price!H457</f>
        <v>13011</v>
      </c>
      <c r="V457" s="13"/>
      <c r="W457" s="13"/>
      <c r="X457" s="19"/>
      <c r="Y457" s="19"/>
    </row>
    <row r="458" spans="1:25" x14ac:dyDescent="0.35">
      <c r="A458" s="79" t="str">
        <f t="shared" si="508"/>
        <v>Miska 88x176mm</v>
      </c>
      <c r="B458" s="80" t="str">
        <f t="shared" si="509"/>
        <v>ZSI.020SI</v>
      </c>
      <c r="C458" s="80" t="str">
        <f t="shared" si="510"/>
        <v>IG/G</v>
      </c>
      <c r="D458" s="173">
        <f t="shared" ref="D458:D462" si="514">O458</f>
        <v>0</v>
      </c>
      <c r="E458" s="81"/>
      <c r="F458" s="17">
        <f t="shared" si="511"/>
        <v>4.4506899999999998</v>
      </c>
      <c r="G458" s="50"/>
      <c r="H458" s="50"/>
      <c r="I458" s="173">
        <f t="shared" si="512"/>
        <v>5728380</v>
      </c>
      <c r="J458" s="173">
        <f t="shared" si="513"/>
        <v>13012</v>
      </c>
      <c r="K458" s="54"/>
      <c r="L458" s="46" t="str">
        <f>Price!A458</f>
        <v>Miska 88x176mm</v>
      </c>
      <c r="M458" s="15" t="str">
        <f>Price!B458</f>
        <v>ZSI.020SI</v>
      </c>
      <c r="N458" s="15" t="str">
        <f>Price!C458</f>
        <v>IG/G</v>
      </c>
      <c r="O458" s="472">
        <f>Price!D458</f>
        <v>0</v>
      </c>
      <c r="P458" s="15">
        <f>Price!E458</f>
        <v>0</v>
      </c>
      <c r="Q458" s="17">
        <f>Price!F458</f>
        <v>4.4506899999999998</v>
      </c>
      <c r="R458" s="171"/>
      <c r="S458" s="171"/>
      <c r="T458" s="12">
        <f>Price!G458</f>
        <v>5728380</v>
      </c>
      <c r="U458" s="12">
        <f>Price!H458</f>
        <v>13012</v>
      </c>
      <c r="V458" s="13"/>
      <c r="W458" s="13"/>
      <c r="X458" s="19"/>
      <c r="Y458" s="19"/>
    </row>
    <row r="459" spans="1:25" x14ac:dyDescent="0.35">
      <c r="A459" s="79" t="str">
        <f t="shared" si="508"/>
        <v>Miska 88x264mm</v>
      </c>
      <c r="B459" s="80" t="str">
        <f t="shared" si="509"/>
        <v>ZSI.030SI</v>
      </c>
      <c r="C459" s="80" t="str">
        <f t="shared" si="510"/>
        <v>IG/G</v>
      </c>
      <c r="D459" s="173">
        <f t="shared" si="514"/>
        <v>0</v>
      </c>
      <c r="E459" s="81"/>
      <c r="F459" s="17">
        <f t="shared" si="511"/>
        <v>5.2376300000000002</v>
      </c>
      <c r="G459" s="50"/>
      <c r="H459" s="50"/>
      <c r="I459" s="173">
        <f t="shared" si="512"/>
        <v>5729510</v>
      </c>
      <c r="J459" s="173">
        <f t="shared" si="513"/>
        <v>13072</v>
      </c>
      <c r="K459" s="54"/>
      <c r="L459" s="46" t="str">
        <f>Price!A459</f>
        <v>Miska 88x264mm</v>
      </c>
      <c r="M459" s="15" t="str">
        <f>Price!B459</f>
        <v>ZSI.030SI</v>
      </c>
      <c r="N459" s="15" t="str">
        <f>Price!C459</f>
        <v>IG/G</v>
      </c>
      <c r="O459" s="472">
        <f>Price!D459</f>
        <v>0</v>
      </c>
      <c r="P459" s="15">
        <f>Price!E459</f>
        <v>0</v>
      </c>
      <c r="Q459" s="17">
        <f>Price!F459</f>
        <v>5.2376300000000002</v>
      </c>
      <c r="R459" s="171"/>
      <c r="S459" s="171"/>
      <c r="T459" s="12">
        <f>Price!G459</f>
        <v>5729510</v>
      </c>
      <c r="U459" s="12">
        <f>Price!H459</f>
        <v>13072</v>
      </c>
      <c r="V459" s="13"/>
      <c r="W459" s="13"/>
      <c r="X459" s="19"/>
      <c r="Y459" s="19"/>
    </row>
    <row r="460" spans="1:25" x14ac:dyDescent="0.35">
      <c r="A460" s="79" t="str">
        <f t="shared" si="508"/>
        <v>Miska 88x352mm</v>
      </c>
      <c r="B460" s="80" t="str">
        <f t="shared" si="509"/>
        <v>ZSI.040SI</v>
      </c>
      <c r="C460" s="80" t="str">
        <f t="shared" si="510"/>
        <v>IG/G</v>
      </c>
      <c r="D460" s="173">
        <f t="shared" si="514"/>
        <v>0</v>
      </c>
      <c r="E460" s="81"/>
      <c r="F460" s="17">
        <f t="shared" si="511"/>
        <v>8.2490600000000001</v>
      </c>
      <c r="G460" s="50"/>
      <c r="H460" s="50"/>
      <c r="I460" s="173">
        <f t="shared" si="512"/>
        <v>5729780</v>
      </c>
      <c r="J460" s="173">
        <f t="shared" si="513"/>
        <v>99012</v>
      </c>
      <c r="K460" s="48"/>
      <c r="L460" s="46" t="str">
        <f>Price!A460</f>
        <v>Miska 88x352mm</v>
      </c>
      <c r="M460" s="15" t="str">
        <f>Price!B460</f>
        <v>ZSI.040SI</v>
      </c>
      <c r="N460" s="15" t="str">
        <f>Price!C460</f>
        <v>IG/G</v>
      </c>
      <c r="O460" s="472">
        <f>Price!D460</f>
        <v>0</v>
      </c>
      <c r="P460" s="15">
        <f>Price!E460</f>
        <v>0</v>
      </c>
      <c r="Q460" s="17">
        <f>Price!F460</f>
        <v>8.2490600000000001</v>
      </c>
      <c r="R460" s="171"/>
      <c r="S460" s="171"/>
      <c r="T460" s="12">
        <f>Price!G460</f>
        <v>5729780</v>
      </c>
      <c r="U460" s="12">
        <f>Price!H460</f>
        <v>99012</v>
      </c>
      <c r="V460" s="13"/>
      <c r="W460" s="13"/>
      <c r="X460" s="19"/>
      <c r="Y460" s="19"/>
    </row>
    <row r="461" spans="1:25" x14ac:dyDescent="0.35">
      <c r="A461" s="79" t="str">
        <f t="shared" si="508"/>
        <v>Příčný dělící prvek 88mm</v>
      </c>
      <c r="B461" s="80" t="str">
        <f t="shared" si="509"/>
        <v>ZSI.010Q</v>
      </c>
      <c r="C461" s="80" t="str">
        <f t="shared" si="510"/>
        <v>R737</v>
      </c>
      <c r="D461" s="173">
        <f t="shared" si="514"/>
        <v>0</v>
      </c>
      <c r="E461" s="81"/>
      <c r="F461" s="17">
        <f t="shared" si="511"/>
        <v>0</v>
      </c>
      <c r="G461" s="50"/>
      <c r="H461" s="50"/>
      <c r="I461" s="173">
        <f t="shared" si="512"/>
        <v>6070030</v>
      </c>
      <c r="J461" s="173" t="str">
        <f t="shared" si="513"/>
        <v>-</v>
      </c>
      <c r="K461" s="54"/>
      <c r="L461" s="46" t="str">
        <f>Price!A461</f>
        <v>Příčný dělící prvek 88mm</v>
      </c>
      <c r="M461" s="15" t="str">
        <f>Price!B461</f>
        <v>ZSI.010Q</v>
      </c>
      <c r="N461" s="15" t="str">
        <f>Price!C461</f>
        <v>R737</v>
      </c>
      <c r="O461" s="472">
        <f>Price!D461</f>
        <v>0</v>
      </c>
      <c r="P461" s="15">
        <f>Price!E461</f>
        <v>0</v>
      </c>
      <c r="Q461" s="17">
        <f>Price!F461</f>
        <v>0</v>
      </c>
      <c r="R461" s="171"/>
      <c r="S461" s="171"/>
      <c r="T461" s="12">
        <f>Price!G461</f>
        <v>6070030</v>
      </c>
      <c r="U461" s="12" t="str">
        <f>Price!H461</f>
        <v>-</v>
      </c>
      <c r="V461" s="13"/>
      <c r="W461" s="13"/>
      <c r="X461" s="19"/>
      <c r="Y461" s="19"/>
    </row>
    <row r="462" spans="1:25" x14ac:dyDescent="0.35">
      <c r="A462" s="79" t="str">
        <f t="shared" si="508"/>
        <v>Příčný dělící prvek 176mm</v>
      </c>
      <c r="B462" s="80" t="str">
        <f t="shared" si="509"/>
        <v>ZSI.020Q</v>
      </c>
      <c r="C462" s="80" t="str">
        <f t="shared" si="510"/>
        <v>R737</v>
      </c>
      <c r="D462" s="173">
        <f t="shared" si="514"/>
        <v>0</v>
      </c>
      <c r="E462" s="81"/>
      <c r="F462" s="17">
        <f t="shared" si="511"/>
        <v>1.9273499999999999</v>
      </c>
      <c r="G462" s="50"/>
      <c r="H462" s="50"/>
      <c r="I462" s="173">
        <f t="shared" si="512"/>
        <v>6070200</v>
      </c>
      <c r="J462" s="173">
        <f t="shared" si="513"/>
        <v>13015</v>
      </c>
      <c r="K462" s="54"/>
      <c r="L462" s="46" t="str">
        <f>Price!A462</f>
        <v>Příčný dělící prvek 176mm</v>
      </c>
      <c r="M462" s="15" t="str">
        <f>Price!B462</f>
        <v>ZSI.020Q</v>
      </c>
      <c r="N462" s="15" t="str">
        <f>Price!C462</f>
        <v>R737</v>
      </c>
      <c r="O462" s="472">
        <f>Price!D462</f>
        <v>0</v>
      </c>
      <c r="P462" s="15">
        <f>Price!E462</f>
        <v>0</v>
      </c>
      <c r="Q462" s="17">
        <f>Price!F462</f>
        <v>1.9273499999999999</v>
      </c>
      <c r="R462" s="171"/>
      <c r="S462" s="171"/>
      <c r="T462" s="12">
        <f>Price!G462</f>
        <v>6070200</v>
      </c>
      <c r="U462" s="12">
        <f>Price!H462</f>
        <v>13015</v>
      </c>
      <c r="V462" s="13"/>
      <c r="W462" s="13"/>
      <c r="X462" s="19"/>
      <c r="Y462" s="19"/>
    </row>
    <row r="463" spans="1:25" x14ac:dyDescent="0.35">
      <c r="A463" s="43"/>
      <c r="B463" s="161"/>
      <c r="C463" s="161"/>
      <c r="D463" s="161"/>
      <c r="E463" s="69"/>
      <c r="F463" s="50"/>
      <c r="G463" s="50"/>
      <c r="H463" s="50"/>
      <c r="I463" s="50"/>
      <c r="J463" s="50"/>
      <c r="K463" s="54"/>
      <c r="L463" s="46">
        <f>Price!A463</f>
        <v>0</v>
      </c>
      <c r="M463" s="15">
        <f>Price!B463</f>
        <v>0</v>
      </c>
      <c r="N463" s="15">
        <f>Price!C463</f>
        <v>0</v>
      </c>
      <c r="O463" s="472">
        <f>Price!D463</f>
        <v>0</v>
      </c>
      <c r="P463" s="15">
        <f>Price!E463</f>
        <v>0</v>
      </c>
      <c r="Q463" s="17">
        <f>Price!F463</f>
        <v>0</v>
      </c>
      <c r="R463" s="171"/>
      <c r="S463" s="171"/>
      <c r="T463" s="12">
        <f>Price!G463</f>
        <v>0</v>
      </c>
      <c r="U463" s="12">
        <f>Price!H463</f>
        <v>0</v>
      </c>
      <c r="V463" s="13"/>
      <c r="W463" s="13"/>
      <c r="X463" s="19"/>
      <c r="Y463" s="19"/>
    </row>
    <row r="464" spans="1:25" x14ac:dyDescent="0.35">
      <c r="A464" s="43"/>
      <c r="B464" s="161"/>
      <c r="C464" s="161"/>
      <c r="D464" s="161"/>
      <c r="E464" s="69"/>
      <c r="F464" s="50"/>
      <c r="G464" s="50"/>
      <c r="H464" s="50"/>
      <c r="I464" s="50"/>
      <c r="J464" s="50"/>
      <c r="K464" s="54"/>
      <c r="L464" s="46">
        <f>Price!A464</f>
        <v>0</v>
      </c>
      <c r="M464" s="15">
        <f>Price!B464</f>
        <v>0</v>
      </c>
      <c r="N464" s="15">
        <f>Price!C464</f>
        <v>0</v>
      </c>
      <c r="O464" s="472">
        <f>Price!D464</f>
        <v>0</v>
      </c>
      <c r="P464" s="15">
        <f>Price!E464</f>
        <v>0</v>
      </c>
      <c r="Q464" s="17">
        <f>Price!F464</f>
        <v>0</v>
      </c>
      <c r="R464" s="171"/>
      <c r="S464" s="171"/>
      <c r="T464" s="12">
        <f>Price!G464</f>
        <v>0</v>
      </c>
      <c r="U464" s="12">
        <f>Price!H464</f>
        <v>0</v>
      </c>
      <c r="V464" s="13"/>
      <c r="W464" s="13"/>
      <c r="X464" s="19"/>
      <c r="Y464" s="19"/>
    </row>
    <row r="465" spans="1:25" x14ac:dyDescent="0.35">
      <c r="A465" s="66"/>
      <c r="B465" s="161"/>
      <c r="C465" s="161"/>
      <c r="D465" s="161"/>
      <c r="E465" s="69"/>
      <c r="F465" s="70"/>
      <c r="G465" s="70"/>
      <c r="H465" s="70"/>
      <c r="I465" s="70"/>
      <c r="J465" s="70"/>
      <c r="K465" s="54"/>
      <c r="L465" s="46" t="str">
        <f>Price!A465</f>
        <v xml:space="preserve">   ORGA-LINE příčné dělení</v>
      </c>
      <c r="M465" s="15">
        <f>Price!B465</f>
        <v>0</v>
      </c>
      <c r="N465" s="15">
        <f>Price!C465</f>
        <v>0</v>
      </c>
      <c r="O465" s="472">
        <f>Price!D465</f>
        <v>0</v>
      </c>
      <c r="P465" s="15">
        <f>Price!E465</f>
        <v>0</v>
      </c>
      <c r="Q465" s="17">
        <f>Price!F465</f>
        <v>0</v>
      </c>
      <c r="R465" s="171"/>
      <c r="S465" s="171"/>
      <c r="T465" s="12">
        <f>Price!G465</f>
        <v>0</v>
      </c>
      <c r="U465" s="12">
        <f>Price!H465</f>
        <v>0</v>
      </c>
      <c r="V465" s="13"/>
      <c r="W465" s="13"/>
      <c r="X465" s="19"/>
      <c r="Y465" s="19"/>
    </row>
    <row r="466" spans="1:25" ht="15" thickBot="1" x14ac:dyDescent="0.4">
      <c r="A466" s="75" t="str">
        <f>IF($C$2=1,L466,IF($C$2=2,L467,IF($C$2=3,L468, IF($C$2=4, L469, "  chyba"))))</f>
        <v>Příčka ke zkrácení, KB 300mm, šedá</v>
      </c>
      <c r="B466" s="76" t="str">
        <f t="shared" ref="B466" si="515">IF($C$2=1,M466,IF($C$2=2,M467,IF($C$2=3,M468, IF($C$2=4, M469, "  chyba"))))</f>
        <v>Z40L177A</v>
      </c>
      <c r="C466" s="76" t="str">
        <f t="shared" ref="C466" si="516">IF($C$2=1,N466,IF($C$2=2,N467,IF($C$2=3,N468, IF($C$2=4, N469, "  chyba"))))</f>
        <v>R906</v>
      </c>
      <c r="D466" s="172">
        <f t="shared" ref="D466" si="517">IF($C$2=1,O466,IF($C$2=2,O467,IF($C$2=3,O468, IF($C$2=4, O469, "  chyba"))))</f>
        <v>0</v>
      </c>
      <c r="E466" s="77">
        <f t="shared" ref="E466" si="518">IF($C$2=1,P466,IF($C$2=2,P467,IF($C$2=3,P468, IF($C$2=4, P469, "  chyba"))))</f>
        <v>0</v>
      </c>
      <c r="F466" s="78">
        <f>IF($C$2=1,Q466,IF($C$2=2,Q467,IF($C$2=3,Q468, IF($C$2=4, Q469, "  chyba"))))*(100-$F$6)/100</f>
        <v>5.7865700000000002</v>
      </c>
      <c r="G466" s="50"/>
      <c r="H466" s="50"/>
      <c r="I466" s="172">
        <f t="shared" ref="I466" si="519">IF($C$2=1,T466,IF($C$2=2,T467,IF($C$2=3,T468, IF($C$2=4, T469, "  chyba"))))</f>
        <v>8860753</v>
      </c>
      <c r="J466" s="172">
        <f t="shared" ref="J466" si="520">IF($C$2=1,U466,IF($C$2=2,U467,IF($C$2=3,U468, IF($C$2=4, U469, "  chyba"))))</f>
        <v>210837</v>
      </c>
      <c r="K466" s="54"/>
      <c r="L466" s="46" t="str">
        <f>Price!A466</f>
        <v>Příčka ke zkrácení, KB 300mm, šedá</v>
      </c>
      <c r="M466" s="15" t="str">
        <f>Price!B466</f>
        <v>Z40L177A</v>
      </c>
      <c r="N466" s="15" t="str">
        <f>Price!C466</f>
        <v>R906</v>
      </c>
      <c r="O466" s="472">
        <f>Price!D466</f>
        <v>0</v>
      </c>
      <c r="P466" s="15">
        <f>Price!E466</f>
        <v>0</v>
      </c>
      <c r="Q466" s="17">
        <f>Price!F466</f>
        <v>5.7865700000000002</v>
      </c>
      <c r="R466" s="171"/>
      <c r="S466" s="171"/>
      <c r="T466" s="12">
        <f>Price!G466</f>
        <v>8860753</v>
      </c>
      <c r="U466" s="12">
        <f>Price!H466</f>
        <v>210837</v>
      </c>
      <c r="V466" s="13"/>
      <c r="W466" s="13"/>
      <c r="X466" s="19"/>
      <c r="Y466" s="19"/>
    </row>
    <row r="467" spans="1:25" x14ac:dyDescent="0.35">
      <c r="A467" s="43"/>
      <c r="B467" s="161"/>
      <c r="C467" s="161"/>
      <c r="D467" s="161"/>
      <c r="E467" s="69"/>
      <c r="F467" s="70"/>
      <c r="G467" s="70"/>
      <c r="H467" s="70"/>
      <c r="I467" s="176"/>
      <c r="J467" s="176"/>
      <c r="K467" s="54"/>
      <c r="L467" s="46" t="str">
        <f>Price!A467</f>
        <v>Příčka ke zkrácení, KB 300mm, hedvábně bílá</v>
      </c>
      <c r="M467" s="15" t="str">
        <f>Price!B467</f>
        <v>Z40L177A</v>
      </c>
      <c r="N467" s="15" t="str">
        <f>Price!C467</f>
        <v>SEIW</v>
      </c>
      <c r="O467" s="472">
        <f>Price!D467</f>
        <v>0</v>
      </c>
      <c r="P467" s="15">
        <f>Price!E467</f>
        <v>0</v>
      </c>
      <c r="Q467" s="17">
        <f>Price!F467</f>
        <v>5.7865700000000002</v>
      </c>
      <c r="R467" s="171"/>
      <c r="S467" s="171"/>
      <c r="T467" s="12">
        <f>Price!G467</f>
        <v>5175821</v>
      </c>
      <c r="U467" s="12">
        <f>Price!H467</f>
        <v>210838</v>
      </c>
      <c r="V467" s="13"/>
      <c r="W467" s="13"/>
      <c r="X467" s="19"/>
      <c r="Y467" s="19"/>
    </row>
    <row r="468" spans="1:25" x14ac:dyDescent="0.35">
      <c r="A468" s="43"/>
      <c r="B468" s="161"/>
      <c r="C468" s="161"/>
      <c r="D468" s="161"/>
      <c r="E468" s="69"/>
      <c r="F468" s="70"/>
      <c r="G468" s="70"/>
      <c r="H468" s="70"/>
      <c r="I468" s="176"/>
      <c r="J468" s="176"/>
      <c r="K468" s="54"/>
      <c r="L468" s="46" t="str">
        <f>Price!A468</f>
        <v>Příčka ke zkrácení, KB 300mm, černá Terra</v>
      </c>
      <c r="M468" s="15" t="str">
        <f>Price!B468</f>
        <v>Z40L177A</v>
      </c>
      <c r="N468" s="15" t="str">
        <f>Price!C468</f>
        <v>TERS</v>
      </c>
      <c r="O468" s="472">
        <f>Price!D468</f>
        <v>0</v>
      </c>
      <c r="P468" s="15">
        <f>Price!E468</f>
        <v>0</v>
      </c>
      <c r="Q468" s="17">
        <f>Price!F468</f>
        <v>5.3911899999999999</v>
      </c>
      <c r="R468" s="171"/>
      <c r="S468" s="171"/>
      <c r="T468" s="12">
        <f>Price!G468</f>
        <v>7446870</v>
      </c>
      <c r="U468" s="12">
        <f>Price!H468</f>
        <v>210839</v>
      </c>
      <c r="V468" s="13"/>
      <c r="W468" s="13"/>
      <c r="X468" s="19"/>
      <c r="Y468" s="19"/>
    </row>
    <row r="469" spans="1:25" x14ac:dyDescent="0.35">
      <c r="A469" s="43"/>
      <c r="B469" s="161"/>
      <c r="C469" s="161"/>
      <c r="D469" s="161"/>
      <c r="E469" s="69"/>
      <c r="F469" s="70"/>
      <c r="G469" s="70"/>
      <c r="H469" s="70"/>
      <c r="I469" s="176"/>
      <c r="J469" s="176"/>
      <c r="K469" s="54"/>
      <c r="L469" s="46" t="str">
        <f>Price!A469</f>
        <v>Příčka ke zkrácení, KB 300mm, niklovaná matná</v>
      </c>
      <c r="M469" s="15" t="str">
        <f>Price!B469</f>
        <v>Z40L177A</v>
      </c>
      <c r="N469" s="15" t="str">
        <f>Price!C469</f>
        <v>NI-M</v>
      </c>
      <c r="O469" s="472">
        <f>Price!D469</f>
        <v>0</v>
      </c>
      <c r="P469" s="15">
        <f>Price!E469</f>
        <v>0</v>
      </c>
      <c r="Q469" s="17">
        <f>Price!F469</f>
        <v>29.99175</v>
      </c>
      <c r="R469" s="171"/>
      <c r="S469" s="171"/>
      <c r="T469" s="12">
        <f>Price!G469</f>
        <v>1075138</v>
      </c>
      <c r="U469" s="12">
        <f>Price!H469</f>
        <v>210836</v>
      </c>
      <c r="V469" s="13"/>
      <c r="W469" s="13"/>
      <c r="X469" s="19"/>
      <c r="Y469" s="19"/>
    </row>
    <row r="470" spans="1:25" ht="15" thickBot="1" x14ac:dyDescent="0.4">
      <c r="A470" s="75" t="str">
        <f>IF($C$2=1,L470,IF($C$2=2,L471,IF($C$2=3,L472, IF($C$2=4, L473, "  chyba"))))</f>
        <v>Příčka ke zkrácení, KB 600mm, šedá</v>
      </c>
      <c r="B470" s="76" t="str">
        <f t="shared" ref="B470" si="521">IF($C$2=1,M470,IF($C$2=2,M471,IF($C$2=3,M472, IF($C$2=4, M473, "  chyba"))))</f>
        <v>Z40L477A</v>
      </c>
      <c r="C470" s="76" t="str">
        <f t="shared" ref="C470" si="522">IF($C$2=1,N470,IF($C$2=2,N471,IF($C$2=3,N472, IF($C$2=4, N473, "  chyba"))))</f>
        <v>R906</v>
      </c>
      <c r="D470" s="172">
        <f t="shared" ref="D470" si="523">IF($C$2=1,O470,IF($C$2=2,O471,IF($C$2=3,O472, IF($C$2=4, O473, "  chyba"))))</f>
        <v>0</v>
      </c>
      <c r="E470" s="77">
        <f t="shared" ref="E470" si="524">IF($C$2=1,P470,IF($C$2=2,P471,IF($C$2=3,P472, IF($C$2=4, P473, "  chyba"))))</f>
        <v>0</v>
      </c>
      <c r="F470" s="78">
        <f>IF($C$2=1,Q470,IF($C$2=2,Q471,IF($C$2=3,Q472, IF($C$2=4, Q473, "  chyba"))))*(100-$F$6)/100</f>
        <v>7.2901999999999996</v>
      </c>
      <c r="G470" s="50"/>
      <c r="H470" s="50"/>
      <c r="I470" s="172">
        <f t="shared" ref="I470" si="525">IF($C$2=1,T470,IF($C$2=2,T471,IF($C$2=3,T472, IF($C$2=4, T473, "  chyba"))))</f>
        <v>1652924</v>
      </c>
      <c r="J470" s="172">
        <f t="shared" ref="J470" si="526">IF($C$2=1,U470,IF($C$2=2,U471,IF($C$2=3,U472, IF($C$2=4, U473, "  chyba"))))</f>
        <v>210845</v>
      </c>
      <c r="K470" s="54"/>
      <c r="L470" s="46" t="str">
        <f>Price!A470</f>
        <v>Příčka ke zkrácení, KB 600mm, šedá</v>
      </c>
      <c r="M470" s="15" t="str">
        <f>Price!B470</f>
        <v>Z40L477A</v>
      </c>
      <c r="N470" s="15" t="str">
        <f>Price!C470</f>
        <v>R906</v>
      </c>
      <c r="O470" s="472">
        <f>Price!D470</f>
        <v>0</v>
      </c>
      <c r="P470" s="15">
        <f>Price!E470</f>
        <v>0</v>
      </c>
      <c r="Q470" s="17">
        <f>Price!F470</f>
        <v>7.2901999999999996</v>
      </c>
      <c r="R470" s="171"/>
      <c r="S470" s="171"/>
      <c r="T470" s="12">
        <f>Price!G470</f>
        <v>1652924</v>
      </c>
      <c r="U470" s="12">
        <f>Price!H470</f>
        <v>210845</v>
      </c>
      <c r="V470" s="13"/>
      <c r="W470" s="13"/>
      <c r="X470" s="19"/>
      <c r="Y470" s="19"/>
    </row>
    <row r="471" spans="1:25" x14ac:dyDescent="0.35">
      <c r="A471" s="43"/>
      <c r="B471" s="161"/>
      <c r="C471" s="161"/>
      <c r="D471" s="161"/>
      <c r="E471" s="69"/>
      <c r="F471" s="70"/>
      <c r="G471" s="70"/>
      <c r="H471" s="70"/>
      <c r="I471" s="176"/>
      <c r="J471" s="176"/>
      <c r="K471" s="54"/>
      <c r="L471" s="46" t="str">
        <f>Price!A471</f>
        <v>Příčka ke zkrácení, KB 600mm, hedvábně bílá</v>
      </c>
      <c r="M471" s="15" t="str">
        <f>Price!B471</f>
        <v>Z40L477A</v>
      </c>
      <c r="N471" s="15" t="str">
        <f>Price!C471</f>
        <v>SEIW</v>
      </c>
      <c r="O471" s="472">
        <f>Price!D471</f>
        <v>0</v>
      </c>
      <c r="P471" s="15">
        <f>Price!E471</f>
        <v>0</v>
      </c>
      <c r="Q471" s="17">
        <f>Price!F471</f>
        <v>7.2901999999999996</v>
      </c>
      <c r="R471" s="171"/>
      <c r="S471" s="171"/>
      <c r="T471" s="12">
        <f>Price!G471</f>
        <v>1722284</v>
      </c>
      <c r="U471" s="12">
        <f>Price!H471</f>
        <v>210846</v>
      </c>
      <c r="V471" s="13"/>
      <c r="W471" s="13"/>
      <c r="X471" s="19"/>
      <c r="Y471" s="19"/>
    </row>
    <row r="472" spans="1:25" x14ac:dyDescent="0.35">
      <c r="A472" s="43"/>
      <c r="B472" s="161"/>
      <c r="C472" s="161"/>
      <c r="D472" s="161"/>
      <c r="E472" s="69"/>
      <c r="F472" s="70"/>
      <c r="G472" s="70"/>
      <c r="H472" s="70"/>
      <c r="I472" s="176"/>
      <c r="J472" s="176"/>
      <c r="K472" s="54"/>
      <c r="L472" s="46" t="str">
        <f>Price!A472</f>
        <v>Příčka ke zkrácení, KB 600mm, černá Terra</v>
      </c>
      <c r="M472" s="15" t="str">
        <f>Price!B472</f>
        <v>Z40L477A</v>
      </c>
      <c r="N472" s="15" t="str">
        <f>Price!C472</f>
        <v>TERS</v>
      </c>
      <c r="O472" s="472">
        <f>Price!D472</f>
        <v>0</v>
      </c>
      <c r="P472" s="15">
        <f>Price!E472</f>
        <v>0</v>
      </c>
      <c r="Q472" s="17">
        <f>Price!F472</f>
        <v>7.2901999999999996</v>
      </c>
      <c r="R472" s="171"/>
      <c r="S472" s="171"/>
      <c r="T472" s="12">
        <f>Price!G472</f>
        <v>4099350</v>
      </c>
      <c r="U472" s="12">
        <f>Price!H472</f>
        <v>210847</v>
      </c>
      <c r="V472" s="13"/>
      <c r="W472" s="13"/>
      <c r="X472" s="19"/>
      <c r="Y472" s="19"/>
    </row>
    <row r="473" spans="1:25" x14ac:dyDescent="0.35">
      <c r="A473" s="43"/>
      <c r="B473" s="161"/>
      <c r="C473" s="161"/>
      <c r="D473" s="161"/>
      <c r="E473" s="69"/>
      <c r="F473" s="70"/>
      <c r="G473" s="70"/>
      <c r="H473" s="70"/>
      <c r="I473" s="176"/>
      <c r="J473" s="176"/>
      <c r="K473" s="54"/>
      <c r="L473" s="46" t="str">
        <f>Price!A473</f>
        <v>Příčka ke zkrácení, KB 600mm, niklovaná matná</v>
      </c>
      <c r="M473" s="15" t="str">
        <f>Price!B473</f>
        <v>Z40L477A</v>
      </c>
      <c r="N473" s="15" t="str">
        <f>Price!C473</f>
        <v>NI-M</v>
      </c>
      <c r="O473" s="472">
        <f>Price!D473</f>
        <v>0</v>
      </c>
      <c r="P473" s="15">
        <f>Price!E473</f>
        <v>0</v>
      </c>
      <c r="Q473" s="17">
        <f>Price!F473</f>
        <v>33.944949999999999</v>
      </c>
      <c r="R473" s="171"/>
      <c r="S473" s="171"/>
      <c r="T473" s="12">
        <f>Price!G473</f>
        <v>6644388</v>
      </c>
      <c r="U473" s="12">
        <f>Price!H473</f>
        <v>210844</v>
      </c>
      <c r="V473" s="13"/>
      <c r="W473" s="13"/>
      <c r="X473" s="19"/>
      <c r="Y473" s="19"/>
    </row>
    <row r="474" spans="1:25" ht="15" thickBot="1" x14ac:dyDescent="0.4">
      <c r="A474" s="75" t="str">
        <f>IF($C$2=1,L474,IF($C$2=2,L475,IF($C$2=3,L476, IF($C$2=4, L477, "  chyba"))))</f>
        <v>Příčka ke zkrácení, KB 900mm, šedá</v>
      </c>
      <c r="B474" s="76" t="str">
        <f t="shared" ref="B474" si="527">IF($C$2=1,M474,IF($C$2=2,M475,IF($C$2=3,M476, IF($C$2=4, M477, "  chyba"))))</f>
        <v>Z40L777A</v>
      </c>
      <c r="C474" s="76" t="str">
        <f t="shared" ref="C474" si="528">IF($C$2=1,N474,IF($C$2=2,N475,IF($C$2=3,N476, IF($C$2=4, N477, "  chyba"))))</f>
        <v>R906</v>
      </c>
      <c r="D474" s="172">
        <f t="shared" ref="D474" si="529">IF($C$2=1,O474,IF($C$2=2,O475,IF($C$2=3,O476, IF($C$2=4, O477, "  chyba"))))</f>
        <v>0</v>
      </c>
      <c r="E474" s="77">
        <f t="shared" ref="E474" si="530">IF($C$2=1,P474,IF($C$2=2,P475,IF($C$2=3,P476, IF($C$2=4, P477, "  chyba"))))</f>
        <v>0</v>
      </c>
      <c r="F474" s="78">
        <f>IF($C$2=1,Q474,IF($C$2=2,Q475,IF($C$2=3,Q476, IF($C$2=4, Q477, "  chyba"))))*(100-$F$6)/100</f>
        <v>10.70745</v>
      </c>
      <c r="G474" s="50"/>
      <c r="H474" s="50"/>
      <c r="I474" s="172">
        <f t="shared" ref="I474" si="531">IF($C$2=1,T474,IF($C$2=2,T475,IF($C$2=3,T476, IF($C$2=4, T477, "  chyba"))))</f>
        <v>8237194</v>
      </c>
      <c r="J474" s="172">
        <f t="shared" ref="J474" si="532">IF($C$2=1,U474,IF($C$2=2,U475,IF($C$2=3,U476, IF($C$2=4, U477, "  chyba"))))</f>
        <v>210849</v>
      </c>
      <c r="K474" s="54"/>
      <c r="L474" s="46" t="str">
        <f>Price!A474</f>
        <v>Příčka ke zkrácení, KB 900mm, šedá</v>
      </c>
      <c r="M474" s="15" t="str">
        <f>Price!B474</f>
        <v>Z40L777A</v>
      </c>
      <c r="N474" s="15" t="str">
        <f>Price!C474</f>
        <v>R906</v>
      </c>
      <c r="O474" s="472">
        <f>Price!D474</f>
        <v>0</v>
      </c>
      <c r="P474" s="15">
        <f>Price!E474</f>
        <v>0</v>
      </c>
      <c r="Q474" s="17">
        <f>Price!F474</f>
        <v>10.70745</v>
      </c>
      <c r="R474" s="171"/>
      <c r="S474" s="171"/>
      <c r="T474" s="12">
        <f>Price!G474</f>
        <v>8237194</v>
      </c>
      <c r="U474" s="12">
        <f>Price!H474</f>
        <v>210849</v>
      </c>
      <c r="V474" s="13"/>
      <c r="W474" s="13"/>
      <c r="X474" s="19"/>
      <c r="Y474" s="19"/>
    </row>
    <row r="475" spans="1:25" x14ac:dyDescent="0.35">
      <c r="A475" s="43"/>
      <c r="B475" s="161"/>
      <c r="C475" s="161"/>
      <c r="D475" s="161"/>
      <c r="E475" s="69"/>
      <c r="F475" s="70"/>
      <c r="G475" s="70"/>
      <c r="H475" s="70"/>
      <c r="I475" s="176"/>
      <c r="J475" s="176"/>
      <c r="K475" s="54"/>
      <c r="L475" s="46" t="str">
        <f>Price!A475</f>
        <v>Příčka ke zkrácení, KB 900mm, hedvábně bílá</v>
      </c>
      <c r="M475" s="15" t="str">
        <f>Price!B475</f>
        <v>Z40L777A</v>
      </c>
      <c r="N475" s="15" t="str">
        <f>Price!C475</f>
        <v>SEIW</v>
      </c>
      <c r="O475" s="472">
        <f>Price!D475</f>
        <v>0</v>
      </c>
      <c r="P475" s="15">
        <f>Price!E475</f>
        <v>0</v>
      </c>
      <c r="Q475" s="17">
        <f>Price!F475</f>
        <v>10.70745</v>
      </c>
      <c r="R475" s="171"/>
      <c r="S475" s="171"/>
      <c r="T475" s="12">
        <f>Price!G475</f>
        <v>4052763</v>
      </c>
      <c r="U475" s="12">
        <f>Price!H475</f>
        <v>210850</v>
      </c>
      <c r="V475" s="13"/>
      <c r="W475" s="13"/>
      <c r="X475" s="19"/>
      <c r="Y475" s="19"/>
    </row>
    <row r="476" spans="1:25" x14ac:dyDescent="0.35">
      <c r="A476" s="66"/>
      <c r="B476" s="161"/>
      <c r="C476" s="161"/>
      <c r="D476" s="161"/>
      <c r="E476" s="69"/>
      <c r="F476" s="50"/>
      <c r="G476" s="50"/>
      <c r="H476" s="50"/>
      <c r="I476" s="176"/>
      <c r="J476" s="176"/>
      <c r="K476" s="54"/>
      <c r="L476" s="46" t="str">
        <f>Price!A476</f>
        <v>Příčka ke zkrácení, KB 900mm, černá Terra</v>
      </c>
      <c r="M476" s="15" t="str">
        <f>Price!B476</f>
        <v>Z40L777A</v>
      </c>
      <c r="N476" s="15" t="str">
        <f>Price!C476</f>
        <v>TERS</v>
      </c>
      <c r="O476" s="472">
        <f>Price!D476</f>
        <v>0</v>
      </c>
      <c r="P476" s="15">
        <f>Price!E476</f>
        <v>0</v>
      </c>
      <c r="Q476" s="17">
        <f>Price!F476</f>
        <v>10.70745</v>
      </c>
      <c r="R476" s="171"/>
      <c r="S476" s="171"/>
      <c r="T476" s="12">
        <f>Price!G476</f>
        <v>7400313</v>
      </c>
      <c r="U476" s="12">
        <f>Price!H476</f>
        <v>210851</v>
      </c>
      <c r="V476" s="13"/>
      <c r="W476" s="13"/>
      <c r="X476" s="19"/>
      <c r="Y476" s="19"/>
    </row>
    <row r="477" spans="1:25" x14ac:dyDescent="0.35">
      <c r="A477" s="66"/>
      <c r="B477" s="161"/>
      <c r="C477" s="161"/>
      <c r="D477" s="161"/>
      <c r="E477" s="69"/>
      <c r="F477" s="50"/>
      <c r="G477" s="50"/>
      <c r="H477" s="50"/>
      <c r="I477" s="176"/>
      <c r="J477" s="176"/>
      <c r="K477" s="54"/>
      <c r="L477" s="46" t="str">
        <f>Price!A477</f>
        <v>Příčka ke zkrácení, KB 900mm, niklovaná matná</v>
      </c>
      <c r="M477" s="15" t="str">
        <f>Price!B477</f>
        <v>Z40L777A</v>
      </c>
      <c r="N477" s="15" t="str">
        <f>Price!C477</f>
        <v>NI-M</v>
      </c>
      <c r="O477" s="472">
        <f>Price!D477</f>
        <v>0</v>
      </c>
      <c r="P477" s="15">
        <f>Price!E477</f>
        <v>0</v>
      </c>
      <c r="Q477" s="17">
        <f>Price!F477</f>
        <v>35.779029999999999</v>
      </c>
      <c r="R477" s="171"/>
      <c r="S477" s="171"/>
      <c r="T477" s="12">
        <f>Price!G477</f>
        <v>6109145</v>
      </c>
      <c r="U477" s="12">
        <f>Price!H477</f>
        <v>210848</v>
      </c>
      <c r="V477" s="13"/>
      <c r="W477" s="13"/>
      <c r="X477" s="19"/>
      <c r="Y477" s="19"/>
    </row>
    <row r="478" spans="1:25" ht="15" thickBot="1" x14ac:dyDescent="0.4">
      <c r="A478" s="75" t="str">
        <f>IF($C$2=1,L478,IF($C$2=2,L479,IF($C$2=3,L480, IF($C$2=4, L481, "  chyba"))))</f>
        <v>Příčka ke zkrácení, KB 1200mm, šedá</v>
      </c>
      <c r="B478" s="76" t="str">
        <f t="shared" ref="B478" si="533">IF($C$2=1,M478,IF($C$2=2,M479,IF($C$2=3,M480, IF($C$2=4, M481, "  chyba"))))</f>
        <v>Z40L1077A</v>
      </c>
      <c r="C478" s="76" t="str">
        <f t="shared" ref="C478" si="534">IF($C$2=1,N478,IF($C$2=2,N479,IF($C$2=3,N480, IF($C$2=4, N481, "  chyba"))))</f>
        <v>R906</v>
      </c>
      <c r="D478" s="172">
        <f t="shared" ref="D478" si="535">IF($C$2=1,O478,IF($C$2=2,O479,IF($C$2=3,O480, IF($C$2=4, O481, "  chyba"))))</f>
        <v>0</v>
      </c>
      <c r="E478" s="77">
        <f t="shared" ref="E478" si="536">IF($C$2=1,P478,IF($C$2=2,P479,IF($C$2=3,P480, IF($C$2=4, P481, "  chyba"))))</f>
        <v>0</v>
      </c>
      <c r="F478" s="78">
        <f>IF($C$2=1,Q478,IF($C$2=2,Q479,IF($C$2=3,Q480, IF($C$2=4, Q481, "  chyba"))))*(100-$F$6)/100</f>
        <v>16.745570000000001</v>
      </c>
      <c r="G478" s="50"/>
      <c r="H478" s="50"/>
      <c r="I478" s="172">
        <f t="shared" ref="I478" si="537">IF($C$2=1,T478,IF($C$2=2,T479,IF($C$2=3,T480, IF($C$2=4, T481, "  chyba"))))</f>
        <v>8113610</v>
      </c>
      <c r="J478" s="172">
        <f t="shared" ref="J478" si="538">IF($C$2=1,U478,IF($C$2=2,U479,IF($C$2=3,U480, IF($C$2=4, U481, "  chyba"))))</f>
        <v>210943</v>
      </c>
      <c r="K478" s="54"/>
      <c r="L478" s="46" t="str">
        <f>Price!A478</f>
        <v>Příčka ke zkrácení, KB 1200mm, šedá</v>
      </c>
      <c r="M478" s="15" t="str">
        <f>Price!B478</f>
        <v>Z40L1077A</v>
      </c>
      <c r="N478" s="15" t="str">
        <f>Price!C478</f>
        <v>R906</v>
      </c>
      <c r="O478" s="472">
        <f>Price!D478</f>
        <v>0</v>
      </c>
      <c r="P478" s="15">
        <f>Price!E478</f>
        <v>0</v>
      </c>
      <c r="Q478" s="17">
        <f>Price!F478</f>
        <v>16.745570000000001</v>
      </c>
      <c r="R478" s="171"/>
      <c r="S478" s="171"/>
      <c r="T478" s="12">
        <f>Price!G478</f>
        <v>8113610</v>
      </c>
      <c r="U478" s="12">
        <f>Price!H478</f>
        <v>210943</v>
      </c>
      <c r="V478" s="13"/>
      <c r="W478" s="13"/>
      <c r="X478" s="19"/>
      <c r="Y478" s="19"/>
    </row>
    <row r="479" spans="1:25" x14ac:dyDescent="0.35">
      <c r="A479" s="43"/>
      <c r="B479" s="161"/>
      <c r="C479" s="161"/>
      <c r="D479" s="161"/>
      <c r="E479" s="69"/>
      <c r="F479" s="50"/>
      <c r="G479" s="50"/>
      <c r="H479" s="50"/>
      <c r="I479" s="176"/>
      <c r="J479" s="176"/>
      <c r="K479" s="54"/>
      <c r="L479" s="46" t="str">
        <f>Price!A479</f>
        <v>Příčka ke zkrácení, KB 1200mm, hedvábně bílá</v>
      </c>
      <c r="M479" s="15" t="str">
        <f>Price!B479</f>
        <v>Z40L1077A</v>
      </c>
      <c r="N479" s="15" t="str">
        <f>Price!C479</f>
        <v>SEIW</v>
      </c>
      <c r="O479" s="472">
        <f>Price!D479</f>
        <v>0</v>
      </c>
      <c r="P479" s="15">
        <f>Price!E479</f>
        <v>0</v>
      </c>
      <c r="Q479" s="17">
        <f>Price!F479</f>
        <v>16.745570000000001</v>
      </c>
      <c r="R479" s="171"/>
      <c r="S479" s="171"/>
      <c r="T479" s="12">
        <f>Price!G479</f>
        <v>8113612</v>
      </c>
      <c r="U479" s="12" t="str">
        <f>Price!H479</f>
        <v>IN550B</v>
      </c>
      <c r="V479" s="13"/>
      <c r="W479" s="13"/>
      <c r="X479" s="19"/>
      <c r="Y479" s="19"/>
    </row>
    <row r="480" spans="1:25" x14ac:dyDescent="0.35">
      <c r="A480" s="65"/>
      <c r="B480" s="162"/>
      <c r="C480" s="162"/>
      <c r="D480" s="162"/>
      <c r="E480" s="64"/>
      <c r="F480" s="52"/>
      <c r="G480" s="52"/>
      <c r="H480" s="52"/>
      <c r="I480" s="175"/>
      <c r="J480" s="175"/>
      <c r="K480" s="47"/>
      <c r="L480" s="46" t="str">
        <f>Price!A480</f>
        <v>Příčka ke zkrácení, KB 1200mm, černá Terra</v>
      </c>
      <c r="M480" s="15" t="str">
        <f>Price!B480</f>
        <v>Z40L1077A</v>
      </c>
      <c r="N480" s="15" t="str">
        <f>Price!C480</f>
        <v>TERS</v>
      </c>
      <c r="O480" s="472">
        <f>Price!D480</f>
        <v>0</v>
      </c>
      <c r="P480" s="15">
        <f>Price!E480</f>
        <v>0</v>
      </c>
      <c r="Q480" s="17">
        <f>Price!F480</f>
        <v>16.745570000000001</v>
      </c>
      <c r="R480" s="171"/>
      <c r="S480" s="171"/>
      <c r="T480" s="12">
        <f>Price!G480</f>
        <v>8113614</v>
      </c>
      <c r="U480" s="12" t="str">
        <f>Price!H480</f>
        <v>IN550C</v>
      </c>
      <c r="V480" s="13"/>
      <c r="W480" s="13"/>
      <c r="X480" s="19"/>
      <c r="Y480" s="19"/>
    </row>
    <row r="481" spans="1:25" x14ac:dyDescent="0.35">
      <c r="A481" s="65"/>
      <c r="B481" s="162"/>
      <c r="C481" s="162"/>
      <c r="D481" s="162"/>
      <c r="E481" s="64"/>
      <c r="F481" s="52"/>
      <c r="G481" s="52"/>
      <c r="H481" s="52"/>
      <c r="I481" s="175"/>
      <c r="J481" s="175"/>
      <c r="K481" s="47"/>
      <c r="L481" s="46" t="str">
        <f>Price!A481</f>
        <v>Příčka ke zkrácení, KB 1200mm, niklovaná matná</v>
      </c>
      <c r="M481" s="15" t="str">
        <f>Price!B481</f>
        <v>Z40L1077A</v>
      </c>
      <c r="N481" s="15" t="str">
        <f>Price!C481</f>
        <v>NI-M</v>
      </c>
      <c r="O481" s="472">
        <f>Price!D481</f>
        <v>0</v>
      </c>
      <c r="P481" s="15">
        <f>Price!E481</f>
        <v>0</v>
      </c>
      <c r="Q481" s="17">
        <f>Price!F481</f>
        <v>37.812759999999997</v>
      </c>
      <c r="R481" s="171"/>
      <c r="S481" s="171"/>
      <c r="T481" s="12">
        <f>Price!G481</f>
        <v>8405350</v>
      </c>
      <c r="U481" s="12">
        <f>Price!H481</f>
        <v>288524</v>
      </c>
      <c r="V481" s="13"/>
      <c r="W481" s="13"/>
      <c r="X481" s="19"/>
      <c r="Y481" s="19"/>
    </row>
    <row r="482" spans="1:25" x14ac:dyDescent="0.35">
      <c r="A482" s="43"/>
      <c r="B482" s="161"/>
      <c r="C482" s="161"/>
      <c r="D482" s="161"/>
      <c r="E482" s="69"/>
      <c r="F482" s="50"/>
      <c r="G482" s="50"/>
      <c r="H482" s="50"/>
      <c r="I482" s="176"/>
      <c r="J482" s="176"/>
      <c r="K482" s="55"/>
      <c r="L482" s="46">
        <f>Price!A482</f>
        <v>0</v>
      </c>
      <c r="M482" s="15">
        <f>Price!B482</f>
        <v>0</v>
      </c>
      <c r="N482" s="15">
        <f>Price!C482</f>
        <v>0</v>
      </c>
      <c r="O482" s="472">
        <f>Price!D482</f>
        <v>0</v>
      </c>
      <c r="P482" s="15">
        <f>Price!E482</f>
        <v>0</v>
      </c>
      <c r="Q482" s="17">
        <f>Price!F482</f>
        <v>0</v>
      </c>
      <c r="R482" s="171"/>
      <c r="S482" s="171"/>
      <c r="T482" s="12">
        <f>Price!G482</f>
        <v>0</v>
      </c>
      <c r="U482" s="12">
        <f>Price!H482</f>
        <v>0</v>
      </c>
      <c r="V482" s="13"/>
      <c r="W482" s="13"/>
      <c r="X482" s="19"/>
      <c r="Y482" s="19"/>
    </row>
    <row r="483" spans="1:25" ht="15" thickBot="1" x14ac:dyDescent="0.4">
      <c r="A483" s="75" t="str">
        <f>IF($C$2=1,L483,IF($C$2=2,L484,IF($C$2=3,L485, IF($C$2=4, L486, "  chyba"))))</f>
        <v>Koncovka pro příčku, pro reling, D, bílošedá</v>
      </c>
      <c r="B483" s="76" t="str">
        <f t="shared" ref="B483" si="539">IF($C$2=1,M483,IF($C$2=2,M484,IF($C$2=3,M485, IF($C$2=4, M486, "  chyba"))))</f>
        <v>Z40D0002Z</v>
      </c>
      <c r="C483" s="76" t="str">
        <f t="shared" ref="C483" si="540">IF($C$2=1,N483,IF($C$2=2,N484,IF($C$2=3,N485, IF($C$2=4, N486, "  chyba"))))</f>
        <v>WGR</v>
      </c>
      <c r="D483" s="172">
        <f t="shared" ref="D483" si="541">IF($C$2=1,O483,IF($C$2=2,O484,IF($C$2=3,O485, IF($C$2=4, O486, "  chyba"))))</f>
        <v>0</v>
      </c>
      <c r="E483" s="77">
        <f t="shared" ref="E483" si="542">IF($C$2=1,P483,IF($C$2=2,P484,IF($C$2=3,P485, IF($C$2=4, P486, "  chyba"))))</f>
        <v>0</v>
      </c>
      <c r="F483" s="78">
        <f>IF($C$2=1,Q483,IF($C$2=2,Q484,IF($C$2=3,Q485, IF($C$2=4, Q486, "  chyba"))))*(100-$F$6)/100</f>
        <v>1.8503300000000003</v>
      </c>
      <c r="G483" s="50"/>
      <c r="H483" s="50"/>
      <c r="I483" s="172">
        <f t="shared" ref="I483" si="543">IF($C$2=1,T483,IF($C$2=2,T484,IF($C$2=3,T485, IF($C$2=4, T486, "  chyba"))))</f>
        <v>5716290</v>
      </c>
      <c r="J483" s="172">
        <f t="shared" ref="J483" si="544">IF($C$2=1,U483,IF($C$2=2,U484,IF($C$2=3,U485, IF($C$2=4, U486, "  chyba"))))</f>
        <v>210831</v>
      </c>
      <c r="K483" s="55"/>
      <c r="L483" s="46" t="str">
        <f>Price!A483</f>
        <v>Koncovka pro příčku, pro reling, D, bílošedá</v>
      </c>
      <c r="M483" s="15" t="str">
        <f>Price!B483</f>
        <v>Z40D0002Z</v>
      </c>
      <c r="N483" s="15" t="str">
        <f>Price!C483</f>
        <v>WGR</v>
      </c>
      <c r="O483" s="472">
        <f>Price!D483</f>
        <v>0</v>
      </c>
      <c r="P483" s="15">
        <f>Price!E483</f>
        <v>0</v>
      </c>
      <c r="Q483" s="17">
        <f>Price!F483</f>
        <v>1.85033</v>
      </c>
      <c r="R483" s="171"/>
      <c r="S483" s="171"/>
      <c r="T483" s="12">
        <f>Price!G483</f>
        <v>5716290</v>
      </c>
      <c r="U483" s="12">
        <f>Price!H483</f>
        <v>210831</v>
      </c>
      <c r="V483" s="13"/>
      <c r="W483" s="13"/>
      <c r="X483" s="19"/>
      <c r="Y483" s="19"/>
    </row>
    <row r="484" spans="1:25" x14ac:dyDescent="0.35">
      <c r="A484" s="65"/>
      <c r="B484" s="162"/>
      <c r="C484" s="162"/>
      <c r="D484" s="162"/>
      <c r="E484" s="64"/>
      <c r="F484" s="52"/>
      <c r="G484" s="52"/>
      <c r="H484" s="52"/>
      <c r="I484" s="175"/>
      <c r="J484" s="175"/>
      <c r="K484" s="47"/>
      <c r="L484" s="46" t="str">
        <f>Price!A484</f>
        <v>Koncovka pro příčku, pro reling, D, hedvábně bílá</v>
      </c>
      <c r="M484" s="15" t="str">
        <f>Price!B484</f>
        <v>Z40D0002Z</v>
      </c>
      <c r="N484" s="15" t="str">
        <f>Price!C484</f>
        <v>SEIW</v>
      </c>
      <c r="O484" s="472">
        <f>Price!D484</f>
        <v>0</v>
      </c>
      <c r="P484" s="15">
        <f>Price!E484</f>
        <v>0</v>
      </c>
      <c r="Q484" s="17">
        <f>Price!F484</f>
        <v>1.85033</v>
      </c>
      <c r="R484" s="171"/>
      <c r="S484" s="171"/>
      <c r="T484" s="12">
        <f>Price!G484</f>
        <v>5738648</v>
      </c>
      <c r="U484" s="12">
        <f>Price!H484</f>
        <v>210830</v>
      </c>
      <c r="V484" s="13"/>
      <c r="W484" s="13"/>
      <c r="X484" s="19"/>
      <c r="Y484" s="19"/>
    </row>
    <row r="485" spans="1:25" x14ac:dyDescent="0.35">
      <c r="A485" s="43"/>
      <c r="B485" s="161"/>
      <c r="C485" s="161"/>
      <c r="D485" s="161"/>
      <c r="E485" s="69"/>
      <c r="F485" s="50"/>
      <c r="G485" s="50"/>
      <c r="H485" s="50"/>
      <c r="I485" s="176"/>
      <c r="J485" s="176"/>
      <c r="K485" s="55"/>
      <c r="L485" s="46" t="str">
        <f>Price!A485</f>
        <v>Koncovka pro příčku, pro reling, D, černá</v>
      </c>
      <c r="M485" s="15" t="str">
        <f>Price!B485</f>
        <v>Z40D0002Z</v>
      </c>
      <c r="N485" s="15" t="str">
        <f>Price!C485</f>
        <v xml:space="preserve">S </v>
      </c>
      <c r="O485" s="472" t="str">
        <f>Price!D485</f>
        <v>!</v>
      </c>
      <c r="P485" s="15">
        <f>Price!E485</f>
        <v>0</v>
      </c>
      <c r="Q485" s="17">
        <f>Price!F485</f>
        <v>1.85033</v>
      </c>
      <c r="R485" s="171"/>
      <c r="S485" s="171"/>
      <c r="T485" s="12">
        <f>Price!G485</f>
        <v>3961716</v>
      </c>
      <c r="U485" s="12">
        <f>Price!H485</f>
        <v>210829</v>
      </c>
      <c r="V485" s="13"/>
      <c r="W485" s="13"/>
      <c r="X485" s="19"/>
      <c r="Y485" s="19"/>
    </row>
    <row r="486" spans="1:25" x14ac:dyDescent="0.35">
      <c r="A486" s="43"/>
      <c r="B486" s="161"/>
      <c r="C486" s="161"/>
      <c r="D486" s="161"/>
      <c r="E486" s="69"/>
      <c r="F486" s="50"/>
      <c r="G486" s="50"/>
      <c r="H486" s="50"/>
      <c r="I486" s="176"/>
      <c r="J486" s="176"/>
      <c r="K486" s="55"/>
      <c r="L486" s="46" t="str">
        <f>Price!A486</f>
        <v>Koncovka pro příčku, pro reling, D, prachově šedá</v>
      </c>
      <c r="M486" s="15" t="str">
        <f>Price!B486</f>
        <v>Z40D0002Z</v>
      </c>
      <c r="N486" s="15" t="str">
        <f>Price!C486</f>
        <v>R737</v>
      </c>
      <c r="O486" s="472" t="str">
        <f>Price!D486</f>
        <v>!</v>
      </c>
      <c r="P486" s="15">
        <f>Price!E486</f>
        <v>0</v>
      </c>
      <c r="Q486" s="17">
        <f>Price!F486</f>
        <v>1.85033</v>
      </c>
      <c r="R486" s="171"/>
      <c r="S486" s="171"/>
      <c r="T486" s="12">
        <f>Price!G486</f>
        <v>4919907</v>
      </c>
      <c r="U486" s="12">
        <f>Price!H486</f>
        <v>210828</v>
      </c>
      <c r="V486" s="13"/>
      <c r="W486" s="13"/>
      <c r="X486" s="19"/>
      <c r="Y486" s="19"/>
    </row>
    <row r="487" spans="1:25" ht="15" thickBot="1" x14ac:dyDescent="0.4">
      <c r="A487" s="75" t="str">
        <f>IF($C$2=1,L487,IF($C$2=2,L488,IF($C$2=3,L489, IF($C$2=4, L490, "  chyba"))))</f>
        <v>Koncovka pro příčku, pro reling, C, bílošedá</v>
      </c>
      <c r="B487" s="76" t="str">
        <f t="shared" ref="B487" si="545">IF($C$2=1,M487,IF($C$2=2,M488,IF($C$2=3,M489, IF($C$2=4, M490, "  chyba"))))</f>
        <v>Z40C0002Z</v>
      </c>
      <c r="C487" s="76" t="str">
        <f t="shared" ref="C487" si="546">IF($C$2=1,N487,IF($C$2=2,N488,IF($C$2=3,N489, IF($C$2=4, N490, "  chyba"))))</f>
        <v>WGR</v>
      </c>
      <c r="D487" s="172">
        <f t="shared" ref="D487" si="547">IF($C$2=1,O487,IF($C$2=2,O488,IF($C$2=3,O489, IF($C$2=4, O490, "  chyba"))))</f>
        <v>0</v>
      </c>
      <c r="E487" s="77">
        <f t="shared" ref="E487" si="548">IF($C$2=1,P487,IF($C$2=2,P488,IF($C$2=3,P489, IF($C$2=4, P490, "  chyba"))))</f>
        <v>0</v>
      </c>
      <c r="F487" s="78">
        <f>IF($C$2=1,Q487,IF($C$2=2,Q488,IF($C$2=3,Q489, IF($C$2=4, Q490, "  chyba"))))*(100-$F$6)/100</f>
        <v>1.7087099999999997</v>
      </c>
      <c r="G487" s="50"/>
      <c r="H487" s="50"/>
      <c r="I487" s="172">
        <f t="shared" ref="I487" si="549">IF($C$2=1,T487,IF($C$2=2,T488,IF($C$2=3,T489, IF($C$2=4, T490, "  chyba"))))</f>
        <v>1332165</v>
      </c>
      <c r="J487" s="172">
        <f t="shared" ref="J487" si="550">IF($C$2=1,U487,IF($C$2=2,U488,IF($C$2=3,U489, IF($C$2=4, U490, "  chyba"))))</f>
        <v>210827</v>
      </c>
      <c r="K487" s="55"/>
      <c r="L487" s="46" t="str">
        <f>Price!A487</f>
        <v>Koncovka pro příčku, pro reling, C, bílošedá</v>
      </c>
      <c r="M487" s="15" t="str">
        <f>Price!B487</f>
        <v>Z40C0002Z</v>
      </c>
      <c r="N487" s="15" t="str">
        <f>Price!C487</f>
        <v>WGR</v>
      </c>
      <c r="O487" s="472">
        <f>Price!D487</f>
        <v>0</v>
      </c>
      <c r="P487" s="15">
        <f>Price!E487</f>
        <v>0</v>
      </c>
      <c r="Q487" s="17">
        <f>Price!F487</f>
        <v>1.70871</v>
      </c>
      <c r="R487" s="171"/>
      <c r="S487" s="171"/>
      <c r="T487" s="12">
        <f>Price!G487</f>
        <v>1332165</v>
      </c>
      <c r="U487" s="12">
        <f>Price!H487</f>
        <v>210827</v>
      </c>
      <c r="V487" s="13"/>
      <c r="W487" s="13"/>
      <c r="X487" s="19"/>
      <c r="Y487" s="19"/>
    </row>
    <row r="488" spans="1:25" x14ac:dyDescent="0.35">
      <c r="A488" s="43"/>
      <c r="B488" s="161"/>
      <c r="C488" s="161"/>
      <c r="D488" s="161"/>
      <c r="E488" s="69"/>
      <c r="F488" s="50"/>
      <c r="G488" s="50"/>
      <c r="H488" s="50"/>
      <c r="I488" s="176"/>
      <c r="J488" s="176"/>
      <c r="K488" s="55"/>
      <c r="L488" s="46" t="str">
        <f>Price!A488</f>
        <v>Koncovka pro příčku, pro reling, C, hedvábně bílá</v>
      </c>
      <c r="M488" s="15" t="str">
        <f>Price!B488</f>
        <v>Z40C0002Z</v>
      </c>
      <c r="N488" s="15" t="str">
        <f>Price!C488</f>
        <v>SEIW</v>
      </c>
      <c r="O488" s="472">
        <f>Price!D488</f>
        <v>0</v>
      </c>
      <c r="P488" s="15">
        <f>Price!E488</f>
        <v>0</v>
      </c>
      <c r="Q488" s="17">
        <f>Price!F488</f>
        <v>1.70871</v>
      </c>
      <c r="R488" s="171"/>
      <c r="S488" s="171"/>
      <c r="T488" s="12">
        <f>Price!G488</f>
        <v>5081757</v>
      </c>
      <c r="U488" s="12">
        <f>Price!H488</f>
        <v>210826</v>
      </c>
      <c r="V488" s="13"/>
      <c r="W488" s="13"/>
      <c r="X488" s="19"/>
      <c r="Y488" s="19"/>
    </row>
    <row r="489" spans="1:25" x14ac:dyDescent="0.35">
      <c r="A489" s="43"/>
      <c r="B489" s="161"/>
      <c r="C489" s="161"/>
      <c r="D489" s="161"/>
      <c r="E489" s="69"/>
      <c r="F489" s="50"/>
      <c r="G489" s="50"/>
      <c r="H489" s="50"/>
      <c r="I489" s="176"/>
      <c r="J489" s="176"/>
      <c r="K489" s="55"/>
      <c r="L489" s="46" t="str">
        <f>Price!A489</f>
        <v>Koncovka pro příčku, pro reling, C, černá</v>
      </c>
      <c r="M489" s="15" t="str">
        <f>Price!B489</f>
        <v>Z40C0002Z</v>
      </c>
      <c r="N489" s="15" t="str">
        <f>Price!C489</f>
        <v xml:space="preserve">S </v>
      </c>
      <c r="O489" s="472" t="str">
        <f>Price!D489</f>
        <v>!</v>
      </c>
      <c r="P489" s="15">
        <f>Price!E489</f>
        <v>0</v>
      </c>
      <c r="Q489" s="17">
        <f>Price!F489</f>
        <v>1.5962499999999999</v>
      </c>
      <c r="R489" s="171"/>
      <c r="S489" s="171"/>
      <c r="T489" s="12">
        <f>Price!G489</f>
        <v>4753918</v>
      </c>
      <c r="U489" s="12">
        <f>Price!H489</f>
        <v>210825</v>
      </c>
      <c r="V489" s="13"/>
      <c r="W489" s="13"/>
      <c r="X489" s="19"/>
      <c r="Y489" s="19"/>
    </row>
    <row r="490" spans="1:25" x14ac:dyDescent="0.35">
      <c r="A490" s="43"/>
      <c r="B490" s="161"/>
      <c r="C490" s="161"/>
      <c r="D490" s="161"/>
      <c r="E490" s="69"/>
      <c r="F490" s="50"/>
      <c r="G490" s="50"/>
      <c r="H490" s="50"/>
      <c r="I490" s="176"/>
      <c r="J490" s="176"/>
      <c r="K490" s="55"/>
      <c r="L490" s="46" t="str">
        <f>Price!A490</f>
        <v>Koncovka pro příčku, pro reling, C, prachově šedá</v>
      </c>
      <c r="M490" s="15" t="str">
        <f>Price!B490</f>
        <v>Z40C0002Z</v>
      </c>
      <c r="N490" s="15" t="str">
        <f>Price!C490</f>
        <v>R737</v>
      </c>
      <c r="O490" s="472" t="str">
        <f>Price!D490</f>
        <v>!</v>
      </c>
      <c r="P490" s="15">
        <f>Price!E490</f>
        <v>0</v>
      </c>
      <c r="Q490" s="17">
        <f>Price!F490</f>
        <v>1.70871</v>
      </c>
      <c r="R490" s="171"/>
      <c r="S490" s="171"/>
      <c r="T490" s="12">
        <f>Price!G490</f>
        <v>4109517</v>
      </c>
      <c r="U490" s="12">
        <f>Price!H490</f>
        <v>210827</v>
      </c>
      <c r="V490" s="13"/>
      <c r="W490" s="13"/>
      <c r="X490" s="19"/>
      <c r="Y490" s="19"/>
    </row>
    <row r="491" spans="1:25" ht="15" thickBot="1" x14ac:dyDescent="0.4">
      <c r="A491" s="75" t="str">
        <f>IF($C$2=1,L491,IF($C$2=2,L492,IF($C$2=3,L493, IF($C$2=4, L494, "  chyba"))))</f>
        <v>Koncovka pro příčku, pro mezistěnu, bílošedá</v>
      </c>
      <c r="B491" s="76" t="str">
        <f t="shared" ref="B491" si="551">IF($C$2=1,M491,IF($C$2=2,M492,IF($C$2=3,M493, IF($C$2=4, M494, "  chyba"))))</f>
        <v>Z40L0002</v>
      </c>
      <c r="C491" s="76" t="str">
        <f t="shared" ref="C491" si="552">IF($C$2=1,N491,IF($C$2=2,N492,IF($C$2=3,N493, IF($C$2=4, N494, "  chyba"))))</f>
        <v>WGR</v>
      </c>
      <c r="D491" s="172">
        <f t="shared" ref="D491" si="553">IF($C$2=1,O491,IF($C$2=2,O492,IF($C$2=3,O493, IF($C$2=4, O494, "  chyba"))))</f>
        <v>0</v>
      </c>
      <c r="E491" s="77">
        <f t="shared" ref="E491" si="554">IF($C$2=1,P491,IF($C$2=2,P492,IF($C$2=3,P493, IF($C$2=4, P494, "  chyba"))))</f>
        <v>0</v>
      </c>
      <c r="F491" s="78">
        <f>IF($C$2=1,Q491,IF($C$2=2,Q492,IF($C$2=3,Q493, IF($C$2=4, Q494, "  chyba"))))*(100-$F$6)/100</f>
        <v>1.8503300000000003</v>
      </c>
      <c r="G491" s="50"/>
      <c r="H491" s="50"/>
      <c r="I491" s="172">
        <f t="shared" ref="I491" si="555">IF($C$2=1,T491,IF($C$2=2,T492,IF($C$2=3,T493, IF($C$2=4, T494, "  chyba"))))</f>
        <v>8113856</v>
      </c>
      <c r="J491" s="172">
        <f t="shared" ref="J491" si="556">IF($C$2=1,U491,IF($C$2=2,U492,IF($C$2=3,U493, IF($C$2=4, U494, "  chyba"))))</f>
        <v>202582</v>
      </c>
      <c r="K491" s="55"/>
      <c r="L491" s="46" t="str">
        <f>Price!A491</f>
        <v>Koncovka pro příčku, pro mezistěnu, bílošedá</v>
      </c>
      <c r="M491" s="15" t="str">
        <f>Price!B491</f>
        <v>Z40L0002</v>
      </c>
      <c r="N491" s="15" t="str">
        <f>Price!C491</f>
        <v>WGR</v>
      </c>
      <c r="O491" s="472">
        <f>Price!D491</f>
        <v>0</v>
      </c>
      <c r="P491" s="15">
        <f>Price!E491</f>
        <v>0</v>
      </c>
      <c r="Q491" s="17">
        <f>Price!F491</f>
        <v>1.85033</v>
      </c>
      <c r="R491" s="171"/>
      <c r="S491" s="171"/>
      <c r="T491" s="12">
        <f>Price!G491</f>
        <v>8113856</v>
      </c>
      <c r="U491" s="12">
        <f>Price!H491</f>
        <v>202582</v>
      </c>
      <c r="V491" s="13"/>
      <c r="W491" s="13"/>
      <c r="X491" s="19"/>
      <c r="Y491" s="19"/>
    </row>
    <row r="492" spans="1:25" x14ac:dyDescent="0.35">
      <c r="A492" s="65"/>
      <c r="B492" s="162"/>
      <c r="C492" s="162"/>
      <c r="D492" s="162"/>
      <c r="E492" s="64"/>
      <c r="F492" s="52"/>
      <c r="G492" s="52"/>
      <c r="H492" s="52"/>
      <c r="I492" s="175"/>
      <c r="J492" s="175"/>
      <c r="K492" s="47"/>
      <c r="L492" s="46" t="str">
        <f>Price!A492</f>
        <v>Koncovka pro příčku, pro mezistěnu, hedvábně bílá</v>
      </c>
      <c r="M492" s="15" t="str">
        <f>Price!B492</f>
        <v>Z40L0002</v>
      </c>
      <c r="N492" s="15" t="str">
        <f>Price!C492</f>
        <v>SEIW</v>
      </c>
      <c r="O492" s="472">
        <f>Price!D492</f>
        <v>0</v>
      </c>
      <c r="P492" s="15">
        <f>Price!E492</f>
        <v>0</v>
      </c>
      <c r="Q492" s="17">
        <f>Price!F492</f>
        <v>1.85033</v>
      </c>
      <c r="R492" s="171"/>
      <c r="S492" s="171"/>
      <c r="T492" s="12">
        <f>Price!G492</f>
        <v>8113852</v>
      </c>
      <c r="U492" s="12" t="str">
        <f>Price!H492</f>
        <v>IN551B</v>
      </c>
      <c r="V492" s="13"/>
      <c r="W492" s="13"/>
      <c r="X492" s="19"/>
      <c r="Y492" s="19"/>
    </row>
    <row r="493" spans="1:25" x14ac:dyDescent="0.35">
      <c r="A493" s="43"/>
      <c r="B493" s="161"/>
      <c r="C493" s="161"/>
      <c r="D493" s="161"/>
      <c r="E493" s="69"/>
      <c r="F493" s="50"/>
      <c r="G493" s="50"/>
      <c r="H493" s="50"/>
      <c r="I493" s="176"/>
      <c r="J493" s="176"/>
      <c r="K493" s="55"/>
      <c r="L493" s="46" t="str">
        <f>Price!A493</f>
        <v>Koncovka pro příčku, pro mezistěnu, černá</v>
      </c>
      <c r="M493" s="15" t="str">
        <f>Price!B493</f>
        <v>Z40L0002</v>
      </c>
      <c r="N493" s="15" t="str">
        <f>Price!C493</f>
        <v xml:space="preserve">S </v>
      </c>
      <c r="O493" s="472">
        <f>Price!D493</f>
        <v>0</v>
      </c>
      <c r="P493" s="15">
        <f>Price!E493</f>
        <v>0</v>
      </c>
      <c r="Q493" s="17">
        <f>Price!F493</f>
        <v>1.85033</v>
      </c>
      <c r="R493" s="171"/>
      <c r="S493" s="171"/>
      <c r="T493" s="12">
        <f>Price!G493</f>
        <v>8113854</v>
      </c>
      <c r="U493" s="12" t="str">
        <f>Price!H493</f>
        <v>IN551C</v>
      </c>
      <c r="V493" s="13"/>
      <c r="X493" s="19"/>
      <c r="Y493" s="19"/>
    </row>
    <row r="494" spans="1:25" x14ac:dyDescent="0.35">
      <c r="A494" s="43"/>
      <c r="B494" s="161"/>
      <c r="C494" s="161"/>
      <c r="D494" s="161"/>
      <c r="E494" s="69"/>
      <c r="F494" s="50"/>
      <c r="G494" s="50"/>
      <c r="H494" s="50"/>
      <c r="I494" s="176"/>
      <c r="J494" s="176"/>
      <c r="K494" s="55"/>
      <c r="L494" s="46" t="str">
        <f>Price!A494</f>
        <v>Koncovka pro příčku, pro mezistěnu, prachově šedá</v>
      </c>
      <c r="M494" s="15" t="str">
        <f>Price!B494</f>
        <v>Z40L0002</v>
      </c>
      <c r="N494" s="15" t="str">
        <f>Price!C494</f>
        <v>R737</v>
      </c>
      <c r="O494" s="472" t="str">
        <f>Price!D494</f>
        <v>!</v>
      </c>
      <c r="P494" s="15">
        <f>Price!E494</f>
        <v>0</v>
      </c>
      <c r="Q494" s="17">
        <f>Price!F494</f>
        <v>1.85033</v>
      </c>
      <c r="R494" s="171"/>
      <c r="S494" s="171"/>
      <c r="T494" s="12">
        <f>Price!G494</f>
        <v>8113850</v>
      </c>
      <c r="U494" s="12" t="str">
        <f>Price!H494</f>
        <v>IN551N</v>
      </c>
      <c r="V494" s="13"/>
      <c r="X494" s="19"/>
      <c r="Y494" s="19"/>
    </row>
    <row r="495" spans="1:25" x14ac:dyDescent="0.35">
      <c r="A495" s="43"/>
      <c r="B495" s="161"/>
      <c r="C495" s="161"/>
      <c r="D495" s="161"/>
      <c r="E495" s="69"/>
      <c r="F495" s="50"/>
      <c r="G495" s="50"/>
      <c r="H495" s="50"/>
      <c r="I495" s="176"/>
      <c r="J495" s="176"/>
      <c r="K495" s="55"/>
      <c r="L495" s="46">
        <f>Price!A495</f>
        <v>0</v>
      </c>
      <c r="M495" s="15">
        <f>Price!B495</f>
        <v>0</v>
      </c>
      <c r="N495" s="15">
        <f>Price!C495</f>
        <v>0</v>
      </c>
      <c r="O495" s="472">
        <f>Price!D495</f>
        <v>0</v>
      </c>
      <c r="P495" s="15">
        <f>Price!E495</f>
        <v>0</v>
      </c>
      <c r="Q495" s="17">
        <f>Price!F495</f>
        <v>0</v>
      </c>
      <c r="R495" s="171"/>
      <c r="S495" s="171"/>
      <c r="T495" s="12">
        <f>Price!G495</f>
        <v>0</v>
      </c>
      <c r="U495" s="12">
        <f>Price!H495</f>
        <v>0</v>
      </c>
      <c r="V495" s="13"/>
      <c r="W495" s="13"/>
      <c r="X495" s="19"/>
      <c r="Y495" s="19"/>
    </row>
    <row r="496" spans="1:25" ht="15" thickBot="1" x14ac:dyDescent="0.4">
      <c r="A496" s="75" t="str">
        <f>IF($C$2=1,L496,IF($C$2=2,L497,IF($C$2=3,L498, IF($C$2=4, L499, "  chyba"))))</f>
        <v>Podélné dělení, šedé</v>
      </c>
      <c r="B496" s="76" t="str">
        <f t="shared" ref="B496" si="557">IF($C$2=1,M496,IF($C$2=2,M497,IF($C$2=3,M498, IF($C$2=4, M499, "  chyba"))))</f>
        <v>Z43L100S</v>
      </c>
      <c r="C496" s="76" t="str">
        <f t="shared" ref="C496" si="558">IF($C$2=1,N496,IF($C$2=2,N497,IF($C$2=3,N498, IF($C$2=4, N499, "  chyba"))))</f>
        <v>R906</v>
      </c>
      <c r="D496" s="172">
        <f t="shared" ref="D496" si="559">IF($C$2=1,O496,IF($C$2=2,O497,IF($C$2=3,O498, IF($C$2=4, O499, "  chyba"))))</f>
        <v>0</v>
      </c>
      <c r="E496" s="77">
        <f t="shared" ref="E496" si="560">IF($C$2=1,P496,IF($C$2=2,P497,IF($C$2=3,P498, IF($C$2=4, P499, "  chyba"))))</f>
        <v>0</v>
      </c>
      <c r="F496" s="78">
        <f>IF($C$2=1,Q496,IF($C$2=2,Q497,IF($C$2=3,Q498, IF($C$2=4, Q499, "  chyba"))))*(100-$F$6)/100</f>
        <v>3.4353400000000001</v>
      </c>
      <c r="G496" s="50"/>
      <c r="H496" s="50"/>
      <c r="I496" s="172">
        <f t="shared" ref="I496" si="561">IF($C$2=1,T496,IF($C$2=2,T497,IF($C$2=3,T498, IF($C$2=4, T499, "  chyba"))))</f>
        <v>7952586</v>
      </c>
      <c r="J496" s="172">
        <f t="shared" ref="J496" si="562">IF($C$2=1,U496,IF($C$2=2,U497,IF($C$2=3,U498, IF($C$2=4, U499, "  chyba"))))</f>
        <v>221230</v>
      </c>
      <c r="K496" s="47"/>
      <c r="L496" s="46" t="str">
        <f>Price!A496</f>
        <v>Podélné dělení, šedé</v>
      </c>
      <c r="M496" s="15" t="str">
        <f>Price!B496</f>
        <v>Z43L100S</v>
      </c>
      <c r="N496" s="15" t="str">
        <f>Price!C496</f>
        <v>R906</v>
      </c>
      <c r="O496" s="472">
        <f>Price!D496</f>
        <v>0</v>
      </c>
      <c r="P496" s="15">
        <f>Price!E496</f>
        <v>0</v>
      </c>
      <c r="Q496" s="17">
        <f>Price!F496</f>
        <v>3.4353400000000001</v>
      </c>
      <c r="R496" s="171"/>
      <c r="S496" s="171"/>
      <c r="T496" s="12">
        <f>Price!G496</f>
        <v>7952586</v>
      </c>
      <c r="U496" s="12">
        <f>Price!H496</f>
        <v>221230</v>
      </c>
      <c r="V496" s="13"/>
      <c r="W496" s="13"/>
      <c r="X496" s="19"/>
      <c r="Y496" s="19"/>
    </row>
    <row r="497" spans="1:25" x14ac:dyDescent="0.35">
      <c r="A497" s="43"/>
      <c r="B497" s="161"/>
      <c r="C497" s="161"/>
      <c r="D497" s="161"/>
      <c r="E497" s="69"/>
      <c r="F497" s="50"/>
      <c r="G497" s="50"/>
      <c r="H497" s="50"/>
      <c r="I497" s="176"/>
      <c r="J497" s="176"/>
      <c r="K497" s="54"/>
      <c r="L497" s="46" t="str">
        <f>Price!A497</f>
        <v>Podélné dělení, hedvábně bílé</v>
      </c>
      <c r="M497" s="15" t="str">
        <f>Price!B497</f>
        <v>Z43L100S</v>
      </c>
      <c r="N497" s="15" t="str">
        <f>Price!C497</f>
        <v>SEIW</v>
      </c>
      <c r="O497" s="472">
        <f>Price!D497</f>
        <v>0</v>
      </c>
      <c r="P497" s="15">
        <f>Price!E497</f>
        <v>0</v>
      </c>
      <c r="Q497" s="17">
        <f>Price!F497</f>
        <v>3.4353400000000001</v>
      </c>
      <c r="R497" s="171"/>
      <c r="S497" s="171"/>
      <c r="T497" s="12">
        <f>Price!G497</f>
        <v>7952582</v>
      </c>
      <c r="U497" s="12" t="str">
        <f>Price!H497</f>
        <v>IN552B</v>
      </c>
      <c r="V497" s="13"/>
      <c r="W497" s="13"/>
      <c r="X497" s="19"/>
      <c r="Y497" s="19"/>
    </row>
    <row r="498" spans="1:25" x14ac:dyDescent="0.35">
      <c r="A498" s="43"/>
      <c r="B498" s="161"/>
      <c r="C498" s="161"/>
      <c r="D498" s="161"/>
      <c r="E498" s="69"/>
      <c r="F498" s="50"/>
      <c r="G498" s="50"/>
      <c r="H498" s="50"/>
      <c r="I498" s="176"/>
      <c r="J498" s="176"/>
      <c r="K498" s="54"/>
      <c r="L498" s="46" t="str">
        <f>Price!A498</f>
        <v>Podélné dělení, černé Terra</v>
      </c>
      <c r="M498" s="15" t="str">
        <f>Price!B498</f>
        <v>Z43L100S</v>
      </c>
      <c r="N498" s="15" t="str">
        <f>Price!C498</f>
        <v>TERS</v>
      </c>
      <c r="O498" s="472">
        <f>Price!D498</f>
        <v>0</v>
      </c>
      <c r="P498" s="15">
        <f>Price!E498</f>
        <v>0</v>
      </c>
      <c r="Q498" s="17">
        <f>Price!F498</f>
        <v>3.4353400000000001</v>
      </c>
      <c r="R498" s="171"/>
      <c r="S498" s="171"/>
      <c r="T498" s="12">
        <f>Price!G498</f>
        <v>7952584</v>
      </c>
      <c r="U498" s="12" t="str">
        <f>Price!H498</f>
        <v>IN552C</v>
      </c>
      <c r="V498" s="13"/>
      <c r="W498" s="13"/>
      <c r="X498" s="19"/>
      <c r="Y498" s="19"/>
    </row>
    <row r="499" spans="1:25" x14ac:dyDescent="0.35">
      <c r="A499" s="43"/>
      <c r="B499" s="161"/>
      <c r="C499" s="161"/>
      <c r="D499" s="161"/>
      <c r="E499" s="69"/>
      <c r="F499" s="50"/>
      <c r="G499" s="50"/>
      <c r="H499" s="50"/>
      <c r="I499" s="176"/>
      <c r="J499" s="176"/>
      <c r="K499" s="54"/>
      <c r="L499" s="46" t="str">
        <f>Price!A499</f>
        <v>Podélné dělení, niklované matné</v>
      </c>
      <c r="M499" s="15" t="str">
        <f>Price!B499</f>
        <v>Z43L100S</v>
      </c>
      <c r="N499" s="15" t="str">
        <f>Price!C499</f>
        <v>NI-M</v>
      </c>
      <c r="O499" s="472">
        <f>Price!D499</f>
        <v>0</v>
      </c>
      <c r="P499" s="15">
        <f>Price!E499</f>
        <v>0</v>
      </c>
      <c r="Q499" s="17">
        <f>Price!F499</f>
        <v>6.6780099999999996</v>
      </c>
      <c r="R499" s="171"/>
      <c r="S499" s="171"/>
      <c r="T499" s="12">
        <f>Price!G499</f>
        <v>5902025</v>
      </c>
      <c r="U499" s="12" t="str">
        <f>Price!H499</f>
        <v>IN552N</v>
      </c>
      <c r="V499" s="13"/>
      <c r="W499" s="13"/>
      <c r="X499" s="19"/>
      <c r="Y499" s="19"/>
    </row>
    <row r="500" spans="1:25" x14ac:dyDescent="0.35">
      <c r="A500" s="43"/>
      <c r="B500" s="161"/>
      <c r="C500" s="161"/>
      <c r="D500" s="161"/>
      <c r="E500" s="69"/>
      <c r="F500" s="50"/>
      <c r="G500" s="50"/>
      <c r="H500" s="50"/>
      <c r="I500" s="176"/>
      <c r="J500" s="176"/>
      <c r="K500" s="54"/>
      <c r="L500" s="46">
        <f>Price!A500</f>
        <v>0</v>
      </c>
      <c r="M500" s="15">
        <f>Price!B500</f>
        <v>0</v>
      </c>
      <c r="N500" s="15">
        <f>Price!C500</f>
        <v>0</v>
      </c>
      <c r="O500" s="472">
        <f>Price!D500</f>
        <v>0</v>
      </c>
      <c r="P500" s="15">
        <f>Price!E500</f>
        <v>0</v>
      </c>
      <c r="Q500" s="17">
        <f>Price!F500</f>
        <v>0</v>
      </c>
      <c r="R500" s="171"/>
      <c r="S500" s="171"/>
      <c r="T500" s="12">
        <f>Price!G500</f>
        <v>0</v>
      </c>
      <c r="U500" s="12">
        <f>Price!H500</f>
        <v>0</v>
      </c>
      <c r="V500" s="13"/>
      <c r="W500" s="13"/>
      <c r="X500" s="19"/>
      <c r="Y500" s="19"/>
    </row>
    <row r="501" spans="1:25" ht="15" thickBot="1" x14ac:dyDescent="0.4">
      <c r="A501" s="75" t="str">
        <f>IF($C$2=1,L501,IF($C$2=2,L502,IF($C$2=3,L503, IF($C$2=4, L504, "  chyba"))))</f>
        <v>Příčný reling ke zkrácení, šedý</v>
      </c>
      <c r="B501" s="76" t="str">
        <f t="shared" ref="B501" si="563">IF($C$2=1,M501,IF($C$2=2,M502,IF($C$2=3,M503, IF($C$2=4, M504, "  chyba"))))</f>
        <v>ZRG.1104Q</v>
      </c>
      <c r="C501" s="76" t="str">
        <f t="shared" ref="C501" si="564">IF($C$2=1,N501,IF($C$2=2,N502,IF($C$2=3,N503, IF($C$2=4, N504, "  chyba"))))</f>
        <v>R906</v>
      </c>
      <c r="D501" s="172">
        <f t="shared" ref="D501" si="565">IF($C$2=1,O501,IF($C$2=2,O502,IF($C$2=3,O503, IF($C$2=4, O504, "  chyba"))))</f>
        <v>0</v>
      </c>
      <c r="E501" s="77">
        <f t="shared" ref="E501" si="566">IF($C$2=1,P501,IF($C$2=2,P502,IF($C$2=3,P503, IF($C$2=4, P504, "  chyba"))))</f>
        <v>0</v>
      </c>
      <c r="F501" s="78">
        <f>IF($C$2=1,Q501,IF($C$2=2,Q502,IF($C$2=3,Q503, IF($C$2=4, Q504, "  chyba"))))*(100-$F$6)/100</f>
        <v>4.6832500000000001</v>
      </c>
      <c r="G501" s="50"/>
      <c r="H501" s="50"/>
      <c r="I501" s="172">
        <f t="shared" ref="I501" si="567">IF($C$2=1,T501,IF($C$2=2,T502,IF($C$2=3,T503, IF($C$2=4, T504, "  chyba"))))</f>
        <v>9752780</v>
      </c>
      <c r="J501" s="172">
        <f t="shared" ref="J501" si="568">IF($C$2=1,U501,IF($C$2=2,U502,IF($C$2=3,U503, IF($C$2=4, U504, "  chyba"))))</f>
        <v>202534</v>
      </c>
      <c r="K501" s="47"/>
      <c r="L501" s="46" t="str">
        <f>Price!A501</f>
        <v>Příčný reling ke zkrácení, šedý</v>
      </c>
      <c r="M501" s="15" t="str">
        <f>Price!B501</f>
        <v>ZRG.1104Q</v>
      </c>
      <c r="N501" s="15" t="str">
        <f>Price!C501</f>
        <v>R906</v>
      </c>
      <c r="O501" s="472">
        <f>Price!D501</f>
        <v>0</v>
      </c>
      <c r="P501" s="15">
        <f>Price!E501</f>
        <v>0</v>
      </c>
      <c r="Q501" s="17">
        <f>Price!F501</f>
        <v>4.6832500000000001</v>
      </c>
      <c r="R501" s="171"/>
      <c r="S501" s="171"/>
      <c r="T501" s="12">
        <f>Price!G501</f>
        <v>9752780</v>
      </c>
      <c r="U501" s="12">
        <f>Price!H501</f>
        <v>202534</v>
      </c>
      <c r="V501" s="13"/>
      <c r="W501" s="13"/>
      <c r="X501" s="19"/>
      <c r="Y501" s="19"/>
    </row>
    <row r="502" spans="1:25" x14ac:dyDescent="0.35">
      <c r="A502" s="43"/>
      <c r="B502" s="161"/>
      <c r="C502" s="161"/>
      <c r="D502" s="161"/>
      <c r="E502" s="69"/>
      <c r="F502" s="50"/>
      <c r="G502" s="50"/>
      <c r="H502" s="50"/>
      <c r="I502" s="176"/>
      <c r="J502" s="176"/>
      <c r="K502" s="54"/>
      <c r="L502" s="46" t="str">
        <f>Price!A502</f>
        <v>Příčný reling ke zkrácení, hedvábně bílý</v>
      </c>
      <c r="M502" s="15" t="str">
        <f>Price!B502</f>
        <v>ZRG.1104Q</v>
      </c>
      <c r="N502" s="15" t="str">
        <f>Price!C502</f>
        <v>SEIW</v>
      </c>
      <c r="O502" s="472">
        <f>Price!D502</f>
        <v>0</v>
      </c>
      <c r="P502" s="15">
        <f>Price!E502</f>
        <v>0</v>
      </c>
      <c r="Q502" s="17">
        <f>Price!F502</f>
        <v>4.7534999999999998</v>
      </c>
      <c r="R502" s="171"/>
      <c r="S502" s="171"/>
      <c r="T502" s="12">
        <f>Price!G502</f>
        <v>9752782</v>
      </c>
      <c r="U502" s="12">
        <f>Price!H502</f>
        <v>202535</v>
      </c>
      <c r="V502" s="13"/>
      <c r="W502" s="13"/>
      <c r="X502" s="19"/>
      <c r="Y502" s="19"/>
    </row>
    <row r="503" spans="1:25" x14ac:dyDescent="0.35">
      <c r="A503" s="43"/>
      <c r="B503" s="161"/>
      <c r="C503" s="161"/>
      <c r="D503" s="161"/>
      <c r="E503" s="69"/>
      <c r="F503" s="50"/>
      <c r="G503" s="50"/>
      <c r="H503" s="50"/>
      <c r="I503" s="176"/>
      <c r="J503" s="176"/>
      <c r="K503" s="54"/>
      <c r="L503" s="46" t="str">
        <f>Price!A503</f>
        <v>Příčný reling ke zkrácení, černý Terra</v>
      </c>
      <c r="M503" s="15" t="str">
        <f>Price!B503</f>
        <v>ZRG.1104Q</v>
      </c>
      <c r="N503" s="15" t="str">
        <f>Price!C503</f>
        <v>TERS</v>
      </c>
      <c r="O503" s="472" t="str">
        <f>Price!D503</f>
        <v>!</v>
      </c>
      <c r="P503" s="15">
        <f>Price!E503</f>
        <v>0</v>
      </c>
      <c r="Q503" s="17">
        <f>Price!F503</f>
        <v>4.7534999999999998</v>
      </c>
      <c r="R503" s="171"/>
      <c r="S503" s="171"/>
      <c r="T503" s="12">
        <f>Price!G503</f>
        <v>9752784</v>
      </c>
      <c r="U503" s="12">
        <f>Price!H503</f>
        <v>203109</v>
      </c>
      <c r="V503" s="13"/>
      <c r="W503" s="13"/>
      <c r="X503" s="19"/>
      <c r="Y503" s="19"/>
    </row>
    <row r="504" spans="1:25" x14ac:dyDescent="0.35">
      <c r="A504" s="43"/>
      <c r="B504" s="161"/>
      <c r="C504" s="161"/>
      <c r="D504" s="161"/>
      <c r="E504" s="69"/>
      <c r="F504" s="50"/>
      <c r="G504" s="50"/>
      <c r="H504" s="50"/>
      <c r="I504" s="176"/>
      <c r="J504" s="176"/>
      <c r="K504" s="54"/>
      <c r="L504" s="46" t="str">
        <f>Price!A504</f>
        <v>Příčný reling ke zkrácení, niklovaný matný</v>
      </c>
      <c r="M504" s="15" t="str">
        <f>Price!B504</f>
        <v>ZRG.1104Q</v>
      </c>
      <c r="N504" s="15" t="str">
        <f>Price!C504</f>
        <v>NI-M</v>
      </c>
      <c r="O504" s="472" t="str">
        <f>Price!D504</f>
        <v>!</v>
      </c>
      <c r="P504" s="15">
        <f>Price!E504</f>
        <v>0</v>
      </c>
      <c r="Q504" s="17">
        <f>Price!F504</f>
        <v>0</v>
      </c>
      <c r="R504" s="171"/>
      <c r="S504" s="171"/>
      <c r="T504" s="12">
        <f>Price!G504</f>
        <v>3013881</v>
      </c>
      <c r="U504" s="12" t="str">
        <f>Price!H504</f>
        <v>-</v>
      </c>
      <c r="V504" s="13"/>
      <c r="W504" s="13"/>
      <c r="X504" s="19"/>
      <c r="Y504" s="19"/>
    </row>
    <row r="505" spans="1:25" x14ac:dyDescent="0.35">
      <c r="A505" s="65"/>
      <c r="B505" s="162"/>
      <c r="C505" s="162"/>
      <c r="D505" s="162"/>
      <c r="E505" s="64"/>
      <c r="F505" s="52"/>
      <c r="G505" s="52"/>
      <c r="H505" s="52"/>
      <c r="I505" s="175"/>
      <c r="J505" s="175"/>
      <c r="K505" s="47"/>
      <c r="L505" s="46">
        <f>Price!A505</f>
        <v>0</v>
      </c>
      <c r="M505" s="15">
        <f>Price!B505</f>
        <v>0</v>
      </c>
      <c r="N505" s="15">
        <f>Price!C505</f>
        <v>0</v>
      </c>
      <c r="O505" s="472">
        <f>Price!D505</f>
        <v>0</v>
      </c>
      <c r="P505" s="15">
        <f>Price!E505</f>
        <v>0</v>
      </c>
      <c r="Q505" s="17">
        <f>Price!F505</f>
        <v>0</v>
      </c>
      <c r="R505" s="171"/>
      <c r="S505" s="171"/>
      <c r="T505" s="12">
        <f>Price!G505</f>
        <v>0</v>
      </c>
      <c r="U505" s="12">
        <f>Price!H505</f>
        <v>0</v>
      </c>
      <c r="V505" s="13"/>
      <c r="X505" s="19"/>
      <c r="Y505" s="19"/>
    </row>
    <row r="506" spans="1:25" ht="15" thickBot="1" x14ac:dyDescent="0.4">
      <c r="A506" s="75" t="str">
        <f>IF($C$2=1,L506,IF($C$2=2,L507,IF($C$2=3,L508, IF($C$2=4, L509, "  chyba"))))</f>
        <v>Koncovka pro příčný reling, bílošedá</v>
      </c>
      <c r="B506" s="76" t="str">
        <f t="shared" ref="B506" si="569">IF($C$2=1,M506,IF($C$2=2,M507,IF($C$2=3,M508, IF($C$2=4, M509, "  chyba"))))</f>
        <v>ZRU.01E0</v>
      </c>
      <c r="C506" s="76" t="str">
        <f t="shared" ref="C506" si="570">IF($C$2=1,N506,IF($C$2=2,N507,IF($C$2=3,N508, IF($C$2=4, N509, "  chyba"))))</f>
        <v>WGR</v>
      </c>
      <c r="D506" s="172">
        <f t="shared" ref="D506" si="571">IF($C$2=1,O506,IF($C$2=2,O507,IF($C$2=3,O508, IF($C$2=4, O509, "  chyba"))))</f>
        <v>0</v>
      </c>
      <c r="E506" s="77">
        <f t="shared" ref="E506" si="572">IF($C$2=1,P506,IF($C$2=2,P507,IF($C$2=3,P508, IF($C$2=4, P509, "  chyba"))))</f>
        <v>0</v>
      </c>
      <c r="F506" s="78">
        <f>IF($C$2=1,Q506,IF($C$2=2,Q507,IF($C$2=3,Q508, IF($C$2=4, Q509, "  chyba"))))*(100-$F$6)/100</f>
        <v>1.4808699999999999</v>
      </c>
      <c r="G506" s="50"/>
      <c r="H506" s="50"/>
      <c r="I506" s="172">
        <f t="shared" ref="I506" si="573">IF($C$2=1,T506,IF($C$2=2,T507,IF($C$2=3,T508, IF($C$2=4, T509, "  chyba"))))</f>
        <v>6586948</v>
      </c>
      <c r="J506" s="172">
        <f t="shared" ref="J506" si="574">IF($C$2=1,U506,IF($C$2=2,U507,IF($C$2=3,U508, IF($C$2=4, U509, "  chyba"))))</f>
        <v>229192</v>
      </c>
      <c r="K506" s="54"/>
      <c r="L506" s="46" t="str">
        <f>Price!A506</f>
        <v>Koncovka pro příčný reling, bílošedá</v>
      </c>
      <c r="M506" s="15" t="str">
        <f>Price!B506</f>
        <v>ZRU.01E0</v>
      </c>
      <c r="N506" s="15" t="str">
        <f>Price!C506</f>
        <v>WGR</v>
      </c>
      <c r="O506" s="472">
        <f>Price!D506</f>
        <v>0</v>
      </c>
      <c r="P506" s="15">
        <f>Price!E506</f>
        <v>0</v>
      </c>
      <c r="Q506" s="17">
        <f>Price!F506</f>
        <v>1.4808699999999999</v>
      </c>
      <c r="R506" s="171"/>
      <c r="S506" s="171"/>
      <c r="T506" s="12">
        <f>Price!G506</f>
        <v>6586948</v>
      </c>
      <c r="U506" s="12">
        <f>Price!H506</f>
        <v>229192</v>
      </c>
      <c r="V506" s="13"/>
      <c r="W506" s="13"/>
      <c r="X506" s="19"/>
      <c r="Y506" s="19"/>
    </row>
    <row r="507" spans="1:25" x14ac:dyDescent="0.35">
      <c r="A507" s="43"/>
      <c r="B507" s="161"/>
      <c r="C507" s="161"/>
      <c r="D507" s="161"/>
      <c r="E507" s="69"/>
      <c r="F507" s="50"/>
      <c r="G507" s="50"/>
      <c r="H507" s="50"/>
      <c r="I507" s="176"/>
      <c r="J507" s="176"/>
      <c r="K507" s="54"/>
      <c r="L507" s="46" t="str">
        <f>Price!A507</f>
        <v>Koncovka pro příčný reling, hedvábně bílá</v>
      </c>
      <c r="M507" s="15" t="str">
        <f>Price!B507</f>
        <v>ZRU.01E0</v>
      </c>
      <c r="N507" s="15" t="str">
        <f>Price!C507</f>
        <v>SEIW</v>
      </c>
      <c r="O507" s="472">
        <f>Price!D507</f>
        <v>0</v>
      </c>
      <c r="P507" s="15">
        <f>Price!E507</f>
        <v>0</v>
      </c>
      <c r="Q507" s="17">
        <f>Price!F507</f>
        <v>1.4808699999999999</v>
      </c>
      <c r="R507" s="171"/>
      <c r="S507" s="171"/>
      <c r="T507" s="12">
        <f>Price!G507</f>
        <v>6960088</v>
      </c>
      <c r="U507" s="12">
        <f>Price!H507</f>
        <v>229193</v>
      </c>
      <c r="V507" s="13"/>
      <c r="W507" s="13"/>
      <c r="X507" s="19"/>
      <c r="Y507" s="19"/>
    </row>
    <row r="508" spans="1:25" x14ac:dyDescent="0.35">
      <c r="A508" s="43"/>
      <c r="B508" s="161"/>
      <c r="C508" s="161"/>
      <c r="D508" s="161"/>
      <c r="E508" s="69"/>
      <c r="F508" s="50"/>
      <c r="G508" s="50"/>
      <c r="H508" s="50"/>
      <c r="I508" s="176"/>
      <c r="J508" s="176"/>
      <c r="K508" s="54"/>
      <c r="L508" s="46" t="str">
        <f>Price!A508</f>
        <v>Koncovka pro příčný reling, černá</v>
      </c>
      <c r="M508" s="15" t="str">
        <f>Price!B508</f>
        <v>ZRU.01E0</v>
      </c>
      <c r="N508" s="15" t="str">
        <f>Price!C508</f>
        <v xml:space="preserve">S </v>
      </c>
      <c r="O508" s="472" t="str">
        <f>Price!D508</f>
        <v>!</v>
      </c>
      <c r="P508" s="15">
        <f>Price!E508</f>
        <v>0</v>
      </c>
      <c r="Q508" s="17">
        <f>Price!F508</f>
        <v>1.3315900000000001</v>
      </c>
      <c r="R508" s="171"/>
      <c r="S508" s="171"/>
      <c r="T508" s="12">
        <f>Price!G508</f>
        <v>1344661</v>
      </c>
      <c r="U508" s="12">
        <f>Price!H508</f>
        <v>288439</v>
      </c>
      <c r="V508" s="13"/>
      <c r="W508" s="13"/>
      <c r="X508" s="19"/>
      <c r="Y508" s="19"/>
    </row>
    <row r="509" spans="1:25" x14ac:dyDescent="0.35">
      <c r="A509" s="43"/>
      <c r="B509" s="161"/>
      <c r="C509" s="161"/>
      <c r="D509" s="161"/>
      <c r="E509" s="69"/>
      <c r="F509" s="50"/>
      <c r="G509" s="50"/>
      <c r="H509" s="50"/>
      <c r="I509" s="176"/>
      <c r="J509" s="176"/>
      <c r="K509" s="54"/>
      <c r="L509" s="46" t="str">
        <f>Price!A509</f>
        <v>Koncovka pro příčný reling, prachově šedá</v>
      </c>
      <c r="M509" s="15" t="str">
        <f>Price!B509</f>
        <v>ZRU.01E0</v>
      </c>
      <c r="N509" s="15" t="str">
        <f>Price!C509</f>
        <v>R737</v>
      </c>
      <c r="O509" s="472" t="str">
        <f>Price!D509</f>
        <v>!</v>
      </c>
      <c r="P509" s="15">
        <f>Price!E509</f>
        <v>0</v>
      </c>
      <c r="Q509" s="17">
        <f>Price!F509</f>
        <v>1.4808699999999999</v>
      </c>
      <c r="R509" s="171"/>
      <c r="S509" s="171"/>
      <c r="T509" s="12">
        <f>Price!G509</f>
        <v>5065069</v>
      </c>
      <c r="U509" s="12">
        <f>Price!H509</f>
        <v>229192</v>
      </c>
      <c r="V509" s="13"/>
      <c r="W509" s="13"/>
      <c r="X509" s="19"/>
      <c r="Y509" s="19"/>
    </row>
    <row r="510" spans="1:25" x14ac:dyDescent="0.35">
      <c r="A510" s="65"/>
      <c r="B510" s="162"/>
      <c r="C510" s="162"/>
      <c r="D510" s="162"/>
      <c r="E510" s="64"/>
      <c r="F510" s="52"/>
      <c r="G510" s="52"/>
      <c r="H510" s="52"/>
      <c r="I510" s="175"/>
      <c r="J510" s="175"/>
      <c r="K510" s="47"/>
      <c r="L510" s="46">
        <f>Price!A510</f>
        <v>0</v>
      </c>
      <c r="M510" s="15">
        <f>Price!B510</f>
        <v>0</v>
      </c>
      <c r="N510" s="15">
        <f>Price!C510</f>
        <v>0</v>
      </c>
      <c r="O510" s="472">
        <f>Price!D510</f>
        <v>0</v>
      </c>
      <c r="P510" s="15">
        <f>Price!E510</f>
        <v>0</v>
      </c>
      <c r="Q510" s="17">
        <f>Price!F510</f>
        <v>0</v>
      </c>
      <c r="R510" s="171"/>
      <c r="S510" s="171"/>
      <c r="T510" s="12">
        <f>Price!G510</f>
        <v>0</v>
      </c>
      <c r="U510" s="12">
        <f>Price!H510</f>
        <v>0</v>
      </c>
      <c r="V510" s="13"/>
      <c r="W510" s="13"/>
      <c r="X510" s="19"/>
      <c r="Y510" s="19"/>
    </row>
    <row r="511" spans="1:25" ht="15" thickBot="1" x14ac:dyDescent="0.4">
      <c r="A511" s="75" t="str">
        <f>IF($C$2=1,L511,IF($C$2=2,L512,IF($C$2=3,L513, IF($C$2=4, L514, "  chyba"))))</f>
        <v>Podélné dělení pro reling, bílošedé</v>
      </c>
      <c r="B511" s="76" t="str">
        <f t="shared" ref="B511" si="575">IF($C$2=1,M511,IF($C$2=2,M512,IF($C$2=3,M513, IF($C$2=4, M514, "  chyba"))))</f>
        <v>ZRU.11F0</v>
      </c>
      <c r="C511" s="76" t="str">
        <f t="shared" ref="C511" si="576">IF($C$2=1,N511,IF($C$2=2,N512,IF($C$2=3,N513, IF($C$2=4, N514, "  chyba"))))</f>
        <v>WGR</v>
      </c>
      <c r="D511" s="172">
        <f t="shared" ref="D511" si="577">IF($C$2=1,O511,IF($C$2=2,O512,IF($C$2=3,O513, IF($C$2=4, O514, "  chyba"))))</f>
        <v>0</v>
      </c>
      <c r="E511" s="77">
        <f t="shared" ref="E511" si="578">IF($C$2=1,P511,IF($C$2=2,P512,IF($C$2=3,P513, IF($C$2=4, P514, "  chyba"))))</f>
        <v>0</v>
      </c>
      <c r="F511" s="78">
        <f>IF($C$2=1,Q511,IF($C$2=2,Q512,IF($C$2=3,Q513, IF($C$2=4, Q514, "  chyba"))))*(100-$F$6)/100</f>
        <v>0.84326000000000012</v>
      </c>
      <c r="G511" s="50"/>
      <c r="H511" s="50"/>
      <c r="I511" s="172">
        <f t="shared" ref="I511" si="579">IF($C$2=1,T511,IF($C$2=2,T512,IF($C$2=3,T513, IF($C$2=4, T514, "  chyba"))))</f>
        <v>9410686</v>
      </c>
      <c r="J511" s="172">
        <f t="shared" ref="J511" si="580">IF($C$2=1,U511,IF($C$2=2,U512,IF($C$2=3,U513, IF($C$2=4, U514, "  chyba"))))</f>
        <v>202538</v>
      </c>
      <c r="K511" s="54"/>
      <c r="L511" s="46" t="str">
        <f>Price!A511</f>
        <v>Podélné dělení pro reling, bílošedé</v>
      </c>
      <c r="M511" s="15" t="str">
        <f>Price!B511</f>
        <v>ZRU.11F0</v>
      </c>
      <c r="N511" s="15" t="str">
        <f>Price!C511</f>
        <v>WGR</v>
      </c>
      <c r="O511" s="472">
        <f>Price!D511</f>
        <v>0</v>
      </c>
      <c r="P511" s="15">
        <f>Price!E511</f>
        <v>0</v>
      </c>
      <c r="Q511" s="17">
        <f>Price!F511</f>
        <v>0.84326000000000001</v>
      </c>
      <c r="R511" s="171"/>
      <c r="S511" s="171"/>
      <c r="T511" s="12">
        <f>Price!G511</f>
        <v>9410686</v>
      </c>
      <c r="U511" s="12">
        <f>Price!H511</f>
        <v>202538</v>
      </c>
      <c r="V511" s="13"/>
      <c r="W511" s="13"/>
      <c r="X511" s="19"/>
      <c r="Y511" s="19"/>
    </row>
    <row r="512" spans="1:25" x14ac:dyDescent="0.35">
      <c r="A512" s="43"/>
      <c r="B512" s="161"/>
      <c r="C512" s="161"/>
      <c r="D512" s="161"/>
      <c r="E512" s="69"/>
      <c r="F512" s="50"/>
      <c r="G512" s="50"/>
      <c r="H512" s="50"/>
      <c r="I512" s="176"/>
      <c r="J512" s="176"/>
      <c r="K512" s="54"/>
      <c r="L512" s="46" t="str">
        <f>Price!A512</f>
        <v>Podélné dělení pro reling, hedvábně bílé</v>
      </c>
      <c r="M512" s="15" t="str">
        <f>Price!B512</f>
        <v>ZRU.11F0</v>
      </c>
      <c r="N512" s="15" t="str">
        <f>Price!C512</f>
        <v>SEIW</v>
      </c>
      <c r="O512" s="472">
        <f>Price!D512</f>
        <v>0</v>
      </c>
      <c r="P512" s="15">
        <f>Price!E512</f>
        <v>0</v>
      </c>
      <c r="Q512" s="17">
        <f>Price!F512</f>
        <v>0.84326000000000001</v>
      </c>
      <c r="R512" s="171"/>
      <c r="S512" s="171"/>
      <c r="T512" s="12">
        <f>Price!G512</f>
        <v>9410682</v>
      </c>
      <c r="U512" s="12">
        <f>Price!H512</f>
        <v>202539</v>
      </c>
      <c r="V512" s="13"/>
      <c r="W512" s="13"/>
      <c r="X512" s="19"/>
      <c r="Y512" s="19"/>
    </row>
    <row r="513" spans="1:25" x14ac:dyDescent="0.35">
      <c r="A513" s="43"/>
      <c r="B513" s="161"/>
      <c r="C513" s="161"/>
      <c r="D513" s="161"/>
      <c r="E513" s="69"/>
      <c r="F513" s="50"/>
      <c r="G513" s="50"/>
      <c r="H513" s="50"/>
      <c r="I513" s="176"/>
      <c r="J513" s="176"/>
      <c r="K513" s="54"/>
      <c r="L513" s="46" t="str">
        <f>Price!A513</f>
        <v>Podélné dělení pro reling, černé</v>
      </c>
      <c r="M513" s="15" t="str">
        <f>Price!B513</f>
        <v>ZRU.11F0</v>
      </c>
      <c r="N513" s="15" t="str">
        <f>Price!C513</f>
        <v xml:space="preserve">S </v>
      </c>
      <c r="O513" s="472" t="str">
        <f>Price!D513</f>
        <v>!</v>
      </c>
      <c r="P513" s="15">
        <f>Price!E513</f>
        <v>0</v>
      </c>
      <c r="Q513" s="17">
        <f>Price!F513</f>
        <v>0.84326000000000001</v>
      </c>
      <c r="R513" s="171"/>
      <c r="S513" s="171"/>
      <c r="T513" s="12">
        <f>Price!G513</f>
        <v>9410684</v>
      </c>
      <c r="U513" s="12">
        <f>Price!H513</f>
        <v>203116</v>
      </c>
      <c r="V513" s="13"/>
      <c r="W513" s="13"/>
      <c r="X513" s="19"/>
      <c r="Y513" s="19"/>
    </row>
    <row r="514" spans="1:25" x14ac:dyDescent="0.35">
      <c r="A514" s="65"/>
      <c r="B514" s="162"/>
      <c r="C514" s="162"/>
      <c r="D514" s="162"/>
      <c r="E514" s="64"/>
      <c r="F514" s="52"/>
      <c r="G514" s="52"/>
      <c r="H514" s="52"/>
      <c r="I514" s="175"/>
      <c r="J514" s="175"/>
      <c r="K514" s="47"/>
      <c r="L514" s="46" t="str">
        <f>Price!A514</f>
        <v>Podélné dělení pro reling, prachově šedé</v>
      </c>
      <c r="M514" s="15" t="str">
        <f>Price!B514</f>
        <v>ZRU.11F0</v>
      </c>
      <c r="N514" s="15" t="str">
        <f>Price!C514</f>
        <v>R737</v>
      </c>
      <c r="O514" s="472" t="str">
        <f>Price!D514</f>
        <v>!</v>
      </c>
      <c r="P514" s="15">
        <f>Price!E514</f>
        <v>0</v>
      </c>
      <c r="Q514" s="17">
        <f>Price!F514</f>
        <v>0.75824999999999998</v>
      </c>
      <c r="R514" s="171"/>
      <c r="S514" s="171"/>
      <c r="T514" s="12">
        <f>Price!G514</f>
        <v>9410680</v>
      </c>
      <c r="U514" s="12">
        <f>Price!H514</f>
        <v>203203</v>
      </c>
      <c r="V514" s="13"/>
      <c r="W514" s="13"/>
      <c r="X514" s="19"/>
      <c r="Y514" s="19"/>
    </row>
    <row r="515" spans="1:25" x14ac:dyDescent="0.35">
      <c r="A515" s="43"/>
      <c r="B515" s="161"/>
      <c r="C515" s="161"/>
      <c r="D515" s="161"/>
      <c r="E515" s="69"/>
      <c r="F515" s="50"/>
      <c r="G515" s="50"/>
      <c r="H515" s="50"/>
      <c r="I515" s="176"/>
      <c r="J515" s="176"/>
      <c r="K515" s="54"/>
      <c r="L515" s="46">
        <f>Price!A515</f>
        <v>0</v>
      </c>
      <c r="M515" s="15">
        <f>Price!B515</f>
        <v>0</v>
      </c>
      <c r="N515" s="15">
        <f>Price!C515</f>
        <v>0</v>
      </c>
      <c r="O515" s="472">
        <f>Price!D515</f>
        <v>0</v>
      </c>
      <c r="P515" s="15">
        <f>Price!E515</f>
        <v>0</v>
      </c>
      <c r="Q515" s="17">
        <f>Price!F515</f>
        <v>0</v>
      </c>
      <c r="R515" s="171"/>
      <c r="S515" s="171"/>
      <c r="T515" s="12">
        <f>Price!G515</f>
        <v>0</v>
      </c>
      <c r="U515" s="12">
        <f>Price!H515</f>
        <v>0</v>
      </c>
      <c r="V515" s="13"/>
      <c r="X515" s="19"/>
      <c r="Y515" s="19"/>
    </row>
    <row r="516" spans="1:25" x14ac:dyDescent="0.35">
      <c r="A516" s="43"/>
      <c r="B516" s="161"/>
      <c r="C516" s="161"/>
      <c r="D516" s="161"/>
      <c r="E516" s="69"/>
      <c r="F516" s="50"/>
      <c r="G516" s="50"/>
      <c r="H516" s="50"/>
      <c r="I516" s="176"/>
      <c r="J516" s="176"/>
      <c r="K516" s="54"/>
      <c r="L516" s="46">
        <f>Price!A516</f>
        <v>0</v>
      </c>
      <c r="M516" s="15">
        <f>Price!B516</f>
        <v>0</v>
      </c>
      <c r="N516" s="15">
        <f>Price!C516</f>
        <v>0</v>
      </c>
      <c r="O516" s="472">
        <f>Price!D516</f>
        <v>0</v>
      </c>
      <c r="P516" s="15">
        <f>Price!E516</f>
        <v>0</v>
      </c>
      <c r="Q516" s="17">
        <f>Price!F516</f>
        <v>0</v>
      </c>
      <c r="R516" s="171"/>
      <c r="S516" s="171"/>
      <c r="T516" s="12">
        <f>Price!G516</f>
        <v>0</v>
      </c>
      <c r="U516" s="12">
        <f>Price!H516</f>
        <v>0</v>
      </c>
      <c r="V516" s="13"/>
      <c r="W516" s="13"/>
      <c r="X516" s="19"/>
      <c r="Y516" s="19"/>
    </row>
    <row r="517" spans="1:25" x14ac:dyDescent="0.35">
      <c r="A517" s="43"/>
      <c r="B517" s="161"/>
      <c r="C517" s="161"/>
      <c r="D517" s="161"/>
      <c r="E517" s="69"/>
      <c r="F517" s="50"/>
      <c r="G517" s="50"/>
      <c r="H517" s="50"/>
      <c r="I517" s="176"/>
      <c r="J517" s="176"/>
      <c r="K517" s="54"/>
      <c r="L517" s="46" t="str">
        <f>Price!A517</f>
        <v xml:space="preserve">   ORGA-LINE mezistěny</v>
      </c>
      <c r="M517" s="15">
        <f>Price!B517</f>
        <v>0</v>
      </c>
      <c r="N517" s="15">
        <f>Price!C517</f>
        <v>0</v>
      </c>
      <c r="O517" s="472">
        <f>Price!D517</f>
        <v>0</v>
      </c>
      <c r="P517" s="15">
        <f>Price!E517</f>
        <v>0</v>
      </c>
      <c r="Q517" s="17">
        <f>Price!F517</f>
        <v>0</v>
      </c>
      <c r="R517" s="171"/>
      <c r="S517" s="171"/>
      <c r="T517" s="12">
        <f>Price!G517</f>
        <v>0</v>
      </c>
      <c r="U517" s="12">
        <f>Price!H517</f>
        <v>0</v>
      </c>
      <c r="V517" s="13"/>
      <c r="W517" s="13"/>
      <c r="X517" s="19"/>
      <c r="Y517" s="19"/>
    </row>
    <row r="518" spans="1:25" ht="15" thickBot="1" x14ac:dyDescent="0.4">
      <c r="A518" s="75" t="str">
        <f>IF($C$2=1,L518,IF($C$2=2,L519,IF($C$2=3,L520, IF($C$2=4, L521, "  chyba"))))</f>
        <v>Mezistěna, 450mm, šedá</v>
      </c>
      <c r="B518" s="76" t="str">
        <f t="shared" ref="B518" si="581">IF($C$2=1,M518,IF($C$2=2,M519,IF($C$2=3,M520, IF($C$2=4, M521, "  chyba"))))</f>
        <v xml:space="preserve">Z46L420S   </v>
      </c>
      <c r="C518" s="76" t="str">
        <f t="shared" ref="C518" si="582">IF($C$2=1,N518,IF($C$2=2,N519,IF($C$2=3,N520, IF($C$2=4, N521, "  chyba"))))</f>
        <v>R906</v>
      </c>
      <c r="D518" s="172" t="str">
        <f t="shared" ref="D518" si="583">IF($C$2=1,O518,IF($C$2=2,O519,IF($C$2=3,O520, IF($C$2=4, O521, "  chyba"))))</f>
        <v>!</v>
      </c>
      <c r="E518" s="77">
        <f t="shared" ref="E518" si="584">IF($C$2=1,P518,IF($C$2=2,P519,IF($C$2=3,P520, IF($C$2=4, P521, "  chyba"))))</f>
        <v>0</v>
      </c>
      <c r="F518" s="78">
        <f>IF($C$2=1,Q518,IF($C$2=2,Q519,IF($C$2=3,Q520, IF($C$2=4, Q521, "  chyba"))))*(100-$F$6)/100</f>
        <v>27.800640000000001</v>
      </c>
      <c r="G518" s="50"/>
      <c r="H518" s="50"/>
      <c r="I518" s="172">
        <f t="shared" ref="I518" si="585">IF($C$2=1,T518,IF($C$2=2,T519,IF($C$2=3,T520, IF($C$2=4, T521, "  chyba"))))</f>
        <v>8675730</v>
      </c>
      <c r="J518" s="172">
        <f t="shared" ref="J518" si="586">IF($C$2=1,U518,IF($C$2=2,U519,IF($C$2=3,U520, IF($C$2=4, U521, "  chyba"))))</f>
        <v>13163</v>
      </c>
      <c r="K518" s="54"/>
      <c r="L518" s="46" t="str">
        <f>Price!A518</f>
        <v>Mezistěna, 450mm, šedá</v>
      </c>
      <c r="M518" s="15" t="str">
        <f>Price!B518</f>
        <v xml:space="preserve">Z46L420S   </v>
      </c>
      <c r="N518" s="15" t="str">
        <f>Price!C518</f>
        <v>R906</v>
      </c>
      <c r="O518" s="472" t="str">
        <f>Price!D518</f>
        <v>!</v>
      </c>
      <c r="P518" s="15">
        <f>Price!E518</f>
        <v>0</v>
      </c>
      <c r="Q518" s="17">
        <f>Price!F518</f>
        <v>27.800640000000001</v>
      </c>
      <c r="R518" s="171"/>
      <c r="S518" s="171"/>
      <c r="T518" s="12">
        <f>Price!G518</f>
        <v>8675730</v>
      </c>
      <c r="U518" s="12">
        <f>Price!H518</f>
        <v>13163</v>
      </c>
      <c r="V518" s="13"/>
      <c r="W518" s="13"/>
      <c r="X518" s="19"/>
      <c r="Y518" s="19"/>
    </row>
    <row r="519" spans="1:25" x14ac:dyDescent="0.35">
      <c r="A519" s="43"/>
      <c r="B519" s="161"/>
      <c r="C519" s="161"/>
      <c r="D519" s="161"/>
      <c r="E519" s="69"/>
      <c r="F519" s="50"/>
      <c r="G519" s="50"/>
      <c r="H519" s="50"/>
      <c r="I519" s="176"/>
      <c r="J519" s="176"/>
      <c r="K519" s="54"/>
      <c r="L519" s="46" t="str">
        <f>Price!A519</f>
        <v>Mezistěna, 450mm, hedvábně bílá</v>
      </c>
      <c r="M519" s="15" t="str">
        <f>Price!B519</f>
        <v xml:space="preserve">Z46L420S  </v>
      </c>
      <c r="N519" s="15" t="str">
        <f>Price!C519</f>
        <v>SEIW</v>
      </c>
      <c r="O519" s="472" t="str">
        <f>Price!D519</f>
        <v>!</v>
      </c>
      <c r="P519" s="15">
        <f>Price!E519</f>
        <v>0</v>
      </c>
      <c r="Q519" s="17">
        <f>Price!F519</f>
        <v>0</v>
      </c>
      <c r="R519" s="171"/>
      <c r="S519" s="171"/>
      <c r="T519" s="12">
        <f>Price!G519</f>
        <v>7934520</v>
      </c>
      <c r="U519" s="12" t="str">
        <f>Price!H519</f>
        <v>-</v>
      </c>
      <c r="V519" s="13"/>
      <c r="W519" s="13"/>
      <c r="X519" s="19"/>
      <c r="Y519" s="19"/>
    </row>
    <row r="520" spans="1:25" x14ac:dyDescent="0.35">
      <c r="A520" s="43"/>
      <c r="B520" s="161"/>
      <c r="C520" s="161"/>
      <c r="D520" s="161"/>
      <c r="E520" s="69"/>
      <c r="F520" s="50"/>
      <c r="G520" s="50"/>
      <c r="H520" s="50"/>
      <c r="I520" s="176"/>
      <c r="J520" s="176"/>
      <c r="K520" s="54"/>
      <c r="L520" s="46" t="str">
        <f>Price!A520</f>
        <v>Mezistěna, 450mm, černá Terra</v>
      </c>
      <c r="M520" s="15" t="str">
        <f>Price!B520</f>
        <v xml:space="preserve">Z46L420S  </v>
      </c>
      <c r="N520" s="15" t="str">
        <f>Price!C520</f>
        <v>TERS</v>
      </c>
      <c r="O520" s="472" t="str">
        <f>Price!D520</f>
        <v>!</v>
      </c>
      <c r="P520" s="15">
        <f>Price!E520</f>
        <v>0</v>
      </c>
      <c r="Q520" s="17">
        <f>Price!F520</f>
        <v>27.800640000000001</v>
      </c>
      <c r="R520" s="171"/>
      <c r="S520" s="171"/>
      <c r="T520" s="12">
        <f>Price!G520</f>
        <v>7934524</v>
      </c>
      <c r="U520" s="12" t="str">
        <f>Price!H520</f>
        <v>IN560C</v>
      </c>
      <c r="V520" s="13"/>
      <c r="W520" s="13"/>
      <c r="X520" s="19"/>
      <c r="Y520" s="19"/>
    </row>
    <row r="521" spans="1:25" x14ac:dyDescent="0.35">
      <c r="A521" s="43"/>
      <c r="B521" s="161"/>
      <c r="C521" s="161"/>
      <c r="D521" s="161"/>
      <c r="E521" s="69"/>
      <c r="F521" s="50"/>
      <c r="G521" s="50"/>
      <c r="H521" s="50"/>
      <c r="I521" s="176"/>
      <c r="J521" s="176"/>
      <c r="K521" s="54"/>
      <c r="L521" s="46" t="str">
        <f>Price!A521</f>
        <v>Mezistěna, 450mm, nerez (Inox)</v>
      </c>
      <c r="M521" s="15" t="str">
        <f>Price!B521</f>
        <v>Z46L420I</v>
      </c>
      <c r="N521" s="15" t="str">
        <f>Price!C521</f>
        <v>INGL</v>
      </c>
      <c r="O521" s="472" t="str">
        <f>Price!D521</f>
        <v>!</v>
      </c>
      <c r="P521" s="15">
        <f>Price!E521</f>
        <v>0</v>
      </c>
      <c r="Q521" s="17">
        <f>Price!F521</f>
        <v>62.334989999999998</v>
      </c>
      <c r="R521" s="171"/>
      <c r="S521" s="171"/>
      <c r="T521" s="12">
        <f>Price!G521</f>
        <v>8438430</v>
      </c>
      <c r="U521" s="12" t="str">
        <f>Price!H521</f>
        <v>IN560N</v>
      </c>
      <c r="V521" s="13"/>
      <c r="W521" s="13"/>
      <c r="X521" s="19"/>
      <c r="Y521" s="19"/>
    </row>
    <row r="522" spans="1:25" ht="15" thickBot="1" x14ac:dyDescent="0.4">
      <c r="A522" s="75" t="str">
        <f>IF($C$2=1,L522,IF($C$2=2,L523,IF($C$2=3,L524, IF($C$2=4, L525, "  chyba"))))</f>
        <v>Mezistěna, 500mm, šedá</v>
      </c>
      <c r="B522" s="76" t="str">
        <f t="shared" ref="B522" si="587">IF($C$2=1,M522,IF($C$2=2,M523,IF($C$2=3,M524, IF($C$2=4, M525, "  chyba"))))</f>
        <v xml:space="preserve">Z46L470S   </v>
      </c>
      <c r="C522" s="76" t="str">
        <f t="shared" ref="C522" si="588">IF($C$2=1,N522,IF($C$2=2,N523,IF($C$2=3,N524, IF($C$2=4, N525, "  chyba"))))</f>
        <v>R906</v>
      </c>
      <c r="D522" s="172">
        <f t="shared" ref="D522" si="589">IF($C$2=1,O522,IF($C$2=2,O523,IF($C$2=3,O524, IF($C$2=4, O525, "  chyba"))))</f>
        <v>0</v>
      </c>
      <c r="E522" s="77">
        <f t="shared" ref="E522" si="590">IF($C$2=1,P522,IF($C$2=2,P523,IF($C$2=3,P524, IF($C$2=4, P525, "  chyba"))))</f>
        <v>0</v>
      </c>
      <c r="F522" s="78">
        <f>IF($C$2=1,Q522,IF($C$2=2,Q523,IF($C$2=3,Q524, IF($C$2=4, Q525, "  chyba"))))*(100-$F$6)/100</f>
        <v>28.674389999999999</v>
      </c>
      <c r="G522" s="50"/>
      <c r="H522" s="50"/>
      <c r="I522" s="172">
        <f t="shared" ref="I522" si="591">IF($C$2=1,T522,IF($C$2=2,T523,IF($C$2=3,T524, IF($C$2=4, T525, "  chyba"))))</f>
        <v>8679310</v>
      </c>
      <c r="J522" s="172">
        <f t="shared" ref="J522" si="592">IF($C$2=1,U522,IF($C$2=2,U523,IF($C$2=3,U524, IF($C$2=4, U525, "  chyba"))))</f>
        <v>13162</v>
      </c>
      <c r="K522" s="47"/>
      <c r="L522" s="46" t="str">
        <f>Price!A522</f>
        <v>Mezistěna, 500mm, šedá</v>
      </c>
      <c r="M522" s="15" t="str">
        <f>Price!B522</f>
        <v xml:space="preserve">Z46L470S   </v>
      </c>
      <c r="N522" s="15" t="str">
        <f>Price!C522</f>
        <v>R906</v>
      </c>
      <c r="O522" s="472">
        <f>Price!D522</f>
        <v>0</v>
      </c>
      <c r="P522" s="15">
        <f>Price!E522</f>
        <v>0</v>
      </c>
      <c r="Q522" s="17">
        <f>Price!F522</f>
        <v>28.674389999999999</v>
      </c>
      <c r="R522" s="171"/>
      <c r="S522" s="171"/>
      <c r="T522" s="12">
        <f>Price!G522</f>
        <v>8679310</v>
      </c>
      <c r="U522" s="12">
        <f>Price!H522</f>
        <v>13162</v>
      </c>
      <c r="V522" s="13"/>
      <c r="W522" s="13"/>
      <c r="X522" s="19"/>
      <c r="Y522" s="19"/>
    </row>
    <row r="523" spans="1:25" x14ac:dyDescent="0.35">
      <c r="A523" s="43"/>
      <c r="B523" s="161"/>
      <c r="C523" s="161"/>
      <c r="D523" s="161"/>
      <c r="E523" s="69"/>
      <c r="F523" s="50"/>
      <c r="G523" s="50"/>
      <c r="H523" s="50"/>
      <c r="I523" s="176"/>
      <c r="J523" s="176"/>
      <c r="K523" s="54"/>
      <c r="L523" s="46" t="str">
        <f>Price!A523</f>
        <v>Mezistěna, 500mm, hedvábně bílá</v>
      </c>
      <c r="M523" s="15" t="str">
        <f>Price!B523</f>
        <v xml:space="preserve">Z46L470S  </v>
      </c>
      <c r="N523" s="15" t="str">
        <f>Price!C523</f>
        <v>SEIW</v>
      </c>
      <c r="O523" s="472">
        <f>Price!D523</f>
        <v>0</v>
      </c>
      <c r="P523" s="15">
        <f>Price!E523</f>
        <v>0</v>
      </c>
      <c r="Q523" s="17">
        <f>Price!F523</f>
        <v>28.674389999999999</v>
      </c>
      <c r="R523" s="171"/>
      <c r="S523" s="171"/>
      <c r="T523" s="12">
        <f>Price!G523</f>
        <v>7934760</v>
      </c>
      <c r="U523" s="12">
        <f>Price!H523</f>
        <v>13164</v>
      </c>
      <c r="V523" s="13"/>
      <c r="W523" s="13"/>
      <c r="X523" s="19"/>
      <c r="Y523" s="19"/>
    </row>
    <row r="524" spans="1:25" x14ac:dyDescent="0.35">
      <c r="A524" s="43"/>
      <c r="B524" s="161"/>
      <c r="C524" s="161"/>
      <c r="D524" s="161"/>
      <c r="E524" s="69"/>
      <c r="F524" s="50"/>
      <c r="G524" s="50"/>
      <c r="H524" s="50"/>
      <c r="I524" s="176"/>
      <c r="J524" s="176"/>
      <c r="K524" s="54"/>
      <c r="L524" s="46" t="str">
        <f>Price!A524</f>
        <v>Mezistěna, 500mm, černá Terra</v>
      </c>
      <c r="M524" s="15" t="str">
        <f>Price!B524</f>
        <v xml:space="preserve">Z46L470S  </v>
      </c>
      <c r="N524" s="15" t="str">
        <f>Price!C524</f>
        <v>TERS</v>
      </c>
      <c r="O524" s="472">
        <f>Price!D524</f>
        <v>0</v>
      </c>
      <c r="P524" s="15">
        <f>Price!E524</f>
        <v>0</v>
      </c>
      <c r="Q524" s="17">
        <f>Price!F524</f>
        <v>28.674389999999999</v>
      </c>
      <c r="R524" s="171"/>
      <c r="S524" s="171"/>
      <c r="T524" s="12">
        <f>Price!G524</f>
        <v>7934764</v>
      </c>
      <c r="U524" s="12" t="str">
        <f>Price!H524</f>
        <v>IN561C</v>
      </c>
      <c r="V524" s="13"/>
      <c r="W524" s="13"/>
      <c r="X524" s="19"/>
      <c r="Y524" s="19"/>
    </row>
    <row r="525" spans="1:25" x14ac:dyDescent="0.35">
      <c r="A525" s="43"/>
      <c r="B525" s="161"/>
      <c r="C525" s="161"/>
      <c r="D525" s="161"/>
      <c r="E525" s="69"/>
      <c r="F525" s="50"/>
      <c r="G525" s="50"/>
      <c r="H525" s="50"/>
      <c r="I525" s="176"/>
      <c r="J525" s="176"/>
      <c r="K525" s="54"/>
      <c r="L525" s="46" t="str">
        <f>Price!A525</f>
        <v>Mezistěna, 500mm, nerez (Inox)</v>
      </c>
      <c r="M525" s="15" t="str">
        <f>Price!B525</f>
        <v>Z46L470I</v>
      </c>
      <c r="N525" s="15" t="str">
        <f>Price!C525</f>
        <v>INGL</v>
      </c>
      <c r="O525" s="472" t="str">
        <f>Price!D525</f>
        <v>!</v>
      </c>
      <c r="P525" s="15">
        <f>Price!E525</f>
        <v>0</v>
      </c>
      <c r="Q525" s="17">
        <f>Price!F525</f>
        <v>63.938249999999996</v>
      </c>
      <c r="R525" s="171"/>
      <c r="S525" s="171"/>
      <c r="T525" s="12">
        <f>Price!G525</f>
        <v>8030380</v>
      </c>
      <c r="U525" s="12">
        <f>Price!H525</f>
        <v>13161</v>
      </c>
      <c r="V525" s="13"/>
      <c r="W525" s="13"/>
      <c r="X525" s="19"/>
      <c r="Y525" s="19"/>
    </row>
    <row r="526" spans="1:25" ht="15" thickBot="1" x14ac:dyDescent="0.4">
      <c r="A526" s="75" t="str">
        <f>IF($C$2=1,L526,IF($C$2=2,L527,IF($C$2=3,L528, IF($C$2=4, L529, "  chyba"))))</f>
        <v>Mezistěna, 550mm, šedá</v>
      </c>
      <c r="B526" s="76" t="str">
        <f t="shared" ref="B526" si="593">IF($C$2=1,M526,IF($C$2=2,M527,IF($C$2=3,M528, IF($C$2=4, M529, "  chyba"))))</f>
        <v xml:space="preserve">Z46L520S   </v>
      </c>
      <c r="C526" s="76" t="str">
        <f t="shared" ref="C526" si="594">IF($C$2=1,N526,IF($C$2=2,N527,IF($C$2=3,N528, IF($C$2=4, N529, "  chyba"))))</f>
        <v>R906</v>
      </c>
      <c r="D526" s="172" t="str">
        <f t="shared" ref="D526" si="595">IF($C$2=1,O526,IF($C$2=2,O527,IF($C$2=3,O528, IF($C$2=4, O529, "  chyba"))))</f>
        <v>!</v>
      </c>
      <c r="E526" s="77">
        <f t="shared" ref="E526" si="596">IF($C$2=1,P526,IF($C$2=2,P527,IF($C$2=3,P528, IF($C$2=4, P529, "  chyba"))))</f>
        <v>0</v>
      </c>
      <c r="F526" s="78">
        <f>IF($C$2=1,Q526,IF($C$2=2,Q527,IF($C$2=3,Q528, IF($C$2=4, Q529, "  chyba"))))*(100-$F$6)/100</f>
        <v>30.234719999999996</v>
      </c>
      <c r="G526" s="50"/>
      <c r="H526" s="50"/>
      <c r="I526" s="172">
        <f t="shared" ref="I526" si="597">IF($C$2=1,T526,IF($C$2=2,T527,IF($C$2=3,T528, IF($C$2=4, T529, "  chyba"))))</f>
        <v>9149940</v>
      </c>
      <c r="J526" s="172">
        <f t="shared" ref="J526" si="598">IF($C$2=1,U526,IF($C$2=2,U527,IF($C$2=3,U528, IF($C$2=4, U529, "  chyba"))))</f>
        <v>14328</v>
      </c>
      <c r="K526" s="54"/>
      <c r="L526" s="46" t="str">
        <f>Price!A526</f>
        <v>Mezistěna, 550mm, šedá</v>
      </c>
      <c r="M526" s="15" t="str">
        <f>Price!B526</f>
        <v xml:space="preserve">Z46L520S   </v>
      </c>
      <c r="N526" s="15" t="str">
        <f>Price!C526</f>
        <v>R906</v>
      </c>
      <c r="O526" s="472" t="str">
        <f>Price!D526</f>
        <v>!</v>
      </c>
      <c r="P526" s="15">
        <f>Price!E526</f>
        <v>0</v>
      </c>
      <c r="Q526" s="17">
        <f>Price!F526</f>
        <v>30.234719999999999</v>
      </c>
      <c r="R526" s="171"/>
      <c r="S526" s="171"/>
      <c r="T526" s="12">
        <f>Price!G526</f>
        <v>9149940</v>
      </c>
      <c r="U526" s="12">
        <f>Price!H526</f>
        <v>14328</v>
      </c>
      <c r="V526" s="13"/>
      <c r="W526" s="13"/>
      <c r="X526" s="19"/>
      <c r="Y526" s="19"/>
    </row>
    <row r="527" spans="1:25" x14ac:dyDescent="0.35">
      <c r="A527" s="43"/>
      <c r="B527" s="161"/>
      <c r="C527" s="161"/>
      <c r="D527" s="161"/>
      <c r="E527" s="69"/>
      <c r="F527" s="50"/>
      <c r="G527" s="50"/>
      <c r="H527" s="50"/>
      <c r="I527" s="176"/>
      <c r="J527" s="176"/>
      <c r="K527" s="54"/>
      <c r="L527" s="46" t="str">
        <f>Price!A527</f>
        <v>Mezistěna, 550mm, hedvábně bílá</v>
      </c>
      <c r="M527" s="15" t="str">
        <f>Price!B527</f>
        <v xml:space="preserve">Z46L520S  </v>
      </c>
      <c r="N527" s="15" t="str">
        <f>Price!C527</f>
        <v>SEIW</v>
      </c>
      <c r="O527" s="472" t="str">
        <f>Price!D527</f>
        <v>!</v>
      </c>
      <c r="P527" s="15">
        <f>Price!E527</f>
        <v>0</v>
      </c>
      <c r="Q527" s="17">
        <f>Price!F527</f>
        <v>27.186979999999998</v>
      </c>
      <c r="R527" s="171"/>
      <c r="S527" s="171"/>
      <c r="T527" s="12">
        <f>Price!G527</f>
        <v>7934830</v>
      </c>
      <c r="U527" s="12">
        <f>Price!H527</f>
        <v>177050</v>
      </c>
      <c r="V527" s="13"/>
      <c r="W527" s="13"/>
      <c r="X527" s="19"/>
      <c r="Y527" s="19"/>
    </row>
    <row r="528" spans="1:25" x14ac:dyDescent="0.35">
      <c r="A528" s="43"/>
      <c r="B528" s="161"/>
      <c r="C528" s="161"/>
      <c r="D528" s="161"/>
      <c r="E528" s="69"/>
      <c r="F528" s="50"/>
      <c r="G528" s="50"/>
      <c r="H528" s="50"/>
      <c r="I528" s="176"/>
      <c r="J528" s="176"/>
      <c r="K528" s="54"/>
      <c r="L528" s="46" t="str">
        <f>Price!A528</f>
        <v>Mezistěna, 550mm, černá Terra</v>
      </c>
      <c r="M528" s="15" t="str">
        <f>Price!B528</f>
        <v xml:space="preserve">Z46L520S  </v>
      </c>
      <c r="N528" s="15" t="str">
        <f>Price!C528</f>
        <v>TERS</v>
      </c>
      <c r="O528" s="472" t="str">
        <f>Price!D528</f>
        <v>!</v>
      </c>
      <c r="P528" s="15">
        <f>Price!E528</f>
        <v>0</v>
      </c>
      <c r="Q528" s="17">
        <f>Price!F528</f>
        <v>27.186979999999998</v>
      </c>
      <c r="R528" s="171"/>
      <c r="S528" s="171"/>
      <c r="T528" s="12">
        <f>Price!G528</f>
        <v>7934834</v>
      </c>
      <c r="U528" s="12">
        <f>Price!H528</f>
        <v>177049</v>
      </c>
      <c r="V528" s="13"/>
      <c r="W528" s="13"/>
      <c r="X528" s="19"/>
      <c r="Y528" s="19"/>
    </row>
    <row r="529" spans="1:25" x14ac:dyDescent="0.35">
      <c r="A529" s="43"/>
      <c r="B529" s="161"/>
      <c r="C529" s="161"/>
      <c r="D529" s="161"/>
      <c r="E529" s="69"/>
      <c r="F529" s="50"/>
      <c r="G529" s="50"/>
      <c r="H529" s="50"/>
      <c r="I529" s="176"/>
      <c r="J529" s="176"/>
      <c r="K529" s="54"/>
      <c r="L529" s="46" t="str">
        <f>Price!A529</f>
        <v>Mezistěna, 550mm, nerez (Inox)</v>
      </c>
      <c r="M529" s="15" t="str">
        <f>Price!B529</f>
        <v xml:space="preserve">Z46L520I  </v>
      </c>
      <c r="N529" s="15" t="str">
        <f>Price!C529</f>
        <v>INGL</v>
      </c>
      <c r="O529" s="472" t="str">
        <f>Price!D529</f>
        <v>!</v>
      </c>
      <c r="P529" s="15">
        <f>Price!E529</f>
        <v>0</v>
      </c>
      <c r="Q529" s="17">
        <f>Price!F529</f>
        <v>59.745359999999998</v>
      </c>
      <c r="R529" s="171"/>
      <c r="S529" s="171"/>
      <c r="T529" s="12">
        <f>Price!G529</f>
        <v>8561640</v>
      </c>
      <c r="U529" s="12">
        <f>Price!H529</f>
        <v>177048</v>
      </c>
      <c r="V529" s="13"/>
      <c r="W529" s="13"/>
      <c r="X529" s="19"/>
      <c r="Y529" s="19"/>
    </row>
    <row r="530" spans="1:25" ht="15" thickBot="1" x14ac:dyDescent="0.4">
      <c r="A530" s="75" t="str">
        <f>IF($C$2=1,L530,IF($C$2=2,L531,IF($C$2=3,L532, IF($C$2=4, L533, "  chyba"))))</f>
        <v>Mezistěna, 600mm, šedá</v>
      </c>
      <c r="B530" s="76" t="str">
        <f t="shared" ref="B530" si="599">IF($C$2=1,M530,IF($C$2=2,M531,IF($C$2=3,M532, IF($C$2=4, M533, "  chyba"))))</f>
        <v xml:space="preserve">Z46L570S   </v>
      </c>
      <c r="C530" s="76" t="str">
        <f t="shared" ref="C530" si="600">IF($C$2=1,N530,IF($C$2=2,N531,IF($C$2=3,N532, IF($C$2=4, N533, "  chyba"))))</f>
        <v>R906</v>
      </c>
      <c r="D530" s="172" t="str">
        <f t="shared" ref="D530" si="601">IF($C$2=1,O530,IF($C$2=2,O531,IF($C$2=3,O532, IF($C$2=4, O533, "  chyba"))))</f>
        <v>!</v>
      </c>
      <c r="E530" s="77">
        <f t="shared" ref="E530" si="602">IF($C$2=1,P530,IF($C$2=2,P531,IF($C$2=3,P532, IF($C$2=4, P533, "  chyba"))))</f>
        <v>0</v>
      </c>
      <c r="F530" s="78">
        <f>IF($C$2=1,Q530,IF($C$2=2,Q531,IF($C$2=3,Q532, IF($C$2=4, Q533, "  chyba"))))*(100-$F$6)/100</f>
        <v>28.590029999999999</v>
      </c>
      <c r="G530" s="50"/>
      <c r="H530" s="50"/>
      <c r="I530" s="172">
        <f t="shared" ref="I530" si="603">IF($C$2=1,T530,IF($C$2=2,T531,IF($C$2=3,T532, IF($C$2=4, T533, "  chyba"))))</f>
        <v>8832690</v>
      </c>
      <c r="J530" s="172">
        <f t="shared" ref="J530" si="604">IF($C$2=1,U530,IF($C$2=2,U531,IF($C$2=3,U532, IF($C$2=4, U533, "  chyba"))))</f>
        <v>203383</v>
      </c>
      <c r="K530" s="54"/>
      <c r="L530" s="46" t="str">
        <f>Price!A530</f>
        <v>Mezistěna, 600mm, šedá</v>
      </c>
      <c r="M530" s="15" t="str">
        <f>Price!B530</f>
        <v xml:space="preserve">Z46L570S   </v>
      </c>
      <c r="N530" s="15" t="str">
        <f>Price!C530</f>
        <v>R906</v>
      </c>
      <c r="O530" s="472" t="str">
        <f>Price!D530</f>
        <v>!</v>
      </c>
      <c r="P530" s="15">
        <f>Price!E530</f>
        <v>0</v>
      </c>
      <c r="Q530" s="17">
        <f>Price!F530</f>
        <v>28.590029999999999</v>
      </c>
      <c r="R530" s="171"/>
      <c r="S530" s="171"/>
      <c r="T530" s="12">
        <f>Price!G530</f>
        <v>8832690</v>
      </c>
      <c r="U530" s="12">
        <f>Price!H530</f>
        <v>203383</v>
      </c>
      <c r="V530" s="13"/>
      <c r="W530" s="13"/>
      <c r="X530" s="19"/>
      <c r="Y530" s="19"/>
    </row>
    <row r="531" spans="1:25" x14ac:dyDescent="0.35">
      <c r="A531" s="43"/>
      <c r="B531" s="161"/>
      <c r="C531" s="161"/>
      <c r="D531" s="161"/>
      <c r="E531" s="69"/>
      <c r="F531" s="50"/>
      <c r="G531" s="50"/>
      <c r="H531" s="50"/>
      <c r="I531" s="176"/>
      <c r="J531" s="176"/>
      <c r="K531" s="54"/>
      <c r="L531" s="46" t="str">
        <f>Price!A531</f>
        <v>Mezistěna, 600mm, hedvábně bílá</v>
      </c>
      <c r="M531" s="15" t="str">
        <f>Price!B531</f>
        <v xml:space="preserve">Z46L570S  </v>
      </c>
      <c r="N531" s="15" t="str">
        <f>Price!C531</f>
        <v>SEIW</v>
      </c>
      <c r="O531" s="472" t="str">
        <f>Price!D531</f>
        <v>!</v>
      </c>
      <c r="P531" s="15">
        <f>Price!E531</f>
        <v>0</v>
      </c>
      <c r="Q531" s="17">
        <f>Price!F531</f>
        <v>31.79505</v>
      </c>
      <c r="R531" s="171"/>
      <c r="S531" s="171"/>
      <c r="T531" s="12">
        <f>Price!G531</f>
        <v>7934900</v>
      </c>
      <c r="U531" s="12" t="str">
        <f>Price!H531</f>
        <v>IN563B</v>
      </c>
      <c r="V531" s="13"/>
      <c r="W531" s="13"/>
      <c r="X531" s="19"/>
      <c r="Y531" s="19"/>
    </row>
    <row r="532" spans="1:25" x14ac:dyDescent="0.35">
      <c r="A532" s="43"/>
      <c r="B532" s="161"/>
      <c r="C532" s="161"/>
      <c r="D532" s="161"/>
      <c r="E532" s="69"/>
      <c r="F532" s="50"/>
      <c r="G532" s="50"/>
      <c r="H532" s="50"/>
      <c r="I532" s="176"/>
      <c r="J532" s="176"/>
      <c r="K532" s="54"/>
      <c r="L532" s="46" t="str">
        <f>Price!A532</f>
        <v>Mezistěna, 600mm, černá Terra</v>
      </c>
      <c r="M532" s="15" t="str">
        <f>Price!B532</f>
        <v xml:space="preserve">Z46L570S  </v>
      </c>
      <c r="N532" s="15" t="str">
        <f>Price!C532</f>
        <v>TERS</v>
      </c>
      <c r="O532" s="472" t="str">
        <f>Price!D532</f>
        <v>!</v>
      </c>
      <c r="P532" s="15">
        <f>Price!E532</f>
        <v>0</v>
      </c>
      <c r="Q532" s="17">
        <f>Price!F532</f>
        <v>28.590029999999999</v>
      </c>
      <c r="R532" s="171"/>
      <c r="S532" s="171"/>
      <c r="T532" s="12">
        <f>Price!G532</f>
        <v>7934904</v>
      </c>
      <c r="U532" s="12">
        <f>Price!H532</f>
        <v>177052</v>
      </c>
      <c r="V532" s="13"/>
      <c r="W532" s="13"/>
      <c r="X532" s="19"/>
      <c r="Y532" s="19"/>
    </row>
    <row r="533" spans="1:25" x14ac:dyDescent="0.35">
      <c r="A533" s="43"/>
      <c r="B533" s="161"/>
      <c r="C533" s="161"/>
      <c r="D533" s="161"/>
      <c r="E533" s="69"/>
      <c r="F533" s="50"/>
      <c r="G533" s="50"/>
      <c r="H533" s="50"/>
      <c r="I533" s="176"/>
      <c r="J533" s="176"/>
      <c r="K533" s="54"/>
      <c r="L533" s="46" t="str">
        <f>Price!A533</f>
        <v>Mezistěna, 600mm, nerez (Inox)</v>
      </c>
      <c r="M533" s="15" t="str">
        <f>Price!B533</f>
        <v>Z46L570I</v>
      </c>
      <c r="N533" s="15" t="str">
        <f>Price!C533</f>
        <v>INGL</v>
      </c>
      <c r="O533" s="472" t="str">
        <f>Price!D533</f>
        <v>!</v>
      </c>
      <c r="P533" s="15">
        <f>Price!E533</f>
        <v>0</v>
      </c>
      <c r="Q533" s="17">
        <f>Price!F533</f>
        <v>61.99774</v>
      </c>
      <c r="R533" s="171"/>
      <c r="S533" s="171"/>
      <c r="T533" s="12">
        <f>Price!G533</f>
        <v>8504830</v>
      </c>
      <c r="U533" s="12">
        <f>Price!H533</f>
        <v>177051</v>
      </c>
      <c r="V533" s="13"/>
      <c r="W533" s="13"/>
      <c r="X533" s="19"/>
      <c r="Y533" s="19"/>
    </row>
    <row r="534" spans="1:25" ht="15" thickBot="1" x14ac:dyDescent="0.4">
      <c r="A534" s="75" t="str">
        <f>IF($C$2=1,L534,IF($C$2=2,L535,IF($C$2=3,L536, IF($C$2=4, L537, "  chyba"))))</f>
        <v>Mezistěna, 650mm, šedá</v>
      </c>
      <c r="B534" s="76" t="str">
        <f t="shared" ref="B534" si="605">IF($C$2=1,M534,IF($C$2=2,M535,IF($C$2=3,M536, IF($C$2=4, M537, "  chyba"))))</f>
        <v xml:space="preserve">Z46L620S   </v>
      </c>
      <c r="C534" s="76" t="str">
        <f t="shared" ref="C534" si="606">IF($C$2=1,N534,IF($C$2=2,N535,IF($C$2=3,N536, IF($C$2=4, N537, "  chyba"))))</f>
        <v>R906</v>
      </c>
      <c r="D534" s="172" t="str">
        <f t="shared" ref="D534" si="607">IF($C$2=1,O534,IF($C$2=2,O535,IF($C$2=3,O536, IF($C$2=4, O537, "  chyba"))))</f>
        <v>!</v>
      </c>
      <c r="E534" s="77">
        <f t="shared" ref="E534" si="608">IF($C$2=1,P534,IF($C$2=2,P535,IF($C$2=3,P536, IF($C$2=4, P537, "  chyba"))))</f>
        <v>0</v>
      </c>
      <c r="F534" s="78">
        <f>IF($C$2=1,Q534,IF($C$2=2,Q535,IF($C$2=3,Q536, IF($C$2=4, Q537, "  chyba"))))*(100-$F$6)/100</f>
        <v>33.355379999999997</v>
      </c>
      <c r="G534" s="50"/>
      <c r="H534" s="50"/>
      <c r="I534" s="172">
        <f t="shared" ref="I534" si="609">IF($C$2=1,T534,IF($C$2=2,T535,IF($C$2=3,T536, IF($C$2=4, T537, "  chyba"))))</f>
        <v>8675800</v>
      </c>
      <c r="J534" s="172">
        <f t="shared" ref="J534" si="610">IF($C$2=1,U534,IF($C$2=2,U535,IF($C$2=3,U536, IF($C$2=4, U537, "  chyba"))))</f>
        <v>14329</v>
      </c>
      <c r="K534" s="54"/>
      <c r="L534" s="46" t="str">
        <f>Price!A534</f>
        <v>Mezistěna, 650mm, šedá</v>
      </c>
      <c r="M534" s="15" t="str">
        <f>Price!B534</f>
        <v xml:space="preserve">Z46L620S   </v>
      </c>
      <c r="N534" s="15" t="str">
        <f>Price!C534</f>
        <v>R906</v>
      </c>
      <c r="O534" s="472" t="str">
        <f>Price!D534</f>
        <v>!</v>
      </c>
      <c r="P534" s="15">
        <f>Price!E534</f>
        <v>0</v>
      </c>
      <c r="Q534" s="17">
        <f>Price!F534</f>
        <v>33.355379999999997</v>
      </c>
      <c r="R534" s="171"/>
      <c r="S534" s="171"/>
      <c r="T534" s="12">
        <f>Price!G534</f>
        <v>8675800</v>
      </c>
      <c r="U534" s="12">
        <f>Price!H534</f>
        <v>14329</v>
      </c>
      <c r="V534" s="13"/>
      <c r="W534" s="13"/>
      <c r="X534" s="19"/>
      <c r="Y534" s="19"/>
    </row>
    <row r="535" spans="1:25" x14ac:dyDescent="0.35">
      <c r="A535" s="43"/>
      <c r="B535" s="161"/>
      <c r="C535" s="161"/>
      <c r="D535" s="161"/>
      <c r="E535" s="69"/>
      <c r="F535" s="50"/>
      <c r="G535" s="50"/>
      <c r="H535" s="50"/>
      <c r="I535" s="176"/>
      <c r="J535" s="176"/>
      <c r="K535" s="54"/>
      <c r="L535" s="46" t="str">
        <f>Price!A535</f>
        <v>Mezistěna, 650mm, hedvábně bílá</v>
      </c>
      <c r="M535" s="15" t="str">
        <f>Price!B535</f>
        <v xml:space="preserve">Z46L620S  </v>
      </c>
      <c r="N535" s="15" t="str">
        <f>Price!C535</f>
        <v>SEIW</v>
      </c>
      <c r="O535" s="472" t="str">
        <f>Price!D535</f>
        <v>!</v>
      </c>
      <c r="P535" s="15">
        <f>Price!E535</f>
        <v>0</v>
      </c>
      <c r="Q535" s="17">
        <f>Price!F535</f>
        <v>29.993069999999999</v>
      </c>
      <c r="R535" s="171"/>
      <c r="S535" s="171"/>
      <c r="T535" s="12">
        <f>Price!G535</f>
        <v>7935060</v>
      </c>
      <c r="U535" s="12">
        <f>Price!H535</f>
        <v>177055</v>
      </c>
      <c r="V535" s="13"/>
      <c r="W535" s="13"/>
      <c r="X535" s="19"/>
      <c r="Y535" s="19"/>
    </row>
    <row r="536" spans="1:25" x14ac:dyDescent="0.35">
      <c r="A536" s="43"/>
      <c r="B536" s="161"/>
      <c r="C536" s="161"/>
      <c r="D536" s="161"/>
      <c r="E536" s="69"/>
      <c r="F536" s="50"/>
      <c r="G536" s="50"/>
      <c r="H536" s="50"/>
      <c r="I536" s="176"/>
      <c r="J536" s="176"/>
      <c r="K536" s="54"/>
      <c r="L536" s="46" t="str">
        <f>Price!A536</f>
        <v>Mezistěna, 650mm, černá Terra</v>
      </c>
      <c r="M536" s="15" t="str">
        <f>Price!B536</f>
        <v xml:space="preserve">Z46L620S  </v>
      </c>
      <c r="N536" s="15" t="str">
        <f>Price!C536</f>
        <v>TERS</v>
      </c>
      <c r="O536" s="472" t="str">
        <f>Price!D536</f>
        <v>!</v>
      </c>
      <c r="P536" s="15">
        <f>Price!E536</f>
        <v>0</v>
      </c>
      <c r="Q536" s="17">
        <f>Price!F536</f>
        <v>0</v>
      </c>
      <c r="R536" s="171"/>
      <c r="S536" s="171"/>
      <c r="T536" s="12">
        <f>Price!G536</f>
        <v>7935064</v>
      </c>
      <c r="U536" s="12" t="str">
        <f>Price!H536</f>
        <v>-</v>
      </c>
      <c r="V536" s="13"/>
      <c r="W536" s="13"/>
      <c r="X536" s="19"/>
      <c r="Y536" s="19"/>
    </row>
    <row r="537" spans="1:25" x14ac:dyDescent="0.35">
      <c r="A537" s="43"/>
      <c r="B537" s="161"/>
      <c r="C537" s="161"/>
      <c r="D537" s="161"/>
      <c r="E537" s="69"/>
      <c r="F537" s="50"/>
      <c r="G537" s="50"/>
      <c r="H537" s="50"/>
      <c r="I537" s="176"/>
      <c r="J537" s="176"/>
      <c r="K537" s="54"/>
      <c r="L537" s="46" t="str">
        <f>Price!A537</f>
        <v>Mezistěna, 650mm, nerez (Inox)</v>
      </c>
      <c r="M537" s="15" t="str">
        <f>Price!B537</f>
        <v>Z46L620I</v>
      </c>
      <c r="N537" s="15" t="str">
        <f>Price!C537</f>
        <v>INGL</v>
      </c>
      <c r="O537" s="472" t="str">
        <f>Price!D537</f>
        <v>!</v>
      </c>
      <c r="P537" s="15">
        <f>Price!E537</f>
        <v>0</v>
      </c>
      <c r="Q537" s="17">
        <f>Price!F537</f>
        <v>64.250129999999999</v>
      </c>
      <c r="R537" s="171"/>
      <c r="S537" s="171"/>
      <c r="T537" s="12">
        <f>Price!G537</f>
        <v>8030450</v>
      </c>
      <c r="U537" s="12">
        <f>Price!H537</f>
        <v>177053</v>
      </c>
      <c r="V537" s="13"/>
      <c r="W537" s="13"/>
      <c r="X537" s="19"/>
      <c r="Y537" s="19"/>
    </row>
    <row r="538" spans="1:25" x14ac:dyDescent="0.35">
      <c r="A538" s="65"/>
      <c r="B538" s="162"/>
      <c r="C538" s="162"/>
      <c r="D538" s="162"/>
      <c r="E538" s="64"/>
      <c r="F538" s="52"/>
      <c r="G538" s="52"/>
      <c r="H538" s="52"/>
      <c r="I538" s="175"/>
      <c r="J538" s="175"/>
      <c r="K538" s="47"/>
      <c r="L538" s="46">
        <f>Price!A538</f>
        <v>0</v>
      </c>
      <c r="M538" s="15">
        <f>Price!B538</f>
        <v>0</v>
      </c>
      <c r="N538" s="15">
        <f>Price!C538</f>
        <v>0</v>
      </c>
      <c r="O538" s="472">
        <f>Price!D538</f>
        <v>0</v>
      </c>
      <c r="P538" s="15">
        <f>Price!E538</f>
        <v>0</v>
      </c>
      <c r="Q538" s="17">
        <f>Price!F538</f>
        <v>0</v>
      </c>
      <c r="R538" s="171"/>
      <c r="S538" s="171"/>
      <c r="T538" s="12">
        <f>Price!G538</f>
        <v>0</v>
      </c>
      <c r="U538" s="12">
        <f>Price!H538</f>
        <v>0</v>
      </c>
      <c r="V538" s="13"/>
      <c r="W538" s="13"/>
      <c r="X538" s="19"/>
      <c r="Y538" s="19"/>
    </row>
    <row r="539" spans="1:25" x14ac:dyDescent="0.35">
      <c r="A539" s="43"/>
      <c r="B539" s="161"/>
      <c r="C539" s="161"/>
      <c r="D539" s="161"/>
      <c r="E539" s="69"/>
      <c r="F539" s="50"/>
      <c r="G539" s="50"/>
      <c r="H539" s="50"/>
      <c r="I539" s="176"/>
      <c r="J539" s="176"/>
      <c r="K539" s="54"/>
      <c r="L539" s="46" t="str">
        <f>Price!A539</f>
        <v xml:space="preserve">   ORGA-LINE vana na lahve</v>
      </c>
      <c r="M539" s="15">
        <f>Price!B539</f>
        <v>0</v>
      </c>
      <c r="N539" s="15">
        <f>Price!C539</f>
        <v>0</v>
      </c>
      <c r="O539" s="472">
        <f>Price!D539</f>
        <v>0</v>
      </c>
      <c r="P539" s="15">
        <f>Price!E539</f>
        <v>0</v>
      </c>
      <c r="Q539" s="17">
        <f>Price!F539</f>
        <v>0</v>
      </c>
      <c r="R539" s="171"/>
      <c r="S539" s="171"/>
      <c r="T539" s="12">
        <f>Price!G539</f>
        <v>0</v>
      </c>
      <c r="U539" s="12">
        <f>Price!H539</f>
        <v>0</v>
      </c>
      <c r="V539" s="13"/>
      <c r="W539" s="13"/>
      <c r="X539" s="19"/>
      <c r="Y539" s="19"/>
    </row>
    <row r="540" spans="1:25" x14ac:dyDescent="0.35">
      <c r="A540" s="79" t="str">
        <f>L540</f>
        <v>Vana na láhve, 500mm</v>
      </c>
      <c r="B540" s="80" t="str">
        <f>M540</f>
        <v>Z48.30B0I6</v>
      </c>
      <c r="C540" s="80" t="str">
        <f>N540</f>
        <v>IG/G</v>
      </c>
      <c r="D540" s="173">
        <f>O540</f>
        <v>0</v>
      </c>
      <c r="E540" s="81"/>
      <c r="F540" s="17">
        <f>Q540*(100-$F$6)/100</f>
        <v>42.601520000000001</v>
      </c>
      <c r="G540" s="50"/>
      <c r="H540" s="50"/>
      <c r="I540" s="173">
        <f>T540</f>
        <v>4050440</v>
      </c>
      <c r="J540" s="173">
        <f>U540</f>
        <v>92080</v>
      </c>
      <c r="K540" s="54"/>
      <c r="L540" s="46" t="str">
        <f>Price!A540</f>
        <v>Vana na láhve, 500mm</v>
      </c>
      <c r="M540" s="15" t="str">
        <f>Price!B540</f>
        <v>Z48.30B0I6</v>
      </c>
      <c r="N540" s="15" t="str">
        <f>Price!C540</f>
        <v>IG/G</v>
      </c>
      <c r="O540" s="472">
        <f>Price!D540</f>
        <v>0</v>
      </c>
      <c r="P540" s="15">
        <f>Price!E540</f>
        <v>0</v>
      </c>
      <c r="Q540" s="17">
        <f>Price!F540</f>
        <v>42.601520000000001</v>
      </c>
      <c r="R540" s="171"/>
      <c r="S540" s="171"/>
      <c r="T540" s="12">
        <f>Price!G540</f>
        <v>4050440</v>
      </c>
      <c r="U540" s="12">
        <f>Price!H540</f>
        <v>92080</v>
      </c>
      <c r="V540" s="13"/>
      <c r="W540" s="13"/>
      <c r="X540" s="19"/>
      <c r="Y540" s="19"/>
    </row>
    <row r="541" spans="1:25" x14ac:dyDescent="0.35">
      <c r="A541" s="43"/>
      <c r="B541" s="161"/>
      <c r="C541" s="161"/>
      <c r="D541" s="161"/>
      <c r="E541" s="69"/>
      <c r="F541" s="50"/>
      <c r="G541" s="50"/>
      <c r="H541" s="50"/>
      <c r="I541" s="176"/>
      <c r="J541" s="176"/>
      <c r="K541" s="54"/>
      <c r="L541" s="46">
        <f>Price!A541</f>
        <v>0</v>
      </c>
      <c r="M541" s="15">
        <f>Price!B541</f>
        <v>0</v>
      </c>
      <c r="N541" s="15">
        <f>Price!C541</f>
        <v>0</v>
      </c>
      <c r="O541" s="472">
        <f>Price!D541</f>
        <v>0</v>
      </c>
      <c r="P541" s="15">
        <f>Price!E541</f>
        <v>0</v>
      </c>
      <c r="Q541" s="17">
        <f>Price!F541</f>
        <v>0</v>
      </c>
      <c r="R541" s="171"/>
      <c r="S541" s="171"/>
      <c r="T541" s="12">
        <f>Price!G541</f>
        <v>0</v>
      </c>
      <c r="U541" s="12">
        <f>Price!H541</f>
        <v>0</v>
      </c>
      <c r="V541" s="13"/>
      <c r="W541" s="13"/>
      <c r="X541" s="19"/>
      <c r="Y541" s="19"/>
    </row>
    <row r="542" spans="1:25" x14ac:dyDescent="0.35">
      <c r="A542" s="66"/>
      <c r="B542" s="161"/>
      <c r="C542" s="161"/>
      <c r="D542" s="161"/>
      <c r="E542" s="69"/>
      <c r="F542" s="50"/>
      <c r="G542" s="50"/>
      <c r="H542" s="50"/>
      <c r="I542" s="176"/>
      <c r="J542" s="176"/>
      <c r="K542" s="48"/>
      <c r="L542" s="46">
        <f>Price!A542</f>
        <v>0</v>
      </c>
      <c r="M542" s="15">
        <f>Price!B542</f>
        <v>0</v>
      </c>
      <c r="N542" s="15">
        <f>Price!C542</f>
        <v>0</v>
      </c>
      <c r="O542" s="472">
        <f>Price!D542</f>
        <v>0</v>
      </c>
      <c r="P542" s="15">
        <f>Price!E542</f>
        <v>0</v>
      </c>
      <c r="Q542" s="17">
        <f>Price!F542</f>
        <v>0</v>
      </c>
      <c r="R542" s="171"/>
      <c r="S542" s="171"/>
      <c r="T542" s="12">
        <f>Price!G542</f>
        <v>0</v>
      </c>
      <c r="U542" s="12">
        <f>Price!H542</f>
        <v>0</v>
      </c>
      <c r="V542" s="13"/>
      <c r="W542" s="13"/>
      <c r="X542" s="19"/>
      <c r="Y542" s="19"/>
    </row>
    <row r="543" spans="1:25" x14ac:dyDescent="0.35">
      <c r="A543" s="43"/>
      <c r="B543" s="161"/>
      <c r="C543" s="161"/>
      <c r="D543" s="161"/>
      <c r="E543" s="69"/>
      <c r="F543" s="70"/>
      <c r="G543" s="70"/>
      <c r="H543" s="70"/>
      <c r="I543" s="176"/>
      <c r="J543" s="176"/>
      <c r="K543" s="20"/>
      <c r="L543" s="46" t="str">
        <f>Price!A543</f>
        <v xml:space="preserve">   ORGA-LINE pomůcky do kuchyně</v>
      </c>
      <c r="M543" s="15">
        <f>Price!B543</f>
        <v>0</v>
      </c>
      <c r="N543" s="15">
        <f>Price!C543</f>
        <v>0</v>
      </c>
      <c r="O543" s="472">
        <f>Price!D543</f>
        <v>0</v>
      </c>
      <c r="P543" s="15">
        <f>Price!E543</f>
        <v>0</v>
      </c>
      <c r="Q543" s="17">
        <f>Price!F543</f>
        <v>0</v>
      </c>
      <c r="R543" s="171"/>
      <c r="S543" s="171"/>
      <c r="T543" s="12">
        <f>Price!G543</f>
        <v>0</v>
      </c>
      <c r="U543" s="12">
        <f>Price!H543</f>
        <v>0</v>
      </c>
      <c r="V543" s="13"/>
      <c r="W543" s="13"/>
      <c r="X543" s="19"/>
      <c r="Y543" s="19"/>
    </row>
    <row r="544" spans="1:25" x14ac:dyDescent="0.35">
      <c r="A544" s="79" t="str">
        <f t="shared" ref="A544:A551" si="611">L544</f>
        <v>Držák talířů</v>
      </c>
      <c r="B544" s="80" t="str">
        <f t="shared" ref="B544:B551" si="612">M544</f>
        <v>ZC7T0350</v>
      </c>
      <c r="C544" s="80" t="str">
        <f t="shared" ref="C544:C551" si="613">N544</f>
        <v>OG-M</v>
      </c>
      <c r="D544" s="173">
        <f>O544</f>
        <v>0</v>
      </c>
      <c r="E544" s="81"/>
      <c r="F544" s="17">
        <f t="shared" ref="F544:F551" si="614">Q544*(100-$F$6)/100</f>
        <v>38.501280000000001</v>
      </c>
      <c r="G544" s="50"/>
      <c r="H544" s="50"/>
      <c r="I544" s="173">
        <f t="shared" ref="I544:I551" si="615">T544</f>
        <v>1366848</v>
      </c>
      <c r="J544" s="173">
        <f t="shared" ref="J544:J551" si="616">U544</f>
        <v>227693</v>
      </c>
      <c r="K544" s="20"/>
      <c r="L544" s="46" t="str">
        <f>Price!A544</f>
        <v>Držák talířů</v>
      </c>
      <c r="M544" s="15" t="str">
        <f>Price!B544</f>
        <v>ZC7T0350</v>
      </c>
      <c r="N544" s="15" t="str">
        <f>Price!C544</f>
        <v>OG-M</v>
      </c>
      <c r="O544" s="472">
        <f>Price!D544</f>
        <v>0</v>
      </c>
      <c r="P544" s="15">
        <f>Price!E544</f>
        <v>0</v>
      </c>
      <c r="Q544" s="17">
        <f>Price!F544</f>
        <v>38.501280000000001</v>
      </c>
      <c r="R544" s="171"/>
      <c r="S544" s="171"/>
      <c r="T544" s="12">
        <f>Price!G544</f>
        <v>1366848</v>
      </c>
      <c r="U544" s="12">
        <f>Price!H544</f>
        <v>227693</v>
      </c>
      <c r="V544" s="13"/>
      <c r="W544" s="13"/>
      <c r="X544" s="19"/>
      <c r="Y544" s="19"/>
    </row>
    <row r="545" spans="1:25" x14ac:dyDescent="0.35">
      <c r="A545" s="79" t="str">
        <f t="shared" si="611"/>
        <v>Držák nožů</v>
      </c>
      <c r="B545" s="80" t="str">
        <f t="shared" si="612"/>
        <v>ZSZ.02M0</v>
      </c>
      <c r="C545" s="80" t="str">
        <f t="shared" si="613"/>
        <v>IG/G</v>
      </c>
      <c r="D545" s="173">
        <f t="shared" ref="D545:D551" si="617">O545</f>
        <v>0</v>
      </c>
      <c r="E545" s="81"/>
      <c r="F545" s="17">
        <f t="shared" si="614"/>
        <v>23.186489999999999</v>
      </c>
      <c r="G545" s="50"/>
      <c r="H545" s="50"/>
      <c r="I545" s="173">
        <f t="shared" si="615"/>
        <v>6484600</v>
      </c>
      <c r="J545" s="173">
        <f t="shared" si="616"/>
        <v>92062</v>
      </c>
      <c r="K545" s="47"/>
      <c r="L545" s="46" t="str">
        <f>Price!A545</f>
        <v>Držák nožů</v>
      </c>
      <c r="M545" s="15" t="str">
        <f>Price!B545</f>
        <v>ZSZ.02M0</v>
      </c>
      <c r="N545" s="15" t="str">
        <f>Price!C545</f>
        <v>IG/G</v>
      </c>
      <c r="O545" s="472">
        <f>Price!D545</f>
        <v>0</v>
      </c>
      <c r="P545" s="15">
        <f>Price!E545</f>
        <v>0</v>
      </c>
      <c r="Q545" s="17">
        <f>Price!F545</f>
        <v>23.186489999999999</v>
      </c>
      <c r="R545" s="171"/>
      <c r="S545" s="171"/>
      <c r="T545" s="12">
        <f>Price!G545</f>
        <v>6484600</v>
      </c>
      <c r="U545" s="12">
        <f>Price!H545</f>
        <v>92062</v>
      </c>
      <c r="V545" s="13"/>
      <c r="W545" s="13"/>
      <c r="X545" s="19"/>
      <c r="Y545" s="19"/>
    </row>
    <row r="546" spans="1:25" x14ac:dyDescent="0.35">
      <c r="A546" s="79" t="str">
        <f t="shared" si="611"/>
        <v>Stojánek na kořenky, KB 300mm</v>
      </c>
      <c r="B546" s="80" t="str">
        <f t="shared" si="612"/>
        <v>ZFZ.30G0I</v>
      </c>
      <c r="C546" s="80" t="str">
        <f t="shared" si="613"/>
        <v>INGL</v>
      </c>
      <c r="D546" s="173">
        <f t="shared" si="617"/>
        <v>0</v>
      </c>
      <c r="E546" s="81"/>
      <c r="F546" s="17">
        <f t="shared" si="614"/>
        <v>19.99335</v>
      </c>
      <c r="G546" s="50"/>
      <c r="H546" s="50"/>
      <c r="I546" s="173">
        <f t="shared" si="615"/>
        <v>3852306</v>
      </c>
      <c r="J546" s="173">
        <f t="shared" si="616"/>
        <v>92068</v>
      </c>
      <c r="K546" s="48"/>
      <c r="L546" s="46" t="str">
        <f>Price!A546</f>
        <v>Stojánek na kořenky, KB 300mm</v>
      </c>
      <c r="M546" s="15" t="str">
        <f>Price!B546</f>
        <v>ZFZ.30G0I</v>
      </c>
      <c r="N546" s="15" t="str">
        <f>Price!C546</f>
        <v>INGL</v>
      </c>
      <c r="O546" s="472">
        <f>Price!D546</f>
        <v>0</v>
      </c>
      <c r="P546" s="15">
        <f>Price!E546</f>
        <v>0</v>
      </c>
      <c r="Q546" s="17">
        <f>Price!F546</f>
        <v>19.99335</v>
      </c>
      <c r="R546" s="171"/>
      <c r="S546" s="171"/>
      <c r="T546" s="12">
        <f>Price!G546</f>
        <v>3852306</v>
      </c>
      <c r="U546" s="12">
        <f>Price!H546</f>
        <v>92068</v>
      </c>
      <c r="V546" s="13"/>
      <c r="W546" s="13"/>
      <c r="X546" s="19"/>
      <c r="Y546" s="19"/>
    </row>
    <row r="547" spans="1:25" x14ac:dyDescent="0.35">
      <c r="A547" s="79" t="str">
        <f t="shared" si="611"/>
        <v>Stojánek na kořenky, KB 400mm</v>
      </c>
      <c r="B547" s="80" t="str">
        <f t="shared" si="612"/>
        <v>ZFZ.40G0I</v>
      </c>
      <c r="C547" s="80" t="str">
        <f t="shared" si="613"/>
        <v>INGL</v>
      </c>
      <c r="D547" s="173">
        <f t="shared" si="617"/>
        <v>0</v>
      </c>
      <c r="E547" s="81"/>
      <c r="F547" s="17">
        <f t="shared" si="614"/>
        <v>25.70551</v>
      </c>
      <c r="G547" s="50"/>
      <c r="H547" s="50"/>
      <c r="I547" s="173">
        <f t="shared" si="615"/>
        <v>3189131</v>
      </c>
      <c r="J547" s="173">
        <f t="shared" si="616"/>
        <v>92067</v>
      </c>
      <c r="K547" s="54"/>
      <c r="L547" s="46" t="str">
        <f>Price!A547</f>
        <v>Stojánek na kořenky, KB 400mm</v>
      </c>
      <c r="M547" s="15" t="str">
        <f>Price!B547</f>
        <v>ZFZ.40G0I</v>
      </c>
      <c r="N547" s="15" t="str">
        <f>Price!C547</f>
        <v>INGL</v>
      </c>
      <c r="O547" s="472">
        <f>Price!D547</f>
        <v>0</v>
      </c>
      <c r="P547" s="15">
        <f>Price!E547</f>
        <v>0</v>
      </c>
      <c r="Q547" s="17">
        <f>Price!F547</f>
        <v>25.70551</v>
      </c>
      <c r="R547" s="171"/>
      <c r="S547" s="171"/>
      <c r="T547" s="12">
        <f>Price!G547</f>
        <v>3189131</v>
      </c>
      <c r="U547" s="12">
        <f>Price!H547</f>
        <v>92067</v>
      </c>
      <c r="V547" s="13"/>
      <c r="W547" s="13"/>
      <c r="X547" s="19"/>
      <c r="Y547" s="19"/>
    </row>
    <row r="548" spans="1:25" x14ac:dyDescent="0.35">
      <c r="A548" s="79" t="str">
        <f t="shared" si="611"/>
        <v>Stojánek na kořenky, KB 450mm</v>
      </c>
      <c r="B548" s="80" t="str">
        <f t="shared" si="612"/>
        <v>ZFZ.45G0I</v>
      </c>
      <c r="C548" s="80" t="str">
        <f t="shared" si="613"/>
        <v>INGL</v>
      </c>
      <c r="D548" s="173">
        <f t="shared" si="617"/>
        <v>0</v>
      </c>
      <c r="E548" s="81"/>
      <c r="F548" s="17">
        <f t="shared" si="614"/>
        <v>29.23723</v>
      </c>
      <c r="G548" s="50"/>
      <c r="H548" s="50"/>
      <c r="I548" s="173">
        <f t="shared" si="615"/>
        <v>6278581</v>
      </c>
      <c r="J548" s="173">
        <f t="shared" si="616"/>
        <v>92059</v>
      </c>
      <c r="K548" s="54"/>
      <c r="L548" s="46" t="str">
        <f>Price!A548</f>
        <v>Stojánek na kořenky, KB 450mm</v>
      </c>
      <c r="M548" s="15" t="str">
        <f>Price!B548</f>
        <v>ZFZ.45G0I</v>
      </c>
      <c r="N548" s="15" t="str">
        <f>Price!C548</f>
        <v>INGL</v>
      </c>
      <c r="O548" s="472">
        <f>Price!D548</f>
        <v>0</v>
      </c>
      <c r="P548" s="15">
        <f>Price!E548</f>
        <v>0</v>
      </c>
      <c r="Q548" s="17">
        <f>Price!F548</f>
        <v>29.23723</v>
      </c>
      <c r="R548" s="171"/>
      <c r="S548" s="171"/>
      <c r="T548" s="12">
        <f>Price!G548</f>
        <v>6278581</v>
      </c>
      <c r="U548" s="12">
        <f>Price!H548</f>
        <v>92059</v>
      </c>
      <c r="V548" s="13"/>
      <c r="W548" s="13"/>
      <c r="X548" s="26"/>
      <c r="Y548" s="19"/>
    </row>
    <row r="549" spans="1:25" x14ac:dyDescent="0.35">
      <c r="A549" s="79" t="str">
        <f t="shared" si="611"/>
        <v>Držák s řezákem na potravinové folie</v>
      </c>
      <c r="B549" s="80" t="str">
        <f t="shared" si="612"/>
        <v>ZSZ.01F0</v>
      </c>
      <c r="C549" s="80" t="str">
        <f t="shared" si="613"/>
        <v>STW/G</v>
      </c>
      <c r="D549" s="173">
        <f t="shared" si="617"/>
        <v>0</v>
      </c>
      <c r="E549" s="81"/>
      <c r="F549" s="17">
        <f t="shared" si="614"/>
        <v>37.472929999999998</v>
      </c>
      <c r="G549" s="50"/>
      <c r="H549" s="50"/>
      <c r="I549" s="173">
        <f t="shared" si="615"/>
        <v>9068380</v>
      </c>
      <c r="J549" s="173">
        <f t="shared" si="616"/>
        <v>92088</v>
      </c>
      <c r="K549" s="54"/>
      <c r="L549" s="46" t="str">
        <f>Price!A549</f>
        <v>Držák s řezákem na potravinové folie</v>
      </c>
      <c r="M549" s="15" t="str">
        <f>Price!B549</f>
        <v>ZSZ.01F0</v>
      </c>
      <c r="N549" s="15" t="str">
        <f>Price!C549</f>
        <v>STW/G</v>
      </c>
      <c r="O549" s="472">
        <f>Price!D549</f>
        <v>0</v>
      </c>
      <c r="P549" s="15">
        <f>Price!E549</f>
        <v>0</v>
      </c>
      <c r="Q549" s="17">
        <f>Price!F549</f>
        <v>37.472929999999998</v>
      </c>
      <c r="R549" s="171"/>
      <c r="S549" s="171"/>
      <c r="T549" s="12">
        <f>Price!G549</f>
        <v>9068380</v>
      </c>
      <c r="U549" s="12">
        <f>Price!H549</f>
        <v>92088</v>
      </c>
      <c r="V549" s="13"/>
      <c r="W549" s="13"/>
      <c r="X549" s="26"/>
      <c r="Y549" s="19"/>
    </row>
    <row r="550" spans="1:25" x14ac:dyDescent="0.35">
      <c r="A550" s="79" t="str">
        <f t="shared" si="611"/>
        <v>Držák s řezákem na alufolie</v>
      </c>
      <c r="B550" s="80" t="str">
        <f t="shared" si="612"/>
        <v>ZSZ.02F0</v>
      </c>
      <c r="C550" s="80" t="str">
        <f t="shared" si="613"/>
        <v>ST/O</v>
      </c>
      <c r="D550" s="173">
        <f t="shared" si="617"/>
        <v>0</v>
      </c>
      <c r="E550" s="81"/>
      <c r="F550" s="17">
        <f t="shared" si="614"/>
        <v>35.130920000000003</v>
      </c>
      <c r="G550" s="50"/>
      <c r="H550" s="50"/>
      <c r="I550" s="173">
        <f t="shared" si="615"/>
        <v>9068450</v>
      </c>
      <c r="J550" s="173">
        <f t="shared" si="616"/>
        <v>92099</v>
      </c>
      <c r="K550" s="54"/>
      <c r="L550" s="46" t="str">
        <f>Price!A550</f>
        <v>Držák s řezákem na alufolie</v>
      </c>
      <c r="M550" s="15" t="str">
        <f>Price!B550</f>
        <v>ZSZ.02F0</v>
      </c>
      <c r="N550" s="15" t="str">
        <f>Price!C550</f>
        <v>ST/O</v>
      </c>
      <c r="O550" s="472">
        <f>Price!D550</f>
        <v>0</v>
      </c>
      <c r="P550" s="15">
        <f>Price!E550</f>
        <v>0</v>
      </c>
      <c r="Q550" s="17">
        <f>Price!F550</f>
        <v>35.130920000000003</v>
      </c>
      <c r="R550" s="171"/>
      <c r="S550" s="171"/>
      <c r="T550" s="12">
        <f>Price!G550</f>
        <v>9068450</v>
      </c>
      <c r="U550" s="12">
        <f>Price!H550</f>
        <v>92099</v>
      </c>
      <c r="V550" s="13"/>
      <c r="W550" s="13"/>
      <c r="X550" s="27"/>
      <c r="Y550" s="19"/>
    </row>
    <row r="551" spans="1:25" x14ac:dyDescent="0.35">
      <c r="A551" s="79" t="str">
        <f t="shared" si="611"/>
        <v>Sada pomůcek do kuchyně</v>
      </c>
      <c r="B551" s="80" t="str">
        <f t="shared" si="612"/>
        <v>ZOU.30U1I</v>
      </c>
      <c r="C551" s="80">
        <f t="shared" si="613"/>
        <v>0</v>
      </c>
      <c r="D551" s="173">
        <f t="shared" si="617"/>
        <v>0</v>
      </c>
      <c r="E551" s="81"/>
      <c r="F551" s="17">
        <f t="shared" si="614"/>
        <v>228.88526999999999</v>
      </c>
      <c r="G551" s="50"/>
      <c r="H551" s="50"/>
      <c r="I551" s="173">
        <f t="shared" si="615"/>
        <v>9411980</v>
      </c>
      <c r="J551" s="173">
        <f t="shared" si="616"/>
        <v>92051</v>
      </c>
      <c r="K551" s="54"/>
      <c r="L551" s="46" t="str">
        <f>Price!A551</f>
        <v>Sada pomůcek do kuchyně</v>
      </c>
      <c r="M551" s="15" t="str">
        <f>Price!B551</f>
        <v>ZOU.30U1I</v>
      </c>
      <c r="N551" s="15">
        <f>Price!C551</f>
        <v>0</v>
      </c>
      <c r="O551" s="472">
        <f>Price!D551</f>
        <v>0</v>
      </c>
      <c r="P551" s="15">
        <f>Price!E551</f>
        <v>0</v>
      </c>
      <c r="Q551" s="17">
        <f>Price!F551</f>
        <v>228.88526999999999</v>
      </c>
      <c r="R551" s="171"/>
      <c r="S551" s="171"/>
      <c r="T551" s="12">
        <f>Price!G551</f>
        <v>9411980</v>
      </c>
      <c r="U551" s="12">
        <f>Price!H551</f>
        <v>92051</v>
      </c>
      <c r="V551" s="13"/>
      <c r="W551" s="13"/>
      <c r="X551" s="27"/>
      <c r="Y551" s="19"/>
    </row>
    <row r="552" spans="1:25" x14ac:dyDescent="0.35">
      <c r="A552" s="42"/>
      <c r="B552" s="161"/>
      <c r="C552" s="161"/>
      <c r="D552" s="161"/>
      <c r="E552" s="69"/>
      <c r="F552" s="50"/>
      <c r="G552" s="50"/>
      <c r="H552" s="50"/>
      <c r="I552" s="50"/>
      <c r="J552" s="50"/>
      <c r="K552" s="54"/>
      <c r="L552" s="46">
        <f>Price!A552</f>
        <v>0</v>
      </c>
      <c r="M552" s="15">
        <f>Price!B552</f>
        <v>0</v>
      </c>
      <c r="N552" s="15">
        <f>Price!C552</f>
        <v>0</v>
      </c>
      <c r="O552" s="472">
        <f>Price!D552</f>
        <v>0</v>
      </c>
      <c r="P552" s="15">
        <f>Price!E552</f>
        <v>0</v>
      </c>
      <c r="Q552" s="17">
        <f>Price!F552</f>
        <v>0</v>
      </c>
      <c r="R552" s="171"/>
      <c r="S552" s="171"/>
      <c r="T552" s="12">
        <f>Price!G552</f>
        <v>0</v>
      </c>
      <c r="U552" s="12">
        <f>Price!H552</f>
        <v>0</v>
      </c>
      <c r="V552" s="13"/>
      <c r="W552" s="13"/>
      <c r="X552" s="27"/>
      <c r="Y552" s="19"/>
    </row>
    <row r="553" spans="1:25" x14ac:dyDescent="0.35">
      <c r="A553" s="66"/>
      <c r="B553" s="161"/>
      <c r="C553" s="161"/>
      <c r="D553" s="161"/>
      <c r="E553" s="69"/>
      <c r="F553" s="70"/>
      <c r="G553" s="70"/>
      <c r="H553" s="70"/>
      <c r="I553" s="70"/>
      <c r="J553" s="70"/>
      <c r="K553" s="48"/>
      <c r="L553" s="46">
        <f>Price!A553</f>
        <v>0</v>
      </c>
      <c r="M553" s="15">
        <f>Price!B553</f>
        <v>0</v>
      </c>
      <c r="N553" s="15">
        <f>Price!C553</f>
        <v>0</v>
      </c>
      <c r="O553" s="472">
        <f>Price!D553</f>
        <v>0</v>
      </c>
      <c r="P553" s="15">
        <f>Price!E553</f>
        <v>0</v>
      </c>
      <c r="Q553" s="17">
        <f>Price!F553</f>
        <v>0</v>
      </c>
      <c r="R553" s="171"/>
      <c r="S553" s="171"/>
      <c r="T553" s="12">
        <f>Price!G553</f>
        <v>0</v>
      </c>
      <c r="U553" s="12">
        <f>Price!H553</f>
        <v>0</v>
      </c>
      <c r="V553" s="13"/>
      <c r="W553" s="13"/>
      <c r="X553" s="27"/>
      <c r="Y553" s="19"/>
    </row>
    <row r="554" spans="1:25" x14ac:dyDescent="0.35">
      <c r="A554" s="43"/>
      <c r="B554" s="161"/>
      <c r="C554" s="161"/>
      <c r="D554" s="161"/>
      <c r="E554" s="69"/>
      <c r="F554" s="70"/>
      <c r="G554" s="70"/>
      <c r="H554" s="70"/>
      <c r="I554" s="70"/>
      <c r="J554" s="70"/>
      <c r="K554" s="20"/>
      <c r="L554" s="46">
        <f>Price!A554</f>
        <v>0</v>
      </c>
      <c r="M554" s="15">
        <f>Price!B554</f>
        <v>0</v>
      </c>
      <c r="N554" s="15">
        <f>Price!C554</f>
        <v>0</v>
      </c>
      <c r="O554" s="472">
        <f>Price!D554</f>
        <v>0</v>
      </c>
      <c r="P554" s="15">
        <f>Price!E554</f>
        <v>0</v>
      </c>
      <c r="Q554" s="17">
        <f>Price!F554</f>
        <v>0</v>
      </c>
      <c r="R554" s="171"/>
      <c r="S554" s="171"/>
      <c r="T554" s="12">
        <f>Price!G554</f>
        <v>0</v>
      </c>
      <c r="U554" s="12">
        <f>Price!H554</f>
        <v>0</v>
      </c>
      <c r="V554" s="13"/>
      <c r="W554" s="13"/>
      <c r="X554" s="28"/>
      <c r="Y554" s="19"/>
    </row>
    <row r="555" spans="1:25" x14ac:dyDescent="0.35">
      <c r="A555" s="43"/>
      <c r="B555" s="161"/>
      <c r="C555" s="161"/>
      <c r="D555" s="161"/>
      <c r="E555" s="69"/>
      <c r="F555" s="70"/>
      <c r="G555" s="70"/>
      <c r="H555" s="70"/>
      <c r="I555" s="70"/>
      <c r="J555" s="70"/>
      <c r="K555" s="20"/>
      <c r="L555" s="46">
        <f>Price!A555</f>
        <v>0</v>
      </c>
      <c r="M555" s="15">
        <f>Price!B555</f>
        <v>0</v>
      </c>
      <c r="N555" s="15">
        <f>Price!C555</f>
        <v>0</v>
      </c>
      <c r="O555" s="472">
        <f>Price!D555</f>
        <v>0</v>
      </c>
      <c r="P555" s="15">
        <f>Price!E555</f>
        <v>0</v>
      </c>
      <c r="Q555" s="17">
        <f>Price!F555</f>
        <v>0</v>
      </c>
      <c r="R555" s="171"/>
      <c r="S555" s="171"/>
      <c r="T555" s="12">
        <f>Price!G555</f>
        <v>0</v>
      </c>
      <c r="U555" s="12">
        <f>Price!H555</f>
        <v>0</v>
      </c>
      <c r="V555" s="13"/>
      <c r="W555" s="13"/>
      <c r="X555" s="26"/>
      <c r="Y555" s="19"/>
    </row>
    <row r="556" spans="1:25" x14ac:dyDescent="0.35">
      <c r="A556" s="43"/>
      <c r="B556" s="161"/>
      <c r="C556" s="161"/>
      <c r="D556" s="161"/>
      <c r="E556" s="69"/>
      <c r="F556" s="70"/>
      <c r="G556" s="70"/>
      <c r="H556" s="70"/>
      <c r="I556" s="70"/>
      <c r="J556" s="70"/>
      <c r="K556" s="20"/>
      <c r="L556" s="46">
        <f>Price!A556</f>
        <v>0</v>
      </c>
      <c r="M556" s="15">
        <f>Price!B556</f>
        <v>0</v>
      </c>
      <c r="N556" s="15">
        <f>Price!C556</f>
        <v>0</v>
      </c>
      <c r="O556" s="472">
        <f>Price!D556</f>
        <v>0</v>
      </c>
      <c r="P556" s="15">
        <f>Price!E556</f>
        <v>0</v>
      </c>
      <c r="Q556" s="17">
        <f>Price!F556</f>
        <v>0</v>
      </c>
      <c r="R556" s="171"/>
      <c r="S556" s="171"/>
      <c r="T556" s="12">
        <f>Price!G556</f>
        <v>0</v>
      </c>
      <c r="U556" s="12">
        <f>Price!H556</f>
        <v>0</v>
      </c>
      <c r="V556" s="13"/>
      <c r="W556" s="13"/>
      <c r="X556" s="26"/>
      <c r="Y556" s="19"/>
    </row>
    <row r="557" spans="1:25" x14ac:dyDescent="0.35">
      <c r="A557" s="43"/>
      <c r="B557" s="161"/>
      <c r="C557" s="161"/>
      <c r="D557" s="161"/>
      <c r="E557" s="69"/>
      <c r="F557" s="70"/>
      <c r="G557" s="70"/>
      <c r="H557" s="70"/>
      <c r="I557" s="70"/>
      <c r="J557" s="70"/>
      <c r="K557" s="20"/>
      <c r="L557" s="46">
        <f>Price!A557</f>
        <v>0</v>
      </c>
      <c r="M557" s="15">
        <f>Price!B557</f>
        <v>0</v>
      </c>
      <c r="N557" s="15">
        <f>Price!C557</f>
        <v>0</v>
      </c>
      <c r="O557" s="472">
        <f>Price!D557</f>
        <v>0</v>
      </c>
      <c r="P557" s="15">
        <f>Price!E557</f>
        <v>0</v>
      </c>
      <c r="Q557" s="17">
        <f>Price!F557</f>
        <v>0</v>
      </c>
      <c r="R557" s="171"/>
      <c r="S557" s="171"/>
      <c r="T557" s="12">
        <f>Price!G557</f>
        <v>0</v>
      </c>
      <c r="U557" s="12">
        <f>Price!H557</f>
        <v>0</v>
      </c>
      <c r="V557" s="13"/>
      <c r="W557" s="13"/>
      <c r="X557" s="19"/>
      <c r="Y557" s="19"/>
    </row>
    <row r="558" spans="1:25" x14ac:dyDescent="0.35">
      <c r="A558" s="43"/>
      <c r="B558" s="161"/>
      <c r="C558" s="161"/>
      <c r="D558" s="161"/>
      <c r="E558" s="69"/>
      <c r="F558" s="70"/>
      <c r="G558" s="70"/>
      <c r="H558" s="70"/>
      <c r="I558" s="70"/>
      <c r="J558" s="70"/>
      <c r="K558" s="20"/>
      <c r="L558" s="46">
        <f>Price!A558</f>
        <v>0</v>
      </c>
      <c r="M558" s="15">
        <f>Price!B558</f>
        <v>0</v>
      </c>
      <c r="N558" s="15">
        <f>Price!C558</f>
        <v>0</v>
      </c>
      <c r="O558" s="472">
        <f>Price!D558</f>
        <v>0</v>
      </c>
      <c r="P558" s="15">
        <f>Price!E558</f>
        <v>0</v>
      </c>
      <c r="Q558" s="17">
        <f>Price!F558</f>
        <v>0</v>
      </c>
      <c r="R558" s="171"/>
      <c r="S558" s="171"/>
      <c r="T558" s="12">
        <f>Price!G558</f>
        <v>0</v>
      </c>
      <c r="U558" s="12">
        <f>Price!H558</f>
        <v>0</v>
      </c>
      <c r="V558" s="13"/>
      <c r="W558" s="13"/>
      <c r="X558" s="19"/>
      <c r="Y558" s="19"/>
    </row>
    <row r="559" spans="1:25" x14ac:dyDescent="0.35">
      <c r="A559" s="62"/>
      <c r="B559" s="161"/>
      <c r="C559" s="161"/>
      <c r="D559" s="161"/>
      <c r="E559" s="69"/>
      <c r="F559" s="71"/>
      <c r="G559" s="71"/>
      <c r="H559" s="71"/>
      <c r="I559" s="71"/>
      <c r="J559" s="71"/>
      <c r="K559" s="56"/>
      <c r="L559" s="46">
        <f>Price!A559</f>
        <v>0</v>
      </c>
      <c r="M559" s="15">
        <f>Price!B559</f>
        <v>0</v>
      </c>
      <c r="N559" s="15">
        <f>Price!C559</f>
        <v>0</v>
      </c>
      <c r="O559" s="472">
        <f>Price!D559</f>
        <v>0</v>
      </c>
      <c r="P559" s="15">
        <f>Price!E559</f>
        <v>0</v>
      </c>
      <c r="Q559" s="17">
        <f>Price!F559</f>
        <v>0</v>
      </c>
      <c r="R559" s="171"/>
      <c r="S559" s="171"/>
      <c r="T559" s="12">
        <f>Price!G559</f>
        <v>0</v>
      </c>
      <c r="U559" s="12">
        <f>Price!H559</f>
        <v>0</v>
      </c>
      <c r="V559" s="13"/>
      <c r="W559" s="13"/>
      <c r="X559" s="19"/>
      <c r="Y559" s="19"/>
    </row>
    <row r="560" spans="1:25" x14ac:dyDescent="0.35">
      <c r="A560" s="62"/>
      <c r="B560" s="161"/>
      <c r="C560" s="161"/>
      <c r="D560" s="161"/>
      <c r="E560" s="69"/>
      <c r="F560" s="71"/>
      <c r="G560" s="71"/>
      <c r="H560" s="71"/>
      <c r="I560" s="71"/>
      <c r="J560" s="71"/>
      <c r="K560" s="56"/>
      <c r="L560" s="46">
        <f>Price!A560</f>
        <v>0</v>
      </c>
      <c r="M560" s="15">
        <f>Price!B560</f>
        <v>0</v>
      </c>
      <c r="N560" s="15">
        <f>Price!C560</f>
        <v>0</v>
      </c>
      <c r="O560" s="472">
        <f>Price!D560</f>
        <v>0</v>
      </c>
      <c r="P560" s="15">
        <f>Price!E560</f>
        <v>0</v>
      </c>
      <c r="Q560" s="17">
        <f>Price!F560</f>
        <v>0</v>
      </c>
      <c r="R560" s="171"/>
      <c r="S560" s="171"/>
      <c r="T560" s="12">
        <f>Price!G560</f>
        <v>0</v>
      </c>
      <c r="U560" s="12">
        <f>Price!H560</f>
        <v>0</v>
      </c>
      <c r="V560" s="13"/>
      <c r="W560" s="13"/>
      <c r="X560" s="19"/>
      <c r="Y560" s="19"/>
    </row>
    <row r="561" spans="1:25" x14ac:dyDescent="0.35">
      <c r="A561" s="62"/>
      <c r="B561" s="161"/>
      <c r="C561" s="161"/>
      <c r="D561" s="161"/>
      <c r="E561" s="69"/>
      <c r="F561" s="71"/>
      <c r="G561" s="71"/>
      <c r="H561" s="71"/>
      <c r="I561" s="71"/>
      <c r="J561" s="71"/>
      <c r="K561" s="56"/>
      <c r="L561" s="46">
        <f>Price!A561</f>
        <v>0</v>
      </c>
      <c r="M561" s="15">
        <f>Price!B561</f>
        <v>0</v>
      </c>
      <c r="N561" s="15">
        <f>Price!C561</f>
        <v>0</v>
      </c>
      <c r="O561" s="472">
        <f>Price!D561</f>
        <v>0</v>
      </c>
      <c r="P561" s="15">
        <f>Price!E561</f>
        <v>0</v>
      </c>
      <c r="Q561" s="17">
        <f>Price!F561</f>
        <v>0</v>
      </c>
      <c r="R561" s="171"/>
      <c r="S561" s="171"/>
      <c r="T561" s="12">
        <f>Price!G561</f>
        <v>0</v>
      </c>
      <c r="U561" s="12">
        <f>Price!H561</f>
        <v>0</v>
      </c>
      <c r="V561" s="13"/>
      <c r="W561" s="13"/>
      <c r="X561" s="19"/>
      <c r="Y561" s="19"/>
    </row>
    <row r="562" spans="1:25" x14ac:dyDescent="0.35">
      <c r="A562" s="43"/>
      <c r="B562" s="161"/>
      <c r="C562" s="161"/>
      <c r="D562" s="161"/>
      <c r="E562" s="69"/>
      <c r="F562" s="70"/>
      <c r="G562" s="70"/>
      <c r="H562" s="70"/>
      <c r="I562" s="70"/>
      <c r="J562" s="70"/>
      <c r="K562" s="48"/>
      <c r="L562" s="46">
        <f>Price!A562</f>
        <v>0</v>
      </c>
      <c r="M562" s="15">
        <f>Price!B562</f>
        <v>0</v>
      </c>
      <c r="N562" s="15">
        <f>Price!C562</f>
        <v>0</v>
      </c>
      <c r="O562" s="472">
        <f>Price!D562</f>
        <v>0</v>
      </c>
      <c r="P562" s="15">
        <f>Price!E562</f>
        <v>0</v>
      </c>
      <c r="Q562" s="17">
        <f>Price!F562</f>
        <v>0</v>
      </c>
      <c r="R562" s="171"/>
      <c r="S562" s="171"/>
      <c r="T562" s="12">
        <f>Price!G562</f>
        <v>0</v>
      </c>
      <c r="U562" s="12">
        <f>Price!H562</f>
        <v>0</v>
      </c>
      <c r="V562" s="13"/>
      <c r="W562" s="13"/>
      <c r="X562" s="19"/>
      <c r="Y562" s="19"/>
    </row>
    <row r="563" spans="1:25" x14ac:dyDescent="0.35">
      <c r="A563" s="43"/>
      <c r="B563" s="161"/>
      <c r="C563" s="161"/>
      <c r="D563" s="161"/>
      <c r="E563" s="69"/>
      <c r="F563" s="70"/>
      <c r="G563" s="70"/>
      <c r="H563" s="70"/>
      <c r="I563" s="70"/>
      <c r="J563" s="70"/>
      <c r="K563" s="54"/>
      <c r="L563" s="46">
        <f>Price!A563</f>
        <v>0</v>
      </c>
      <c r="M563" s="15">
        <f>Price!B563</f>
        <v>0</v>
      </c>
      <c r="N563" s="15">
        <f>Price!C563</f>
        <v>0</v>
      </c>
      <c r="O563" s="472">
        <f>Price!D563</f>
        <v>0</v>
      </c>
      <c r="P563" s="15">
        <f>Price!E563</f>
        <v>0</v>
      </c>
      <c r="Q563" s="17">
        <f>Price!F563</f>
        <v>0</v>
      </c>
      <c r="R563" s="171"/>
      <c r="S563" s="171"/>
      <c r="T563" s="12">
        <f>Price!G563</f>
        <v>0</v>
      </c>
      <c r="U563" s="12">
        <f>Price!H563</f>
        <v>0</v>
      </c>
      <c r="V563" s="13"/>
      <c r="W563" s="13"/>
      <c r="X563" s="19"/>
      <c r="Y563" s="19"/>
    </row>
    <row r="564" spans="1:25" x14ac:dyDescent="0.35">
      <c r="A564" s="43"/>
      <c r="B564" s="161"/>
      <c r="C564" s="161"/>
      <c r="D564" s="161"/>
      <c r="E564" s="69"/>
      <c r="F564" s="70"/>
      <c r="G564" s="70"/>
      <c r="H564" s="70"/>
      <c r="I564" s="70"/>
      <c r="J564" s="70"/>
      <c r="K564" s="48"/>
      <c r="L564" s="46">
        <f>Price!A564</f>
        <v>0</v>
      </c>
      <c r="M564" s="15">
        <f>Price!B564</f>
        <v>0</v>
      </c>
      <c r="N564" s="15">
        <f>Price!C564</f>
        <v>0</v>
      </c>
      <c r="O564" s="472">
        <f>Price!D564</f>
        <v>0</v>
      </c>
      <c r="P564" s="15">
        <f>Price!E564</f>
        <v>0</v>
      </c>
      <c r="Q564" s="17">
        <f>Price!F564</f>
        <v>0</v>
      </c>
      <c r="R564" s="171"/>
      <c r="S564" s="171"/>
      <c r="T564" s="12">
        <f>Price!G564</f>
        <v>0</v>
      </c>
      <c r="U564" s="12">
        <f>Price!H564</f>
        <v>0</v>
      </c>
      <c r="V564" s="13"/>
      <c r="W564" s="13"/>
      <c r="X564" s="19"/>
      <c r="Y564" s="19"/>
    </row>
    <row r="565" spans="1:25" x14ac:dyDescent="0.35">
      <c r="A565" s="43"/>
      <c r="B565" s="161"/>
      <c r="C565" s="161"/>
      <c r="D565" s="161"/>
      <c r="E565" s="69"/>
      <c r="F565" s="50"/>
      <c r="G565" s="50"/>
      <c r="H565" s="50"/>
      <c r="I565" s="50"/>
      <c r="J565" s="50"/>
      <c r="K565" s="48"/>
      <c r="L565" s="46">
        <f>Price!A565</f>
        <v>0</v>
      </c>
      <c r="M565" s="15">
        <f>Price!B565</f>
        <v>0</v>
      </c>
      <c r="N565" s="15">
        <f>Price!C565</f>
        <v>0</v>
      </c>
      <c r="O565" s="472">
        <f>Price!D565</f>
        <v>0</v>
      </c>
      <c r="P565" s="15">
        <f>Price!E565</f>
        <v>0</v>
      </c>
      <c r="Q565" s="17">
        <f>Price!F565</f>
        <v>0</v>
      </c>
      <c r="R565" s="171"/>
      <c r="S565" s="171"/>
      <c r="T565" s="12">
        <f>Price!G565</f>
        <v>0</v>
      </c>
      <c r="U565" s="12">
        <f>Price!H565</f>
        <v>0</v>
      </c>
      <c r="V565" s="13"/>
      <c r="W565" s="13"/>
      <c r="X565" s="19"/>
      <c r="Y565" s="19"/>
    </row>
    <row r="566" spans="1:25" x14ac:dyDescent="0.35">
      <c r="A566" s="43"/>
      <c r="B566" s="161"/>
      <c r="C566" s="161"/>
      <c r="D566" s="161"/>
      <c r="E566" s="69"/>
      <c r="F566" s="50"/>
      <c r="G566" s="50"/>
      <c r="H566" s="50"/>
      <c r="I566" s="50"/>
      <c r="J566" s="50"/>
      <c r="K566" s="48"/>
      <c r="L566" s="46">
        <f>Price!A566</f>
        <v>0</v>
      </c>
      <c r="M566" s="15">
        <f>Price!B566</f>
        <v>0</v>
      </c>
      <c r="N566" s="15">
        <f>Price!C566</f>
        <v>0</v>
      </c>
      <c r="O566" s="472">
        <f>Price!D566</f>
        <v>0</v>
      </c>
      <c r="P566" s="15">
        <f>Price!E566</f>
        <v>0</v>
      </c>
      <c r="Q566" s="17">
        <f>Price!F566</f>
        <v>0</v>
      </c>
      <c r="R566" s="171"/>
      <c r="S566" s="171"/>
      <c r="T566" s="12">
        <f>Price!G566</f>
        <v>0</v>
      </c>
      <c r="U566" s="12">
        <f>Price!H566</f>
        <v>0</v>
      </c>
      <c r="V566" s="13"/>
      <c r="W566" s="13"/>
      <c r="X566" s="19"/>
      <c r="Y566" s="19"/>
    </row>
    <row r="567" spans="1:25" x14ac:dyDescent="0.35">
      <c r="A567" s="43"/>
      <c r="B567" s="161"/>
      <c r="C567" s="161"/>
      <c r="D567" s="161"/>
      <c r="E567" s="69"/>
      <c r="F567" s="50"/>
      <c r="G567" s="50"/>
      <c r="H567" s="50"/>
      <c r="I567" s="50"/>
      <c r="J567" s="50"/>
      <c r="K567" s="48"/>
      <c r="L567" s="46">
        <f>Price!A567</f>
        <v>0</v>
      </c>
      <c r="M567" s="15">
        <f>Price!B567</f>
        <v>0</v>
      </c>
      <c r="N567" s="15">
        <f>Price!C567</f>
        <v>0</v>
      </c>
      <c r="O567" s="472">
        <f>Price!D567</f>
        <v>0</v>
      </c>
      <c r="P567" s="15">
        <f>Price!E567</f>
        <v>0</v>
      </c>
      <c r="Q567" s="17">
        <f>Price!F567</f>
        <v>0</v>
      </c>
      <c r="R567" s="171"/>
      <c r="S567" s="171"/>
      <c r="T567" s="12">
        <f>Price!G567</f>
        <v>0</v>
      </c>
      <c r="U567" s="12">
        <f>Price!H567</f>
        <v>0</v>
      </c>
      <c r="V567" s="13"/>
      <c r="W567" s="13"/>
      <c r="X567" s="19"/>
      <c r="Y567" s="19"/>
    </row>
    <row r="568" spans="1:25" x14ac:dyDescent="0.35">
      <c r="A568" s="43"/>
      <c r="B568" s="161"/>
      <c r="C568" s="161"/>
      <c r="D568" s="161"/>
      <c r="E568" s="69"/>
      <c r="F568" s="50"/>
      <c r="G568" s="50"/>
      <c r="H568" s="50"/>
      <c r="I568" s="50"/>
      <c r="J568" s="50"/>
      <c r="K568" s="48"/>
      <c r="L568" s="46">
        <f>Price!A568</f>
        <v>0</v>
      </c>
      <c r="M568" s="15">
        <f>Price!B568</f>
        <v>0</v>
      </c>
      <c r="N568" s="15">
        <f>Price!C568</f>
        <v>0</v>
      </c>
      <c r="O568" s="472">
        <f>Price!D568</f>
        <v>0</v>
      </c>
      <c r="P568" s="15">
        <f>Price!E568</f>
        <v>0</v>
      </c>
      <c r="Q568" s="17">
        <f>Price!F568</f>
        <v>0</v>
      </c>
      <c r="R568" s="171"/>
      <c r="S568" s="171"/>
      <c r="T568" s="12">
        <f>Price!G568</f>
        <v>0</v>
      </c>
      <c r="U568" s="12">
        <f>Price!H568</f>
        <v>0</v>
      </c>
      <c r="V568" s="13"/>
      <c r="W568" s="13"/>
      <c r="X568" s="19"/>
      <c r="Y568" s="19"/>
    </row>
    <row r="569" spans="1:25" x14ac:dyDescent="0.35">
      <c r="A569" s="43"/>
      <c r="B569" s="161"/>
      <c r="C569" s="161"/>
      <c r="D569" s="161"/>
      <c r="E569" s="69"/>
      <c r="F569" s="70"/>
      <c r="G569" s="70"/>
      <c r="H569" s="70"/>
      <c r="I569" s="70"/>
      <c r="J569" s="70"/>
      <c r="K569" s="48"/>
      <c r="L569" s="46" t="str">
        <f>Price!A569</f>
        <v xml:space="preserve">   SERVO-DRIVE</v>
      </c>
      <c r="M569" s="15">
        <f>Price!B569</f>
        <v>0</v>
      </c>
      <c r="N569" s="15">
        <f>Price!C569</f>
        <v>0</v>
      </c>
      <c r="O569" s="472">
        <f>Price!D569</f>
        <v>0</v>
      </c>
      <c r="P569" s="15">
        <f>Price!E569</f>
        <v>0</v>
      </c>
      <c r="Q569" s="17">
        <f>Price!F569</f>
        <v>0</v>
      </c>
      <c r="R569" s="171"/>
      <c r="S569" s="171"/>
      <c r="T569" s="12">
        <f>Price!G569</f>
        <v>0</v>
      </c>
      <c r="U569" s="12">
        <f>Price!H569</f>
        <v>0</v>
      </c>
      <c r="V569" s="13"/>
      <c r="W569" s="13"/>
      <c r="X569" s="19"/>
      <c r="Y569" s="19"/>
    </row>
    <row r="570" spans="1:25" x14ac:dyDescent="0.35">
      <c r="A570" s="79" t="str">
        <f t="shared" ref="A570:A599" si="618">L570</f>
        <v>Distanční doraz Blum, 5mm</v>
      </c>
      <c r="B570" s="80" t="str">
        <f t="shared" ref="B570:B599" si="619">M570</f>
        <v>993.0530</v>
      </c>
      <c r="C570" s="80" t="str">
        <f t="shared" ref="C570:C599" si="620">N570</f>
        <v>R737</v>
      </c>
      <c r="D570" s="173">
        <f>O570</f>
        <v>0</v>
      </c>
      <c r="E570" s="81"/>
      <c r="F570" s="17">
        <f t="shared" ref="F570:F599" si="621">Q570*(100-$F$6)/100</f>
        <v>0.69091000000000014</v>
      </c>
      <c r="G570" s="50"/>
      <c r="H570" s="50"/>
      <c r="I570" s="173">
        <f t="shared" ref="I570:I599" si="622">T570</f>
        <v>7834990</v>
      </c>
      <c r="J570" s="173">
        <f t="shared" ref="J570:J599" si="623">U570</f>
        <v>99131</v>
      </c>
      <c r="K570" s="48"/>
      <c r="L570" s="46" t="str">
        <f>Price!A570</f>
        <v>Distanční doraz Blum, 5mm</v>
      </c>
      <c r="M570" s="15" t="str">
        <f>Price!B570</f>
        <v>993.0530</v>
      </c>
      <c r="N570" s="15" t="str">
        <f>Price!C570</f>
        <v>R737</v>
      </c>
      <c r="O570" s="472">
        <f>Price!D570</f>
        <v>0</v>
      </c>
      <c r="P570" s="15">
        <f>Price!E570</f>
        <v>0</v>
      </c>
      <c r="Q570" s="17">
        <f>Price!F570</f>
        <v>0.69091000000000002</v>
      </c>
      <c r="R570" s="171"/>
      <c r="S570" s="171"/>
      <c r="T570" s="12">
        <f>Price!G570</f>
        <v>7834990</v>
      </c>
      <c r="U570" s="12">
        <f>Price!H570</f>
        <v>99131</v>
      </c>
      <c r="V570" s="13"/>
      <c r="W570" s="13"/>
      <c r="X570" s="19"/>
      <c r="Y570" s="19"/>
    </row>
    <row r="571" spans="1:25" x14ac:dyDescent="0.35">
      <c r="A571" s="79" t="str">
        <f t="shared" si="618"/>
        <v>Distanční doraz Blum, 8mm</v>
      </c>
      <c r="B571" s="80" t="str">
        <f t="shared" si="619"/>
        <v>993.0830.01</v>
      </c>
      <c r="C571" s="80" t="str">
        <f t="shared" si="620"/>
        <v>R737</v>
      </c>
      <c r="D571" s="173">
        <f t="shared" ref="D571:D604" si="624">O571</f>
        <v>0</v>
      </c>
      <c r="E571" s="81"/>
      <c r="F571" s="17">
        <f t="shared" si="621"/>
        <v>0.62067000000000005</v>
      </c>
      <c r="G571" s="50"/>
      <c r="H571" s="50"/>
      <c r="I571" s="173">
        <f t="shared" si="622"/>
        <v>7402930</v>
      </c>
      <c r="J571" s="173">
        <f t="shared" si="623"/>
        <v>99120</v>
      </c>
      <c r="K571" s="48"/>
      <c r="L571" s="46" t="str">
        <f>Price!A571</f>
        <v>Distanční doraz Blum, 8mm</v>
      </c>
      <c r="M571" s="15" t="str">
        <f>Price!B571</f>
        <v>993.0830.01</v>
      </c>
      <c r="N571" s="15" t="str">
        <f>Price!C571</f>
        <v>R737</v>
      </c>
      <c r="O571" s="472">
        <f>Price!D571</f>
        <v>0</v>
      </c>
      <c r="P571" s="15">
        <f>Price!E571</f>
        <v>0</v>
      </c>
      <c r="Q571" s="17">
        <f>Price!F571</f>
        <v>0.62067000000000005</v>
      </c>
      <c r="R571" s="171"/>
      <c r="S571" s="171"/>
      <c r="T571" s="12">
        <f>Price!G571</f>
        <v>7402930</v>
      </c>
      <c r="U571" s="12">
        <f>Price!H571</f>
        <v>99120</v>
      </c>
      <c r="V571" s="13"/>
      <c r="W571" s="13"/>
      <c r="X571" s="19"/>
      <c r="Y571" s="19"/>
    </row>
    <row r="572" spans="1:25" x14ac:dyDescent="0.35">
      <c r="A572" s="79" t="str">
        <f t="shared" si="618"/>
        <v>Pohonná servo jednotka</v>
      </c>
      <c r="B572" s="80" t="str">
        <f t="shared" si="619"/>
        <v>Z10A3000.03</v>
      </c>
      <c r="C572" s="80" t="str">
        <f t="shared" si="620"/>
        <v>R737</v>
      </c>
      <c r="D572" s="173">
        <f t="shared" si="624"/>
        <v>0</v>
      </c>
      <c r="E572" s="81"/>
      <c r="F572" s="17">
        <f t="shared" si="621"/>
        <v>67.216899999999995</v>
      </c>
      <c r="G572" s="50"/>
      <c r="H572" s="50"/>
      <c r="I572" s="173">
        <f t="shared" si="622"/>
        <v>6970029</v>
      </c>
      <c r="J572" s="173">
        <f t="shared" si="623"/>
        <v>99100</v>
      </c>
      <c r="K572" s="48"/>
      <c r="L572" s="46" t="str">
        <f>Price!A572</f>
        <v>Pohonná servo jednotka</v>
      </c>
      <c r="M572" s="15" t="str">
        <f>Price!B572</f>
        <v>Z10A3000.03</v>
      </c>
      <c r="N572" s="15" t="str">
        <f>Price!C572</f>
        <v>R737</v>
      </c>
      <c r="O572" s="472">
        <f>Price!D572</f>
        <v>0</v>
      </c>
      <c r="P572" s="15">
        <f>Price!E572</f>
        <v>0</v>
      </c>
      <c r="Q572" s="17">
        <f>Price!F572</f>
        <v>67.216899999999995</v>
      </c>
      <c r="R572" s="171"/>
      <c r="S572" s="171"/>
      <c r="T572" s="12">
        <f>Price!G572</f>
        <v>6970029</v>
      </c>
      <c r="U572" s="12">
        <f>Price!H572</f>
        <v>99100</v>
      </c>
      <c r="V572" s="13"/>
      <c r="W572" s="13"/>
      <c r="X572" s="19"/>
      <c r="Y572" s="19"/>
    </row>
    <row r="573" spans="1:25" x14ac:dyDescent="0.35">
      <c r="A573" s="79" t="str">
        <f t="shared" si="618"/>
        <v>Držák nosníku, vlys naležato</v>
      </c>
      <c r="B573" s="80" t="str">
        <f t="shared" si="619"/>
        <v>Z10D01E0.01</v>
      </c>
      <c r="C573" s="80" t="str">
        <f t="shared" si="620"/>
        <v>R737</v>
      </c>
      <c r="D573" s="173">
        <f t="shared" si="624"/>
        <v>0</v>
      </c>
      <c r="E573" s="81"/>
      <c r="F573" s="17">
        <f t="shared" si="621"/>
        <v>3.29522</v>
      </c>
      <c r="G573" s="50"/>
      <c r="H573" s="50"/>
      <c r="I573" s="173">
        <f t="shared" si="622"/>
        <v>3061821</v>
      </c>
      <c r="J573" s="173">
        <f t="shared" si="623"/>
        <v>99101</v>
      </c>
      <c r="K573" s="48"/>
      <c r="L573" s="46" t="str">
        <f>Price!A573</f>
        <v>Držák nosníku, vlys naležato</v>
      </c>
      <c r="M573" s="15" t="str">
        <f>Price!B573</f>
        <v>Z10D01E0.01</v>
      </c>
      <c r="N573" s="15" t="str">
        <f>Price!C573</f>
        <v>R737</v>
      </c>
      <c r="O573" s="472">
        <f>Price!D573</f>
        <v>0</v>
      </c>
      <c r="P573" s="15">
        <f>Price!E573</f>
        <v>0</v>
      </c>
      <c r="Q573" s="17">
        <f>Price!F573</f>
        <v>3.29522</v>
      </c>
      <c r="R573" s="171"/>
      <c r="S573" s="171"/>
      <c r="T573" s="12">
        <f>Price!G573</f>
        <v>3061821</v>
      </c>
      <c r="U573" s="12">
        <f>Price!H573</f>
        <v>99101</v>
      </c>
      <c r="V573" s="13"/>
      <c r="W573" s="13"/>
      <c r="X573" s="19"/>
      <c r="Y573" s="19"/>
    </row>
    <row r="574" spans="1:25" x14ac:dyDescent="0.35">
      <c r="A574" s="79" t="str">
        <f t="shared" si="618"/>
        <v>Držák nosníku, vlys nastojato</v>
      </c>
      <c r="B574" s="80" t="str">
        <f t="shared" si="619"/>
        <v>Z10D01EA.01</v>
      </c>
      <c r="C574" s="80" t="str">
        <f t="shared" si="620"/>
        <v>R737</v>
      </c>
      <c r="D574" s="173">
        <f t="shared" si="624"/>
        <v>0</v>
      </c>
      <c r="E574" s="81"/>
      <c r="F574" s="17">
        <f t="shared" si="621"/>
        <v>4.1090900000000001</v>
      </c>
      <c r="G574" s="50"/>
      <c r="H574" s="50"/>
      <c r="I574" s="173">
        <f t="shared" si="622"/>
        <v>9879558</v>
      </c>
      <c r="J574" s="173">
        <f t="shared" si="623"/>
        <v>99102</v>
      </c>
      <c r="K574" s="48"/>
      <c r="L574" s="46" t="str">
        <f>Price!A574</f>
        <v>Držák nosníku, vlys nastojato</v>
      </c>
      <c r="M574" s="15" t="str">
        <f>Price!B574</f>
        <v>Z10D01EA.01</v>
      </c>
      <c r="N574" s="15" t="str">
        <f>Price!C574</f>
        <v>R737</v>
      </c>
      <c r="O574" s="472">
        <f>Price!D574</f>
        <v>0</v>
      </c>
      <c r="P574" s="15">
        <f>Price!E574</f>
        <v>0</v>
      </c>
      <c r="Q574" s="17">
        <f>Price!F574</f>
        <v>4.1090900000000001</v>
      </c>
      <c r="R574" s="171"/>
      <c r="S574" s="171"/>
      <c r="T574" s="12">
        <f>Price!G574</f>
        <v>9879558</v>
      </c>
      <c r="U574" s="12">
        <f>Price!H574</f>
        <v>99102</v>
      </c>
      <c r="V574" s="13"/>
      <c r="W574" s="13"/>
      <c r="X574" s="19"/>
      <c r="Y574" s="19"/>
    </row>
    <row r="575" spans="1:25" x14ac:dyDescent="0.35">
      <c r="A575" s="79" t="str">
        <f t="shared" si="618"/>
        <v>Držák servo jednotky jednoduchý</v>
      </c>
      <c r="B575" s="80" t="str">
        <f t="shared" si="619"/>
        <v>Z10D0311</v>
      </c>
      <c r="C575" s="80" t="str">
        <f t="shared" si="620"/>
        <v>R737</v>
      </c>
      <c r="D575" s="173">
        <f t="shared" si="624"/>
        <v>0</v>
      </c>
      <c r="E575" s="81"/>
      <c r="F575" s="17">
        <f t="shared" si="621"/>
        <v>6.7205600000000008</v>
      </c>
      <c r="G575" s="50"/>
      <c r="H575" s="50"/>
      <c r="I575" s="173">
        <f t="shared" si="622"/>
        <v>4805174</v>
      </c>
      <c r="J575" s="173">
        <f t="shared" si="623"/>
        <v>99103</v>
      </c>
      <c r="K575" s="48"/>
      <c r="L575" s="46" t="str">
        <f>Price!A575</f>
        <v>Držák servo jednotky jednoduchý</v>
      </c>
      <c r="M575" s="15" t="str">
        <f>Price!B575</f>
        <v>Z10D0311</v>
      </c>
      <c r="N575" s="15" t="str">
        <f>Price!C575</f>
        <v>R737</v>
      </c>
      <c r="O575" s="472">
        <f>Price!D575</f>
        <v>0</v>
      </c>
      <c r="P575" s="15">
        <f>Price!E575</f>
        <v>0</v>
      </c>
      <c r="Q575" s="17">
        <f>Price!F575</f>
        <v>6.7205599999999999</v>
      </c>
      <c r="R575" s="171"/>
      <c r="S575" s="171"/>
      <c r="T575" s="12">
        <f>Price!G575</f>
        <v>4805174</v>
      </c>
      <c r="U575" s="12">
        <f>Price!H575</f>
        <v>99103</v>
      </c>
      <c r="V575" s="13"/>
      <c r="W575" s="13"/>
      <c r="X575" s="19"/>
      <c r="Y575" s="19"/>
    </row>
    <row r="576" spans="1:25" x14ac:dyDescent="0.35">
      <c r="A576" s="79" t="str">
        <f t="shared" si="618"/>
        <v>Držák servo jednotky zdvojený</v>
      </c>
      <c r="B576" s="80" t="str">
        <f t="shared" si="619"/>
        <v>Z10D7201.01</v>
      </c>
      <c r="C576" s="80" t="str">
        <f t="shared" si="620"/>
        <v>R737</v>
      </c>
      <c r="D576" s="173">
        <f t="shared" si="624"/>
        <v>0</v>
      </c>
      <c r="E576" s="81"/>
      <c r="F576" s="17">
        <f t="shared" si="621"/>
        <v>13.40591</v>
      </c>
      <c r="G576" s="50"/>
      <c r="H576" s="50"/>
      <c r="I576" s="173">
        <f t="shared" si="622"/>
        <v>1640683</v>
      </c>
      <c r="J576" s="173">
        <f t="shared" si="623"/>
        <v>99104</v>
      </c>
      <c r="K576" s="48"/>
      <c r="L576" s="46" t="str">
        <f>Price!A576</f>
        <v>Držák servo jednotky zdvojený</v>
      </c>
      <c r="M576" s="15" t="str">
        <f>Price!B576</f>
        <v>Z10D7201.01</v>
      </c>
      <c r="N576" s="15" t="str">
        <f>Price!C576</f>
        <v>R737</v>
      </c>
      <c r="O576" s="472">
        <f>Price!D576</f>
        <v>0</v>
      </c>
      <c r="P576" s="15">
        <f>Price!E576</f>
        <v>0</v>
      </c>
      <c r="Q576" s="17">
        <f>Price!F576</f>
        <v>13.40591</v>
      </c>
      <c r="R576" s="171"/>
      <c r="S576" s="171"/>
      <c r="T576" s="12">
        <f>Price!G576</f>
        <v>1640683</v>
      </c>
      <c r="U576" s="12">
        <f>Price!H576</f>
        <v>99104</v>
      </c>
      <c r="V576" s="13"/>
      <c r="W576" s="13"/>
      <c r="X576" s="19"/>
      <c r="Y576" s="19"/>
    </row>
    <row r="577" spans="1:25" x14ac:dyDescent="0.35">
      <c r="A577" s="79" t="str">
        <f t="shared" si="618"/>
        <v>Držák servo jednotky horní</v>
      </c>
      <c r="B577" s="80" t="str">
        <f t="shared" si="619"/>
        <v>Z10D6252</v>
      </c>
      <c r="C577" s="80" t="str">
        <f t="shared" si="620"/>
        <v>R737</v>
      </c>
      <c r="D577" s="173">
        <f t="shared" si="624"/>
        <v>0</v>
      </c>
      <c r="E577" s="81"/>
      <c r="F577" s="17">
        <f t="shared" si="621"/>
        <v>18.91206</v>
      </c>
      <c r="G577" s="50"/>
      <c r="H577" s="50"/>
      <c r="I577" s="173">
        <f t="shared" si="622"/>
        <v>8010962</v>
      </c>
      <c r="J577" s="173">
        <f t="shared" si="623"/>
        <v>99127</v>
      </c>
      <c r="K577" s="48"/>
      <c r="L577" s="46" t="str">
        <f>Price!A577</f>
        <v>Držák servo jednotky horní</v>
      </c>
      <c r="M577" s="15" t="str">
        <f>Price!B577</f>
        <v>Z10D6252</v>
      </c>
      <c r="N577" s="15" t="str">
        <f>Price!C577</f>
        <v>R737</v>
      </c>
      <c r="O577" s="472">
        <f>Price!D577</f>
        <v>0</v>
      </c>
      <c r="P577" s="15">
        <f>Price!E577</f>
        <v>0</v>
      </c>
      <c r="Q577" s="17">
        <f>Price!F577</f>
        <v>18.91206</v>
      </c>
      <c r="R577" s="171"/>
      <c r="S577" s="171"/>
      <c r="T577" s="12">
        <f>Price!G577</f>
        <v>8010962</v>
      </c>
      <c r="U577" s="12">
        <f>Price!H577</f>
        <v>99127</v>
      </c>
      <c r="V577" s="13"/>
      <c r="W577" s="13"/>
      <c r="X577" s="19"/>
      <c r="Y577" s="19"/>
    </row>
    <row r="578" spans="1:25" x14ac:dyDescent="0.35">
      <c r="A578" s="79" t="str">
        <f t="shared" si="618"/>
        <v>Držák kabelu s Klebesockel</v>
      </c>
      <c r="B578" s="80" t="str">
        <f t="shared" si="619"/>
        <v>Z10K0009</v>
      </c>
      <c r="C578" s="80" t="str">
        <f t="shared" si="620"/>
        <v>NA</v>
      </c>
      <c r="D578" s="173">
        <f t="shared" si="624"/>
        <v>0</v>
      </c>
      <c r="E578" s="81"/>
      <c r="F578" s="17">
        <f t="shared" si="621"/>
        <v>0.75662999999999991</v>
      </c>
      <c r="G578" s="50"/>
      <c r="H578" s="50"/>
      <c r="I578" s="173">
        <f t="shared" si="622"/>
        <v>7283231</v>
      </c>
      <c r="J578" s="173">
        <f t="shared" si="623"/>
        <v>99105</v>
      </c>
      <c r="K578" s="48"/>
      <c r="L578" s="46" t="str">
        <f>Price!A578</f>
        <v>Držák kabelu s Klebesockel</v>
      </c>
      <c r="M578" s="15" t="str">
        <f>Price!B578</f>
        <v>Z10K0009</v>
      </c>
      <c r="N578" s="15" t="str">
        <f>Price!C578</f>
        <v>NA</v>
      </c>
      <c r="O578" s="472">
        <f>Price!D578</f>
        <v>0</v>
      </c>
      <c r="P578" s="15">
        <f>Price!E578</f>
        <v>0</v>
      </c>
      <c r="Q578" s="17">
        <f>Price!F578</f>
        <v>0.75663000000000002</v>
      </c>
      <c r="R578" s="171"/>
      <c r="S578" s="171"/>
      <c r="T578" s="12">
        <f>Price!G578</f>
        <v>7283231</v>
      </c>
      <c r="U578" s="12">
        <f>Price!H578</f>
        <v>99105</v>
      </c>
      <c r="V578" s="13"/>
      <c r="W578" s="13"/>
      <c r="X578" s="19"/>
      <c r="Y578" s="19"/>
    </row>
    <row r="579" spans="1:25" x14ac:dyDescent="0.35">
      <c r="A579" s="79" t="str">
        <f t="shared" si="618"/>
        <v>Synchronizační kabel 8cm</v>
      </c>
      <c r="B579" s="80" t="str">
        <f t="shared" si="619"/>
        <v xml:space="preserve">Z10K008S </v>
      </c>
      <c r="C579" s="80" t="str">
        <f t="shared" si="620"/>
        <v>W</v>
      </c>
      <c r="D579" s="173">
        <f t="shared" si="624"/>
        <v>0</v>
      </c>
      <c r="E579" s="81"/>
      <c r="F579" s="17">
        <f t="shared" si="621"/>
        <v>4.2158600000000002</v>
      </c>
      <c r="G579" s="50"/>
      <c r="H579" s="50"/>
      <c r="I579" s="173">
        <f t="shared" si="622"/>
        <v>7288466</v>
      </c>
      <c r="J579" s="173">
        <f t="shared" si="623"/>
        <v>99106</v>
      </c>
      <c r="K579" s="48"/>
      <c r="L579" s="46" t="str">
        <f>Price!A579</f>
        <v>Synchronizační kabel 8cm</v>
      </c>
      <c r="M579" s="15" t="str">
        <f>Price!B579</f>
        <v xml:space="preserve">Z10K008S </v>
      </c>
      <c r="N579" s="15" t="str">
        <f>Price!C579</f>
        <v>W</v>
      </c>
      <c r="O579" s="472">
        <f>Price!D579</f>
        <v>0</v>
      </c>
      <c r="P579" s="15">
        <f>Price!E579</f>
        <v>0</v>
      </c>
      <c r="Q579" s="17">
        <f>Price!F579</f>
        <v>4.2158600000000002</v>
      </c>
      <c r="R579" s="171"/>
      <c r="S579" s="171"/>
      <c r="T579" s="12">
        <f>Price!G579</f>
        <v>7288466</v>
      </c>
      <c r="U579" s="12">
        <f>Price!H579</f>
        <v>99106</v>
      </c>
      <c r="V579" s="13"/>
      <c r="W579" s="13"/>
      <c r="X579" s="19"/>
      <c r="Y579" s="19"/>
    </row>
    <row r="580" spans="1:25" x14ac:dyDescent="0.35">
      <c r="A580" s="79" t="str">
        <f t="shared" si="618"/>
        <v>Synchronizační kabel 50cm</v>
      </c>
      <c r="B580" s="80" t="str">
        <f t="shared" si="619"/>
        <v>Z10K050S</v>
      </c>
      <c r="C580" s="80" t="str">
        <f t="shared" si="620"/>
        <v>W</v>
      </c>
      <c r="D580" s="173">
        <f t="shared" si="624"/>
        <v>0</v>
      </c>
      <c r="E580" s="81"/>
      <c r="F580" s="17">
        <f t="shared" si="621"/>
        <v>5.8548999999999998</v>
      </c>
      <c r="G580" s="50"/>
      <c r="H580" s="50"/>
      <c r="I580" s="173">
        <f t="shared" si="622"/>
        <v>8013626</v>
      </c>
      <c r="J580" s="173">
        <f t="shared" si="623"/>
        <v>246077</v>
      </c>
      <c r="K580" s="57"/>
      <c r="L580" s="46" t="str">
        <f>Price!A580</f>
        <v>Synchronizační kabel 50cm</v>
      </c>
      <c r="M580" s="15" t="str">
        <f>Price!B580</f>
        <v>Z10K050S</v>
      </c>
      <c r="N580" s="15" t="str">
        <f>Price!C580</f>
        <v>W</v>
      </c>
      <c r="O580" s="472">
        <f>Price!D580</f>
        <v>0</v>
      </c>
      <c r="P580" s="15">
        <f>Price!E580</f>
        <v>0</v>
      </c>
      <c r="Q580" s="17">
        <f>Price!F580</f>
        <v>5.8548999999999998</v>
      </c>
      <c r="R580" s="171"/>
      <c r="S580" s="171"/>
      <c r="T580" s="12">
        <f>Price!G580</f>
        <v>8013626</v>
      </c>
      <c r="U580" s="12">
        <f>Price!H580</f>
        <v>246077</v>
      </c>
      <c r="V580" s="13"/>
      <c r="W580" s="13"/>
      <c r="X580" s="19"/>
      <c r="Y580" s="19"/>
    </row>
    <row r="581" spans="1:25" x14ac:dyDescent="0.35">
      <c r="A581" s="79" t="str">
        <f t="shared" si="618"/>
        <v>Synchronizační kabel 120cm</v>
      </c>
      <c r="B581" s="80" t="str">
        <f t="shared" si="619"/>
        <v>Z10K120S</v>
      </c>
      <c r="C581" s="80" t="str">
        <f t="shared" si="620"/>
        <v>W</v>
      </c>
      <c r="D581" s="173">
        <f t="shared" si="624"/>
        <v>0</v>
      </c>
      <c r="E581" s="81"/>
      <c r="F581" s="17">
        <f t="shared" si="621"/>
        <v>9.0636899999999994</v>
      </c>
      <c r="G581" s="50"/>
      <c r="H581" s="50"/>
      <c r="I581" s="173">
        <f t="shared" si="622"/>
        <v>7288546</v>
      </c>
      <c r="J581" s="173">
        <f t="shared" si="623"/>
        <v>99128</v>
      </c>
      <c r="K581" s="57"/>
      <c r="L581" s="46" t="str">
        <f>Price!A581</f>
        <v>Synchronizační kabel 120cm</v>
      </c>
      <c r="M581" s="15" t="str">
        <f>Price!B581</f>
        <v>Z10K120S</v>
      </c>
      <c r="N581" s="15" t="str">
        <f>Price!C581</f>
        <v>W</v>
      </c>
      <c r="O581" s="472">
        <f>Price!D581</f>
        <v>0</v>
      </c>
      <c r="P581" s="15">
        <f>Price!E581</f>
        <v>0</v>
      </c>
      <c r="Q581" s="17">
        <f>Price!F581</f>
        <v>9.0636899999999994</v>
      </c>
      <c r="R581" s="171"/>
      <c r="S581" s="171"/>
      <c r="T581" s="12">
        <f>Price!G581</f>
        <v>7288546</v>
      </c>
      <c r="U581" s="12">
        <f>Price!H581</f>
        <v>99128</v>
      </c>
      <c r="V581" s="13"/>
      <c r="W581" s="13"/>
      <c r="X581" s="19"/>
      <c r="Y581" s="19"/>
    </row>
    <row r="582" spans="1:25" x14ac:dyDescent="0.35">
      <c r="A582" s="79" t="str">
        <f t="shared" si="618"/>
        <v>Synchronizační kabel 160cm</v>
      </c>
      <c r="B582" s="80" t="str">
        <f t="shared" si="619"/>
        <v>Z10K160S</v>
      </c>
      <c r="C582" s="80" t="str">
        <f t="shared" si="620"/>
        <v>W</v>
      </c>
      <c r="D582" s="173">
        <f t="shared" si="624"/>
        <v>0</v>
      </c>
      <c r="E582" s="81"/>
      <c r="F582" s="17">
        <f t="shared" si="621"/>
        <v>10.234780000000001</v>
      </c>
      <c r="G582" s="50"/>
      <c r="H582" s="50"/>
      <c r="I582" s="173">
        <f t="shared" si="622"/>
        <v>7361306</v>
      </c>
      <c r="J582" s="173">
        <f t="shared" si="623"/>
        <v>99118</v>
      </c>
      <c r="K582" s="57"/>
      <c r="L582" s="46" t="str">
        <f>Price!A582</f>
        <v>Synchronizační kabel 160cm</v>
      </c>
      <c r="M582" s="15" t="str">
        <f>Price!B582</f>
        <v>Z10K160S</v>
      </c>
      <c r="N582" s="15" t="str">
        <f>Price!C582</f>
        <v>W</v>
      </c>
      <c r="O582" s="472">
        <f>Price!D582</f>
        <v>0</v>
      </c>
      <c r="P582" s="15">
        <f>Price!E582</f>
        <v>0</v>
      </c>
      <c r="Q582" s="17">
        <f>Price!F582</f>
        <v>10.234780000000001</v>
      </c>
      <c r="R582" s="171"/>
      <c r="S582" s="171"/>
      <c r="T582" s="12">
        <f>Price!G582</f>
        <v>7361306</v>
      </c>
      <c r="U582" s="12">
        <f>Price!H582</f>
        <v>99118</v>
      </c>
      <c r="V582" s="13"/>
      <c r="W582" s="13"/>
      <c r="X582" s="19"/>
      <c r="Y582" s="19"/>
    </row>
    <row r="583" spans="1:25" x14ac:dyDescent="0.35">
      <c r="A583" s="79" t="str">
        <f t="shared" si="618"/>
        <v>Elektrokabel, délka 8m + 5 krytek</v>
      </c>
      <c r="B583" s="80" t="str">
        <f t="shared" si="619"/>
        <v>Z10K800AE</v>
      </c>
      <c r="C583" s="80" t="str">
        <f t="shared" si="620"/>
        <v>S</v>
      </c>
      <c r="D583" s="173">
        <f t="shared" si="624"/>
        <v>0</v>
      </c>
      <c r="E583" s="81"/>
      <c r="F583" s="17">
        <f t="shared" si="621"/>
        <v>26.267219999999998</v>
      </c>
      <c r="G583" s="50"/>
      <c r="H583" s="50"/>
      <c r="I583" s="173">
        <f t="shared" si="622"/>
        <v>7550294</v>
      </c>
      <c r="J583" s="173">
        <f t="shared" si="623"/>
        <v>99107</v>
      </c>
      <c r="K583" s="57"/>
      <c r="L583" s="46" t="str">
        <f>Price!A583</f>
        <v>Elektrokabel, délka 8m + 5 krytek</v>
      </c>
      <c r="M583" s="15" t="str">
        <f>Price!B583</f>
        <v>Z10K800AE</v>
      </c>
      <c r="N583" s="15" t="str">
        <f>Price!C583</f>
        <v>S</v>
      </c>
      <c r="O583" s="472">
        <f>Price!D583</f>
        <v>0</v>
      </c>
      <c r="P583" s="15">
        <f>Price!E583</f>
        <v>0</v>
      </c>
      <c r="Q583" s="17">
        <f>Price!F583</f>
        <v>26.267219999999998</v>
      </c>
      <c r="R583" s="171"/>
      <c r="S583" s="171"/>
      <c r="T583" s="12">
        <f>Price!G583</f>
        <v>7550294</v>
      </c>
      <c r="U583" s="12">
        <f>Price!H583</f>
        <v>99107</v>
      </c>
      <c r="V583" s="13"/>
      <c r="W583" s="13"/>
      <c r="X583" s="19"/>
      <c r="Y583" s="19"/>
    </row>
    <row r="584" spans="1:25" x14ac:dyDescent="0.35">
      <c r="A584" s="79" t="str">
        <f t="shared" si="618"/>
        <v>Napájecí kabel se zástrčkou, 2m</v>
      </c>
      <c r="B584" s="80" t="str">
        <f t="shared" si="619"/>
        <v xml:space="preserve">Z10M200E </v>
      </c>
      <c r="C584" s="80" t="str">
        <f t="shared" si="620"/>
        <v>S</v>
      </c>
      <c r="D584" s="173">
        <f t="shared" si="624"/>
        <v>0</v>
      </c>
      <c r="E584" s="81"/>
      <c r="F584" s="17">
        <f t="shared" si="621"/>
        <v>6.3704900000000002</v>
      </c>
      <c r="G584" s="50"/>
      <c r="H584" s="50"/>
      <c r="I584" s="173">
        <f t="shared" si="622"/>
        <v>7205784</v>
      </c>
      <c r="J584" s="173">
        <f t="shared" si="623"/>
        <v>99108</v>
      </c>
      <c r="K584" s="57"/>
      <c r="L584" s="46" t="str">
        <f>Price!A584</f>
        <v>Napájecí kabel se zástrčkou, 2m</v>
      </c>
      <c r="M584" s="15" t="str">
        <f>Price!B584</f>
        <v xml:space="preserve">Z10M200E </v>
      </c>
      <c r="N584" s="15" t="str">
        <f>Price!C584</f>
        <v>S</v>
      </c>
      <c r="O584" s="472">
        <f>Price!D584</f>
        <v>0</v>
      </c>
      <c r="P584" s="15">
        <f>Price!E584</f>
        <v>0</v>
      </c>
      <c r="Q584" s="17">
        <f>Price!F584</f>
        <v>6.3704900000000002</v>
      </c>
      <c r="R584" s="171"/>
      <c r="S584" s="171"/>
      <c r="T584" s="12">
        <f>Price!G584</f>
        <v>7205784</v>
      </c>
      <c r="U584" s="12">
        <f>Price!H584</f>
        <v>99108</v>
      </c>
      <c r="V584" s="13"/>
      <c r="X584" s="19"/>
      <c r="Y584" s="19"/>
    </row>
    <row r="585" spans="1:25" x14ac:dyDescent="0.35">
      <c r="A585" s="79" t="str">
        <f t="shared" si="618"/>
        <v>Napájecí zdroj 24W</v>
      </c>
      <c r="B585" s="80" t="str">
        <f t="shared" si="619"/>
        <v>Z10NE030E</v>
      </c>
      <c r="C585" s="80" t="str">
        <f t="shared" si="620"/>
        <v>S</v>
      </c>
      <c r="D585" s="173">
        <f t="shared" si="624"/>
        <v>0</v>
      </c>
      <c r="E585" s="81"/>
      <c r="F585" s="17">
        <f t="shared" si="621"/>
        <v>96.961060000000003</v>
      </c>
      <c r="G585" s="50"/>
      <c r="H585" s="50"/>
      <c r="I585" s="173">
        <f t="shared" si="622"/>
        <v>5082891</v>
      </c>
      <c r="J585" s="173">
        <f t="shared" si="623"/>
        <v>129576</v>
      </c>
      <c r="K585" s="57"/>
      <c r="L585" s="46" t="str">
        <f>Price!A585</f>
        <v>Napájecí zdroj 24W</v>
      </c>
      <c r="M585" s="15" t="str">
        <f>Price!B585</f>
        <v>Z10NE030E</v>
      </c>
      <c r="N585" s="15" t="str">
        <f>Price!C585</f>
        <v>S</v>
      </c>
      <c r="O585" s="472">
        <f>Price!D585</f>
        <v>0</v>
      </c>
      <c r="P585" s="15">
        <f>Price!E585</f>
        <v>0</v>
      </c>
      <c r="Q585" s="17">
        <f>Price!F585</f>
        <v>96.961060000000003</v>
      </c>
      <c r="R585" s="171"/>
      <c r="S585" s="171"/>
      <c r="T585" s="12">
        <f>Price!G585</f>
        <v>5082891</v>
      </c>
      <c r="U585" s="12">
        <f>Price!H585</f>
        <v>129576</v>
      </c>
      <c r="V585" s="13"/>
      <c r="W585" s="13"/>
      <c r="X585" s="19"/>
      <c r="Y585" s="19"/>
    </row>
    <row r="586" spans="1:25" x14ac:dyDescent="0.35">
      <c r="A586" s="79" t="str">
        <f t="shared" si="618"/>
        <v>Držák napájecího zdroje - montáž do dna</v>
      </c>
      <c r="B586" s="80" t="str">
        <f t="shared" si="619"/>
        <v>Z10NG000</v>
      </c>
      <c r="C586" s="80" t="str">
        <f t="shared" si="620"/>
        <v>R737</v>
      </c>
      <c r="D586" s="173">
        <f t="shared" si="624"/>
        <v>0</v>
      </c>
      <c r="E586" s="81"/>
      <c r="F586" s="17">
        <f t="shared" si="621"/>
        <v>6.557669999999999</v>
      </c>
      <c r="G586" s="50"/>
      <c r="H586" s="50"/>
      <c r="I586" s="173">
        <f t="shared" si="622"/>
        <v>7282180</v>
      </c>
      <c r="J586" s="173">
        <f t="shared" si="623"/>
        <v>991110</v>
      </c>
      <c r="K586" s="57"/>
      <c r="L586" s="46" t="str">
        <f>Price!A586</f>
        <v>Držák napájecího zdroje - montáž do dna</v>
      </c>
      <c r="M586" s="15" t="str">
        <f>Price!B586</f>
        <v>Z10NG000</v>
      </c>
      <c r="N586" s="15" t="str">
        <f>Price!C586</f>
        <v>R737</v>
      </c>
      <c r="O586" s="472">
        <f>Price!D586</f>
        <v>0</v>
      </c>
      <c r="P586" s="15">
        <f>Price!E586</f>
        <v>0</v>
      </c>
      <c r="Q586" s="17">
        <f>Price!F586</f>
        <v>6.5576699999999999</v>
      </c>
      <c r="R586" s="171"/>
      <c r="S586" s="171"/>
      <c r="T586" s="12">
        <f>Price!G586</f>
        <v>7282180</v>
      </c>
      <c r="U586" s="12">
        <f>Price!H586</f>
        <v>991110</v>
      </c>
      <c r="V586" s="13"/>
      <c r="W586" s="13"/>
      <c r="X586" s="19"/>
      <c r="Y586" s="19"/>
    </row>
    <row r="587" spans="1:25" x14ac:dyDescent="0.35">
      <c r="A587" s="79" t="str">
        <f t="shared" si="618"/>
        <v>Držák napájecího zdroje - montáž na stěnu</v>
      </c>
      <c r="B587" s="80" t="str">
        <f t="shared" si="619"/>
        <v>Z10NG120</v>
      </c>
      <c r="C587" s="80" t="str">
        <f t="shared" si="620"/>
        <v>WGR</v>
      </c>
      <c r="D587" s="173">
        <f t="shared" si="624"/>
        <v>0</v>
      </c>
      <c r="E587" s="81"/>
      <c r="F587" s="17">
        <f t="shared" si="621"/>
        <v>3.5366300000000002</v>
      </c>
      <c r="G587" s="50"/>
      <c r="H587" s="50"/>
      <c r="I587" s="173">
        <f t="shared" si="622"/>
        <v>9327076</v>
      </c>
      <c r="J587" s="173">
        <f t="shared" si="623"/>
        <v>131344</v>
      </c>
      <c r="K587" s="57"/>
      <c r="L587" s="46" t="str">
        <f>Price!A587</f>
        <v>Držák napájecího zdroje - montáž na stěnu</v>
      </c>
      <c r="M587" s="15" t="str">
        <f>Price!B587</f>
        <v>Z10NG120</v>
      </c>
      <c r="N587" s="15" t="str">
        <f>Price!C587</f>
        <v>WGR</v>
      </c>
      <c r="O587" s="472">
        <f>Price!D587</f>
        <v>0</v>
      </c>
      <c r="P587" s="15">
        <f>Price!E587</f>
        <v>0</v>
      </c>
      <c r="Q587" s="17">
        <f>Price!F587</f>
        <v>3.5366300000000002</v>
      </c>
      <c r="R587" s="171"/>
      <c r="S587" s="171"/>
      <c r="T587" s="12">
        <f>Price!G587</f>
        <v>9327076</v>
      </c>
      <c r="U587" s="12">
        <f>Price!H587</f>
        <v>131344</v>
      </c>
      <c r="V587" s="13"/>
      <c r="W587" s="13"/>
      <c r="X587" s="19"/>
      <c r="Y587" s="19"/>
    </row>
    <row r="588" spans="1:25" x14ac:dyDescent="0.35">
      <c r="A588" s="79" t="str">
        <f t="shared" si="618"/>
        <v>Propojovací svorka s hroty + krytka</v>
      </c>
      <c r="B588" s="80" t="str">
        <f t="shared" si="619"/>
        <v>Z10V100E.01</v>
      </c>
      <c r="C588" s="80" t="str">
        <f t="shared" si="620"/>
        <v>S</v>
      </c>
      <c r="D588" s="173">
        <f t="shared" si="624"/>
        <v>0</v>
      </c>
      <c r="E588" s="81"/>
      <c r="F588" s="17">
        <f t="shared" si="621"/>
        <v>6.2567500000000003</v>
      </c>
      <c r="G588" s="50"/>
      <c r="H588" s="50"/>
      <c r="I588" s="173">
        <f t="shared" si="622"/>
        <v>8820285</v>
      </c>
      <c r="J588" s="173">
        <f t="shared" si="623"/>
        <v>132954</v>
      </c>
      <c r="K588" s="57"/>
      <c r="L588" s="46" t="str">
        <f>Price!A588</f>
        <v>Propojovací svorka s hroty + krytka</v>
      </c>
      <c r="M588" s="15" t="str">
        <f>Price!B588</f>
        <v>Z10V100E.01</v>
      </c>
      <c r="N588" s="15" t="str">
        <f>Price!C588</f>
        <v>S</v>
      </c>
      <c r="O588" s="472">
        <f>Price!D588</f>
        <v>0</v>
      </c>
      <c r="P588" s="15">
        <f>Price!E588</f>
        <v>0</v>
      </c>
      <c r="Q588" s="17">
        <f>Price!F588</f>
        <v>6.2567500000000003</v>
      </c>
      <c r="R588" s="171"/>
      <c r="S588" s="171"/>
      <c r="T588" s="12">
        <f>Price!G588</f>
        <v>8820285</v>
      </c>
      <c r="U588" s="12">
        <f>Price!H588</f>
        <v>132954</v>
      </c>
      <c r="V588" s="13"/>
      <c r="W588" s="13"/>
      <c r="X588" s="19"/>
      <c r="Y588" s="19"/>
    </row>
    <row r="589" spans="1:25" x14ac:dyDescent="0.35">
      <c r="A589" s="79" t="str">
        <f t="shared" si="618"/>
        <v xml:space="preserve">Nosník, 650mm, s předmont. kabelem </v>
      </c>
      <c r="B589" s="80" t="str">
        <f t="shared" si="619"/>
        <v xml:space="preserve">Z10T650AA </v>
      </c>
      <c r="C589" s="80" t="str">
        <f t="shared" si="620"/>
        <v>Alu</v>
      </c>
      <c r="D589" s="173">
        <f t="shared" si="624"/>
        <v>0</v>
      </c>
      <c r="E589" s="81"/>
      <c r="F589" s="17">
        <f t="shared" si="621"/>
        <v>34.334380000000003</v>
      </c>
      <c r="G589" s="50"/>
      <c r="H589" s="50"/>
      <c r="I589" s="173">
        <f t="shared" si="622"/>
        <v>0</v>
      </c>
      <c r="J589" s="173">
        <f t="shared" si="623"/>
        <v>0</v>
      </c>
      <c r="K589" s="57"/>
      <c r="L589" s="46" t="str">
        <f>Price!A589</f>
        <v xml:space="preserve">Nosník, 650mm, s předmont. kabelem </v>
      </c>
      <c r="M589" s="15" t="str">
        <f>Price!B589</f>
        <v xml:space="preserve">Z10T650AA </v>
      </c>
      <c r="N589" s="15" t="str">
        <f>Price!C589</f>
        <v>Alu</v>
      </c>
      <c r="O589" s="472">
        <f>Price!D589</f>
        <v>0</v>
      </c>
      <c r="P589" s="15">
        <f>Price!E589</f>
        <v>0</v>
      </c>
      <c r="Q589" s="17">
        <f>Price!F589</f>
        <v>34.334380000000003</v>
      </c>
      <c r="R589" s="171"/>
      <c r="S589" s="171"/>
      <c r="T589" s="12">
        <f>Price!G589</f>
        <v>0</v>
      </c>
      <c r="U589" s="12">
        <f>Price!H589</f>
        <v>0</v>
      </c>
      <c r="V589" s="13"/>
      <c r="W589" s="13"/>
      <c r="X589" s="19"/>
      <c r="Y589" s="19"/>
    </row>
    <row r="590" spans="1:25" x14ac:dyDescent="0.35">
      <c r="A590" s="79" t="str">
        <f t="shared" si="618"/>
        <v xml:space="preserve">Nosník, 670mm, s předmont. kabelem </v>
      </c>
      <c r="B590" s="80" t="str">
        <f t="shared" si="619"/>
        <v xml:space="preserve">Z10T670AA </v>
      </c>
      <c r="C590" s="80" t="str">
        <f t="shared" si="620"/>
        <v>Alu</v>
      </c>
      <c r="D590" s="173">
        <f t="shared" si="624"/>
        <v>0</v>
      </c>
      <c r="E590" s="81"/>
      <c r="F590" s="17">
        <f t="shared" si="621"/>
        <v>34.334380000000003</v>
      </c>
      <c r="G590" s="50"/>
      <c r="H590" s="50"/>
      <c r="I590" s="173">
        <f t="shared" si="622"/>
        <v>7716441</v>
      </c>
      <c r="J590" s="173">
        <f t="shared" si="623"/>
        <v>99125</v>
      </c>
      <c r="K590" s="57"/>
      <c r="L590" s="46" t="str">
        <f>Price!A590</f>
        <v xml:space="preserve">Nosník, 670mm, s předmont. kabelem </v>
      </c>
      <c r="M590" s="15" t="str">
        <f>Price!B590</f>
        <v xml:space="preserve">Z10T670AA </v>
      </c>
      <c r="N590" s="15" t="str">
        <f>Price!C590</f>
        <v>Alu</v>
      </c>
      <c r="O590" s="472">
        <f>Price!D590</f>
        <v>0</v>
      </c>
      <c r="P590" s="15">
        <f>Price!E590</f>
        <v>0</v>
      </c>
      <c r="Q590" s="17">
        <f>Price!F590</f>
        <v>34.334380000000003</v>
      </c>
      <c r="R590" s="171"/>
      <c r="S590" s="171"/>
      <c r="T590" s="12">
        <f>Price!G590</f>
        <v>7716441</v>
      </c>
      <c r="U590" s="12">
        <f>Price!H590</f>
        <v>99125</v>
      </c>
      <c r="V590" s="13"/>
      <c r="W590" s="13"/>
      <c r="X590" s="19"/>
      <c r="Y590" s="19"/>
    </row>
    <row r="591" spans="1:25" x14ac:dyDescent="0.35">
      <c r="A591" s="79" t="str">
        <f t="shared" si="618"/>
        <v xml:space="preserve">Nosník, 700mm, s předmont. kabelem </v>
      </c>
      <c r="B591" s="80" t="str">
        <f t="shared" si="619"/>
        <v>Z10T700AA</v>
      </c>
      <c r="C591" s="80" t="str">
        <f t="shared" si="620"/>
        <v>Alu</v>
      </c>
      <c r="D591" s="173">
        <f t="shared" si="624"/>
        <v>0</v>
      </c>
      <c r="E591" s="81"/>
      <c r="F591" s="17">
        <f t="shared" si="621"/>
        <v>35.973990000000001</v>
      </c>
      <c r="G591" s="50"/>
      <c r="H591" s="50"/>
      <c r="I591" s="173">
        <f t="shared" si="622"/>
        <v>0</v>
      </c>
      <c r="J591" s="173">
        <f t="shared" si="623"/>
        <v>0</v>
      </c>
      <c r="K591" s="57"/>
      <c r="L591" s="46" t="str">
        <f>Price!A591</f>
        <v xml:space="preserve">Nosník, 700mm, s předmont. kabelem </v>
      </c>
      <c r="M591" s="15" t="str">
        <f>Price!B591</f>
        <v>Z10T700AA</v>
      </c>
      <c r="N591" s="15" t="str">
        <f>Price!C591</f>
        <v>Alu</v>
      </c>
      <c r="O591" s="472">
        <f>Price!D591</f>
        <v>0</v>
      </c>
      <c r="P591" s="15">
        <f>Price!E591</f>
        <v>0</v>
      </c>
      <c r="Q591" s="17">
        <f>Price!F591</f>
        <v>35.973990000000001</v>
      </c>
      <c r="R591" s="171"/>
      <c r="S591" s="171"/>
      <c r="T591" s="12">
        <f>Price!G591</f>
        <v>0</v>
      </c>
      <c r="U591" s="12">
        <f>Price!H591</f>
        <v>0</v>
      </c>
      <c r="V591" s="13"/>
      <c r="W591" s="13"/>
      <c r="X591" s="19"/>
      <c r="Y591" s="19"/>
    </row>
    <row r="592" spans="1:25" x14ac:dyDescent="0.35">
      <c r="A592" s="79" t="str">
        <f t="shared" si="618"/>
        <v xml:space="preserve">Nosník, 750mm, s předmont. kabelem </v>
      </c>
      <c r="B592" s="80" t="str">
        <f t="shared" si="619"/>
        <v xml:space="preserve">Z10T750AA </v>
      </c>
      <c r="C592" s="80" t="str">
        <f t="shared" si="620"/>
        <v>Alu</v>
      </c>
      <c r="D592" s="173">
        <f t="shared" si="624"/>
        <v>0</v>
      </c>
      <c r="E592" s="81"/>
      <c r="F592" s="17">
        <f t="shared" si="621"/>
        <v>37.613590000000002</v>
      </c>
      <c r="G592" s="50"/>
      <c r="H592" s="50"/>
      <c r="I592" s="173">
        <f t="shared" si="622"/>
        <v>7466401</v>
      </c>
      <c r="J592" s="173">
        <f t="shared" si="623"/>
        <v>99115</v>
      </c>
      <c r="K592" s="57"/>
      <c r="L592" s="46" t="str">
        <f>Price!A592</f>
        <v xml:space="preserve">Nosník, 750mm, s předmont. kabelem </v>
      </c>
      <c r="M592" s="15" t="str">
        <f>Price!B592</f>
        <v xml:space="preserve">Z10T750AA </v>
      </c>
      <c r="N592" s="15" t="str">
        <f>Price!C592</f>
        <v>Alu</v>
      </c>
      <c r="O592" s="472">
        <f>Price!D592</f>
        <v>0</v>
      </c>
      <c r="P592" s="15">
        <f>Price!E592</f>
        <v>0</v>
      </c>
      <c r="Q592" s="17">
        <f>Price!F592</f>
        <v>37.613590000000002</v>
      </c>
      <c r="R592" s="171"/>
      <c r="S592" s="171"/>
      <c r="T592" s="12">
        <f>Price!G592</f>
        <v>7466401</v>
      </c>
      <c r="U592" s="12">
        <f>Price!H592</f>
        <v>99115</v>
      </c>
      <c r="V592" s="13"/>
      <c r="W592" s="13"/>
      <c r="X592" s="19"/>
      <c r="Y592" s="19"/>
    </row>
    <row r="593" spans="1:25" x14ac:dyDescent="0.35">
      <c r="A593" s="79" t="str">
        <f t="shared" si="618"/>
        <v xml:space="preserve">Nosník, 800mm, s předmont. kabelem </v>
      </c>
      <c r="B593" s="80" t="str">
        <f t="shared" si="619"/>
        <v xml:space="preserve">Z10T800AA  </v>
      </c>
      <c r="C593" s="80" t="str">
        <f t="shared" si="620"/>
        <v>Alu</v>
      </c>
      <c r="D593" s="173">
        <f t="shared" si="624"/>
        <v>0</v>
      </c>
      <c r="E593" s="81"/>
      <c r="F593" s="17">
        <f t="shared" si="621"/>
        <v>39.721339999999998</v>
      </c>
      <c r="G593" s="50"/>
      <c r="H593" s="50"/>
      <c r="I593" s="173">
        <f t="shared" si="622"/>
        <v>0</v>
      </c>
      <c r="J593" s="173">
        <f t="shared" si="623"/>
        <v>0</v>
      </c>
      <c r="K593" s="57"/>
      <c r="L593" s="46" t="str">
        <f>Price!A593</f>
        <v xml:space="preserve">Nosník, 800mm, s předmont. kabelem </v>
      </c>
      <c r="M593" s="15" t="str">
        <f>Price!B593</f>
        <v xml:space="preserve">Z10T800AA  </v>
      </c>
      <c r="N593" s="15" t="str">
        <f>Price!C593</f>
        <v>Alu</v>
      </c>
      <c r="O593" s="472">
        <f>Price!D593</f>
        <v>0</v>
      </c>
      <c r="P593" s="15">
        <f>Price!E593</f>
        <v>0</v>
      </c>
      <c r="Q593" s="17">
        <f>Price!F593</f>
        <v>39.721339999999998</v>
      </c>
      <c r="R593" s="171"/>
      <c r="S593" s="171"/>
      <c r="T593" s="12">
        <f>Price!G593</f>
        <v>0</v>
      </c>
      <c r="U593" s="12">
        <f>Price!H593</f>
        <v>0</v>
      </c>
      <c r="V593" s="13"/>
      <c r="W593" s="13"/>
      <c r="X593" s="19"/>
      <c r="Y593" s="19"/>
    </row>
    <row r="594" spans="1:25" x14ac:dyDescent="0.35">
      <c r="A594" s="79" t="str">
        <f t="shared" si="618"/>
        <v>Nosník 1170mm, bez kabelu</v>
      </c>
      <c r="B594" s="80" t="str">
        <f t="shared" si="619"/>
        <v>Z10T1170A</v>
      </c>
      <c r="C594" s="80" t="str">
        <f t="shared" si="620"/>
        <v>Alu</v>
      </c>
      <c r="D594" s="173">
        <f t="shared" si="624"/>
        <v>0</v>
      </c>
      <c r="E594" s="81"/>
      <c r="F594" s="17">
        <f t="shared" si="621"/>
        <v>40.049750000000003</v>
      </c>
      <c r="G594" s="50"/>
      <c r="H594" s="50"/>
      <c r="I594" s="173">
        <f t="shared" si="622"/>
        <v>7287731</v>
      </c>
      <c r="J594" s="173">
        <f t="shared" si="623"/>
        <v>99116</v>
      </c>
      <c r="K594" s="57"/>
      <c r="L594" s="46" t="str">
        <f>Price!A594</f>
        <v>Nosník 1170mm, bez kabelu</v>
      </c>
      <c r="M594" s="15" t="str">
        <f>Price!B594</f>
        <v>Z10T1170A</v>
      </c>
      <c r="N594" s="15" t="str">
        <f>Price!C594</f>
        <v>Alu</v>
      </c>
      <c r="O594" s="472">
        <f>Price!D594</f>
        <v>0</v>
      </c>
      <c r="P594" s="15">
        <f>Price!E594</f>
        <v>0</v>
      </c>
      <c r="Q594" s="17">
        <f>Price!F594</f>
        <v>40.049750000000003</v>
      </c>
      <c r="R594" s="171"/>
      <c r="S594" s="171"/>
      <c r="T594" s="12">
        <f>Price!G594</f>
        <v>7287731</v>
      </c>
      <c r="U594" s="12">
        <f>Price!H594</f>
        <v>99116</v>
      </c>
      <c r="V594" s="13"/>
      <c r="W594" s="13"/>
      <c r="X594" s="19"/>
      <c r="Y594" s="19"/>
    </row>
    <row r="595" spans="1:25" x14ac:dyDescent="0.35">
      <c r="A595" s="79" t="str">
        <f t="shared" si="618"/>
        <v xml:space="preserve">Mechanizmus vyhazovače </v>
      </c>
      <c r="B595" s="80" t="str">
        <f t="shared" si="619"/>
        <v>Z10A3H00</v>
      </c>
      <c r="C595" s="80" t="str">
        <f t="shared" si="620"/>
        <v>R737</v>
      </c>
      <c r="D595" s="173">
        <f t="shared" si="624"/>
        <v>0</v>
      </c>
      <c r="E595" s="81"/>
      <c r="F595" s="17">
        <f t="shared" si="621"/>
        <v>2.8103199999999999</v>
      </c>
      <c r="G595" s="50"/>
      <c r="H595" s="50"/>
      <c r="I595" s="173">
        <f t="shared" si="622"/>
        <v>7472980</v>
      </c>
      <c r="J595" s="173">
        <f t="shared" si="623"/>
        <v>99126</v>
      </c>
      <c r="K595" s="57"/>
      <c r="L595" s="46" t="str">
        <f>Price!A595</f>
        <v xml:space="preserve">Mechanizmus vyhazovače </v>
      </c>
      <c r="M595" s="15" t="str">
        <f>Price!B595</f>
        <v>Z10A3H00</v>
      </c>
      <c r="N595" s="15" t="str">
        <f>Price!C595</f>
        <v>R737</v>
      </c>
      <c r="O595" s="472">
        <f>Price!D595</f>
        <v>0</v>
      </c>
      <c r="P595" s="15">
        <f>Price!E595</f>
        <v>0</v>
      </c>
      <c r="Q595" s="17">
        <f>Price!F595</f>
        <v>2.8103199999999999</v>
      </c>
      <c r="R595" s="171"/>
      <c r="S595" s="171"/>
      <c r="T595" s="12">
        <f>Price!G595</f>
        <v>7472980</v>
      </c>
      <c r="U595" s="12">
        <f>Price!H595</f>
        <v>99126</v>
      </c>
      <c r="V595" s="13"/>
      <c r="W595" s="13"/>
      <c r="X595" s="19"/>
      <c r="Y595" s="19"/>
    </row>
    <row r="596" spans="1:25" x14ac:dyDescent="0.35">
      <c r="A596" s="79" t="str">
        <f t="shared" si="618"/>
        <v>Horizontální nosník</v>
      </c>
      <c r="B596" s="80" t="str">
        <f t="shared" si="619"/>
        <v>Z10T1143B</v>
      </c>
      <c r="C596" s="80" t="str">
        <f t="shared" si="620"/>
        <v>Alu</v>
      </c>
      <c r="D596" s="173">
        <f t="shared" si="624"/>
        <v>0</v>
      </c>
      <c r="E596" s="81"/>
      <c r="F596" s="17">
        <f t="shared" si="621"/>
        <v>16.558009999999999</v>
      </c>
      <c r="G596" s="50"/>
      <c r="H596" s="50"/>
      <c r="I596" s="173">
        <f t="shared" si="622"/>
        <v>7922191</v>
      </c>
      <c r="J596" s="173">
        <f t="shared" si="623"/>
        <v>99124</v>
      </c>
      <c r="K596" s="57"/>
      <c r="L596" s="46" t="str">
        <f>Price!A596</f>
        <v>Horizontální nosník</v>
      </c>
      <c r="M596" s="15" t="str">
        <f>Price!B596</f>
        <v>Z10T1143B</v>
      </c>
      <c r="N596" s="15" t="str">
        <f>Price!C596</f>
        <v>Alu</v>
      </c>
      <c r="O596" s="472">
        <f>Price!D596</f>
        <v>0</v>
      </c>
      <c r="P596" s="15">
        <f>Price!E596</f>
        <v>0</v>
      </c>
      <c r="Q596" s="17">
        <f>Price!F596</f>
        <v>16.558009999999999</v>
      </c>
      <c r="R596" s="171"/>
      <c r="S596" s="171"/>
      <c r="T596" s="12">
        <f>Price!G596</f>
        <v>7922191</v>
      </c>
      <c r="U596" s="12">
        <f>Price!H596</f>
        <v>99124</v>
      </c>
      <c r="V596" s="13"/>
      <c r="W596" s="13"/>
      <c r="X596" s="19"/>
      <c r="Y596" s="19"/>
    </row>
    <row r="597" spans="1:25" x14ac:dyDescent="0.35">
      <c r="A597" s="79" t="str">
        <f t="shared" si="618"/>
        <v>Adaptér + držák horizont. nosníku</v>
      </c>
      <c r="B597" s="80" t="str">
        <f t="shared" si="619"/>
        <v>Z10D5210</v>
      </c>
      <c r="C597" s="80" t="str">
        <f t="shared" si="620"/>
        <v>R737</v>
      </c>
      <c r="D597" s="173">
        <f t="shared" si="624"/>
        <v>0</v>
      </c>
      <c r="E597" s="81"/>
      <c r="F597" s="17">
        <f t="shared" si="621"/>
        <v>5.199209999999999</v>
      </c>
      <c r="G597" s="50"/>
      <c r="H597" s="50"/>
      <c r="I597" s="173">
        <f t="shared" si="622"/>
        <v>7867370</v>
      </c>
      <c r="J597" s="173">
        <f t="shared" si="623"/>
        <v>99123</v>
      </c>
      <c r="K597" s="57"/>
      <c r="L597" s="46" t="str">
        <f>Price!A597</f>
        <v>Adaptér + držák horizont. nosníku</v>
      </c>
      <c r="M597" s="15" t="str">
        <f>Price!B597</f>
        <v>Z10D5210</v>
      </c>
      <c r="N597" s="15" t="str">
        <f>Price!C597</f>
        <v>R737</v>
      </c>
      <c r="O597" s="472">
        <f>Price!D597</f>
        <v>0</v>
      </c>
      <c r="P597" s="15">
        <f>Price!E597</f>
        <v>0</v>
      </c>
      <c r="Q597" s="17">
        <f>Price!F597</f>
        <v>5.1992099999999999</v>
      </c>
      <c r="R597" s="171"/>
      <c r="S597" s="171"/>
      <c r="T597" s="12">
        <f>Price!G597</f>
        <v>7867370</v>
      </c>
      <c r="U597" s="12">
        <f>Price!H597</f>
        <v>99123</v>
      </c>
      <c r="V597" s="13"/>
      <c r="W597" s="13"/>
      <c r="X597" s="19"/>
      <c r="Y597" s="19"/>
    </row>
    <row r="598" spans="1:25" x14ac:dyDescent="0.35">
      <c r="A598" s="79" t="str">
        <f t="shared" si="618"/>
        <v>COMBOX</v>
      </c>
      <c r="B598" s="80" t="str">
        <f t="shared" si="619"/>
        <v>Z10ZC00A</v>
      </c>
      <c r="C598" s="80" t="str">
        <f t="shared" si="620"/>
        <v>S</v>
      </c>
      <c r="D598" s="173">
        <f t="shared" si="624"/>
        <v>0</v>
      </c>
      <c r="E598" s="81"/>
      <c r="F598" s="17">
        <f t="shared" si="621"/>
        <v>110.51904999999999</v>
      </c>
      <c r="G598" s="50"/>
      <c r="H598" s="50"/>
      <c r="I598" s="173">
        <f t="shared" si="622"/>
        <v>5202593</v>
      </c>
      <c r="J598" s="173">
        <f t="shared" si="623"/>
        <v>159530</v>
      </c>
      <c r="K598" s="57"/>
      <c r="L598" s="46" t="str">
        <f>Price!A598</f>
        <v>COMBOX</v>
      </c>
      <c r="M598" s="15" t="str">
        <f>Price!B598</f>
        <v>Z10ZC00A</v>
      </c>
      <c r="N598" s="15" t="str">
        <f>Price!C598</f>
        <v>S</v>
      </c>
      <c r="O598" s="472">
        <f>Price!D598</f>
        <v>0</v>
      </c>
      <c r="P598" s="15">
        <f>Price!E598</f>
        <v>0</v>
      </c>
      <c r="Q598" s="17">
        <f>Price!F598</f>
        <v>110.51904999999999</v>
      </c>
      <c r="R598" s="171"/>
      <c r="S598" s="171"/>
      <c r="T598" s="12">
        <f>Price!G598</f>
        <v>5202593</v>
      </c>
      <c r="U598" s="12">
        <f>Price!H598</f>
        <v>159530</v>
      </c>
      <c r="V598" s="13"/>
      <c r="W598" s="13"/>
      <c r="X598" s="19"/>
      <c r="Y598" s="19"/>
    </row>
    <row r="599" spans="1:25" x14ac:dyDescent="0.35">
      <c r="A599" s="79" t="str">
        <f t="shared" si="618"/>
        <v>SD uno - sada pro výsuv na odpad</v>
      </c>
      <c r="B599" s="80" t="str">
        <f t="shared" si="619"/>
        <v>Z10NA30EE</v>
      </c>
      <c r="C599" s="80" t="str">
        <f t="shared" si="620"/>
        <v>R737</v>
      </c>
      <c r="D599" s="173">
        <f t="shared" si="624"/>
        <v>0</v>
      </c>
      <c r="E599" s="81"/>
      <c r="F599" s="17">
        <f t="shared" si="621"/>
        <v>132.19479999999999</v>
      </c>
      <c r="G599" s="50"/>
      <c r="H599" s="50"/>
      <c r="I599" s="173">
        <f t="shared" si="622"/>
        <v>8284875</v>
      </c>
      <c r="J599" s="173">
        <f t="shared" si="623"/>
        <v>130787</v>
      </c>
      <c r="K599" s="47"/>
      <c r="L599" s="46" t="str">
        <f>Price!A599</f>
        <v>SD uno - sada pro výsuv na odpad</v>
      </c>
      <c r="M599" s="15" t="str">
        <f>Price!B599</f>
        <v>Z10NA30EE</v>
      </c>
      <c r="N599" s="15" t="str">
        <f>Price!C599</f>
        <v>R737</v>
      </c>
      <c r="O599" s="472">
        <f>Price!D599</f>
        <v>0</v>
      </c>
      <c r="P599" s="15">
        <f>Price!E599</f>
        <v>0</v>
      </c>
      <c r="Q599" s="17">
        <f>Price!F599</f>
        <v>132.19479999999999</v>
      </c>
      <c r="R599" s="171"/>
      <c r="S599" s="171"/>
      <c r="T599" s="12">
        <f>Price!G599</f>
        <v>8284875</v>
      </c>
      <c r="U599" s="12">
        <f>Price!H599</f>
        <v>130787</v>
      </c>
      <c r="V599" s="13"/>
      <c r="W599" s="13"/>
      <c r="X599" s="19"/>
      <c r="Y599" s="19"/>
    </row>
    <row r="600" spans="1:25" x14ac:dyDescent="0.35">
      <c r="A600" s="79" t="str">
        <f t="shared" ref="A600:C604" si="625">L600</f>
        <v>SD uno - pro zavěšené odpad.koše, KB 600mm</v>
      </c>
      <c r="B600" s="80" t="str">
        <f t="shared" si="625"/>
        <v>Z10T543WEE</v>
      </c>
      <c r="C600" s="80" t="str">
        <f t="shared" si="625"/>
        <v>R737</v>
      </c>
      <c r="D600" s="173">
        <f t="shared" si="624"/>
        <v>0</v>
      </c>
      <c r="E600" s="81"/>
      <c r="F600" s="17">
        <f>Q600*(100-$F$6)/100</f>
        <v>152.28022000000001</v>
      </c>
      <c r="G600" s="50"/>
      <c r="H600" s="50"/>
      <c r="I600" s="173">
        <f t="shared" ref="I600:J604" si="626">T600</f>
        <v>7190296</v>
      </c>
      <c r="J600" s="173">
        <f t="shared" si="626"/>
        <v>203255</v>
      </c>
      <c r="K600" s="57"/>
      <c r="L600" s="46" t="str">
        <f>Price!A600</f>
        <v>SD uno - pro zavěšené odpad.koše, KB 600mm</v>
      </c>
      <c r="M600" s="15" t="str">
        <f>Price!B600</f>
        <v>Z10T543WEE</v>
      </c>
      <c r="N600" s="15" t="str">
        <f>Price!C600</f>
        <v>R737</v>
      </c>
      <c r="O600" s="472">
        <f>Price!D600</f>
        <v>0</v>
      </c>
      <c r="P600" s="15">
        <f>Price!E600</f>
        <v>0</v>
      </c>
      <c r="Q600" s="17">
        <f>Price!F600</f>
        <v>152.28022000000001</v>
      </c>
      <c r="R600" s="171"/>
      <c r="S600" s="171"/>
      <c r="T600" s="12">
        <f>Price!G600</f>
        <v>7190296</v>
      </c>
      <c r="U600" s="12">
        <f>Price!H600</f>
        <v>203255</v>
      </c>
      <c r="V600" s="13"/>
      <c r="W600" s="13"/>
      <c r="X600" s="19"/>
      <c r="Y600" s="19"/>
    </row>
    <row r="601" spans="1:25" x14ac:dyDescent="0.35">
      <c r="A601" s="79" t="str">
        <f t="shared" si="625"/>
        <v>SERVO-DRIVE flex - jednotka (sada)</v>
      </c>
      <c r="B601" s="80" t="str">
        <f t="shared" si="625"/>
        <v>Z10C500A</v>
      </c>
      <c r="C601" s="80" t="str">
        <f t="shared" si="625"/>
        <v>R736</v>
      </c>
      <c r="D601" s="173">
        <f t="shared" si="624"/>
        <v>0</v>
      </c>
      <c r="E601" s="81"/>
      <c r="F601" s="17">
        <f>Q601*(100-$F$6)/100</f>
        <v>156.82427999999999</v>
      </c>
      <c r="G601" s="50"/>
      <c r="H601" s="50"/>
      <c r="I601" s="173">
        <f t="shared" si="626"/>
        <v>4784397</v>
      </c>
      <c r="J601" s="173">
        <f t="shared" si="626"/>
        <v>265145</v>
      </c>
      <c r="K601" s="47"/>
      <c r="L601" s="46" t="str">
        <f>Price!A601</f>
        <v>SERVO-DRIVE flex - jednotka (sada)</v>
      </c>
      <c r="M601" s="15" t="str">
        <f>Price!B601</f>
        <v>Z10C500A</v>
      </c>
      <c r="N601" s="15" t="str">
        <f>Price!C601</f>
        <v>R736</v>
      </c>
      <c r="O601" s="472">
        <f>Price!D601</f>
        <v>0</v>
      </c>
      <c r="P601" s="15">
        <f>Price!E601</f>
        <v>0</v>
      </c>
      <c r="Q601" s="17">
        <f>Price!F601</f>
        <v>156.82427999999999</v>
      </c>
      <c r="R601" s="171"/>
      <c r="S601" s="171"/>
      <c r="T601" s="12">
        <f>Price!G601</f>
        <v>4784397</v>
      </c>
      <c r="U601" s="12">
        <f>Price!H601</f>
        <v>265145</v>
      </c>
      <c r="V601" s="13"/>
      <c r="W601" s="13"/>
      <c r="X601" s="19"/>
      <c r="Y601" s="19"/>
    </row>
    <row r="602" spans="1:25" x14ac:dyDescent="0.35">
      <c r="A602" s="79" t="str">
        <f t="shared" si="625"/>
        <v>SERVO-DRIVE flex - bezdrátový přijímač</v>
      </c>
      <c r="B602" s="80" t="str">
        <f t="shared" si="625"/>
        <v>Z10C5007</v>
      </c>
      <c r="C602" s="80" t="str">
        <f t="shared" si="625"/>
        <v>R736</v>
      </c>
      <c r="D602" s="173">
        <f t="shared" si="624"/>
        <v>0</v>
      </c>
      <c r="E602" s="81"/>
      <c r="F602" s="17">
        <f>Q602*(100-$F$6)/100</f>
        <v>61.456240000000001</v>
      </c>
      <c r="G602" s="50"/>
      <c r="H602" s="50"/>
      <c r="I602" s="173">
        <f t="shared" si="626"/>
        <v>1120793</v>
      </c>
      <c r="J602" s="173">
        <f t="shared" si="626"/>
        <v>265355</v>
      </c>
      <c r="K602" s="57"/>
      <c r="L602" s="46" t="str">
        <f>Price!A602</f>
        <v>SERVO-DRIVE flex - bezdrátový přijímač</v>
      </c>
      <c r="M602" s="15" t="str">
        <f>Price!B602</f>
        <v>Z10C5007</v>
      </c>
      <c r="N602" s="15" t="str">
        <f>Price!C602</f>
        <v>R736</v>
      </c>
      <c r="O602" s="472">
        <f>Price!D602</f>
        <v>0</v>
      </c>
      <c r="P602" s="15">
        <f>Price!E602</f>
        <v>0</v>
      </c>
      <c r="Q602" s="17">
        <f>Price!F602</f>
        <v>61.456240000000001</v>
      </c>
      <c r="R602" s="171"/>
      <c r="S602" s="171"/>
      <c r="T602" s="12">
        <f>Price!G602</f>
        <v>1120793</v>
      </c>
      <c r="U602" s="12">
        <f>Price!H602</f>
        <v>265355</v>
      </c>
      <c r="V602" s="13"/>
      <c r="W602" s="13"/>
      <c r="X602" s="19"/>
      <c r="Y602" s="19"/>
    </row>
    <row r="603" spans="1:25" x14ac:dyDescent="0.35">
      <c r="A603" s="79" t="str">
        <f t="shared" si="625"/>
        <v>Spínač SERVO-DRIVE, světle šedý</v>
      </c>
      <c r="B603" s="80" t="str">
        <f t="shared" si="625"/>
        <v>21P5020</v>
      </c>
      <c r="C603" s="80" t="str">
        <f t="shared" si="625"/>
        <v>HGR</v>
      </c>
      <c r="D603" s="173">
        <f t="shared" si="624"/>
        <v>0</v>
      </c>
      <c r="E603" s="81"/>
      <c r="F603" s="17">
        <f>Q603*(100-$F$6)/100</f>
        <v>29.275839999999999</v>
      </c>
      <c r="G603" s="50"/>
      <c r="H603" s="50"/>
      <c r="I603" s="173">
        <f t="shared" si="626"/>
        <v>8978398</v>
      </c>
      <c r="J603" s="173">
        <f t="shared" si="626"/>
        <v>123015</v>
      </c>
      <c r="K603" s="47"/>
      <c r="L603" s="46" t="str">
        <f>Price!A603</f>
        <v>Spínač SERVO-DRIVE, světle šedý</v>
      </c>
      <c r="M603" s="15" t="str">
        <f>Price!B603</f>
        <v>21P5020</v>
      </c>
      <c r="N603" s="15" t="str">
        <f>Price!C603</f>
        <v>HGR</v>
      </c>
      <c r="O603" s="472">
        <f>Price!D603</f>
        <v>0</v>
      </c>
      <c r="P603" s="15">
        <f>Price!E603</f>
        <v>0</v>
      </c>
      <c r="Q603" s="17">
        <f>Price!F603</f>
        <v>29.275839999999999</v>
      </c>
      <c r="R603" s="171"/>
      <c r="S603" s="171"/>
      <c r="T603" s="12">
        <f>Price!G603</f>
        <v>8978398</v>
      </c>
      <c r="U603" s="12">
        <f>Price!H603</f>
        <v>123015</v>
      </c>
      <c r="V603" s="13"/>
      <c r="W603" s="13"/>
      <c r="X603" s="19"/>
      <c r="Y603" s="19"/>
    </row>
    <row r="604" spans="1:25" x14ac:dyDescent="0.35">
      <c r="A604" s="79" t="str">
        <f t="shared" si="625"/>
        <v>Spínač SERVO-DRIVE, hedvábně bílý</v>
      </c>
      <c r="B604" s="80" t="str">
        <f t="shared" si="625"/>
        <v>21P5020</v>
      </c>
      <c r="C604" s="80" t="str">
        <f t="shared" si="625"/>
        <v>SW</v>
      </c>
      <c r="D604" s="173">
        <f t="shared" si="624"/>
        <v>0</v>
      </c>
      <c r="E604" s="81"/>
      <c r="F604" s="17">
        <f>Q604*(100-$F$6)/100</f>
        <v>30.447119999999998</v>
      </c>
      <c r="G604" s="50"/>
      <c r="H604" s="50"/>
      <c r="I604" s="173">
        <f t="shared" si="626"/>
        <v>8978392</v>
      </c>
      <c r="J604" s="173">
        <f t="shared" si="626"/>
        <v>123016</v>
      </c>
      <c r="K604" s="57"/>
      <c r="L604" s="46" t="str">
        <f>Price!A604</f>
        <v>Spínač SERVO-DRIVE, hedvábně bílý</v>
      </c>
      <c r="M604" s="15" t="str">
        <f>Price!B604</f>
        <v>21P5020</v>
      </c>
      <c r="N604" s="15" t="str">
        <f>Price!C604</f>
        <v>SW</v>
      </c>
      <c r="O604" s="472">
        <f>Price!D604</f>
        <v>0</v>
      </c>
      <c r="P604" s="15">
        <f>Price!E604</f>
        <v>0</v>
      </c>
      <c r="Q604" s="17">
        <f>Price!F604</f>
        <v>30.447120000000002</v>
      </c>
      <c r="R604" s="171"/>
      <c r="S604" s="171"/>
      <c r="T604" s="12">
        <f>Price!G604</f>
        <v>8978392</v>
      </c>
      <c r="U604" s="12">
        <f>Price!H604</f>
        <v>123016</v>
      </c>
      <c r="V604" s="13"/>
      <c r="W604" s="13"/>
      <c r="X604" s="19"/>
      <c r="Y604" s="19"/>
    </row>
    <row r="605" spans="1:25" x14ac:dyDescent="0.35">
      <c r="A605" s="68"/>
      <c r="B605" s="161"/>
      <c r="C605" s="161"/>
      <c r="D605" s="161"/>
      <c r="E605" s="67"/>
      <c r="F605" s="71"/>
      <c r="G605" s="71"/>
      <c r="H605" s="71"/>
      <c r="I605" s="71"/>
      <c r="J605" s="71"/>
      <c r="K605" s="57"/>
      <c r="L605" s="46">
        <f>Price!A605</f>
        <v>0</v>
      </c>
      <c r="M605" s="15">
        <f>Price!B605</f>
        <v>0</v>
      </c>
      <c r="N605" s="15">
        <f>Price!C605</f>
        <v>0</v>
      </c>
      <c r="O605" s="472">
        <f>Price!D605</f>
        <v>0</v>
      </c>
      <c r="P605" s="15">
        <f>Price!E605</f>
        <v>0</v>
      </c>
      <c r="Q605" s="17">
        <f>Price!F605</f>
        <v>0</v>
      </c>
      <c r="R605" s="171"/>
      <c r="S605" s="171"/>
      <c r="T605" s="12">
        <f>Price!G605</f>
        <v>0</v>
      </c>
      <c r="U605" s="12">
        <f>Price!H605</f>
        <v>0</v>
      </c>
      <c r="V605" s="13"/>
      <c r="W605" s="13"/>
      <c r="X605" s="19"/>
      <c r="Y605" s="19"/>
    </row>
    <row r="606" spans="1:25" x14ac:dyDescent="0.35">
      <c r="A606" s="62"/>
      <c r="B606" s="161"/>
      <c r="C606" s="161"/>
      <c r="D606" s="161"/>
      <c r="E606" s="67"/>
      <c r="F606" s="71"/>
      <c r="G606" s="71"/>
      <c r="H606" s="71"/>
      <c r="I606" s="71"/>
      <c r="J606" s="71"/>
      <c r="K606" s="57"/>
      <c r="L606" s="46">
        <f>Price!A606</f>
        <v>0</v>
      </c>
      <c r="M606" s="15">
        <f>Price!B606</f>
        <v>0</v>
      </c>
      <c r="N606" s="15">
        <f>Price!C606</f>
        <v>0</v>
      </c>
      <c r="O606" s="472">
        <f>Price!D606</f>
        <v>0</v>
      </c>
      <c r="P606" s="15">
        <f>Price!E606</f>
        <v>0</v>
      </c>
      <c r="Q606" s="17">
        <f>Price!F606</f>
        <v>0</v>
      </c>
      <c r="R606" s="171"/>
      <c r="S606" s="171"/>
      <c r="T606" s="12">
        <f>Price!G606</f>
        <v>0</v>
      </c>
      <c r="U606" s="12">
        <f>Price!H606</f>
        <v>0</v>
      </c>
      <c r="V606" s="13"/>
      <c r="W606" s="13"/>
      <c r="X606" s="19"/>
      <c r="Y606" s="19"/>
    </row>
    <row r="607" spans="1:25" x14ac:dyDescent="0.35">
      <c r="A607" s="62"/>
      <c r="B607" s="161"/>
      <c r="C607" s="161"/>
      <c r="D607" s="161"/>
      <c r="E607" s="67"/>
      <c r="F607" s="71"/>
      <c r="G607" s="71"/>
      <c r="H607" s="71"/>
      <c r="I607" s="71"/>
      <c r="J607" s="71"/>
      <c r="K607" s="57"/>
      <c r="L607" s="46">
        <f>Price!A607</f>
        <v>0</v>
      </c>
      <c r="M607" s="15">
        <f>Price!B607</f>
        <v>0</v>
      </c>
      <c r="N607" s="15">
        <f>Price!C607</f>
        <v>0</v>
      </c>
      <c r="O607" s="472">
        <f>Price!D607</f>
        <v>0</v>
      </c>
      <c r="P607" s="15">
        <f>Price!E607</f>
        <v>0</v>
      </c>
      <c r="Q607" s="17">
        <f>Price!F607</f>
        <v>0</v>
      </c>
      <c r="R607" s="171"/>
      <c r="S607" s="171"/>
      <c r="T607" s="12">
        <f>Price!G607</f>
        <v>0</v>
      </c>
      <c r="U607" s="12">
        <f>Price!H607</f>
        <v>0</v>
      </c>
      <c r="V607" s="13"/>
      <c r="W607" s="13"/>
      <c r="X607" s="19"/>
      <c r="Y607" s="19"/>
    </row>
    <row r="608" spans="1:25" x14ac:dyDescent="0.35">
      <c r="A608" s="62"/>
      <c r="B608" s="161"/>
      <c r="C608" s="161"/>
      <c r="D608" s="161"/>
      <c r="E608" s="67"/>
      <c r="F608" s="71"/>
      <c r="G608" s="71"/>
      <c r="H608" s="71"/>
      <c r="I608" s="71"/>
      <c r="J608" s="71"/>
      <c r="K608" s="57"/>
      <c r="L608" s="46">
        <f>Price!A608</f>
        <v>0</v>
      </c>
      <c r="M608" s="15">
        <f>Price!B608</f>
        <v>0</v>
      </c>
      <c r="N608" s="15">
        <f>Price!C608</f>
        <v>0</v>
      </c>
      <c r="O608" s="472">
        <f>Price!D608</f>
        <v>0</v>
      </c>
      <c r="P608" s="15">
        <f>Price!E608</f>
        <v>0</v>
      </c>
      <c r="Q608" s="17">
        <f>Price!F608</f>
        <v>0</v>
      </c>
      <c r="R608" s="171"/>
      <c r="S608" s="171"/>
      <c r="T608" s="12">
        <f>Price!G608</f>
        <v>0</v>
      </c>
      <c r="U608" s="12">
        <f>Price!H608</f>
        <v>0</v>
      </c>
      <c r="V608" s="13"/>
      <c r="W608" s="13"/>
      <c r="X608" s="19"/>
      <c r="Y608" s="19"/>
    </row>
    <row r="609" spans="1:25" x14ac:dyDescent="0.35">
      <c r="A609" s="68"/>
      <c r="B609" s="161"/>
      <c r="C609" s="161"/>
      <c r="D609" s="161"/>
      <c r="E609" s="67"/>
      <c r="F609" s="71"/>
      <c r="G609" s="71"/>
      <c r="H609" s="71"/>
      <c r="I609" s="71"/>
      <c r="J609" s="71"/>
      <c r="K609" s="57"/>
      <c r="L609" s="46" t="str">
        <f>Price!A609</f>
        <v xml:space="preserve">   Ostatní</v>
      </c>
      <c r="M609" s="15">
        <f>Price!B609</f>
        <v>0</v>
      </c>
      <c r="N609" s="15">
        <f>Price!C609</f>
        <v>0</v>
      </c>
      <c r="O609" s="472">
        <f>Price!D609</f>
        <v>0</v>
      </c>
      <c r="P609" s="15">
        <f>Price!E609</f>
        <v>0</v>
      </c>
      <c r="Q609" s="17">
        <f>Price!F609</f>
        <v>0</v>
      </c>
      <c r="R609" s="171"/>
      <c r="S609" s="171"/>
      <c r="T609" s="12">
        <f>Price!G609</f>
        <v>0</v>
      </c>
      <c r="U609" s="12">
        <f>Price!H609</f>
        <v>0</v>
      </c>
      <c r="V609" s="13"/>
      <c r="W609" s="13"/>
      <c r="X609" s="19"/>
      <c r="Y609" s="19"/>
    </row>
    <row r="610" spans="1:25" x14ac:dyDescent="0.35">
      <c r="A610" s="79" t="str">
        <f t="shared" ref="A610:C610" si="627">L610</f>
        <v>Stabilizace čel</v>
      </c>
      <c r="B610" s="80" t="str">
        <f t="shared" si="627"/>
        <v>Z96.10E1</v>
      </c>
      <c r="C610" s="80" t="str">
        <f t="shared" si="627"/>
        <v>R737</v>
      </c>
      <c r="D610" s="173">
        <f>O610</f>
        <v>0</v>
      </c>
      <c r="E610" s="81"/>
      <c r="F610" s="17">
        <f>Q610*(100-$F$6)/100</f>
        <v>1.3134000000000001</v>
      </c>
      <c r="G610" s="50"/>
      <c r="H610" s="50"/>
      <c r="I610" s="173">
        <f t="shared" ref="I610:J610" si="628">T610</f>
        <v>6448980</v>
      </c>
      <c r="J610" s="173">
        <f t="shared" si="628"/>
        <v>288080</v>
      </c>
      <c r="K610" s="48"/>
      <c r="L610" s="46" t="str">
        <f>Price!A610</f>
        <v>Stabilizace čel</v>
      </c>
      <c r="M610" s="15" t="str">
        <f>Price!B610</f>
        <v>Z96.10E1</v>
      </c>
      <c r="N610" s="15" t="str">
        <f>Price!C610</f>
        <v>R737</v>
      </c>
      <c r="O610" s="472">
        <f>Price!D610</f>
        <v>0</v>
      </c>
      <c r="P610" s="15">
        <f>Price!E610</f>
        <v>0</v>
      </c>
      <c r="Q610" s="17">
        <f>Price!F610</f>
        <v>1.3133999999999999</v>
      </c>
      <c r="R610" s="171"/>
      <c r="S610" s="171"/>
      <c r="T610" s="12">
        <f>Price!G610</f>
        <v>6448980</v>
      </c>
      <c r="U610" s="12">
        <f>Price!H610</f>
        <v>288080</v>
      </c>
      <c r="V610" s="13"/>
      <c r="W610" s="13"/>
      <c r="X610" s="19"/>
      <c r="Y610" s="19"/>
    </row>
    <row r="611" spans="1:25" x14ac:dyDescent="0.35">
      <c r="A611" s="79" t="str">
        <f t="shared" ref="A611" si="629">L611</f>
        <v>Tlumící čočka k zavrtání</v>
      </c>
      <c r="B611" s="80" t="str">
        <f t="shared" ref="B611" si="630">M611</f>
        <v>993.706</v>
      </c>
      <c r="C611" s="80" t="str">
        <f t="shared" ref="C611" si="631">N611</f>
        <v>R906</v>
      </c>
      <c r="D611" s="173">
        <f t="shared" ref="D611" si="632">O611</f>
        <v>0</v>
      </c>
      <c r="E611" s="81"/>
      <c r="F611" s="17">
        <f t="shared" ref="F611" si="633">Q611*(100-$F$6)/100</f>
        <v>0.13461999999999999</v>
      </c>
      <c r="G611" s="50"/>
      <c r="H611" s="50"/>
      <c r="I611" s="173">
        <f t="shared" ref="I611" si="634">T611</f>
        <v>3283090</v>
      </c>
      <c r="J611" s="173">
        <f t="shared" ref="J611" si="635">U611</f>
        <v>12388</v>
      </c>
      <c r="K611" s="48"/>
      <c r="L611" s="46" t="str">
        <f>Price!A611</f>
        <v>Tlumící čočka k zavrtání</v>
      </c>
      <c r="M611" s="15" t="str">
        <f>Price!B611</f>
        <v>993.706</v>
      </c>
      <c r="N611" s="15" t="str">
        <f>Price!C611</f>
        <v>R906</v>
      </c>
      <c r="O611" s="472">
        <f>Price!D611</f>
        <v>0</v>
      </c>
      <c r="P611" s="15">
        <f>Price!E611</f>
        <v>0</v>
      </c>
      <c r="Q611" s="17">
        <f>Price!F611</f>
        <v>0.13461999999999999</v>
      </c>
      <c r="R611" s="171"/>
      <c r="S611" s="171"/>
      <c r="T611" s="12">
        <f>Price!G611</f>
        <v>3283090</v>
      </c>
      <c r="U611" s="12">
        <f>Price!H611</f>
        <v>12388</v>
      </c>
      <c r="V611" s="13"/>
      <c r="W611" s="13"/>
      <c r="X611" s="19"/>
      <c r="Y611" s="19"/>
    </row>
    <row r="612" spans="1:25" x14ac:dyDescent="0.35">
      <c r="A612" s="79" t="str">
        <f t="shared" ref="A612:A616" si="636">L612</f>
        <v>Boční stabilizace, 450 mm</v>
      </c>
      <c r="B612" s="80" t="str">
        <f t="shared" ref="B612:B616" si="637">M612</f>
        <v>ZST.450BA</v>
      </c>
      <c r="C612" s="80" t="str">
        <f t="shared" ref="C612:C616" si="638">N612</f>
        <v>R737</v>
      </c>
      <c r="D612" s="173" t="str">
        <f t="shared" ref="D612:D616" si="639">O612</f>
        <v>!</v>
      </c>
      <c r="E612" s="81"/>
      <c r="F612" s="17">
        <f t="shared" ref="F612:F616" si="640">Q612*(100-$F$6)/100</f>
        <v>19.826840000000001</v>
      </c>
      <c r="G612" s="50"/>
      <c r="H612" s="50"/>
      <c r="I612" s="173">
        <f t="shared" ref="I612:I616" si="641">T612</f>
        <v>4320500</v>
      </c>
      <c r="J612" s="173">
        <f t="shared" ref="J612:J616" si="642">U612</f>
        <v>176798</v>
      </c>
      <c r="K612" s="48"/>
      <c r="L612" s="46" t="str">
        <f>Price!A612</f>
        <v>Boční stabilizace, 450 mm</v>
      </c>
      <c r="M612" s="15" t="str">
        <f>Price!B612</f>
        <v>ZST.450BA</v>
      </c>
      <c r="N612" s="15" t="str">
        <f>Price!C612</f>
        <v>R737</v>
      </c>
      <c r="O612" s="472" t="str">
        <f>Price!D612</f>
        <v>!</v>
      </c>
      <c r="P612" s="15">
        <f>Price!E612</f>
        <v>0</v>
      </c>
      <c r="Q612" s="17">
        <f>Price!F612</f>
        <v>19.826840000000001</v>
      </c>
      <c r="R612" s="171"/>
      <c r="S612" s="171"/>
      <c r="T612" s="12">
        <f>Price!G612</f>
        <v>4320500</v>
      </c>
      <c r="U612" s="12">
        <f>Price!H612</f>
        <v>176798</v>
      </c>
      <c r="V612" s="13"/>
      <c r="W612" s="13"/>
      <c r="X612" s="19"/>
      <c r="Y612" s="19"/>
    </row>
    <row r="613" spans="1:25" x14ac:dyDescent="0.35">
      <c r="A613" s="79" t="str">
        <f t="shared" si="636"/>
        <v>Boční stabilizace, 500 mm</v>
      </c>
      <c r="B613" s="80" t="str">
        <f t="shared" si="637"/>
        <v>ZST.500BA</v>
      </c>
      <c r="C613" s="80" t="str">
        <f t="shared" si="638"/>
        <v>R737</v>
      </c>
      <c r="D613" s="173">
        <f t="shared" si="639"/>
        <v>0</v>
      </c>
      <c r="E613" s="81"/>
      <c r="F613" s="17">
        <f t="shared" si="640"/>
        <v>12.35749</v>
      </c>
      <c r="G613" s="50"/>
      <c r="H613" s="50"/>
      <c r="I613" s="173">
        <f t="shared" si="641"/>
        <v>8929020</v>
      </c>
      <c r="J613" s="173">
        <f t="shared" si="642"/>
        <v>176800</v>
      </c>
      <c r="K613" s="48"/>
      <c r="L613" s="46" t="str">
        <f>Price!A613</f>
        <v>Boční stabilizace, 500 mm</v>
      </c>
      <c r="M613" s="15" t="str">
        <f>Price!B613</f>
        <v>ZST.500BA</v>
      </c>
      <c r="N613" s="15" t="str">
        <f>Price!C613</f>
        <v>R737</v>
      </c>
      <c r="O613" s="472">
        <f>Price!D613</f>
        <v>0</v>
      </c>
      <c r="P613" s="15">
        <f>Price!E613</f>
        <v>0</v>
      </c>
      <c r="Q613" s="17">
        <f>Price!F613</f>
        <v>12.35749</v>
      </c>
      <c r="R613" s="171"/>
      <c r="S613" s="171"/>
      <c r="T613" s="12">
        <f>Price!G613</f>
        <v>8929020</v>
      </c>
      <c r="U613" s="12">
        <f>Price!H613</f>
        <v>176800</v>
      </c>
      <c r="V613" s="13"/>
      <c r="W613" s="13"/>
      <c r="X613" s="19"/>
      <c r="Y613" s="19"/>
    </row>
    <row r="614" spans="1:25" x14ac:dyDescent="0.35">
      <c r="A614" s="79" t="str">
        <f t="shared" si="636"/>
        <v>Boční stabilizace, 550 mm</v>
      </c>
      <c r="B614" s="80" t="str">
        <f t="shared" si="637"/>
        <v>ZST.550BA</v>
      </c>
      <c r="C614" s="80" t="str">
        <f t="shared" si="638"/>
        <v>R737</v>
      </c>
      <c r="D614" s="173" t="str">
        <f t="shared" si="639"/>
        <v>!</v>
      </c>
      <c r="E614" s="81"/>
      <c r="F614" s="17">
        <f t="shared" si="640"/>
        <v>0</v>
      </c>
      <c r="G614" s="50"/>
      <c r="H614" s="50"/>
      <c r="I614" s="173">
        <f t="shared" si="641"/>
        <v>8929190</v>
      </c>
      <c r="J614" s="173" t="str">
        <f t="shared" si="642"/>
        <v>-</v>
      </c>
      <c r="K614" s="48"/>
      <c r="L614" s="46" t="str">
        <f>Price!A614</f>
        <v>Boční stabilizace, 550 mm</v>
      </c>
      <c r="M614" s="15" t="str">
        <f>Price!B614</f>
        <v>ZST.550BA</v>
      </c>
      <c r="N614" s="15" t="str">
        <f>Price!C614</f>
        <v>R737</v>
      </c>
      <c r="O614" s="472" t="str">
        <f>Price!D614</f>
        <v>!</v>
      </c>
      <c r="P614" s="15">
        <f>Price!E614</f>
        <v>0</v>
      </c>
      <c r="Q614" s="17">
        <f>Price!F614</f>
        <v>0</v>
      </c>
      <c r="R614" s="171"/>
      <c r="S614" s="171"/>
      <c r="T614" s="12">
        <f>Price!G614</f>
        <v>8929190</v>
      </c>
      <c r="U614" s="12" t="str">
        <f>Price!H614</f>
        <v>-</v>
      </c>
      <c r="V614" s="13"/>
      <c r="W614" s="13"/>
      <c r="X614" s="19"/>
      <c r="Y614" s="19"/>
    </row>
    <row r="615" spans="1:25" x14ac:dyDescent="0.35">
      <c r="A615" s="79" t="str">
        <f t="shared" si="636"/>
        <v>Boční stabilizace, 600 mm</v>
      </c>
      <c r="B615" s="80" t="str">
        <f t="shared" si="637"/>
        <v>ZST.600BA</v>
      </c>
      <c r="C615" s="80" t="str">
        <f t="shared" si="638"/>
        <v>R737</v>
      </c>
      <c r="D615" s="173" t="str">
        <f t="shared" si="639"/>
        <v>!</v>
      </c>
      <c r="E615" s="81"/>
      <c r="F615" s="17">
        <f t="shared" si="640"/>
        <v>37.947380000000003</v>
      </c>
      <c r="G615" s="50"/>
      <c r="H615" s="50"/>
      <c r="I615" s="173">
        <f t="shared" si="641"/>
        <v>8929260</v>
      </c>
      <c r="J615" s="173">
        <f t="shared" si="642"/>
        <v>176803</v>
      </c>
      <c r="K615" s="48"/>
      <c r="L615" s="46" t="str">
        <f>Price!A615</f>
        <v>Boční stabilizace, 600 mm</v>
      </c>
      <c r="M615" s="15" t="str">
        <f>Price!B615</f>
        <v>ZST.600BA</v>
      </c>
      <c r="N615" s="15" t="str">
        <f>Price!C615</f>
        <v>R737</v>
      </c>
      <c r="O615" s="472" t="str">
        <f>Price!D615</f>
        <v>!</v>
      </c>
      <c r="P615" s="15">
        <f>Price!E615</f>
        <v>0</v>
      </c>
      <c r="Q615" s="17">
        <f>Price!F615</f>
        <v>37.947380000000003</v>
      </c>
      <c r="R615" s="171"/>
      <c r="S615" s="171"/>
      <c r="T615" s="12">
        <f>Price!G615</f>
        <v>8929260</v>
      </c>
      <c r="U615" s="12">
        <f>Price!H615</f>
        <v>176803</v>
      </c>
      <c r="V615" s="13"/>
      <c r="W615" s="13"/>
      <c r="X615" s="19"/>
      <c r="Y615" s="19"/>
    </row>
    <row r="616" spans="1:25" x14ac:dyDescent="0.35">
      <c r="A616" s="79" t="str">
        <f t="shared" si="636"/>
        <v>Boční stabilizace, 650 mm</v>
      </c>
      <c r="B616" s="80" t="str">
        <f t="shared" si="637"/>
        <v>ZST.650BA</v>
      </c>
      <c r="C616" s="80" t="str">
        <f t="shared" si="638"/>
        <v>R737</v>
      </c>
      <c r="D616" s="173" t="str">
        <f t="shared" si="639"/>
        <v>!</v>
      </c>
      <c r="E616" s="81"/>
      <c r="F616" s="17">
        <f t="shared" si="640"/>
        <v>38.109929999999999</v>
      </c>
      <c r="G616" s="50"/>
      <c r="H616" s="50"/>
      <c r="I616" s="173">
        <f t="shared" si="641"/>
        <v>8929330</v>
      </c>
      <c r="J616" s="173">
        <f t="shared" si="642"/>
        <v>176805</v>
      </c>
      <c r="K616" s="48"/>
      <c r="L616" s="46" t="str">
        <f>Price!A616</f>
        <v>Boční stabilizace, 650 mm</v>
      </c>
      <c r="M616" s="15" t="str">
        <f>Price!B616</f>
        <v>ZST.650BA</v>
      </c>
      <c r="N616" s="15" t="str">
        <f>Price!C616</f>
        <v>R737</v>
      </c>
      <c r="O616" s="472" t="str">
        <f>Price!D616</f>
        <v>!</v>
      </c>
      <c r="P616" s="15">
        <f>Price!E616</f>
        <v>0</v>
      </c>
      <c r="Q616" s="17">
        <f>Price!F616</f>
        <v>38.109929999999999</v>
      </c>
      <c r="R616" s="171"/>
      <c r="S616" s="171"/>
      <c r="T616" s="12">
        <f>Price!G616</f>
        <v>8929330</v>
      </c>
      <c r="U616" s="12">
        <f>Price!H616</f>
        <v>176805</v>
      </c>
      <c r="V616" s="13"/>
      <c r="W616" s="13"/>
      <c r="X616" s="19"/>
      <c r="Y616" s="19"/>
    </row>
    <row r="617" spans="1:25" x14ac:dyDescent="0.35">
      <c r="A617" s="65"/>
      <c r="B617" s="162"/>
      <c r="C617" s="162"/>
      <c r="D617" s="162"/>
      <c r="E617" s="67"/>
      <c r="F617" s="50"/>
      <c r="G617" s="50"/>
      <c r="H617" s="50"/>
      <c r="I617" s="50"/>
      <c r="J617" s="50"/>
      <c r="K617" s="47"/>
      <c r="L617" s="46">
        <f>Price!A618</f>
        <v>0</v>
      </c>
      <c r="M617" s="15">
        <f>Price!B618</f>
        <v>0</v>
      </c>
      <c r="N617" s="15">
        <f>Price!C618</f>
        <v>0</v>
      </c>
      <c r="O617" s="472">
        <f>Price!D618</f>
        <v>0</v>
      </c>
      <c r="P617" s="15">
        <f>Price!E618</f>
        <v>0</v>
      </c>
      <c r="Q617" s="17">
        <f>Price!F618</f>
        <v>0</v>
      </c>
      <c r="R617" s="171"/>
      <c r="S617" s="171"/>
      <c r="T617" s="12">
        <f>Price!G618</f>
        <v>0</v>
      </c>
      <c r="U617" s="12">
        <f>Price!H618</f>
        <v>0</v>
      </c>
      <c r="V617" s="13"/>
      <c r="W617" s="13"/>
      <c r="X617" s="19"/>
      <c r="Y617" s="19"/>
    </row>
    <row r="618" spans="1:25" x14ac:dyDescent="0.35">
      <c r="A618" s="65"/>
      <c r="B618" s="162"/>
      <c r="C618" s="162"/>
      <c r="D618" s="162"/>
      <c r="E618" s="67"/>
      <c r="F618" s="50"/>
      <c r="G618" s="50"/>
      <c r="H618" s="50"/>
      <c r="I618" s="50"/>
      <c r="J618" s="50"/>
      <c r="K618" s="48"/>
      <c r="L618" s="46">
        <f>Price!A619</f>
        <v>0</v>
      </c>
      <c r="M618" s="15">
        <f>Price!B619</f>
        <v>0</v>
      </c>
      <c r="N618" s="15">
        <f>Price!C619</f>
        <v>0</v>
      </c>
      <c r="O618" s="472">
        <f>Price!D619</f>
        <v>0</v>
      </c>
      <c r="P618" s="15">
        <f>Price!E619</f>
        <v>0</v>
      </c>
      <c r="Q618" s="17">
        <f>Price!F619</f>
        <v>0</v>
      </c>
      <c r="R618" s="171"/>
      <c r="S618" s="171"/>
      <c r="T618" s="12">
        <f>Price!G619</f>
        <v>0</v>
      </c>
      <c r="U618" s="12">
        <f>Price!H619</f>
        <v>0</v>
      </c>
      <c r="V618" s="13"/>
      <c r="W618" s="13"/>
      <c r="X618" s="19"/>
      <c r="Y618" s="19"/>
    </row>
    <row r="619" spans="1:25" x14ac:dyDescent="0.35">
      <c r="A619" s="65"/>
      <c r="B619" s="162"/>
      <c r="C619" s="162"/>
      <c r="D619" s="162"/>
      <c r="E619" s="67"/>
      <c r="F619" s="50"/>
      <c r="G619" s="50"/>
      <c r="H619" s="50"/>
      <c r="I619" s="50"/>
      <c r="J619" s="50"/>
      <c r="K619" s="48"/>
      <c r="L619" s="46">
        <f>Price!A620</f>
        <v>0</v>
      </c>
      <c r="M619" s="15">
        <f>Price!B620</f>
        <v>0</v>
      </c>
      <c r="N619" s="15">
        <f>Price!C620</f>
        <v>0</v>
      </c>
      <c r="O619" s="472">
        <f>Price!D620</f>
        <v>0</v>
      </c>
      <c r="P619" s="15">
        <f>Price!E620</f>
        <v>0</v>
      </c>
      <c r="Q619" s="17">
        <f>Price!F620</f>
        <v>0</v>
      </c>
      <c r="R619" s="171"/>
      <c r="S619" s="171"/>
      <c r="T619" s="12">
        <f>Price!G620</f>
        <v>0</v>
      </c>
      <c r="U619" s="12">
        <f>Price!H620</f>
        <v>0</v>
      </c>
      <c r="V619" s="13"/>
      <c r="W619" s="13"/>
      <c r="X619" s="19"/>
      <c r="Y619" s="19"/>
    </row>
    <row r="620" spans="1:25" x14ac:dyDescent="0.35">
      <c r="A620" s="43"/>
      <c r="B620" s="161"/>
      <c r="C620" s="161"/>
      <c r="D620" s="161"/>
      <c r="E620" s="69"/>
      <c r="F620" s="70"/>
      <c r="G620" s="70"/>
      <c r="H620" s="70"/>
      <c r="I620" s="70"/>
      <c r="J620" s="70"/>
      <c r="K620" s="48"/>
      <c r="L620" s="46">
        <f>Price!A621</f>
        <v>0</v>
      </c>
      <c r="M620" s="15">
        <f>Price!B621</f>
        <v>0</v>
      </c>
      <c r="N620" s="15">
        <f>Price!C621</f>
        <v>0</v>
      </c>
      <c r="O620" s="472">
        <f>Price!D621</f>
        <v>0</v>
      </c>
      <c r="P620" s="15">
        <f>Price!E621</f>
        <v>0</v>
      </c>
      <c r="Q620" s="17">
        <f>Price!F621</f>
        <v>0</v>
      </c>
      <c r="R620" s="171"/>
      <c r="S620" s="171"/>
      <c r="T620" s="12">
        <f>Price!G621</f>
        <v>0</v>
      </c>
      <c r="U620" s="12">
        <f>Price!H621</f>
        <v>0</v>
      </c>
      <c r="V620" s="13"/>
      <c r="W620" s="13"/>
      <c r="X620" s="19"/>
      <c r="Y620" s="19"/>
    </row>
    <row r="621" spans="1:25" x14ac:dyDescent="0.35">
      <c r="A621" s="43"/>
      <c r="B621" s="161"/>
      <c r="C621" s="161"/>
      <c r="D621" s="161"/>
      <c r="E621" s="69"/>
      <c r="F621" s="70"/>
      <c r="G621" s="70"/>
      <c r="H621" s="70"/>
      <c r="I621" s="70"/>
      <c r="J621" s="70"/>
      <c r="K621" s="48"/>
      <c r="L621" s="46">
        <f>Price!A622</f>
        <v>0</v>
      </c>
      <c r="M621" s="15">
        <f>Price!B622</f>
        <v>0</v>
      </c>
      <c r="N621" s="15">
        <f>Price!C622</f>
        <v>0</v>
      </c>
      <c r="O621" s="472">
        <f>Price!D622</f>
        <v>0</v>
      </c>
      <c r="P621" s="15">
        <f>Price!E622</f>
        <v>0</v>
      </c>
      <c r="Q621" s="17">
        <f>Price!F622</f>
        <v>0</v>
      </c>
      <c r="R621" s="171"/>
      <c r="S621" s="171"/>
      <c r="T621" s="12">
        <f>Price!G622</f>
        <v>0</v>
      </c>
      <c r="U621" s="12">
        <f>Price!H622</f>
        <v>0</v>
      </c>
      <c r="V621" s="13"/>
      <c r="W621" s="13"/>
      <c r="X621" s="19"/>
      <c r="Y621" s="19"/>
    </row>
    <row r="622" spans="1:25" x14ac:dyDescent="0.35">
      <c r="A622" s="72"/>
      <c r="B622" s="161"/>
      <c r="C622" s="161"/>
      <c r="D622" s="161"/>
      <c r="E622" s="69"/>
      <c r="F622" s="70"/>
      <c r="G622" s="70"/>
      <c r="H622" s="70"/>
      <c r="I622" s="70"/>
      <c r="J622" s="70"/>
      <c r="K622" s="48"/>
      <c r="L622" s="46">
        <f>Price!A623</f>
        <v>0</v>
      </c>
      <c r="M622" s="15">
        <f>Price!B623</f>
        <v>0</v>
      </c>
      <c r="N622" s="15">
        <f>Price!C623</f>
        <v>0</v>
      </c>
      <c r="O622" s="472">
        <f>Price!D623</f>
        <v>0</v>
      </c>
      <c r="P622" s="15">
        <f>Price!E623</f>
        <v>0</v>
      </c>
      <c r="Q622" s="17">
        <f>Price!F623</f>
        <v>0</v>
      </c>
      <c r="R622" s="171"/>
      <c r="S622" s="171"/>
      <c r="T622" s="12">
        <f>Price!G623</f>
        <v>0</v>
      </c>
      <c r="U622" s="12">
        <f>Price!H623</f>
        <v>0</v>
      </c>
      <c r="V622" s="13"/>
      <c r="W622" s="13"/>
      <c r="X622" s="19"/>
      <c r="Y622" s="19"/>
    </row>
    <row r="623" spans="1:25" x14ac:dyDescent="0.35">
      <c r="A623" s="72"/>
      <c r="B623" s="161"/>
      <c r="C623" s="161"/>
      <c r="D623" s="161"/>
      <c r="E623" s="69"/>
      <c r="F623" s="70"/>
      <c r="G623" s="70"/>
      <c r="H623" s="70"/>
      <c r="I623" s="70"/>
      <c r="J623" s="70"/>
      <c r="K623" s="48"/>
      <c r="L623" s="46"/>
      <c r="M623" s="15"/>
      <c r="N623" s="15"/>
      <c r="O623" s="472"/>
      <c r="P623" s="15"/>
      <c r="Q623" s="17"/>
      <c r="R623" s="171"/>
      <c r="S623" s="171"/>
      <c r="T623" s="12"/>
      <c r="U623" s="12"/>
      <c r="V623" s="13"/>
      <c r="W623" s="13"/>
      <c r="X623" s="19"/>
      <c r="Y623" s="19"/>
    </row>
    <row r="624" spans="1:25" x14ac:dyDescent="0.35">
      <c r="A624" s="66"/>
      <c r="B624" s="161"/>
      <c r="C624" s="161"/>
      <c r="D624" s="161"/>
      <c r="E624" s="69"/>
      <c r="F624" s="50"/>
      <c r="G624" s="50"/>
      <c r="H624" s="50"/>
      <c r="I624" s="50"/>
      <c r="J624" s="50"/>
      <c r="K624" s="48"/>
      <c r="L624" s="46">
        <f>Price!A624</f>
        <v>0</v>
      </c>
      <c r="M624" s="15">
        <f>Price!B624</f>
        <v>0</v>
      </c>
      <c r="N624" s="15">
        <f>Price!C624</f>
        <v>0</v>
      </c>
      <c r="O624" s="472">
        <f>Price!D624</f>
        <v>0</v>
      </c>
      <c r="P624" s="15">
        <f>Price!E624</f>
        <v>0</v>
      </c>
      <c r="Q624" s="17">
        <f>Price!F624</f>
        <v>0</v>
      </c>
      <c r="R624" s="171"/>
      <c r="S624" s="171"/>
      <c r="T624" s="12">
        <f>Price!G624</f>
        <v>0</v>
      </c>
      <c r="U624" s="12">
        <f>Price!H624</f>
        <v>0</v>
      </c>
      <c r="V624" s="13"/>
      <c r="W624" s="13"/>
      <c r="X624" s="19"/>
      <c r="Y624" s="19"/>
    </row>
    <row r="625" spans="1:25" x14ac:dyDescent="0.35">
      <c r="A625" s="43"/>
      <c r="B625" s="161"/>
      <c r="C625" s="161"/>
      <c r="D625" s="161"/>
      <c r="E625" s="69"/>
      <c r="F625" s="70"/>
      <c r="G625" s="70"/>
      <c r="H625" s="70"/>
      <c r="I625" s="70"/>
      <c r="J625" s="70"/>
      <c r="K625" s="20"/>
      <c r="L625" s="46">
        <f>Price!A625</f>
        <v>0</v>
      </c>
      <c r="M625" s="15">
        <f>Price!B625</f>
        <v>0</v>
      </c>
      <c r="N625" s="15">
        <f>Price!C625</f>
        <v>0</v>
      </c>
      <c r="O625" s="472">
        <f>Price!D625</f>
        <v>0</v>
      </c>
      <c r="P625" s="15">
        <f>Price!E625</f>
        <v>0</v>
      </c>
      <c r="Q625" s="17">
        <f>Price!F625</f>
        <v>0</v>
      </c>
      <c r="R625" s="171"/>
      <c r="S625" s="171"/>
      <c r="T625" s="12">
        <f>Price!G625</f>
        <v>0</v>
      </c>
      <c r="U625" s="12">
        <f>Price!H625</f>
        <v>0</v>
      </c>
      <c r="V625" s="13"/>
      <c r="W625" s="13"/>
      <c r="X625" s="19"/>
      <c r="Y625" s="19"/>
    </row>
    <row r="626" spans="1:25" x14ac:dyDescent="0.35">
      <c r="A626" s="43"/>
      <c r="B626" s="161"/>
      <c r="C626" s="161"/>
      <c r="D626" s="161"/>
      <c r="E626" s="69"/>
      <c r="F626" s="70"/>
      <c r="G626" s="70"/>
      <c r="H626" s="70"/>
      <c r="I626" s="70"/>
      <c r="J626" s="70"/>
      <c r="K626" s="20"/>
      <c r="L626" s="46">
        <f>Price!A626</f>
        <v>0</v>
      </c>
      <c r="M626" s="15">
        <f>Price!B626</f>
        <v>0</v>
      </c>
      <c r="N626" s="15">
        <f>Price!C626</f>
        <v>0</v>
      </c>
      <c r="O626" s="472">
        <f>Price!D626</f>
        <v>0</v>
      </c>
      <c r="P626" s="15">
        <f>Price!E626</f>
        <v>0</v>
      </c>
      <c r="Q626" s="17">
        <f>Price!F626</f>
        <v>0</v>
      </c>
      <c r="R626" s="171"/>
      <c r="S626" s="171"/>
      <c r="T626" s="12">
        <f>Price!G626</f>
        <v>0</v>
      </c>
      <c r="U626" s="12">
        <f>Price!H626</f>
        <v>0</v>
      </c>
      <c r="V626" s="13"/>
      <c r="W626" s="13"/>
      <c r="X626" s="19"/>
      <c r="Y626" s="19"/>
    </row>
    <row r="627" spans="1:25" x14ac:dyDescent="0.35">
      <c r="A627" s="43"/>
      <c r="B627" s="161"/>
      <c r="C627" s="161"/>
      <c r="D627" s="161"/>
      <c r="E627" s="69"/>
      <c r="F627" s="70"/>
      <c r="G627" s="70"/>
      <c r="H627" s="70"/>
      <c r="I627" s="70"/>
      <c r="J627" s="70"/>
      <c r="K627" s="20"/>
      <c r="L627" s="46">
        <f>Price!A627</f>
        <v>0</v>
      </c>
      <c r="M627" s="15">
        <f>Price!B627</f>
        <v>0</v>
      </c>
      <c r="N627" s="15">
        <f>Price!C627</f>
        <v>0</v>
      </c>
      <c r="O627" s="472">
        <f>Price!D627</f>
        <v>0</v>
      </c>
      <c r="P627" s="15">
        <f>Price!E627</f>
        <v>0</v>
      </c>
      <c r="Q627" s="17">
        <f>Price!F627</f>
        <v>0</v>
      </c>
      <c r="R627" s="171"/>
      <c r="S627" s="171"/>
      <c r="T627" s="12">
        <f>Price!G627</f>
        <v>0</v>
      </c>
      <c r="U627" s="12">
        <f>Price!H627</f>
        <v>0</v>
      </c>
      <c r="V627" s="13"/>
      <c r="W627" s="13"/>
      <c r="X627" s="19"/>
      <c r="Y627" s="19"/>
    </row>
    <row r="628" spans="1:25" x14ac:dyDescent="0.35">
      <c r="A628" s="43"/>
      <c r="B628" s="161"/>
      <c r="C628" s="161"/>
      <c r="D628" s="161"/>
      <c r="E628" s="69"/>
      <c r="F628" s="50"/>
      <c r="G628" s="50"/>
      <c r="H628" s="50"/>
      <c r="I628" s="50"/>
      <c r="J628" s="50"/>
      <c r="K628" s="48"/>
      <c r="L628" s="46">
        <f>Price!A628</f>
        <v>0</v>
      </c>
      <c r="M628" s="15">
        <f>Price!B628</f>
        <v>0</v>
      </c>
      <c r="N628" s="15">
        <f>Price!C628</f>
        <v>0</v>
      </c>
      <c r="O628" s="472">
        <f>Price!D628</f>
        <v>0</v>
      </c>
      <c r="P628" s="15">
        <f>Price!E628</f>
        <v>0</v>
      </c>
      <c r="Q628" s="17">
        <f>Price!F628</f>
        <v>0</v>
      </c>
      <c r="R628" s="171"/>
      <c r="S628" s="171"/>
      <c r="T628" s="12">
        <f>Price!G628</f>
        <v>0</v>
      </c>
      <c r="U628" s="12">
        <f>Price!H628</f>
        <v>0</v>
      </c>
      <c r="V628" s="13"/>
      <c r="W628" s="13"/>
      <c r="X628" s="19"/>
      <c r="Y628" s="19"/>
    </row>
    <row r="629" spans="1:25" x14ac:dyDescent="0.35">
      <c r="A629" s="43"/>
      <c r="B629" s="161"/>
      <c r="C629" s="161"/>
      <c r="D629" s="161"/>
      <c r="E629" s="69"/>
      <c r="F629" s="70"/>
      <c r="G629" s="70"/>
      <c r="H629" s="70"/>
      <c r="I629" s="70"/>
      <c r="J629" s="70"/>
      <c r="K629" s="48"/>
      <c r="L629" s="46">
        <f>Price!A629</f>
        <v>0</v>
      </c>
      <c r="M629" s="15">
        <f>Price!B629</f>
        <v>0</v>
      </c>
      <c r="N629" s="15">
        <f>Price!C629</f>
        <v>0</v>
      </c>
      <c r="O629" s="472">
        <f>Price!D629</f>
        <v>0</v>
      </c>
      <c r="P629" s="15">
        <f>Price!E629</f>
        <v>0</v>
      </c>
      <c r="Q629" s="17">
        <f>Price!F629</f>
        <v>0</v>
      </c>
      <c r="R629" s="171"/>
      <c r="S629" s="171"/>
      <c r="T629" s="12">
        <f>Price!G629</f>
        <v>0</v>
      </c>
      <c r="U629" s="12">
        <f>Price!H629</f>
        <v>0</v>
      </c>
      <c r="V629" s="13"/>
      <c r="W629" s="13"/>
      <c r="X629" s="19"/>
      <c r="Y629" s="19"/>
    </row>
    <row r="630" spans="1:25" x14ac:dyDescent="0.35">
      <c r="A630" s="43"/>
      <c r="B630" s="161"/>
      <c r="C630" s="161"/>
      <c r="D630" s="161"/>
      <c r="E630" s="69"/>
      <c r="F630" s="50"/>
      <c r="G630" s="50"/>
      <c r="H630" s="50"/>
      <c r="I630" s="50"/>
      <c r="J630" s="50"/>
      <c r="K630" s="48"/>
      <c r="L630" s="46" t="str">
        <f>Price!A630</f>
        <v xml:space="preserve">   Závěsy</v>
      </c>
      <c r="M630" s="15">
        <f>Price!B630</f>
        <v>0</v>
      </c>
      <c r="N630" s="15">
        <f>Price!C630</f>
        <v>0</v>
      </c>
      <c r="O630" s="472">
        <f>Price!D630</f>
        <v>0</v>
      </c>
      <c r="P630" s="15">
        <f>Price!E630</f>
        <v>0</v>
      </c>
      <c r="Q630" s="17">
        <f>Price!F630</f>
        <v>0</v>
      </c>
      <c r="R630" s="171"/>
      <c r="S630" s="171"/>
      <c r="T630" s="12">
        <f>Price!G630</f>
        <v>0</v>
      </c>
      <c r="U630" s="12">
        <f>Price!H630</f>
        <v>0</v>
      </c>
      <c r="V630" s="13"/>
      <c r="W630" s="13"/>
      <c r="X630" s="19"/>
      <c r="Y630" s="19"/>
    </row>
    <row r="631" spans="1:25" x14ac:dyDescent="0.35">
      <c r="A631" s="79" t="str">
        <f t="shared" ref="A631:A645" si="643">L631</f>
        <v>CLIP top 155° s nulovým přesahem</v>
      </c>
      <c r="B631" s="80" t="str">
        <f t="shared" ref="B631:B645" si="644">M631</f>
        <v>71T7500N</v>
      </c>
      <c r="C631" s="80" t="str">
        <f t="shared" ref="C631:C645" si="645">N631</f>
        <v>NI</v>
      </c>
      <c r="D631" s="173">
        <f>O631</f>
        <v>0</v>
      </c>
      <c r="E631" s="81"/>
      <c r="F631" s="17">
        <f t="shared" ref="F631:F645" si="646">Q631*(100-$F$6)/100</f>
        <v>4.4192400000000003</v>
      </c>
      <c r="G631" s="50"/>
      <c r="H631" s="50"/>
      <c r="I631" s="173">
        <f t="shared" ref="I631:I645" si="647">T631</f>
        <v>9064013</v>
      </c>
      <c r="J631" s="173">
        <f t="shared" ref="J631:J645" si="648">U631</f>
        <v>12236</v>
      </c>
      <c r="K631" s="48"/>
      <c r="L631" s="46" t="str">
        <f>Price!A631</f>
        <v>CLIP top 155° s nulovým přesahem</v>
      </c>
      <c r="M631" s="15" t="str">
        <f>Price!B631</f>
        <v>71T7500N</v>
      </c>
      <c r="N631" s="15" t="str">
        <f>Price!C631</f>
        <v>NI</v>
      </c>
      <c r="O631" s="472">
        <f>Price!D631</f>
        <v>0</v>
      </c>
      <c r="P631" s="15">
        <f>Price!E631</f>
        <v>0</v>
      </c>
      <c r="Q631" s="17">
        <f>Price!F631</f>
        <v>4.4192400000000003</v>
      </c>
      <c r="R631" s="171"/>
      <c r="S631" s="171"/>
      <c r="T631" s="12">
        <f>Price!G631</f>
        <v>9064013</v>
      </c>
      <c r="U631" s="12">
        <f>Price!H631</f>
        <v>12236</v>
      </c>
      <c r="V631" s="13"/>
      <c r="W631" s="13"/>
      <c r="X631" s="19"/>
      <c r="Y631" s="19"/>
    </row>
    <row r="632" spans="1:25" x14ac:dyDescent="0.35">
      <c r="A632" s="79" t="str">
        <f t="shared" si="643"/>
        <v>CLIP top 155° s nulovým přesahem, EXPANDO</v>
      </c>
      <c r="B632" s="80" t="str">
        <f t="shared" si="644"/>
        <v>71T753EN</v>
      </c>
      <c r="C632" s="80" t="str">
        <f t="shared" si="645"/>
        <v>NI</v>
      </c>
      <c r="D632" s="173">
        <f t="shared" ref="D632:D645" si="649">O632</f>
        <v>0</v>
      </c>
      <c r="E632" s="81"/>
      <c r="F632" s="17">
        <f t="shared" si="646"/>
        <v>4.42394</v>
      </c>
      <c r="G632" s="50"/>
      <c r="H632" s="50"/>
      <c r="I632" s="173">
        <f t="shared" si="647"/>
        <v>9064323</v>
      </c>
      <c r="J632" s="173">
        <f t="shared" si="648"/>
        <v>179415</v>
      </c>
      <c r="K632" s="48"/>
      <c r="L632" s="46" t="str">
        <f>Price!A632</f>
        <v>CLIP top 155° s nulovým přesahem, EXPANDO</v>
      </c>
      <c r="M632" s="15" t="str">
        <f>Price!B632</f>
        <v>71T753EN</v>
      </c>
      <c r="N632" s="15" t="str">
        <f>Price!C632</f>
        <v>NI</v>
      </c>
      <c r="O632" s="472">
        <f>Price!D632</f>
        <v>0</v>
      </c>
      <c r="P632" s="15">
        <f>Price!E632</f>
        <v>0</v>
      </c>
      <c r="Q632" s="17">
        <f>Price!F632</f>
        <v>4.42394</v>
      </c>
      <c r="R632" s="171"/>
      <c r="S632" s="171"/>
      <c r="T632" s="12">
        <f>Price!G632</f>
        <v>9064323</v>
      </c>
      <c r="U632" s="12">
        <f>Price!H632</f>
        <v>179415</v>
      </c>
      <c r="V632" s="13"/>
      <c r="W632" s="13"/>
      <c r="X632" s="19"/>
      <c r="Y632" s="19"/>
    </row>
    <row r="633" spans="1:25" x14ac:dyDescent="0.35">
      <c r="A633" s="79" t="str">
        <f t="shared" si="643"/>
        <v>CLIP top 155° s nulovým přesahem, bez pružiny</v>
      </c>
      <c r="B633" s="80" t="str">
        <f t="shared" si="644"/>
        <v>70T7500NTL</v>
      </c>
      <c r="C633" s="80" t="str">
        <f t="shared" si="645"/>
        <v>NI</v>
      </c>
      <c r="D633" s="173">
        <f t="shared" si="649"/>
        <v>0</v>
      </c>
      <c r="E633" s="81"/>
      <c r="F633" s="17">
        <f t="shared" si="646"/>
        <v>4.4192400000000003</v>
      </c>
      <c r="G633" s="50"/>
      <c r="H633" s="50"/>
      <c r="I633" s="173">
        <f t="shared" si="647"/>
        <v>9141613</v>
      </c>
      <c r="J633" s="173">
        <f t="shared" si="648"/>
        <v>12237</v>
      </c>
      <c r="K633" s="48"/>
      <c r="L633" s="46" t="str">
        <f>Price!A633</f>
        <v>CLIP top 155° s nulovým přesahem, bez pružiny</v>
      </c>
      <c r="M633" s="15" t="str">
        <f>Price!B633</f>
        <v>70T7500NTL</v>
      </c>
      <c r="N633" s="15" t="str">
        <f>Price!C633</f>
        <v>NI</v>
      </c>
      <c r="O633" s="472">
        <f>Price!D633</f>
        <v>0</v>
      </c>
      <c r="P633" s="15">
        <f>Price!E633</f>
        <v>0</v>
      </c>
      <c r="Q633" s="17">
        <f>Price!F633</f>
        <v>4.4192400000000003</v>
      </c>
      <c r="R633" s="171"/>
      <c r="S633" s="171"/>
      <c r="T633" s="12">
        <f>Price!G633</f>
        <v>9141613</v>
      </c>
      <c r="U633" s="12">
        <f>Price!H633</f>
        <v>12237</v>
      </c>
      <c r="V633" s="13"/>
      <c r="W633" s="13"/>
      <c r="X633" s="19"/>
      <c r="Y633" s="19"/>
    </row>
    <row r="634" spans="1:25" x14ac:dyDescent="0.35">
      <c r="A634" s="79" t="str">
        <f>L634</f>
        <v>CLIP top 125° s nulovým přesahem</v>
      </c>
      <c r="B634" s="80" t="str">
        <f>M634</f>
        <v>71T7500D</v>
      </c>
      <c r="C634" s="80" t="str">
        <f>N634</f>
        <v>NI</v>
      </c>
      <c r="D634" s="173">
        <f t="shared" si="649"/>
        <v>0</v>
      </c>
      <c r="E634" s="81"/>
      <c r="F634" s="17">
        <f>Q634*(100-$F$6)/100</f>
        <v>6.0096900000000009</v>
      </c>
      <c r="G634" s="50"/>
      <c r="H634" s="50"/>
      <c r="I634" s="173">
        <f>T634</f>
        <v>8298184</v>
      </c>
      <c r="J634" s="173">
        <f>U634</f>
        <v>246059</v>
      </c>
      <c r="K634" s="48"/>
      <c r="L634" s="46" t="str">
        <f>Price!A634</f>
        <v>CLIP top 125° s nulovým přesahem</v>
      </c>
      <c r="M634" s="15" t="str">
        <f>Price!B634</f>
        <v>71T7500D</v>
      </c>
      <c r="N634" s="15" t="str">
        <f>Price!C634</f>
        <v>NI</v>
      </c>
      <c r="O634" s="472">
        <f>Price!D634</f>
        <v>0</v>
      </c>
      <c r="P634" s="15">
        <f>Price!E634</f>
        <v>0</v>
      </c>
      <c r="Q634" s="17">
        <f>Price!F634</f>
        <v>6.00969</v>
      </c>
      <c r="R634" s="171"/>
      <c r="S634" s="171"/>
      <c r="T634" s="12">
        <f>Price!G634</f>
        <v>8298184</v>
      </c>
      <c r="U634" s="12">
        <f>Price!H634</f>
        <v>246059</v>
      </c>
      <c r="V634" s="13"/>
      <c r="W634" s="13"/>
      <c r="X634" s="19"/>
      <c r="Y634" s="19"/>
    </row>
    <row r="635" spans="1:25" x14ac:dyDescent="0.35">
      <c r="A635" s="79"/>
      <c r="B635" s="80"/>
      <c r="C635" s="80"/>
      <c r="D635" s="173"/>
      <c r="E635" s="81"/>
      <c r="F635" s="17"/>
      <c r="G635" s="50"/>
      <c r="H635" s="50"/>
      <c r="I635" s="173"/>
      <c r="J635" s="173"/>
      <c r="K635" s="48"/>
      <c r="L635" s="46"/>
      <c r="M635" s="15"/>
      <c r="N635" s="15"/>
      <c r="O635" s="472">
        <f>Price!D635</f>
        <v>0</v>
      </c>
      <c r="P635" s="15">
        <f>Price!E635</f>
        <v>0</v>
      </c>
      <c r="Q635" s="17"/>
      <c r="R635" s="171"/>
      <c r="S635" s="171"/>
      <c r="T635" s="12"/>
      <c r="U635" s="12"/>
      <c r="V635" s="13"/>
      <c r="W635" s="13"/>
      <c r="X635" s="19"/>
      <c r="Y635" s="19"/>
    </row>
    <row r="636" spans="1:25" x14ac:dyDescent="0.35">
      <c r="A636" s="79" t="str">
        <f t="shared" si="643"/>
        <v>Podložka CLIP na vruty</v>
      </c>
      <c r="B636" s="80" t="str">
        <f t="shared" si="644"/>
        <v>173L6100</v>
      </c>
      <c r="C636" s="80" t="str">
        <f t="shared" si="645"/>
        <v>NI</v>
      </c>
      <c r="D636" s="173">
        <f t="shared" si="649"/>
        <v>0</v>
      </c>
      <c r="E636" s="81"/>
      <c r="F636" s="17">
        <f t="shared" si="646"/>
        <v>0.18021000000000001</v>
      </c>
      <c r="G636" s="50"/>
      <c r="H636" s="50"/>
      <c r="I636" s="173">
        <f t="shared" si="647"/>
        <v>1925383</v>
      </c>
      <c r="J636" s="173">
        <f t="shared" si="648"/>
        <v>12306</v>
      </c>
      <c r="K636" s="48"/>
      <c r="L636" s="46" t="str">
        <f>Price!A636</f>
        <v>Podložka CLIP na vruty</v>
      </c>
      <c r="M636" s="15" t="str">
        <f>Price!B636</f>
        <v>173L6100</v>
      </c>
      <c r="N636" s="15" t="str">
        <f>Price!C636</f>
        <v>NI</v>
      </c>
      <c r="O636" s="472">
        <f>Price!D636</f>
        <v>0</v>
      </c>
      <c r="P636" s="15">
        <f>Price!E636</f>
        <v>0</v>
      </c>
      <c r="Q636" s="17">
        <f>Price!F636</f>
        <v>0.18021000000000001</v>
      </c>
      <c r="R636" s="171"/>
      <c r="S636" s="171"/>
      <c r="T636" s="12">
        <f>Price!G636</f>
        <v>1925383</v>
      </c>
      <c r="U636" s="12">
        <f>Price!H636</f>
        <v>12306</v>
      </c>
      <c r="V636" s="13"/>
      <c r="W636" s="13"/>
      <c r="X636" s="19"/>
      <c r="Y636" s="19"/>
    </row>
    <row r="637" spans="1:25" x14ac:dyDescent="0.35">
      <c r="A637" s="79" t="str">
        <f t="shared" si="643"/>
        <v>Podložka CLIP EXPANDO</v>
      </c>
      <c r="B637" s="80" t="str">
        <f t="shared" si="644"/>
        <v>174E6100.01</v>
      </c>
      <c r="C637" s="80" t="str">
        <f t="shared" si="645"/>
        <v>NI</v>
      </c>
      <c r="D637" s="173">
        <f t="shared" si="649"/>
        <v>0</v>
      </c>
      <c r="E637" s="81"/>
      <c r="F637" s="17">
        <f t="shared" si="646"/>
        <v>0.24679000000000001</v>
      </c>
      <c r="G637" s="50"/>
      <c r="H637" s="50"/>
      <c r="I637" s="173">
        <f t="shared" si="647"/>
        <v>1863003</v>
      </c>
      <c r="J637" s="173">
        <f t="shared" si="648"/>
        <v>12302</v>
      </c>
      <c r="K637" s="48"/>
      <c r="L637" s="46" t="str">
        <f>Price!A637</f>
        <v>Podložka CLIP EXPANDO</v>
      </c>
      <c r="M637" s="15" t="str">
        <f>Price!B637</f>
        <v>174E6100.01</v>
      </c>
      <c r="N637" s="15" t="str">
        <f>Price!C637</f>
        <v>NI</v>
      </c>
      <c r="O637" s="472">
        <f>Price!D637</f>
        <v>0</v>
      </c>
      <c r="P637" s="15">
        <f>Price!E637</f>
        <v>0</v>
      </c>
      <c r="Q637" s="17">
        <f>Price!F637</f>
        <v>0.24679000000000001</v>
      </c>
      <c r="R637" s="171"/>
      <c r="S637" s="171"/>
      <c r="T637" s="12">
        <f>Price!G637</f>
        <v>1863003</v>
      </c>
      <c r="U637" s="12">
        <f>Price!H637</f>
        <v>12302</v>
      </c>
      <c r="V637" s="13"/>
      <c r="W637" s="22"/>
      <c r="X637" s="19"/>
      <c r="Y637" s="19"/>
    </row>
    <row r="638" spans="1:25" x14ac:dyDescent="0.35">
      <c r="A638" s="79" t="str">
        <f t="shared" si="643"/>
        <v>Podložka CLIP s excentrem</v>
      </c>
      <c r="B638" s="80" t="str">
        <f t="shared" si="644"/>
        <v>173H7100</v>
      </c>
      <c r="C638" s="80" t="str">
        <f t="shared" si="645"/>
        <v>NI</v>
      </c>
      <c r="D638" s="173">
        <f t="shared" si="649"/>
        <v>0</v>
      </c>
      <c r="E638" s="81"/>
      <c r="F638" s="17">
        <f t="shared" si="646"/>
        <v>0.4849</v>
      </c>
      <c r="G638" s="50"/>
      <c r="H638" s="50"/>
      <c r="I638" s="173">
        <f t="shared" si="647"/>
        <v>2364043</v>
      </c>
      <c r="J638" s="173">
        <f t="shared" si="648"/>
        <v>12340</v>
      </c>
      <c r="K638" s="48"/>
      <c r="L638" s="46" t="str">
        <f>Price!A638</f>
        <v>Podložka CLIP s excentrem</v>
      </c>
      <c r="M638" s="15" t="str">
        <f>Price!B638</f>
        <v>173H7100</v>
      </c>
      <c r="N638" s="15" t="str">
        <f>Price!C638</f>
        <v>NI</v>
      </c>
      <c r="O638" s="472">
        <f>Price!D638</f>
        <v>0</v>
      </c>
      <c r="P638" s="15">
        <f>Price!E638</f>
        <v>0</v>
      </c>
      <c r="Q638" s="17">
        <f>Price!F638</f>
        <v>0.4849</v>
      </c>
      <c r="R638" s="171"/>
      <c r="S638" s="171"/>
      <c r="T638" s="12">
        <f>Price!G638</f>
        <v>2364043</v>
      </c>
      <c r="U638" s="12">
        <f>Price!H638</f>
        <v>12340</v>
      </c>
      <c r="V638" s="13"/>
      <c r="W638" s="21"/>
      <c r="X638" s="19"/>
      <c r="Y638" s="19"/>
    </row>
    <row r="639" spans="1:25" x14ac:dyDescent="0.35">
      <c r="A639" s="79" t="str">
        <f t="shared" si="643"/>
        <v>Podložka CLIP s excentrem, EXPANDO</v>
      </c>
      <c r="B639" s="80" t="str">
        <f t="shared" si="644"/>
        <v>174H7100E</v>
      </c>
      <c r="C639" s="80" t="str">
        <f t="shared" si="645"/>
        <v>NI</v>
      </c>
      <c r="D639" s="173">
        <f t="shared" si="649"/>
        <v>0</v>
      </c>
      <c r="E639" s="81"/>
      <c r="F639" s="17">
        <f t="shared" si="646"/>
        <v>0.59260999999999997</v>
      </c>
      <c r="G639" s="50"/>
      <c r="H639" s="50"/>
      <c r="I639" s="173">
        <f t="shared" si="647"/>
        <v>2364983</v>
      </c>
      <c r="J639" s="173">
        <f t="shared" si="648"/>
        <v>266981</v>
      </c>
      <c r="K639" s="48"/>
      <c r="L639" s="46" t="str">
        <f>Price!A639</f>
        <v>Podložka CLIP s excentrem, EXPANDO</v>
      </c>
      <c r="M639" s="15" t="str">
        <f>Price!B639</f>
        <v>174H7100E</v>
      </c>
      <c r="N639" s="15" t="str">
        <f>Price!C639</f>
        <v>NI</v>
      </c>
      <c r="O639" s="472">
        <f>Price!D639</f>
        <v>0</v>
      </c>
      <c r="P639" s="15">
        <f>Price!E639</f>
        <v>0</v>
      </c>
      <c r="Q639" s="17">
        <f>Price!F639</f>
        <v>0.59260999999999997</v>
      </c>
      <c r="R639" s="171"/>
      <c r="S639" s="171"/>
      <c r="T639" s="12">
        <f>Price!G639</f>
        <v>2364983</v>
      </c>
      <c r="U639" s="12">
        <f>Price!H639</f>
        <v>266981</v>
      </c>
      <c r="V639" s="13"/>
      <c r="W639" s="13"/>
      <c r="X639" s="19"/>
      <c r="Y639" s="19"/>
    </row>
    <row r="640" spans="1:25" x14ac:dyDescent="0.35">
      <c r="A640" s="79" t="str">
        <f t="shared" si="643"/>
        <v>Podložka CLIP top přímá</v>
      </c>
      <c r="B640" s="80" t="str">
        <f t="shared" si="644"/>
        <v>175H5400</v>
      </c>
      <c r="C640" s="80" t="str">
        <f t="shared" si="645"/>
        <v>NI</v>
      </c>
      <c r="D640" s="173">
        <f t="shared" si="649"/>
        <v>0</v>
      </c>
      <c r="E640" s="81"/>
      <c r="F640" s="17">
        <f t="shared" si="646"/>
        <v>0.70503000000000005</v>
      </c>
      <c r="G640" s="50"/>
      <c r="H640" s="50"/>
      <c r="I640" s="173">
        <f t="shared" si="647"/>
        <v>8002803</v>
      </c>
      <c r="J640" s="173">
        <f t="shared" si="648"/>
        <v>12323</v>
      </c>
      <c r="K640" s="48"/>
      <c r="L640" s="46" t="str">
        <f>Price!A640</f>
        <v>Podložka CLIP top přímá</v>
      </c>
      <c r="M640" s="15" t="str">
        <f>Price!B640</f>
        <v>175H5400</v>
      </c>
      <c r="N640" s="15" t="str">
        <f>Price!C640</f>
        <v>NI</v>
      </c>
      <c r="O640" s="472">
        <f>Price!D640</f>
        <v>0</v>
      </c>
      <c r="P640" s="15">
        <f>Price!E640</f>
        <v>0</v>
      </c>
      <c r="Q640" s="17">
        <f>Price!F640</f>
        <v>0.70503000000000005</v>
      </c>
      <c r="R640" s="171"/>
      <c r="S640" s="171"/>
      <c r="T640" s="12">
        <f>Price!G640</f>
        <v>8002803</v>
      </c>
      <c r="U640" s="12">
        <f>Price!H640</f>
        <v>12323</v>
      </c>
      <c r="V640" s="13"/>
      <c r="W640" s="13"/>
      <c r="X640" s="19"/>
      <c r="Y640" s="19"/>
    </row>
    <row r="641" spans="1:25" x14ac:dyDescent="0.35">
      <c r="A641" s="79" t="str">
        <f t="shared" si="643"/>
        <v>Podložka CLIP top přímá, EXPANDO</v>
      </c>
      <c r="B641" s="80" t="str">
        <f t="shared" si="644"/>
        <v>177H5400E</v>
      </c>
      <c r="C641" s="80" t="str">
        <f t="shared" si="645"/>
        <v>NI</v>
      </c>
      <c r="D641" s="173">
        <f t="shared" si="649"/>
        <v>0</v>
      </c>
      <c r="E641" s="81"/>
      <c r="F641" s="17">
        <f t="shared" si="646"/>
        <v>0.81311999999999995</v>
      </c>
      <c r="G641" s="50"/>
      <c r="H641" s="50"/>
      <c r="I641" s="173">
        <f t="shared" si="647"/>
        <v>8003033</v>
      </c>
      <c r="J641" s="173">
        <f t="shared" si="648"/>
        <v>12326</v>
      </c>
      <c r="K641" s="48"/>
      <c r="L641" s="46" t="str">
        <f>Price!A641</f>
        <v>Podložka CLIP top přímá, EXPANDO</v>
      </c>
      <c r="M641" s="15" t="str">
        <f>Price!B641</f>
        <v>177H5400E</v>
      </c>
      <c r="N641" s="15" t="str">
        <f>Price!C641</f>
        <v>NI</v>
      </c>
      <c r="O641" s="472">
        <f>Price!D641</f>
        <v>0</v>
      </c>
      <c r="P641" s="15">
        <f>Price!E641</f>
        <v>0</v>
      </c>
      <c r="Q641" s="17">
        <f>Price!F641</f>
        <v>0.81311999999999995</v>
      </c>
      <c r="R641" s="171"/>
      <c r="S641" s="171"/>
      <c r="T641" s="12">
        <f>Price!G641</f>
        <v>8003033</v>
      </c>
      <c r="U641" s="12">
        <f>Price!H641</f>
        <v>12326</v>
      </c>
      <c r="V641" s="13"/>
      <c r="W641" s="13"/>
      <c r="X641" s="19"/>
      <c r="Y641" s="19"/>
    </row>
    <row r="642" spans="1:25" x14ac:dyDescent="0.35">
      <c r="A642" s="79" t="str">
        <f t="shared" si="643"/>
        <v>Podložka CLIP top přímá</v>
      </c>
      <c r="B642" s="80" t="str">
        <f t="shared" si="644"/>
        <v>175H3100</v>
      </c>
      <c r="C642" s="80" t="str">
        <f t="shared" si="645"/>
        <v>NI</v>
      </c>
      <c r="D642" s="173">
        <f t="shared" si="649"/>
        <v>0</v>
      </c>
      <c r="E642" s="81"/>
      <c r="F642" s="17">
        <f t="shared" si="646"/>
        <v>0.46155000000000002</v>
      </c>
      <c r="G642" s="50"/>
      <c r="H642" s="50"/>
      <c r="I642" s="173">
        <f t="shared" si="647"/>
        <v>1037431</v>
      </c>
      <c r="J642" s="173">
        <f t="shared" si="648"/>
        <v>279798</v>
      </c>
      <c r="K642" s="48"/>
      <c r="L642" s="46" t="str">
        <f>Price!A642</f>
        <v>Podložka CLIP top přímá</v>
      </c>
      <c r="M642" s="15" t="str">
        <f>Price!B642</f>
        <v>175H3100</v>
      </c>
      <c r="N642" s="15" t="str">
        <f>Price!C642</f>
        <v>NI</v>
      </c>
      <c r="O642" s="472">
        <f>Price!D642</f>
        <v>0</v>
      </c>
      <c r="P642" s="15">
        <f>Price!E642</f>
        <v>0</v>
      </c>
      <c r="Q642" s="17">
        <f>Price!F642</f>
        <v>0.46155000000000002</v>
      </c>
      <c r="R642" s="171"/>
      <c r="S642" s="171"/>
      <c r="T642" s="12">
        <f>Price!G642</f>
        <v>1037431</v>
      </c>
      <c r="U642" s="12">
        <f>Price!H642</f>
        <v>279798</v>
      </c>
      <c r="V642" s="13"/>
      <c r="W642" s="13"/>
      <c r="X642" s="19"/>
      <c r="Y642" s="19"/>
    </row>
    <row r="643" spans="1:25" x14ac:dyDescent="0.35">
      <c r="A643" s="79" t="str">
        <f t="shared" si="643"/>
        <v>Podložka CLIP top přímá, EXPANDO</v>
      </c>
      <c r="B643" s="80" t="str">
        <f t="shared" si="644"/>
        <v>177H3100E</v>
      </c>
      <c r="C643" s="80" t="str">
        <f t="shared" si="645"/>
        <v>NI</v>
      </c>
      <c r="D643" s="173">
        <f t="shared" si="649"/>
        <v>0</v>
      </c>
      <c r="E643" s="81"/>
      <c r="F643" s="17">
        <f t="shared" si="646"/>
        <v>0.46936999999999995</v>
      </c>
      <c r="G643" s="50"/>
      <c r="H643" s="50"/>
      <c r="I643" s="173">
        <f t="shared" si="647"/>
        <v>3120329</v>
      </c>
      <c r="J643" s="173">
        <f t="shared" si="648"/>
        <v>303889</v>
      </c>
      <c r="K643" s="48"/>
      <c r="L643" s="46" t="str">
        <f>Price!A643</f>
        <v>Podložka CLIP top přímá, EXPANDO</v>
      </c>
      <c r="M643" s="15" t="str">
        <f>Price!B643</f>
        <v>177H3100E</v>
      </c>
      <c r="N643" s="15" t="str">
        <f>Price!C643</f>
        <v>NI</v>
      </c>
      <c r="O643" s="472">
        <f>Price!D643</f>
        <v>0</v>
      </c>
      <c r="P643" s="15">
        <f>Price!E643</f>
        <v>0</v>
      </c>
      <c r="Q643" s="17">
        <f>Price!F643</f>
        <v>0.46937000000000001</v>
      </c>
      <c r="R643" s="171"/>
      <c r="S643" s="171"/>
      <c r="T643" s="12">
        <f>Price!G643</f>
        <v>3120329</v>
      </c>
      <c r="U643" s="12">
        <f>Price!H643</f>
        <v>303889</v>
      </c>
      <c r="V643" s="13"/>
      <c r="W643" s="13"/>
      <c r="X643" s="19"/>
      <c r="Y643" s="19"/>
    </row>
    <row r="644" spans="1:25" x14ac:dyDescent="0.35">
      <c r="A644" s="79" t="str">
        <f t="shared" si="643"/>
        <v>BLUMOTION pro nasazení na závěs 155° a 125°</v>
      </c>
      <c r="B644" s="80" t="str">
        <f t="shared" si="644"/>
        <v>973A7000</v>
      </c>
      <c r="C644" s="80" t="str">
        <f t="shared" si="645"/>
        <v>NI</v>
      </c>
      <c r="D644" s="173">
        <f t="shared" si="649"/>
        <v>0</v>
      </c>
      <c r="E644" s="81"/>
      <c r="F644" s="17">
        <f t="shared" si="646"/>
        <v>1.5222899999999999</v>
      </c>
      <c r="G644" s="50"/>
      <c r="H644" s="50"/>
      <c r="I644" s="173">
        <f t="shared" si="647"/>
        <v>8975943</v>
      </c>
      <c r="J644" s="173">
        <f t="shared" si="648"/>
        <v>12223</v>
      </c>
      <c r="K644" s="20"/>
      <c r="L644" s="46" t="str">
        <f>Price!A644</f>
        <v>BLUMOTION pro nasazení na závěs 155° a 125°</v>
      </c>
      <c r="M644" s="15" t="str">
        <f>Price!B644</f>
        <v>973A7000</v>
      </c>
      <c r="N644" s="15" t="str">
        <f>Price!C644</f>
        <v>NI</v>
      </c>
      <c r="O644" s="472">
        <f>Price!D644</f>
        <v>0</v>
      </c>
      <c r="P644" s="15">
        <f>Price!E644</f>
        <v>0</v>
      </c>
      <c r="Q644" s="17">
        <f>Price!F644</f>
        <v>1.5222899999999999</v>
      </c>
      <c r="R644" s="171"/>
      <c r="S644" s="171"/>
      <c r="T644" s="12">
        <f>Price!G644</f>
        <v>8975943</v>
      </c>
      <c r="U644" s="12">
        <f>Price!H644</f>
        <v>12223</v>
      </c>
      <c r="V644" s="13"/>
      <c r="W644" s="13"/>
      <c r="X644" s="19"/>
      <c r="Y644" s="19"/>
    </row>
    <row r="645" spans="1:25" x14ac:dyDescent="0.35">
      <c r="A645" s="79" t="str">
        <f t="shared" si="643"/>
        <v>BLUMOTION v křížovém adaptéru</v>
      </c>
      <c r="B645" s="80" t="str">
        <f t="shared" si="644"/>
        <v>971A0500</v>
      </c>
      <c r="C645" s="80" t="str">
        <f t="shared" si="645"/>
        <v>NI</v>
      </c>
      <c r="D645" s="173">
        <f t="shared" si="649"/>
        <v>0</v>
      </c>
      <c r="E645" s="81"/>
      <c r="F645" s="17">
        <f t="shared" si="646"/>
        <v>2.7470500000000002</v>
      </c>
      <c r="G645" s="50"/>
      <c r="H645" s="50"/>
      <c r="I645" s="173">
        <f t="shared" si="647"/>
        <v>6823663</v>
      </c>
      <c r="J645" s="173">
        <f t="shared" si="648"/>
        <v>12392</v>
      </c>
      <c r="K645" s="20"/>
      <c r="L645" s="46" t="str">
        <f>Price!A645</f>
        <v>BLUMOTION v křížovém adaptéru</v>
      </c>
      <c r="M645" s="15" t="str">
        <f>Price!B645</f>
        <v>971A0500</v>
      </c>
      <c r="N645" s="15" t="str">
        <f>Price!C645</f>
        <v>NI</v>
      </c>
      <c r="O645" s="472">
        <f>Price!D645</f>
        <v>0</v>
      </c>
      <c r="P645" s="15">
        <f>Price!E645</f>
        <v>0</v>
      </c>
      <c r="Q645" s="17">
        <f>Price!F645</f>
        <v>2.7470500000000002</v>
      </c>
      <c r="R645" s="171"/>
      <c r="S645" s="171"/>
      <c r="T645" s="12">
        <f>Price!G645</f>
        <v>6823663</v>
      </c>
      <c r="U645" s="12">
        <f>Price!H645</f>
        <v>12392</v>
      </c>
      <c r="V645" s="13"/>
      <c r="W645" s="13"/>
      <c r="X645" s="19"/>
      <c r="Y645" s="19"/>
    </row>
    <row r="646" spans="1:25" ht="15" thickBot="1" x14ac:dyDescent="0.4">
      <c r="A646" s="534" t="str">
        <f>IF($C$2=1,L646,IF($C$2=2,L647,IF($C$2=3,L648, IF($C$2=4, L646, "  chyba"))))</f>
        <v>TIP-ON, prodloužená délka, šedý</v>
      </c>
      <c r="B646" s="534" t="str">
        <f t="shared" ref="B646:E646" si="650">IF($C$2=1,M646,IF($C$2=2,M647,IF($C$2=3,M648, IF($C$2=4, M646, "  chyba"))))</f>
        <v>956A1004</v>
      </c>
      <c r="C646" s="534" t="str">
        <f t="shared" si="650"/>
        <v>PG</v>
      </c>
      <c r="D646" s="534">
        <f t="shared" si="650"/>
        <v>0</v>
      </c>
      <c r="E646" s="534">
        <f t="shared" si="650"/>
        <v>0</v>
      </c>
      <c r="F646" s="539">
        <f>IF($C$2=1,Q646,IF($C$2=2,Q647,IF($C$2=3,Q648, IF($C$2=4, Q646, "  chyba"))))*(100-$F$6)/100</f>
        <v>4.4877799999999999</v>
      </c>
      <c r="G646" s="536"/>
      <c r="H646" s="536"/>
      <c r="I646" s="535">
        <f t="shared" ref="I646" si="651">IF($C$2=1,T646,IF($C$2=2,T647,IF($C$2=3,T648, IF($C$2=4, T646, "  chyba"))))</f>
        <v>6484096</v>
      </c>
      <c r="J646" s="535">
        <f t="shared" ref="J646" si="652">IF($C$2=1,U646,IF($C$2=2,U647,IF($C$2=3,U648, IF($C$2=4, U646, "  chyba"))))</f>
        <v>250833</v>
      </c>
      <c r="K646" s="20"/>
      <c r="L646" s="46" t="str">
        <f>Price!A646</f>
        <v>TIP-ON, prodloužená délka, šedý</v>
      </c>
      <c r="M646" s="15" t="str">
        <f>Price!B646</f>
        <v>956A1004</v>
      </c>
      <c r="N646" s="15" t="str">
        <f>Price!C646</f>
        <v>PG</v>
      </c>
      <c r="O646" s="472">
        <f>Price!D646</f>
        <v>0</v>
      </c>
      <c r="P646" s="15">
        <f>Price!E646</f>
        <v>0</v>
      </c>
      <c r="Q646" s="17">
        <f>Price!F646</f>
        <v>4.4877799999999999</v>
      </c>
      <c r="R646" s="171"/>
      <c r="S646" s="171"/>
      <c r="T646" s="12">
        <f>Price!G646</f>
        <v>6484096</v>
      </c>
      <c r="U646" s="12">
        <f>Price!H646</f>
        <v>250833</v>
      </c>
      <c r="V646" s="13"/>
      <c r="W646" s="13"/>
      <c r="X646" s="19"/>
      <c r="Y646" s="19"/>
    </row>
    <row r="647" spans="1:25" x14ac:dyDescent="0.35">
      <c r="A647" s="43"/>
      <c r="B647" s="161"/>
      <c r="C647" s="161"/>
      <c r="D647" s="161"/>
      <c r="E647" s="69"/>
      <c r="F647" s="50"/>
      <c r="G647" s="50"/>
      <c r="H647" s="50"/>
      <c r="I647" s="176"/>
      <c r="J647" s="176"/>
      <c r="K647" s="20"/>
      <c r="L647" s="46" t="str">
        <f>Price!A647</f>
        <v>TIP-ON, prodloužená délka, hedv.bílý</v>
      </c>
      <c r="M647" s="15" t="str">
        <f>Price!B647</f>
        <v>956A1004</v>
      </c>
      <c r="N647" s="15" t="str">
        <f>Price!C647</f>
        <v>SW</v>
      </c>
      <c r="O647" s="472">
        <f>Price!D647</f>
        <v>0</v>
      </c>
      <c r="P647" s="15">
        <f>Price!E647</f>
        <v>0</v>
      </c>
      <c r="Q647" s="17">
        <f>Price!F647</f>
        <v>4.4877799999999999</v>
      </c>
      <c r="R647" s="171"/>
      <c r="S647" s="171"/>
      <c r="T647" s="12">
        <f>Price!G647</f>
        <v>6856758</v>
      </c>
      <c r="U647" s="12">
        <f>Price!H647</f>
        <v>250831</v>
      </c>
      <c r="V647" s="13"/>
      <c r="W647" s="13"/>
      <c r="X647" s="19"/>
      <c r="Y647" s="19"/>
    </row>
    <row r="648" spans="1:25" x14ac:dyDescent="0.35">
      <c r="A648" s="43"/>
      <c r="B648" s="161"/>
      <c r="C648" s="161"/>
      <c r="D648" s="161"/>
      <c r="E648" s="69"/>
      <c r="F648" s="50"/>
      <c r="G648" s="50"/>
      <c r="H648" s="50"/>
      <c r="I648" s="176"/>
      <c r="J648" s="176"/>
      <c r="K648" s="20"/>
      <c r="L648" s="46" t="str">
        <f>Price!A648</f>
        <v>TIP-ON, prodloužená délka, Terra černý</v>
      </c>
      <c r="M648" s="15" t="str">
        <f>Price!B648</f>
        <v>956A1004</v>
      </c>
      <c r="N648" s="15" t="str">
        <f>Price!C648</f>
        <v>TS</v>
      </c>
      <c r="O648" s="472">
        <f>Price!D648</f>
        <v>0</v>
      </c>
      <c r="P648" s="15">
        <f>Price!E648</f>
        <v>0</v>
      </c>
      <c r="Q648" s="17">
        <f>Price!F648</f>
        <v>4.4877799999999999</v>
      </c>
      <c r="R648" s="171"/>
      <c r="S648" s="171"/>
      <c r="T648" s="12">
        <f>Price!G648</f>
        <v>2019241</v>
      </c>
      <c r="U648" s="12">
        <f>Price!H648</f>
        <v>250834</v>
      </c>
      <c r="V648" s="13"/>
      <c r="W648" s="13"/>
      <c r="X648" s="19"/>
      <c r="Y648" s="19"/>
    </row>
    <row r="649" spans="1:25" ht="15" thickBot="1" x14ac:dyDescent="0.4">
      <c r="A649" s="75" t="str">
        <f>IF($C$2=1,L649,IF($C$2=2,L650,IF($C$2=3,L651, IF($C$2=4, L652, "  chyba"))))</f>
        <v>TIP-ON přímý adaptér, prodl.délka, šedý</v>
      </c>
      <c r="B649" s="76" t="str">
        <f t="shared" ref="B649" si="653">IF($C$2=1,M649,IF($C$2=2,M650,IF($C$2=3,M651, IF($C$2=4, M652, "  chyba"))))</f>
        <v>956A1201</v>
      </c>
      <c r="C649" s="76" t="str">
        <f t="shared" ref="C649" si="654">IF($C$2=1,N649,IF($C$2=2,N650,IF($C$2=3,N651, IF($C$2=4, N652, "  chyba"))))</f>
        <v>PG</v>
      </c>
      <c r="D649" s="172">
        <f t="shared" ref="D649" si="655">IF($C$2=1,O649,IF($C$2=2,O650,IF($C$2=3,O651, IF($C$2=4, O652, "  chyba"))))</f>
        <v>0</v>
      </c>
      <c r="E649" s="77">
        <f t="shared" ref="E649" si="656">IF($C$2=1,P649,IF($C$2=2,P650,IF($C$2=3,P651, IF($C$2=4, P652, "  chyba"))))</f>
        <v>0</v>
      </c>
      <c r="F649" s="78">
        <f>IF($C$2=1,Q649,IF($C$2=2,Q650,IF($C$2=3,Q651, IF($C$2=4, Q652, "  chyba"))))*(100-$F$6)/100</f>
        <v>0.88392000000000015</v>
      </c>
      <c r="G649" s="50"/>
      <c r="H649" s="50"/>
      <c r="I649" s="172">
        <f t="shared" ref="I649" si="657">IF($C$2=1,T649,IF($C$2=2,T650,IF($C$2=3,T651, IF($C$2=4, T652, "  chyba"))))</f>
        <v>8849808</v>
      </c>
      <c r="J649" s="172">
        <f t="shared" ref="J649" si="658">IF($C$2=1,U649,IF($C$2=2,U650,IF($C$2=3,U651, IF($C$2=4, U652, "  chyba"))))</f>
        <v>250842</v>
      </c>
      <c r="K649" s="20"/>
      <c r="L649" s="46" t="str">
        <f>Price!A649</f>
        <v>TIP-ON přímý adaptér, prodl.délka, šedý</v>
      </c>
      <c r="M649" s="15" t="str">
        <f>Price!B649</f>
        <v>956A1201</v>
      </c>
      <c r="N649" s="15" t="str">
        <f>Price!C649</f>
        <v>PG</v>
      </c>
      <c r="O649" s="472">
        <f>Price!D649</f>
        <v>0</v>
      </c>
      <c r="P649" s="15">
        <f>Price!E649</f>
        <v>0</v>
      </c>
      <c r="Q649" s="17">
        <f>Price!F649</f>
        <v>0.88392000000000004</v>
      </c>
      <c r="R649" s="171"/>
      <c r="S649" s="171"/>
      <c r="T649" s="12">
        <f>Price!G649</f>
        <v>8849808</v>
      </c>
      <c r="U649" s="12">
        <f>Price!H649</f>
        <v>250842</v>
      </c>
      <c r="V649" s="13"/>
      <c r="W649" s="13"/>
      <c r="X649" s="19"/>
      <c r="Y649" s="19"/>
    </row>
    <row r="650" spans="1:25" x14ac:dyDescent="0.35">
      <c r="A650" s="43"/>
      <c r="B650" s="161"/>
      <c r="C650" s="161"/>
      <c r="D650" s="161"/>
      <c r="E650" s="69"/>
      <c r="F650" s="50"/>
      <c r="G650" s="50"/>
      <c r="H650" s="50"/>
      <c r="I650" s="176"/>
      <c r="J650" s="176"/>
      <c r="K650" s="20"/>
      <c r="L650" s="46" t="str">
        <f>Price!A650</f>
        <v>TIP-ON přímý adaptér, prodl.délka, hedv. bílý</v>
      </c>
      <c r="M650" s="15" t="str">
        <f>Price!B650</f>
        <v>956A1201</v>
      </c>
      <c r="N650" s="15" t="str">
        <f>Price!C650</f>
        <v>SW</v>
      </c>
      <c r="O650" s="472">
        <f>Price!D650</f>
        <v>0</v>
      </c>
      <c r="P650" s="15">
        <f>Price!E650</f>
        <v>0</v>
      </c>
      <c r="Q650" s="17">
        <f>Price!F650</f>
        <v>0.88392000000000004</v>
      </c>
      <c r="R650" s="171"/>
      <c r="S650" s="171"/>
      <c r="T650" s="12">
        <f>Price!G650</f>
        <v>4619688</v>
      </c>
      <c r="U650" s="12">
        <f>Price!H650</f>
        <v>250841</v>
      </c>
      <c r="V650" s="13"/>
      <c r="W650" s="13"/>
      <c r="X650" s="19"/>
      <c r="Y650" s="19"/>
    </row>
    <row r="651" spans="1:25" x14ac:dyDescent="0.35">
      <c r="A651" s="43"/>
      <c r="B651" s="161"/>
      <c r="C651" s="161"/>
      <c r="D651" s="161"/>
      <c r="E651" s="69"/>
      <c r="F651" s="50"/>
      <c r="G651" s="50"/>
      <c r="H651" s="50"/>
      <c r="I651" s="176"/>
      <c r="J651" s="176"/>
      <c r="K651" s="20"/>
      <c r="L651" s="46" t="str">
        <f>Price!A651</f>
        <v>TIP-ON přímý adaptér, prodl.délka, Terra černý</v>
      </c>
      <c r="M651" s="15" t="str">
        <f>Price!B651</f>
        <v>956A1201</v>
      </c>
      <c r="N651" s="15" t="str">
        <f>Price!C651</f>
        <v>TS</v>
      </c>
      <c r="O651" s="472">
        <f>Price!D651</f>
        <v>0</v>
      </c>
      <c r="P651" s="15">
        <f>Price!E651</f>
        <v>0</v>
      </c>
      <c r="Q651" s="17">
        <f>Price!F651</f>
        <v>0.88392000000000004</v>
      </c>
      <c r="R651" s="171"/>
      <c r="S651" s="171"/>
      <c r="T651" s="12">
        <f>Price!G651</f>
        <v>5730134</v>
      </c>
      <c r="U651" s="12">
        <f>Price!H651</f>
        <v>250843</v>
      </c>
      <c r="V651" s="13"/>
      <c r="W651" s="13"/>
      <c r="X651" s="19"/>
      <c r="Y651" s="19"/>
    </row>
    <row r="652" spans="1:25" x14ac:dyDescent="0.35">
      <c r="A652" s="43"/>
      <c r="B652" s="161"/>
      <c r="C652" s="161"/>
      <c r="D652" s="161"/>
      <c r="E652" s="69"/>
      <c r="F652" s="50"/>
      <c r="G652" s="50"/>
      <c r="H652" s="50"/>
      <c r="I652" s="176"/>
      <c r="J652" s="176"/>
      <c r="K652" s="20"/>
      <c r="L652" s="46" t="str">
        <f>Price!A652</f>
        <v>TIP-ON přímý adaptér, prodl.délka, poniklovaný</v>
      </c>
      <c r="M652" s="15" t="str">
        <f>Price!B652</f>
        <v>956A1201</v>
      </c>
      <c r="N652" s="15" t="str">
        <f>Price!C652</f>
        <v>NI-L</v>
      </c>
      <c r="O652" s="472">
        <f>Price!D652</f>
        <v>0</v>
      </c>
      <c r="P652" s="15">
        <f>Price!E652</f>
        <v>0</v>
      </c>
      <c r="Q652" s="17">
        <f>Price!F652</f>
        <v>0</v>
      </c>
      <c r="R652" s="171"/>
      <c r="S652" s="171"/>
      <c r="T652" s="12">
        <f>Price!G652</f>
        <v>7249097</v>
      </c>
      <c r="U652" s="12" t="str">
        <f>Price!H652</f>
        <v>-</v>
      </c>
      <c r="V652" s="13"/>
      <c r="W652" s="13"/>
      <c r="X652" s="19"/>
      <c r="Y652" s="19"/>
    </row>
    <row r="653" spans="1:25" x14ac:dyDescent="0.35">
      <c r="A653" s="79" t="str">
        <f>L653</f>
        <v>TIP-ON křížový adaptér, šedý</v>
      </c>
      <c r="B653" s="80" t="str">
        <f>M653</f>
        <v>956A1501</v>
      </c>
      <c r="C653" s="80" t="str">
        <f>N653</f>
        <v>PG</v>
      </c>
      <c r="D653" s="173">
        <f>O653</f>
        <v>0</v>
      </c>
      <c r="E653" s="81"/>
      <c r="F653" s="17">
        <f>Q653*(100-$F$6)/100</f>
        <v>0.65625999999999995</v>
      </c>
      <c r="G653" s="50"/>
      <c r="H653" s="50"/>
      <c r="I653" s="173">
        <f>T653</f>
        <v>2583646</v>
      </c>
      <c r="J653" s="173">
        <f>U653</f>
        <v>250844</v>
      </c>
      <c r="K653" s="20"/>
      <c r="L653" s="46" t="str">
        <f>Price!A653</f>
        <v>TIP-ON křížový adaptér, šedý</v>
      </c>
      <c r="M653" s="15" t="str">
        <f>Price!B653</f>
        <v>956A1501</v>
      </c>
      <c r="N653" s="15" t="str">
        <f>Price!C653</f>
        <v>PG</v>
      </c>
      <c r="O653" s="472">
        <f>Price!D653</f>
        <v>0</v>
      </c>
      <c r="P653" s="15">
        <f>Price!E653</f>
        <v>0</v>
      </c>
      <c r="Q653" s="17">
        <f>Price!F653</f>
        <v>0.65625999999999995</v>
      </c>
      <c r="R653" s="171"/>
      <c r="S653" s="171"/>
      <c r="T653" s="12">
        <f>Price!G653</f>
        <v>2583646</v>
      </c>
      <c r="U653" s="12">
        <f>Price!H653</f>
        <v>250844</v>
      </c>
      <c r="V653" s="13"/>
      <c r="W653" s="13"/>
      <c r="X653" s="19"/>
      <c r="Y653" s="19"/>
    </row>
    <row r="654" spans="1:25" x14ac:dyDescent="0.35">
      <c r="A654" s="43"/>
      <c r="B654" s="161"/>
      <c r="C654" s="161"/>
      <c r="D654" s="161"/>
      <c r="E654" s="69"/>
      <c r="F654" s="50"/>
      <c r="G654" s="50"/>
      <c r="H654" s="50"/>
      <c r="I654" s="50"/>
      <c r="J654" s="50"/>
      <c r="K654" s="20"/>
      <c r="L654" s="46">
        <f>Price!A654</f>
        <v>0</v>
      </c>
      <c r="M654" s="15">
        <f>Price!B654</f>
        <v>0</v>
      </c>
      <c r="N654" s="15">
        <f>Price!C654</f>
        <v>0</v>
      </c>
      <c r="O654" s="472">
        <f>Price!D654</f>
        <v>0</v>
      </c>
      <c r="P654" s="15">
        <f>Price!E654</f>
        <v>0</v>
      </c>
      <c r="Q654" s="17">
        <f>Price!F654</f>
        <v>0</v>
      </c>
      <c r="R654" s="171"/>
      <c r="S654" s="171"/>
      <c r="T654" s="12">
        <f>Price!G654</f>
        <v>0</v>
      </c>
      <c r="U654" s="12">
        <f>Price!H654</f>
        <v>0</v>
      </c>
      <c r="V654" s="13"/>
      <c r="W654" s="13"/>
      <c r="X654" s="19"/>
      <c r="Y654" s="19"/>
    </row>
    <row r="655" spans="1:25" x14ac:dyDescent="0.35">
      <c r="A655" s="43"/>
      <c r="B655" s="161"/>
      <c r="C655" s="161"/>
      <c r="D655" s="161"/>
      <c r="E655" s="69"/>
      <c r="F655" s="50"/>
      <c r="G655" s="50"/>
      <c r="H655" s="50"/>
      <c r="I655" s="50"/>
      <c r="J655" s="50"/>
      <c r="K655" s="20"/>
      <c r="L655" s="46" t="str">
        <f>Price!A655</f>
        <v>Zde můžete vložit vlastní položky (následujících 10 řádků, zobrazí se v objednávce)</v>
      </c>
      <c r="M655" s="15">
        <f>Price!B655</f>
        <v>0</v>
      </c>
      <c r="N655" s="15">
        <f>Price!C655</f>
        <v>0</v>
      </c>
      <c r="O655" s="472">
        <f>Price!D655</f>
        <v>0</v>
      </c>
      <c r="P655" s="15">
        <f>Price!E655</f>
        <v>0</v>
      </c>
      <c r="Q655" s="17">
        <f>Price!F655</f>
        <v>0</v>
      </c>
      <c r="R655" s="171"/>
      <c r="S655" s="171"/>
      <c r="T655" s="12">
        <f>Price!G655</f>
        <v>0</v>
      </c>
      <c r="U655" s="12">
        <f>Price!H655</f>
        <v>0</v>
      </c>
      <c r="V655" s="13"/>
      <c r="W655" s="13"/>
      <c r="X655" s="19"/>
      <c r="Y655" s="19"/>
    </row>
    <row r="656" spans="1:25" x14ac:dyDescent="0.35">
      <c r="A656" s="79">
        <f t="shared" ref="A656:A668" si="659">L656</f>
        <v>0</v>
      </c>
      <c r="B656" s="80">
        <f t="shared" ref="B656:B668" si="660">M656</f>
        <v>0</v>
      </c>
      <c r="C656" s="80">
        <f t="shared" ref="C656:C668" si="661">N656</f>
        <v>0</v>
      </c>
      <c r="D656" s="80"/>
      <c r="E656" s="81"/>
      <c r="F656" s="17">
        <f t="shared" ref="F656:F668" si="662">Q656*(100-$F$6)/100</f>
        <v>0</v>
      </c>
      <c r="G656" s="50"/>
      <c r="H656" s="50"/>
      <c r="I656" s="173">
        <f t="shared" ref="I656:I668" si="663">T656</f>
        <v>0</v>
      </c>
      <c r="J656" s="173">
        <f t="shared" ref="J656:J668" si="664">U656</f>
        <v>0</v>
      </c>
      <c r="K656" s="20"/>
      <c r="L656" s="46">
        <f>Price!A656</f>
        <v>0</v>
      </c>
      <c r="M656" s="15">
        <f>Price!B656</f>
        <v>0</v>
      </c>
      <c r="N656" s="15">
        <f>Price!C656</f>
        <v>0</v>
      </c>
      <c r="O656" s="472">
        <f>Price!D656</f>
        <v>0</v>
      </c>
      <c r="P656" s="15">
        <f>Price!E656</f>
        <v>0</v>
      </c>
      <c r="Q656" s="17">
        <f>Price!F656</f>
        <v>0</v>
      </c>
      <c r="R656" s="171"/>
      <c r="S656" s="171"/>
      <c r="T656" s="12">
        <f>Price!G656</f>
        <v>0</v>
      </c>
      <c r="U656" s="12">
        <f>Price!H656</f>
        <v>0</v>
      </c>
      <c r="V656" s="13"/>
      <c r="W656" s="13"/>
      <c r="X656" s="19"/>
      <c r="Y656" s="19"/>
    </row>
    <row r="657" spans="1:25" x14ac:dyDescent="0.35">
      <c r="A657" s="79">
        <f t="shared" si="659"/>
        <v>0</v>
      </c>
      <c r="B657" s="80">
        <f t="shared" si="660"/>
        <v>0</v>
      </c>
      <c r="C657" s="80">
        <f t="shared" si="661"/>
        <v>0</v>
      </c>
      <c r="D657" s="80"/>
      <c r="E657" s="81"/>
      <c r="F657" s="17">
        <f t="shared" si="662"/>
        <v>0</v>
      </c>
      <c r="G657" s="50"/>
      <c r="H657" s="50"/>
      <c r="I657" s="173">
        <f t="shared" si="663"/>
        <v>0</v>
      </c>
      <c r="J657" s="173">
        <f t="shared" si="664"/>
        <v>0</v>
      </c>
      <c r="K657" s="20"/>
      <c r="L657" s="46">
        <f>Price!A657</f>
        <v>0</v>
      </c>
      <c r="M657" s="15">
        <f>Price!B657</f>
        <v>0</v>
      </c>
      <c r="N657" s="15">
        <f>Price!C657</f>
        <v>0</v>
      </c>
      <c r="O657" s="472">
        <f>Price!D657</f>
        <v>0</v>
      </c>
      <c r="P657" s="15">
        <f>Price!E657</f>
        <v>0</v>
      </c>
      <c r="Q657" s="17">
        <f>Price!F657</f>
        <v>0</v>
      </c>
      <c r="R657" s="171"/>
      <c r="S657" s="171"/>
      <c r="T657" s="12">
        <f>Price!G657</f>
        <v>0</v>
      </c>
      <c r="U657" s="12">
        <f>Price!H657</f>
        <v>0</v>
      </c>
      <c r="V657" s="13"/>
      <c r="W657" s="13"/>
      <c r="X657" s="19"/>
      <c r="Y657" s="19"/>
    </row>
    <row r="658" spans="1:25" x14ac:dyDescent="0.35">
      <c r="A658" s="79">
        <f t="shared" si="659"/>
        <v>0</v>
      </c>
      <c r="B658" s="80">
        <f t="shared" si="660"/>
        <v>0</v>
      </c>
      <c r="C658" s="80">
        <f t="shared" si="661"/>
        <v>0</v>
      </c>
      <c r="D658" s="80"/>
      <c r="E658" s="81"/>
      <c r="F658" s="17">
        <f t="shared" si="662"/>
        <v>0</v>
      </c>
      <c r="G658" s="50"/>
      <c r="H658" s="50"/>
      <c r="I658" s="173">
        <f t="shared" si="663"/>
        <v>0</v>
      </c>
      <c r="J658" s="173">
        <f t="shared" si="664"/>
        <v>0</v>
      </c>
      <c r="K658" s="20"/>
      <c r="L658" s="46">
        <f>Price!A658</f>
        <v>0</v>
      </c>
      <c r="M658" s="15">
        <f>Price!B658</f>
        <v>0</v>
      </c>
      <c r="N658" s="15">
        <f>Price!C658</f>
        <v>0</v>
      </c>
      <c r="O658" s="472">
        <f>Price!D658</f>
        <v>0</v>
      </c>
      <c r="P658" s="15">
        <f>Price!E658</f>
        <v>0</v>
      </c>
      <c r="Q658" s="17">
        <f>Price!F658</f>
        <v>0</v>
      </c>
      <c r="R658" s="171"/>
      <c r="S658" s="171"/>
      <c r="T658" s="12">
        <f>Price!G658</f>
        <v>0</v>
      </c>
      <c r="U658" s="12">
        <f>Price!H658</f>
        <v>0</v>
      </c>
      <c r="V658" s="13"/>
      <c r="W658" s="13"/>
      <c r="X658" s="19"/>
      <c r="Y658" s="19"/>
    </row>
    <row r="659" spans="1:25" x14ac:dyDescent="0.35">
      <c r="A659" s="79">
        <f t="shared" si="659"/>
        <v>0</v>
      </c>
      <c r="B659" s="80">
        <f t="shared" si="660"/>
        <v>0</v>
      </c>
      <c r="C659" s="80">
        <f t="shared" si="661"/>
        <v>0</v>
      </c>
      <c r="D659" s="80"/>
      <c r="E659" s="81"/>
      <c r="F659" s="17">
        <f t="shared" si="662"/>
        <v>0</v>
      </c>
      <c r="G659" s="50"/>
      <c r="H659" s="50"/>
      <c r="I659" s="173">
        <f t="shared" si="663"/>
        <v>0</v>
      </c>
      <c r="J659" s="173">
        <f t="shared" si="664"/>
        <v>0</v>
      </c>
      <c r="K659" s="20"/>
      <c r="L659" s="46">
        <f>Price!A659</f>
        <v>0</v>
      </c>
      <c r="M659" s="15">
        <f>Price!B659</f>
        <v>0</v>
      </c>
      <c r="N659" s="15">
        <f>Price!C659</f>
        <v>0</v>
      </c>
      <c r="O659" s="472">
        <f>Price!D659</f>
        <v>0</v>
      </c>
      <c r="P659" s="15">
        <f>Price!E659</f>
        <v>0</v>
      </c>
      <c r="Q659" s="17">
        <f>Price!F659</f>
        <v>0</v>
      </c>
      <c r="R659" s="171"/>
      <c r="S659" s="171"/>
      <c r="T659" s="12">
        <f>Price!G659</f>
        <v>0</v>
      </c>
      <c r="U659" s="12">
        <f>Price!H659</f>
        <v>0</v>
      </c>
      <c r="V659" s="13"/>
      <c r="W659" s="13"/>
      <c r="X659" s="19"/>
      <c r="Y659" s="19"/>
    </row>
    <row r="660" spans="1:25" x14ac:dyDescent="0.35">
      <c r="A660" s="79">
        <f t="shared" si="659"/>
        <v>0</v>
      </c>
      <c r="B660" s="80">
        <f t="shared" si="660"/>
        <v>0</v>
      </c>
      <c r="C660" s="80">
        <f t="shared" si="661"/>
        <v>0</v>
      </c>
      <c r="D660" s="80"/>
      <c r="E660" s="81"/>
      <c r="F660" s="17">
        <f t="shared" si="662"/>
        <v>0</v>
      </c>
      <c r="G660" s="50"/>
      <c r="H660" s="50"/>
      <c r="I660" s="173">
        <f t="shared" si="663"/>
        <v>0</v>
      </c>
      <c r="J660" s="173">
        <f t="shared" si="664"/>
        <v>0</v>
      </c>
      <c r="K660" s="20"/>
      <c r="L660" s="46">
        <f>Price!A660</f>
        <v>0</v>
      </c>
      <c r="M660" s="15">
        <f>Price!B660</f>
        <v>0</v>
      </c>
      <c r="N660" s="15">
        <f>Price!C660</f>
        <v>0</v>
      </c>
      <c r="O660" s="472">
        <f>Price!D660</f>
        <v>0</v>
      </c>
      <c r="P660" s="15">
        <f>Price!E660</f>
        <v>0</v>
      </c>
      <c r="Q660" s="17">
        <f>Price!F660</f>
        <v>0</v>
      </c>
      <c r="R660" s="171"/>
      <c r="S660" s="171"/>
      <c r="T660" s="12">
        <f>Price!G660</f>
        <v>0</v>
      </c>
      <c r="U660" s="12">
        <f>Price!H660</f>
        <v>0</v>
      </c>
      <c r="V660" s="13"/>
      <c r="W660" s="13"/>
      <c r="X660" s="19"/>
      <c r="Y660" s="19"/>
    </row>
    <row r="661" spans="1:25" x14ac:dyDescent="0.35">
      <c r="A661" s="79">
        <f t="shared" si="659"/>
        <v>0</v>
      </c>
      <c r="B661" s="80">
        <f t="shared" si="660"/>
        <v>0</v>
      </c>
      <c r="C661" s="80">
        <f t="shared" si="661"/>
        <v>0</v>
      </c>
      <c r="D661" s="80"/>
      <c r="E661" s="81"/>
      <c r="F661" s="17">
        <f t="shared" si="662"/>
        <v>0</v>
      </c>
      <c r="G661" s="50"/>
      <c r="H661" s="50"/>
      <c r="I661" s="173">
        <f t="shared" si="663"/>
        <v>0</v>
      </c>
      <c r="J661" s="173">
        <f t="shared" si="664"/>
        <v>0</v>
      </c>
      <c r="K661" s="20"/>
      <c r="L661" s="46">
        <f>Price!A661</f>
        <v>0</v>
      </c>
      <c r="M661" s="15">
        <f>Price!B661</f>
        <v>0</v>
      </c>
      <c r="N661" s="15">
        <f>Price!C661</f>
        <v>0</v>
      </c>
      <c r="O661" s="472">
        <f>Price!D661</f>
        <v>0</v>
      </c>
      <c r="P661" s="15">
        <f>Price!E661</f>
        <v>0</v>
      </c>
      <c r="Q661" s="17">
        <f>Price!F661</f>
        <v>0</v>
      </c>
      <c r="R661" s="171"/>
      <c r="S661" s="171"/>
      <c r="T661" s="12">
        <f>Price!G661</f>
        <v>0</v>
      </c>
      <c r="U661" s="12">
        <f>Price!H661</f>
        <v>0</v>
      </c>
      <c r="V661" s="13"/>
      <c r="W661" s="13"/>
      <c r="X661" s="19"/>
      <c r="Y661" s="19"/>
    </row>
    <row r="662" spans="1:25" x14ac:dyDescent="0.35">
      <c r="A662" s="79">
        <f t="shared" si="659"/>
        <v>0</v>
      </c>
      <c r="B662" s="80">
        <f t="shared" si="660"/>
        <v>0</v>
      </c>
      <c r="C662" s="80">
        <f t="shared" si="661"/>
        <v>0</v>
      </c>
      <c r="D662" s="80"/>
      <c r="E662" s="81"/>
      <c r="F662" s="17">
        <f t="shared" si="662"/>
        <v>0</v>
      </c>
      <c r="G662" s="50"/>
      <c r="H662" s="50"/>
      <c r="I662" s="173">
        <f t="shared" si="663"/>
        <v>0</v>
      </c>
      <c r="J662" s="173">
        <f t="shared" si="664"/>
        <v>0</v>
      </c>
      <c r="K662" s="20"/>
      <c r="L662" s="46">
        <f>Price!A662</f>
        <v>0</v>
      </c>
      <c r="M662" s="15">
        <f>Price!B662</f>
        <v>0</v>
      </c>
      <c r="N662" s="15">
        <f>Price!C662</f>
        <v>0</v>
      </c>
      <c r="O662" s="472">
        <f>Price!D662</f>
        <v>0</v>
      </c>
      <c r="P662" s="15">
        <f>Price!E662</f>
        <v>0</v>
      </c>
      <c r="Q662" s="17">
        <f>Price!F662</f>
        <v>0</v>
      </c>
      <c r="R662" s="171"/>
      <c r="S662" s="171"/>
      <c r="T662" s="12">
        <f>Price!G662</f>
        <v>0</v>
      </c>
      <c r="U662" s="12">
        <f>Price!H662</f>
        <v>0</v>
      </c>
      <c r="V662" s="13"/>
      <c r="W662" s="13"/>
      <c r="X662" s="19"/>
      <c r="Y662" s="19"/>
    </row>
    <row r="663" spans="1:25" x14ac:dyDescent="0.35">
      <c r="A663" s="79">
        <f t="shared" si="659"/>
        <v>0</v>
      </c>
      <c r="B663" s="80">
        <f t="shared" si="660"/>
        <v>0</v>
      </c>
      <c r="C663" s="80">
        <f t="shared" si="661"/>
        <v>0</v>
      </c>
      <c r="D663" s="80"/>
      <c r="E663" s="81"/>
      <c r="F663" s="17">
        <f t="shared" si="662"/>
        <v>0</v>
      </c>
      <c r="G663" s="50"/>
      <c r="H663" s="50"/>
      <c r="I663" s="173">
        <f t="shared" si="663"/>
        <v>0</v>
      </c>
      <c r="J663" s="173">
        <f t="shared" si="664"/>
        <v>0</v>
      </c>
      <c r="K663" s="20"/>
      <c r="L663" s="46">
        <f>Price!A663</f>
        <v>0</v>
      </c>
      <c r="M663" s="15">
        <f>Price!B663</f>
        <v>0</v>
      </c>
      <c r="N663" s="15">
        <f>Price!C663</f>
        <v>0</v>
      </c>
      <c r="O663" s="472">
        <f>Price!D663</f>
        <v>0</v>
      </c>
      <c r="P663" s="15">
        <f>Price!E663</f>
        <v>0</v>
      </c>
      <c r="Q663" s="17">
        <f>Price!F663</f>
        <v>0</v>
      </c>
      <c r="R663" s="171"/>
      <c r="S663" s="171"/>
      <c r="T663" s="12">
        <f>Price!G663</f>
        <v>0</v>
      </c>
      <c r="U663" s="12">
        <f>Price!H663</f>
        <v>0</v>
      </c>
      <c r="V663" s="13"/>
      <c r="W663" s="13"/>
      <c r="X663" s="19"/>
      <c r="Y663" s="19"/>
    </row>
    <row r="664" spans="1:25" x14ac:dyDescent="0.35">
      <c r="A664" s="79">
        <f t="shared" si="659"/>
        <v>0</v>
      </c>
      <c r="B664" s="80">
        <f t="shared" si="660"/>
        <v>0</v>
      </c>
      <c r="C664" s="80">
        <f t="shared" si="661"/>
        <v>0</v>
      </c>
      <c r="D664" s="80"/>
      <c r="E664" s="81"/>
      <c r="F664" s="17">
        <f t="shared" si="662"/>
        <v>0</v>
      </c>
      <c r="G664" s="50"/>
      <c r="H664" s="50"/>
      <c r="I664" s="173">
        <f t="shared" si="663"/>
        <v>0</v>
      </c>
      <c r="J664" s="173">
        <f t="shared" si="664"/>
        <v>0</v>
      </c>
      <c r="K664" s="48"/>
      <c r="L664" s="46">
        <f>Price!A664</f>
        <v>0</v>
      </c>
      <c r="M664" s="15">
        <f>Price!B664</f>
        <v>0</v>
      </c>
      <c r="N664" s="15">
        <f>Price!C664</f>
        <v>0</v>
      </c>
      <c r="O664" s="472">
        <f>Price!D664</f>
        <v>0</v>
      </c>
      <c r="P664" s="15">
        <f>Price!E664</f>
        <v>0</v>
      </c>
      <c r="Q664" s="17">
        <f>Price!F664</f>
        <v>0</v>
      </c>
      <c r="R664" s="171"/>
      <c r="S664" s="171"/>
      <c r="T664" s="12">
        <f>Price!G664</f>
        <v>0</v>
      </c>
      <c r="U664" s="12">
        <f>Price!H664</f>
        <v>0</v>
      </c>
      <c r="V664" s="13"/>
      <c r="W664" s="13"/>
      <c r="X664" s="19"/>
      <c r="Y664" s="19"/>
    </row>
    <row r="665" spans="1:25" x14ac:dyDescent="0.35">
      <c r="A665" s="79">
        <f t="shared" si="659"/>
        <v>0</v>
      </c>
      <c r="B665" s="80">
        <f t="shared" si="660"/>
        <v>0</v>
      </c>
      <c r="C665" s="80">
        <f t="shared" si="661"/>
        <v>0</v>
      </c>
      <c r="D665" s="80"/>
      <c r="E665" s="81"/>
      <c r="F665" s="17">
        <f t="shared" si="662"/>
        <v>0</v>
      </c>
      <c r="G665" s="50"/>
      <c r="H665" s="50"/>
      <c r="I665" s="173">
        <f t="shared" si="663"/>
        <v>0</v>
      </c>
      <c r="J665" s="173">
        <f t="shared" si="664"/>
        <v>0</v>
      </c>
      <c r="K665" s="48"/>
      <c r="L665" s="46">
        <f>Price!A665</f>
        <v>0</v>
      </c>
      <c r="M665" s="15">
        <f>Price!B665</f>
        <v>0</v>
      </c>
      <c r="N665" s="15">
        <f>Price!C665</f>
        <v>0</v>
      </c>
      <c r="O665" s="472">
        <f>Price!D665</f>
        <v>0</v>
      </c>
      <c r="P665" s="15">
        <f>Price!E665</f>
        <v>0</v>
      </c>
      <c r="Q665" s="17">
        <f>Price!F665</f>
        <v>0</v>
      </c>
      <c r="R665" s="171"/>
      <c r="S665" s="171"/>
      <c r="T665" s="12">
        <f>Price!G665</f>
        <v>0</v>
      </c>
      <c r="U665" s="12">
        <f>Price!H665</f>
        <v>0</v>
      </c>
      <c r="V665" s="13"/>
      <c r="W665" s="13"/>
      <c r="X665" s="19"/>
      <c r="Y665" s="19"/>
    </row>
    <row r="666" spans="1:25" x14ac:dyDescent="0.35">
      <c r="A666" s="79">
        <f t="shared" si="659"/>
        <v>0</v>
      </c>
      <c r="B666" s="80">
        <f t="shared" si="660"/>
        <v>0</v>
      </c>
      <c r="C666" s="80">
        <f t="shared" si="661"/>
        <v>0</v>
      </c>
      <c r="D666" s="80"/>
      <c r="E666" s="81"/>
      <c r="F666" s="17">
        <f t="shared" si="662"/>
        <v>0</v>
      </c>
      <c r="G666" s="50"/>
      <c r="H666" s="50"/>
      <c r="I666" s="173">
        <f t="shared" si="663"/>
        <v>0</v>
      </c>
      <c r="J666" s="173">
        <f t="shared" si="664"/>
        <v>0</v>
      </c>
      <c r="K666" s="48"/>
      <c r="L666" s="46">
        <f>Price!A666</f>
        <v>0</v>
      </c>
      <c r="M666" s="15">
        <f>Price!B666</f>
        <v>0</v>
      </c>
      <c r="N666" s="15">
        <f>Price!C666</f>
        <v>0</v>
      </c>
      <c r="O666" s="472">
        <f>Price!D666</f>
        <v>0</v>
      </c>
      <c r="P666" s="15">
        <f>Price!E666</f>
        <v>0</v>
      </c>
      <c r="Q666" s="17">
        <f>Price!F666</f>
        <v>0</v>
      </c>
      <c r="R666" s="171"/>
      <c r="S666" s="171"/>
      <c r="T666" s="12">
        <f>Price!G666</f>
        <v>0</v>
      </c>
      <c r="U666" s="12">
        <f>Price!H666</f>
        <v>0</v>
      </c>
      <c r="V666" s="13"/>
      <c r="W666" s="13"/>
      <c r="X666" s="19"/>
      <c r="Y666" s="19"/>
    </row>
    <row r="667" spans="1:25" x14ac:dyDescent="0.35">
      <c r="A667" s="79">
        <f t="shared" si="659"/>
        <v>0</v>
      </c>
      <c r="B667" s="80">
        <f t="shared" si="660"/>
        <v>0</v>
      </c>
      <c r="C667" s="80">
        <f t="shared" si="661"/>
        <v>0</v>
      </c>
      <c r="D667" s="80"/>
      <c r="E667" s="81"/>
      <c r="F667" s="17">
        <f t="shared" si="662"/>
        <v>0</v>
      </c>
      <c r="G667" s="50"/>
      <c r="H667" s="50"/>
      <c r="I667" s="173">
        <f t="shared" si="663"/>
        <v>0</v>
      </c>
      <c r="J667" s="173">
        <f t="shared" si="664"/>
        <v>0</v>
      </c>
      <c r="K667" s="48"/>
      <c r="L667" s="46">
        <f>Price!A667</f>
        <v>0</v>
      </c>
      <c r="M667" s="15">
        <f>Price!B667</f>
        <v>0</v>
      </c>
      <c r="N667" s="15">
        <f>Price!C667</f>
        <v>0</v>
      </c>
      <c r="O667" s="472">
        <f>Price!D667</f>
        <v>0</v>
      </c>
      <c r="P667" s="15">
        <f>Price!E667</f>
        <v>0</v>
      </c>
      <c r="Q667" s="17">
        <f>Price!F667</f>
        <v>0</v>
      </c>
      <c r="R667" s="171"/>
      <c r="S667" s="171"/>
      <c r="T667" s="12">
        <f>Price!G667</f>
        <v>0</v>
      </c>
      <c r="U667" s="12">
        <f>Price!H667</f>
        <v>0</v>
      </c>
      <c r="V667" s="13"/>
      <c r="W667" s="13"/>
      <c r="X667" s="19"/>
      <c r="Y667" s="19"/>
    </row>
    <row r="668" spans="1:25" x14ac:dyDescent="0.35">
      <c r="A668" s="79">
        <f t="shared" si="659"/>
        <v>0</v>
      </c>
      <c r="B668" s="80">
        <f t="shared" si="660"/>
        <v>0</v>
      </c>
      <c r="C668" s="80">
        <f t="shared" si="661"/>
        <v>0</v>
      </c>
      <c r="D668" s="80"/>
      <c r="E668" s="81"/>
      <c r="F668" s="17">
        <f t="shared" si="662"/>
        <v>0</v>
      </c>
      <c r="G668" s="50"/>
      <c r="H668" s="50"/>
      <c r="I668" s="173">
        <f t="shared" si="663"/>
        <v>0</v>
      </c>
      <c r="J668" s="173">
        <f t="shared" si="664"/>
        <v>0</v>
      </c>
      <c r="K668" s="48"/>
      <c r="L668" s="46">
        <f>Price!A668</f>
        <v>0</v>
      </c>
      <c r="M668" s="15">
        <f>Price!B668</f>
        <v>0</v>
      </c>
      <c r="N668" s="15">
        <f>Price!C668</f>
        <v>0</v>
      </c>
      <c r="O668" s="472">
        <f>Price!D668</f>
        <v>0</v>
      </c>
      <c r="P668" s="15">
        <f>Price!E668</f>
        <v>0</v>
      </c>
      <c r="Q668" s="17">
        <f>Price!F668</f>
        <v>0</v>
      </c>
      <c r="R668" s="171"/>
      <c r="S668" s="171"/>
      <c r="T668" s="12">
        <f>Price!G668</f>
        <v>0</v>
      </c>
      <c r="U668" s="12">
        <f>Price!H668</f>
        <v>0</v>
      </c>
      <c r="V668" s="13"/>
      <c r="W668" s="13"/>
      <c r="X668" s="19"/>
      <c r="Y668" s="19"/>
    </row>
    <row r="669" spans="1:25" x14ac:dyDescent="0.35">
      <c r="A669" s="62"/>
      <c r="B669" s="161"/>
      <c r="C669" s="161"/>
      <c r="D669" s="161"/>
      <c r="E669" s="69"/>
      <c r="F669" s="20"/>
      <c r="G669" s="20"/>
      <c r="H669" s="20"/>
      <c r="I669" s="20"/>
      <c r="J669" s="20"/>
      <c r="K669" s="48"/>
      <c r="L669" s="46">
        <f>Price!A669</f>
        <v>0</v>
      </c>
      <c r="M669" s="15">
        <f>Price!B669</f>
        <v>0</v>
      </c>
      <c r="N669" s="15">
        <f>Price!C669</f>
        <v>0</v>
      </c>
      <c r="O669" s="472">
        <f>Price!D669</f>
        <v>0</v>
      </c>
      <c r="P669" s="16"/>
      <c r="Q669" s="17">
        <f>Price!F669</f>
        <v>0</v>
      </c>
      <c r="R669" s="171"/>
      <c r="S669" s="171"/>
      <c r="T669" s="12">
        <f>Price!G669</f>
        <v>0</v>
      </c>
      <c r="U669" s="12">
        <f>Price!H669</f>
        <v>0</v>
      </c>
      <c r="V669" s="13"/>
      <c r="W669" s="13"/>
      <c r="X669" s="19"/>
      <c r="Y669" s="19"/>
    </row>
    <row r="670" spans="1:25" x14ac:dyDescent="0.35">
      <c r="A670" s="62"/>
      <c r="B670" s="161"/>
      <c r="C670" s="161"/>
      <c r="D670" s="161"/>
      <c r="E670" s="69"/>
      <c r="F670" s="20"/>
      <c r="G670" s="20"/>
      <c r="H670" s="20"/>
      <c r="I670" s="20"/>
      <c r="J670" s="20"/>
      <c r="K670" s="48"/>
      <c r="L670" s="46">
        <f>Price!A670</f>
        <v>0</v>
      </c>
      <c r="M670" s="15">
        <f>Price!B670</f>
        <v>0</v>
      </c>
      <c r="N670" s="15">
        <f>Price!C670</f>
        <v>0</v>
      </c>
      <c r="O670" s="472">
        <f>Price!D670</f>
        <v>0</v>
      </c>
      <c r="P670" s="16"/>
      <c r="Q670" s="17">
        <f>Price!F670</f>
        <v>0</v>
      </c>
      <c r="R670" s="171"/>
      <c r="S670" s="171"/>
      <c r="T670" s="12">
        <f>Price!G670</f>
        <v>0</v>
      </c>
      <c r="U670" s="12">
        <f>Price!H670</f>
        <v>0</v>
      </c>
      <c r="V670" s="13"/>
      <c r="W670" s="13"/>
      <c r="X670" s="19"/>
      <c r="Y670" s="19"/>
    </row>
    <row r="671" spans="1:25" x14ac:dyDescent="0.35">
      <c r="A671" s="62"/>
      <c r="B671" s="161"/>
      <c r="C671" s="161"/>
      <c r="D671" s="161"/>
      <c r="E671" s="69"/>
      <c r="F671" s="20"/>
      <c r="G671" s="20"/>
      <c r="H671" s="20"/>
      <c r="I671" s="20"/>
      <c r="J671" s="20"/>
      <c r="K671" s="48"/>
      <c r="L671" s="46">
        <f>Price!A671</f>
        <v>0</v>
      </c>
      <c r="M671" s="15">
        <f>Price!B671</f>
        <v>0</v>
      </c>
      <c r="N671" s="15">
        <f>Price!C671</f>
        <v>0</v>
      </c>
      <c r="O671" s="472">
        <f>Price!D671</f>
        <v>0</v>
      </c>
      <c r="P671" s="16"/>
      <c r="Q671" s="17">
        <f>Price!F671</f>
        <v>0</v>
      </c>
      <c r="R671" s="171"/>
      <c r="S671" s="171"/>
      <c r="T671" s="12">
        <f>Price!G671</f>
        <v>0</v>
      </c>
      <c r="U671" s="12">
        <f>Price!H671</f>
        <v>0</v>
      </c>
      <c r="V671" s="13"/>
      <c r="W671" s="13"/>
      <c r="X671" s="19"/>
      <c r="Y671" s="19"/>
    </row>
    <row r="672" spans="1:25" x14ac:dyDescent="0.35">
      <c r="A672" s="62"/>
      <c r="B672" s="161"/>
      <c r="C672" s="161"/>
      <c r="D672" s="161"/>
      <c r="E672" s="69"/>
      <c r="F672" s="20"/>
      <c r="G672" s="20"/>
      <c r="H672" s="20"/>
      <c r="I672" s="20"/>
      <c r="J672" s="20"/>
      <c r="K672" s="48"/>
      <c r="L672" s="46">
        <f>Price!A672</f>
        <v>0</v>
      </c>
      <c r="M672" s="15">
        <f>Price!B672</f>
        <v>0</v>
      </c>
      <c r="N672" s="15">
        <f>Price!C672</f>
        <v>0</v>
      </c>
      <c r="O672" s="472">
        <f>Price!D672</f>
        <v>0</v>
      </c>
      <c r="P672" s="16"/>
      <c r="Q672" s="17">
        <f>Price!F672</f>
        <v>0</v>
      </c>
      <c r="R672" s="171"/>
      <c r="S672" s="171"/>
      <c r="T672" s="12">
        <f>Price!G672</f>
        <v>0</v>
      </c>
      <c r="U672" s="12">
        <f>Price!H672</f>
        <v>0</v>
      </c>
      <c r="V672" s="13"/>
      <c r="W672" s="13"/>
      <c r="X672" s="19"/>
      <c r="Y672" s="19"/>
    </row>
    <row r="673" spans="1:25" x14ac:dyDescent="0.35">
      <c r="A673" s="62"/>
      <c r="B673" s="161"/>
      <c r="C673" s="161"/>
      <c r="D673" s="161"/>
      <c r="E673" s="69"/>
      <c r="F673" s="20"/>
      <c r="G673" s="20"/>
      <c r="H673" s="20"/>
      <c r="I673" s="20"/>
      <c r="J673" s="20"/>
      <c r="K673" s="48"/>
      <c r="L673" s="46">
        <f>Price!A673</f>
        <v>0</v>
      </c>
      <c r="M673" s="15">
        <f>Price!B673</f>
        <v>0</v>
      </c>
      <c r="N673" s="15">
        <f>Price!C673</f>
        <v>0</v>
      </c>
      <c r="O673" s="472">
        <f>Price!D673</f>
        <v>0</v>
      </c>
      <c r="P673" s="16"/>
      <c r="Q673" s="17">
        <f>Price!F673</f>
        <v>0</v>
      </c>
      <c r="R673" s="171"/>
      <c r="S673" s="171"/>
      <c r="T673" s="12">
        <f>Price!G673</f>
        <v>0</v>
      </c>
      <c r="U673" s="12">
        <f>Price!H673</f>
        <v>0</v>
      </c>
      <c r="V673" s="13"/>
      <c r="W673" s="13"/>
      <c r="X673" s="19"/>
      <c r="Y673" s="19"/>
    </row>
    <row r="674" spans="1:25" x14ac:dyDescent="0.35">
      <c r="A674" s="62"/>
      <c r="B674" s="161"/>
      <c r="C674" s="161"/>
      <c r="D674" s="161"/>
      <c r="E674" s="69"/>
      <c r="F674" s="20"/>
      <c r="G674" s="20"/>
      <c r="H674" s="20"/>
      <c r="I674" s="20"/>
      <c r="J674" s="20"/>
      <c r="K674" s="48"/>
      <c r="L674" s="46">
        <f>Price!A674</f>
        <v>0</v>
      </c>
      <c r="M674" s="15">
        <f>Price!B674</f>
        <v>0</v>
      </c>
      <c r="N674" s="15">
        <f>Price!C674</f>
        <v>0</v>
      </c>
      <c r="O674" s="472">
        <f>Price!D674</f>
        <v>0</v>
      </c>
      <c r="P674" s="16"/>
      <c r="Q674" s="17">
        <f>Price!F674</f>
        <v>0</v>
      </c>
      <c r="R674" s="171"/>
      <c r="S674" s="171"/>
      <c r="T674" s="12">
        <f>Price!G674</f>
        <v>0</v>
      </c>
      <c r="U674" s="12">
        <f>Price!H674</f>
        <v>0</v>
      </c>
      <c r="V674" s="13"/>
      <c r="W674" s="13"/>
      <c r="X674" s="19"/>
      <c r="Y674" s="19"/>
    </row>
    <row r="675" spans="1:25" x14ac:dyDescent="0.35">
      <c r="A675" s="62"/>
      <c r="B675" s="161"/>
      <c r="C675" s="161"/>
      <c r="D675" s="161"/>
      <c r="E675" s="69"/>
      <c r="F675" s="20"/>
      <c r="G675" s="20"/>
      <c r="H675" s="20"/>
      <c r="I675" s="20"/>
      <c r="J675" s="20"/>
      <c r="K675" s="48"/>
      <c r="L675" s="46">
        <f>Price!A675</f>
        <v>0</v>
      </c>
      <c r="M675" s="15">
        <f>Price!B675</f>
        <v>0</v>
      </c>
      <c r="N675" s="15">
        <f>Price!C675</f>
        <v>0</v>
      </c>
      <c r="O675" s="472">
        <f>Price!D675</f>
        <v>0</v>
      </c>
      <c r="P675" s="16"/>
      <c r="Q675" s="17">
        <f>Price!F675</f>
        <v>0</v>
      </c>
      <c r="R675" s="171"/>
      <c r="S675" s="171"/>
      <c r="T675" s="12">
        <f>Price!G675</f>
        <v>0</v>
      </c>
      <c r="U675" s="12">
        <f>Price!H675</f>
        <v>0</v>
      </c>
      <c r="V675" s="13"/>
      <c r="W675" s="13"/>
      <c r="X675" s="19"/>
      <c r="Y675" s="19"/>
    </row>
    <row r="676" spans="1:25" x14ac:dyDescent="0.35">
      <c r="A676" s="62"/>
      <c r="B676" s="161"/>
      <c r="C676" s="161"/>
      <c r="D676" s="161"/>
      <c r="E676" s="69"/>
      <c r="F676" s="20"/>
      <c r="G676" s="20"/>
      <c r="H676" s="20"/>
      <c r="I676" s="20"/>
      <c r="J676" s="20"/>
      <c r="K676" s="48"/>
      <c r="L676" s="46">
        <f>Price!A676</f>
        <v>0</v>
      </c>
      <c r="M676" s="15">
        <f>Price!B676</f>
        <v>0</v>
      </c>
      <c r="N676" s="15">
        <f>Price!C676</f>
        <v>0</v>
      </c>
      <c r="O676" s="472">
        <f>Price!D676</f>
        <v>0</v>
      </c>
      <c r="P676" s="16"/>
      <c r="Q676" s="17">
        <f>Price!F676</f>
        <v>0</v>
      </c>
      <c r="R676" s="17"/>
      <c r="S676" s="17"/>
      <c r="T676" s="23">
        <f>Price!G676</f>
        <v>0</v>
      </c>
      <c r="U676" s="23">
        <f>Price!H676</f>
        <v>0</v>
      </c>
    </row>
  </sheetData>
  <sheetProtection algorithmName="SHA-512" hashValue="TeGmOrMbZj4c+CHqX8FiJbhWXaJUg/U80zaa1y1VwVIkPbtfCcv+RtRQHWv6ozlv28x9IfDQ2BXKnM0YgF+tfw==" saltValue="2ydAIOTrNzbwG+XLBqrEgw==" spinCount="100000" sheet="1" selectLockedCells="1" selectUnlockedCells="1"/>
  <phoneticPr fontId="53" type="noConversion"/>
  <hyperlinks>
    <hyperlink ref="L2" location="Form!A1" tooltip=" " display="Zpět na úvod"/>
  </hyperlinks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L665"/>
  <sheetViews>
    <sheetView workbookViewId="0">
      <selection activeCell="H2" sqref="H2"/>
    </sheetView>
  </sheetViews>
  <sheetFormatPr defaultRowHeight="14.5" x14ac:dyDescent="0.35"/>
  <cols>
    <col min="1" max="1" width="44.26953125" customWidth="1"/>
    <col min="2" max="2" width="17.7265625" customWidth="1"/>
    <col min="4" max="4" width="2.453125" style="429" customWidth="1"/>
    <col min="5" max="5" width="2.1796875" style="429" customWidth="1"/>
    <col min="6" max="8" width="13.7265625" customWidth="1"/>
    <col min="10" max="10" width="22.26953125" customWidth="1"/>
    <col min="11" max="11" width="12.453125" customWidth="1"/>
    <col min="12" max="12" width="11.7265625" customWidth="1"/>
  </cols>
  <sheetData>
    <row r="1" spans="1:12" x14ac:dyDescent="0.35">
      <c r="A1" s="2"/>
      <c r="B1" s="2"/>
      <c r="C1" s="2"/>
      <c r="D1" s="480"/>
      <c r="E1" s="442"/>
      <c r="F1" s="2"/>
      <c r="G1" s="2"/>
      <c r="H1" s="58" t="str">
        <f>Form!I15</f>
        <v>2.0.2</v>
      </c>
    </row>
    <row r="2" spans="1:12" x14ac:dyDescent="0.35">
      <c r="A2" s="2" t="str">
        <f>List!$B$214&amp;":"</f>
        <v>Prodejce:</v>
      </c>
      <c r="B2" s="2"/>
      <c r="C2" s="2"/>
      <c r="D2" s="480"/>
      <c r="E2" s="442"/>
      <c r="F2" s="2"/>
      <c r="G2" s="2"/>
      <c r="H2" s="160" t="str">
        <f>List!$B$100</f>
        <v>Zpět na úvod</v>
      </c>
    </row>
    <row r="3" spans="1:12" x14ac:dyDescent="0.35">
      <c r="A3" t="s">
        <v>1563</v>
      </c>
      <c r="B3" s="2"/>
      <c r="C3" s="2"/>
      <c r="D3" s="480"/>
      <c r="E3" s="442"/>
      <c r="F3" s="2"/>
      <c r="G3" s="2"/>
      <c r="H3" s="29"/>
    </row>
    <row r="4" spans="1:12" x14ac:dyDescent="0.35">
      <c r="A4" t="s">
        <v>1564</v>
      </c>
      <c r="B4" s="2"/>
      <c r="C4" s="2"/>
      <c r="D4" s="480"/>
      <c r="E4" s="442"/>
      <c r="F4" s="2"/>
    </row>
    <row r="5" spans="1:12" x14ac:dyDescent="0.35">
      <c r="A5" t="s">
        <v>1565</v>
      </c>
      <c r="B5" s="2"/>
      <c r="C5" s="2"/>
      <c r="D5" s="480"/>
      <c r="E5" s="442"/>
      <c r="F5" s="2"/>
      <c r="G5" s="2"/>
    </row>
    <row r="6" spans="1:12" x14ac:dyDescent="0.35">
      <c r="A6" t="s">
        <v>1566</v>
      </c>
      <c r="B6" s="2"/>
      <c r="C6" s="2"/>
      <c r="D6" s="480"/>
      <c r="E6" s="442"/>
      <c r="F6" s="2"/>
      <c r="G6" s="2"/>
      <c r="H6" s="2"/>
    </row>
    <row r="7" spans="1:12" ht="15" thickBot="1" x14ac:dyDescent="0.4">
      <c r="A7" t="s">
        <v>1567</v>
      </c>
      <c r="B7" s="2"/>
      <c r="C7" s="2"/>
      <c r="D7" s="480"/>
      <c r="E7" s="442"/>
      <c r="F7" s="2"/>
      <c r="G7" s="39"/>
      <c r="H7" s="2"/>
    </row>
    <row r="8" spans="1:12" ht="15" thickBot="1" x14ac:dyDescent="0.4">
      <c r="A8" s="40"/>
      <c r="B8" s="2"/>
      <c r="C8" s="2"/>
      <c r="D8" s="480"/>
      <c r="E8" s="442"/>
      <c r="F8" s="2"/>
      <c r="G8" s="41" t="str">
        <f>List!$B$212&amp;": "</f>
        <v xml:space="preserve">Platnost ceníku od: </v>
      </c>
      <c r="H8" s="30">
        <v>43009</v>
      </c>
    </row>
    <row r="9" spans="1:12" x14ac:dyDescent="0.35">
      <c r="A9" s="39"/>
      <c r="B9" s="39"/>
      <c r="C9" s="39"/>
      <c r="D9" s="459"/>
      <c r="E9" s="459"/>
      <c r="F9" s="39"/>
      <c r="G9" s="39"/>
      <c r="H9" s="39"/>
    </row>
    <row r="10" spans="1:12" ht="46.5" customHeight="1" x14ac:dyDescent="0.35">
      <c r="A10" s="481" t="str">
        <f>List!$B$87</f>
        <v>Název</v>
      </c>
      <c r="B10" s="11" t="str">
        <f>List!$B$88</f>
        <v>Číslo artiklu</v>
      </c>
      <c r="C10" s="11" t="str">
        <f>List!$B$89</f>
        <v>Barva</v>
      </c>
      <c r="D10" s="520" t="str">
        <f>List!$B$97</f>
        <v>Dostupnost</v>
      </c>
      <c r="E10" s="466"/>
      <c r="F10" s="482" t="str">
        <f>List!$B$92</f>
        <v>Jednotková cena</v>
      </c>
      <c r="G10" s="23" t="s">
        <v>395</v>
      </c>
      <c r="H10" s="270"/>
      <c r="I10" s="13"/>
      <c r="K10" s="14"/>
    </row>
    <row r="11" spans="1:12" x14ac:dyDescent="0.35">
      <c r="A11" s="31" t="s">
        <v>1000</v>
      </c>
      <c r="B11" s="32" t="s">
        <v>1006</v>
      </c>
      <c r="C11" s="32" t="s">
        <v>577</v>
      </c>
      <c r="D11" s="521" t="s">
        <v>1341</v>
      </c>
      <c r="E11" s="466"/>
      <c r="F11" s="565">
        <v>14.71672</v>
      </c>
      <c r="G11" s="483">
        <v>7931180</v>
      </c>
      <c r="H11" s="564">
        <v>203391</v>
      </c>
      <c r="I11" s="518"/>
      <c r="K11" s="430"/>
      <c r="L11" s="431"/>
    </row>
    <row r="12" spans="1:12" x14ac:dyDescent="0.35">
      <c r="A12" s="31" t="s">
        <v>1001</v>
      </c>
      <c r="B12" s="32" t="s">
        <v>1006</v>
      </c>
      <c r="C12" s="32" t="s">
        <v>442</v>
      </c>
      <c r="D12" s="521" t="s">
        <v>1341</v>
      </c>
      <c r="E12" s="466"/>
      <c r="F12" s="565">
        <v>16.366499999999998</v>
      </c>
      <c r="G12" s="483">
        <v>7636322</v>
      </c>
      <c r="H12" s="564" t="s">
        <v>1496</v>
      </c>
      <c r="I12" s="518"/>
      <c r="K12" s="430"/>
      <c r="L12" s="431"/>
    </row>
    <row r="13" spans="1:12" x14ac:dyDescent="0.35">
      <c r="A13" s="31" t="s">
        <v>1002</v>
      </c>
      <c r="B13" s="32" t="s">
        <v>1006</v>
      </c>
      <c r="C13" s="32" t="s">
        <v>468</v>
      </c>
      <c r="D13" s="521" t="s">
        <v>1341</v>
      </c>
      <c r="E13" s="466"/>
      <c r="F13" s="565">
        <v>16.561399999999999</v>
      </c>
      <c r="G13" s="483">
        <v>8672861</v>
      </c>
      <c r="H13" s="564" t="s">
        <v>1497</v>
      </c>
      <c r="I13" s="518"/>
      <c r="K13" s="430"/>
      <c r="L13" s="431"/>
    </row>
    <row r="14" spans="1:12" x14ac:dyDescent="0.35">
      <c r="A14" s="484" t="s">
        <v>1384</v>
      </c>
      <c r="B14" s="33" t="s">
        <v>1385</v>
      </c>
      <c r="C14" s="33" t="s">
        <v>759</v>
      </c>
      <c r="D14" s="521" t="s">
        <v>1341</v>
      </c>
      <c r="E14" s="466"/>
      <c r="F14" s="565">
        <v>27.51277</v>
      </c>
      <c r="G14" s="485">
        <v>9633400</v>
      </c>
      <c r="H14" s="564">
        <v>288496</v>
      </c>
      <c r="I14" s="523"/>
      <c r="K14" s="430"/>
      <c r="L14" s="431"/>
    </row>
    <row r="15" spans="1:12" x14ac:dyDescent="0.35">
      <c r="A15" s="31" t="s">
        <v>1003</v>
      </c>
      <c r="B15" s="32" t="s">
        <v>1007</v>
      </c>
      <c r="C15" s="32" t="s">
        <v>577</v>
      </c>
      <c r="D15" s="521" t="s">
        <v>1341</v>
      </c>
      <c r="E15" s="466"/>
      <c r="F15" s="565">
        <v>16.513190000000002</v>
      </c>
      <c r="G15" s="483">
        <v>7931884</v>
      </c>
      <c r="H15" s="564">
        <v>203084</v>
      </c>
      <c r="I15" s="518"/>
      <c r="K15" s="430"/>
      <c r="L15" s="431"/>
    </row>
    <row r="16" spans="1:12" x14ac:dyDescent="0.35">
      <c r="A16" s="31" t="s">
        <v>1004</v>
      </c>
      <c r="B16" s="32" t="s">
        <v>1007</v>
      </c>
      <c r="C16" s="32" t="s">
        <v>442</v>
      </c>
      <c r="D16" s="521" t="s">
        <v>1341</v>
      </c>
      <c r="E16" s="466"/>
      <c r="F16" s="565">
        <v>16.513190000000002</v>
      </c>
      <c r="G16" s="483">
        <v>7639774</v>
      </c>
      <c r="H16" s="564" t="s">
        <v>1498</v>
      </c>
      <c r="I16" s="518"/>
      <c r="K16" s="430"/>
      <c r="L16" s="431"/>
    </row>
    <row r="17" spans="1:12" x14ac:dyDescent="0.35">
      <c r="A17" s="31" t="s">
        <v>1005</v>
      </c>
      <c r="B17" s="32" t="s">
        <v>1007</v>
      </c>
      <c r="C17" s="32" t="s">
        <v>468</v>
      </c>
      <c r="D17" s="521" t="s">
        <v>1341</v>
      </c>
      <c r="E17" s="466"/>
      <c r="F17" s="565">
        <v>16.708279999999998</v>
      </c>
      <c r="G17" s="483">
        <v>8726323</v>
      </c>
      <c r="H17" s="564" t="s">
        <v>1499</v>
      </c>
      <c r="I17" s="518"/>
      <c r="K17" s="430"/>
      <c r="L17" s="431"/>
    </row>
    <row r="18" spans="1:12" x14ac:dyDescent="0.35">
      <c r="A18" s="484" t="s">
        <v>1386</v>
      </c>
      <c r="B18" s="33" t="s">
        <v>1387</v>
      </c>
      <c r="C18" s="33" t="s">
        <v>759</v>
      </c>
      <c r="D18" s="521" t="s">
        <v>1341</v>
      </c>
      <c r="E18" s="466"/>
      <c r="F18" s="565">
        <v>28.299800000000001</v>
      </c>
      <c r="G18" s="485">
        <v>9636840</v>
      </c>
      <c r="H18" s="564">
        <v>288498</v>
      </c>
      <c r="I18" s="523"/>
      <c r="K18" s="430"/>
      <c r="L18" s="431"/>
    </row>
    <row r="19" spans="1:12" x14ac:dyDescent="0.35">
      <c r="A19" s="31" t="s">
        <v>592</v>
      </c>
      <c r="B19" s="32" t="s">
        <v>725</v>
      </c>
      <c r="C19" s="32" t="s">
        <v>577</v>
      </c>
      <c r="D19" s="521"/>
      <c r="E19" s="464"/>
      <c r="F19" s="565">
        <v>16.659890000000001</v>
      </c>
      <c r="G19" s="37">
        <v>7947477</v>
      </c>
      <c r="H19" s="564">
        <v>203083</v>
      </c>
      <c r="I19" s="518"/>
      <c r="K19" s="430"/>
      <c r="L19" s="431"/>
    </row>
    <row r="20" spans="1:12" x14ac:dyDescent="0.35">
      <c r="A20" s="31" t="s">
        <v>591</v>
      </c>
      <c r="B20" s="32" t="s">
        <v>725</v>
      </c>
      <c r="C20" s="32" t="s">
        <v>442</v>
      </c>
      <c r="D20" s="521"/>
      <c r="E20" s="464"/>
      <c r="F20" s="565">
        <v>16.659890000000001</v>
      </c>
      <c r="G20" s="37">
        <v>7641097</v>
      </c>
      <c r="H20" s="564" t="s">
        <v>1500</v>
      </c>
      <c r="I20" s="518"/>
      <c r="K20" s="430"/>
      <c r="L20" s="431"/>
    </row>
    <row r="21" spans="1:12" x14ac:dyDescent="0.35">
      <c r="A21" s="31" t="s">
        <v>593</v>
      </c>
      <c r="B21" s="32" t="s">
        <v>725</v>
      </c>
      <c r="C21" s="32" t="s">
        <v>468</v>
      </c>
      <c r="D21" s="521"/>
      <c r="E21" s="466"/>
      <c r="F21" s="565">
        <v>16.854970000000002</v>
      </c>
      <c r="G21" s="483">
        <v>8740815</v>
      </c>
      <c r="H21" s="564" t="s">
        <v>1501</v>
      </c>
      <c r="I21" s="518"/>
      <c r="K21" s="430"/>
      <c r="L21" s="431"/>
    </row>
    <row r="22" spans="1:12" x14ac:dyDescent="0.35">
      <c r="A22" s="484" t="s">
        <v>1388</v>
      </c>
      <c r="B22" s="33" t="s">
        <v>1389</v>
      </c>
      <c r="C22" s="33" t="s">
        <v>759</v>
      </c>
      <c r="D22" s="521" t="s">
        <v>1341</v>
      </c>
      <c r="E22" s="464"/>
      <c r="F22" s="565">
        <v>29.086829999999999</v>
      </c>
      <c r="G22" s="485">
        <v>9657015</v>
      </c>
      <c r="H22" s="564">
        <v>288500</v>
      </c>
      <c r="I22" s="523"/>
      <c r="K22" s="430"/>
      <c r="L22" s="431"/>
    </row>
    <row r="23" spans="1:12" x14ac:dyDescent="0.35">
      <c r="A23" s="31" t="s">
        <v>1008</v>
      </c>
      <c r="B23" s="32" t="s">
        <v>1011</v>
      </c>
      <c r="C23" s="32" t="s">
        <v>577</v>
      </c>
      <c r="D23" s="521" t="s">
        <v>1341</v>
      </c>
      <c r="E23" s="464"/>
      <c r="F23" s="565">
        <v>16.301120000000001</v>
      </c>
      <c r="G23" s="483">
        <v>7952690</v>
      </c>
      <c r="H23" s="641">
        <v>203393</v>
      </c>
      <c r="I23" s="518"/>
      <c r="K23" s="430"/>
      <c r="L23" s="431"/>
    </row>
    <row r="24" spans="1:12" x14ac:dyDescent="0.35">
      <c r="A24" s="31" t="s">
        <v>1009</v>
      </c>
      <c r="B24" s="32" t="s">
        <v>1011</v>
      </c>
      <c r="C24" s="32" t="s">
        <v>442</v>
      </c>
      <c r="D24" s="521" t="s">
        <v>1341</v>
      </c>
      <c r="E24" s="464"/>
      <c r="F24" s="565">
        <v>18.128509999999999</v>
      </c>
      <c r="G24" s="483">
        <v>7720758</v>
      </c>
      <c r="H24" s="564" t="s">
        <v>1502</v>
      </c>
      <c r="I24" s="518"/>
      <c r="K24" s="430"/>
      <c r="L24" s="431"/>
    </row>
    <row r="25" spans="1:12" x14ac:dyDescent="0.35">
      <c r="A25" s="31" t="s">
        <v>1010</v>
      </c>
      <c r="B25" s="32" t="s">
        <v>1011</v>
      </c>
      <c r="C25" s="32" t="s">
        <v>468</v>
      </c>
      <c r="D25" s="521" t="s">
        <v>1341</v>
      </c>
      <c r="E25" s="466"/>
      <c r="F25" s="565">
        <v>17.53</v>
      </c>
      <c r="G25" s="483">
        <v>8742836</v>
      </c>
      <c r="H25" s="641" t="s">
        <v>1568</v>
      </c>
      <c r="I25" s="518"/>
      <c r="K25" s="430"/>
      <c r="L25" s="431"/>
    </row>
    <row r="26" spans="1:12" x14ac:dyDescent="0.35">
      <c r="A26" s="484" t="s">
        <v>1390</v>
      </c>
      <c r="B26" s="33" t="s">
        <v>1391</v>
      </c>
      <c r="C26" s="33" t="s">
        <v>759</v>
      </c>
      <c r="D26" s="521" t="s">
        <v>1341</v>
      </c>
      <c r="E26" s="464"/>
      <c r="F26" s="565">
        <v>31.305019999999999</v>
      </c>
      <c r="G26" s="485">
        <v>9688679</v>
      </c>
      <c r="H26" s="564">
        <v>288502</v>
      </c>
      <c r="I26" s="518"/>
      <c r="K26" s="430"/>
      <c r="L26" s="431"/>
    </row>
    <row r="27" spans="1:12" x14ac:dyDescent="0.35">
      <c r="A27" s="34"/>
      <c r="B27" s="32"/>
      <c r="C27" s="32"/>
      <c r="D27" s="521"/>
      <c r="E27" s="464"/>
      <c r="F27" s="565"/>
      <c r="G27" s="274"/>
      <c r="H27" s="564"/>
      <c r="I27" s="523"/>
      <c r="K27" s="430"/>
      <c r="L27" s="431"/>
    </row>
    <row r="28" spans="1:12" x14ac:dyDescent="0.35">
      <c r="A28" s="31" t="s">
        <v>1012</v>
      </c>
      <c r="B28" s="32" t="s">
        <v>1015</v>
      </c>
      <c r="C28" s="32" t="s">
        <v>577</v>
      </c>
      <c r="D28" s="521"/>
      <c r="E28" s="464"/>
      <c r="F28" s="565">
        <v>16.219809999999999</v>
      </c>
      <c r="G28" s="483">
        <v>7878776</v>
      </c>
      <c r="H28" s="564">
        <v>202505</v>
      </c>
      <c r="I28" s="518"/>
      <c r="K28" s="430"/>
      <c r="L28" s="431"/>
    </row>
    <row r="29" spans="1:12" x14ac:dyDescent="0.35">
      <c r="A29" s="31" t="s">
        <v>1013</v>
      </c>
      <c r="B29" s="32" t="s">
        <v>1015</v>
      </c>
      <c r="C29" s="32" t="s">
        <v>442</v>
      </c>
      <c r="D29" s="521"/>
      <c r="E29" s="464"/>
      <c r="F29" s="565">
        <v>16.219809999999999</v>
      </c>
      <c r="G29" s="483">
        <v>7353106</v>
      </c>
      <c r="H29" s="564">
        <v>303428</v>
      </c>
      <c r="I29" s="518"/>
      <c r="K29" s="430"/>
      <c r="L29" s="431"/>
    </row>
    <row r="30" spans="1:12" x14ac:dyDescent="0.35">
      <c r="A30" s="31" t="s">
        <v>1014</v>
      </c>
      <c r="B30" s="32" t="s">
        <v>1015</v>
      </c>
      <c r="C30" s="32" t="s">
        <v>468</v>
      </c>
      <c r="D30" s="521"/>
      <c r="E30" s="466"/>
      <c r="F30" s="565">
        <v>16.414709999999999</v>
      </c>
      <c r="G30" s="483">
        <v>8396367</v>
      </c>
      <c r="H30" s="564" t="s">
        <v>1503</v>
      </c>
      <c r="I30" s="518"/>
      <c r="K30" s="430"/>
      <c r="L30" s="431"/>
    </row>
    <row r="31" spans="1:12" x14ac:dyDescent="0.35">
      <c r="A31" s="484" t="s">
        <v>1392</v>
      </c>
      <c r="B31" s="33" t="s">
        <v>1393</v>
      </c>
      <c r="C31" s="33" t="s">
        <v>759</v>
      </c>
      <c r="D31" s="521" t="s">
        <v>1341</v>
      </c>
      <c r="E31" s="464"/>
      <c r="F31" s="565">
        <v>26.725570000000001</v>
      </c>
      <c r="G31" s="485">
        <v>9278317</v>
      </c>
      <c r="H31" s="564">
        <v>288478</v>
      </c>
      <c r="I31" s="523"/>
      <c r="K31" s="430"/>
      <c r="L31" s="431"/>
    </row>
    <row r="32" spans="1:12" x14ac:dyDescent="0.35">
      <c r="A32" s="31" t="s">
        <v>1016</v>
      </c>
      <c r="B32" s="32" t="s">
        <v>1019</v>
      </c>
      <c r="C32" s="32" t="s">
        <v>577</v>
      </c>
      <c r="D32" s="521"/>
      <c r="E32" s="464"/>
      <c r="F32" s="565">
        <v>16.219809999999999</v>
      </c>
      <c r="G32" s="483">
        <v>7879328</v>
      </c>
      <c r="H32" s="564">
        <v>202506</v>
      </c>
      <c r="I32" s="518"/>
      <c r="K32" s="430"/>
      <c r="L32" s="431"/>
    </row>
    <row r="33" spans="1:12" x14ac:dyDescent="0.35">
      <c r="A33" s="31" t="s">
        <v>1017</v>
      </c>
      <c r="B33" s="32" t="s">
        <v>1019</v>
      </c>
      <c r="C33" s="32" t="s">
        <v>442</v>
      </c>
      <c r="D33" s="521"/>
      <c r="E33" s="464"/>
      <c r="F33" s="565">
        <v>16.219809999999999</v>
      </c>
      <c r="G33" s="483">
        <v>7416089</v>
      </c>
      <c r="H33" s="564" t="s">
        <v>1504</v>
      </c>
      <c r="I33" s="518"/>
      <c r="K33" s="430"/>
      <c r="L33" s="431"/>
    </row>
    <row r="34" spans="1:12" x14ac:dyDescent="0.35">
      <c r="A34" s="31" t="s">
        <v>1018</v>
      </c>
      <c r="B34" s="32" t="s">
        <v>1019</v>
      </c>
      <c r="C34" s="32" t="s">
        <v>468</v>
      </c>
      <c r="D34" s="521"/>
      <c r="E34" s="466"/>
      <c r="F34" s="565">
        <v>16.414709999999999</v>
      </c>
      <c r="G34" s="483">
        <v>8410449</v>
      </c>
      <c r="H34" s="564" t="s">
        <v>1505</v>
      </c>
      <c r="I34" s="518"/>
      <c r="K34" s="430"/>
      <c r="L34" s="431"/>
    </row>
    <row r="35" spans="1:12" x14ac:dyDescent="0.35">
      <c r="A35" s="484" t="s">
        <v>1394</v>
      </c>
      <c r="B35" s="33" t="s">
        <v>1395</v>
      </c>
      <c r="C35" s="33" t="s">
        <v>759</v>
      </c>
      <c r="D35" s="521" t="s">
        <v>1341</v>
      </c>
      <c r="E35" s="464"/>
      <c r="F35" s="565">
        <v>29.72156</v>
      </c>
      <c r="G35" s="485">
        <v>9282144</v>
      </c>
      <c r="H35" s="564" t="s">
        <v>1506</v>
      </c>
      <c r="I35" s="523"/>
      <c r="K35" s="430"/>
      <c r="L35" s="431"/>
    </row>
    <row r="36" spans="1:12" x14ac:dyDescent="0.35">
      <c r="A36" s="31" t="s">
        <v>1020</v>
      </c>
      <c r="B36" s="32" t="s">
        <v>1023</v>
      </c>
      <c r="C36" s="32" t="s">
        <v>577</v>
      </c>
      <c r="D36" s="521"/>
      <c r="E36" s="464"/>
      <c r="F36" s="565">
        <v>16.219809999999999</v>
      </c>
      <c r="G36" s="483">
        <v>7880418</v>
      </c>
      <c r="H36" s="564">
        <v>202507</v>
      </c>
      <c r="I36" s="518"/>
      <c r="K36" s="430"/>
      <c r="L36" s="431"/>
    </row>
    <row r="37" spans="1:12" x14ac:dyDescent="0.35">
      <c r="A37" s="31" t="s">
        <v>1021</v>
      </c>
      <c r="B37" s="32" t="s">
        <v>1023</v>
      </c>
      <c r="C37" s="32" t="s">
        <v>442</v>
      </c>
      <c r="D37" s="521"/>
      <c r="E37" s="464"/>
      <c r="F37" s="565">
        <v>16.219809999999999</v>
      </c>
      <c r="G37" s="483">
        <v>7432656</v>
      </c>
      <c r="H37" s="564" t="s">
        <v>1507</v>
      </c>
      <c r="I37" s="518"/>
      <c r="K37" s="430"/>
      <c r="L37" s="431"/>
    </row>
    <row r="38" spans="1:12" x14ac:dyDescent="0.35">
      <c r="A38" s="31" t="s">
        <v>1022</v>
      </c>
      <c r="B38" s="32" t="s">
        <v>1023</v>
      </c>
      <c r="C38" s="32" t="s">
        <v>468</v>
      </c>
      <c r="D38" s="521"/>
      <c r="E38" s="466"/>
      <c r="F38" s="565">
        <v>16.414709999999999</v>
      </c>
      <c r="G38" s="483">
        <v>8451477</v>
      </c>
      <c r="H38" s="564" t="s">
        <v>1508</v>
      </c>
      <c r="I38" s="518"/>
      <c r="K38" s="430"/>
      <c r="L38" s="431"/>
    </row>
    <row r="39" spans="1:12" x14ac:dyDescent="0.35">
      <c r="A39" s="484" t="s">
        <v>1396</v>
      </c>
      <c r="B39" s="33" t="s">
        <v>1397</v>
      </c>
      <c r="C39" s="33" t="s">
        <v>759</v>
      </c>
      <c r="D39" s="521" t="s">
        <v>1341</v>
      </c>
      <c r="E39" s="464"/>
      <c r="F39" s="565">
        <v>31.711790000000001</v>
      </c>
      <c r="G39" s="485">
        <v>9396757</v>
      </c>
      <c r="H39" s="564" t="s">
        <v>1509</v>
      </c>
      <c r="I39" s="523"/>
      <c r="K39" s="430"/>
      <c r="L39" s="431"/>
    </row>
    <row r="40" spans="1:12" x14ac:dyDescent="0.35">
      <c r="A40" s="31" t="s">
        <v>600</v>
      </c>
      <c r="B40" s="32" t="s">
        <v>729</v>
      </c>
      <c r="C40" s="32" t="s">
        <v>577</v>
      </c>
      <c r="D40" s="521"/>
      <c r="E40" s="464"/>
      <c r="F40" s="565">
        <v>16.366499999999998</v>
      </c>
      <c r="G40" s="37">
        <v>7892695</v>
      </c>
      <c r="H40" s="564">
        <v>202508</v>
      </c>
      <c r="I40" s="518"/>
      <c r="K40" s="430"/>
      <c r="L40" s="431"/>
    </row>
    <row r="41" spans="1:12" x14ac:dyDescent="0.35">
      <c r="A41" s="31" t="s">
        <v>601</v>
      </c>
      <c r="B41" s="32" t="s">
        <v>729</v>
      </c>
      <c r="C41" s="32" t="s">
        <v>442</v>
      </c>
      <c r="D41" s="521"/>
      <c r="E41" s="464"/>
      <c r="F41" s="565">
        <v>16.366499999999998</v>
      </c>
      <c r="G41" s="37">
        <v>7453939</v>
      </c>
      <c r="H41" s="564" t="s">
        <v>1510</v>
      </c>
      <c r="I41" s="518"/>
      <c r="K41" s="430"/>
      <c r="L41" s="431"/>
    </row>
    <row r="42" spans="1:12" x14ac:dyDescent="0.35">
      <c r="A42" s="31" t="s">
        <v>602</v>
      </c>
      <c r="B42" s="32" t="s">
        <v>729</v>
      </c>
      <c r="C42" s="32" t="s">
        <v>468</v>
      </c>
      <c r="D42" s="521"/>
      <c r="E42" s="466"/>
      <c r="F42" s="565">
        <v>16.561399999999999</v>
      </c>
      <c r="G42" s="528">
        <v>8456024</v>
      </c>
      <c r="H42" s="564" t="s">
        <v>1511</v>
      </c>
      <c r="I42" s="518"/>
      <c r="K42" s="430"/>
      <c r="L42" s="431"/>
    </row>
    <row r="43" spans="1:12" x14ac:dyDescent="0.35">
      <c r="A43" s="484" t="s">
        <v>1398</v>
      </c>
      <c r="B43" s="33" t="s">
        <v>1399</v>
      </c>
      <c r="C43" s="33" t="s">
        <v>759</v>
      </c>
      <c r="D43" s="521" t="s">
        <v>1341</v>
      </c>
      <c r="E43" s="464"/>
      <c r="F43" s="565">
        <v>30.597010000000001</v>
      </c>
      <c r="G43" s="485">
        <v>9424604</v>
      </c>
      <c r="H43" s="564" t="s">
        <v>1512</v>
      </c>
      <c r="I43" s="523"/>
      <c r="K43" s="430"/>
      <c r="L43" s="431"/>
    </row>
    <row r="44" spans="1:12" x14ac:dyDescent="0.35">
      <c r="A44" s="31" t="s">
        <v>604</v>
      </c>
      <c r="B44" s="32" t="s">
        <v>730</v>
      </c>
      <c r="C44" s="32" t="s">
        <v>577</v>
      </c>
      <c r="D44" s="521"/>
      <c r="E44" s="464"/>
      <c r="F44" s="565">
        <v>16.513179999999998</v>
      </c>
      <c r="G44" s="37">
        <v>7893644</v>
      </c>
      <c r="H44" s="564">
        <v>202509</v>
      </c>
      <c r="I44" s="518"/>
      <c r="K44" s="430"/>
      <c r="L44" s="431"/>
    </row>
    <row r="45" spans="1:12" x14ac:dyDescent="0.35">
      <c r="A45" s="31" t="s">
        <v>603</v>
      </c>
      <c r="B45" s="32" t="s">
        <v>730</v>
      </c>
      <c r="C45" s="32" t="s">
        <v>442</v>
      </c>
      <c r="D45" s="521"/>
      <c r="E45" s="464"/>
      <c r="F45" s="565">
        <v>16.513179999999998</v>
      </c>
      <c r="G45" s="37">
        <v>7461528</v>
      </c>
      <c r="H45" s="564" t="s">
        <v>1513</v>
      </c>
      <c r="I45" s="518"/>
      <c r="K45" s="430"/>
      <c r="L45" s="431"/>
    </row>
    <row r="46" spans="1:12" x14ac:dyDescent="0.35">
      <c r="A46" s="31" t="s">
        <v>605</v>
      </c>
      <c r="B46" s="32" t="s">
        <v>730</v>
      </c>
      <c r="C46" s="32" t="s">
        <v>468</v>
      </c>
      <c r="D46" s="521"/>
      <c r="E46" s="466"/>
      <c r="F46" s="565">
        <v>15.872870000000001</v>
      </c>
      <c r="G46" s="528">
        <v>8459116</v>
      </c>
      <c r="H46" s="564" t="s">
        <v>1514</v>
      </c>
      <c r="I46" s="518"/>
      <c r="K46" s="430"/>
      <c r="L46" s="431"/>
    </row>
    <row r="47" spans="1:12" x14ac:dyDescent="0.35">
      <c r="A47" s="484" t="s">
        <v>1400</v>
      </c>
      <c r="B47" s="33" t="s">
        <v>1401</v>
      </c>
      <c r="C47" s="33" t="s">
        <v>759</v>
      </c>
      <c r="D47" s="521" t="s">
        <v>1341</v>
      </c>
      <c r="E47" s="464"/>
      <c r="F47" s="565">
        <v>28.299800000000001</v>
      </c>
      <c r="G47" s="485">
        <v>9447452</v>
      </c>
      <c r="H47" s="564">
        <v>288483</v>
      </c>
      <c r="I47" s="523"/>
      <c r="K47" s="430"/>
      <c r="L47" s="431"/>
    </row>
    <row r="48" spans="1:12" x14ac:dyDescent="0.35">
      <c r="A48" s="31" t="s">
        <v>595</v>
      </c>
      <c r="B48" s="32" t="s">
        <v>726</v>
      </c>
      <c r="C48" s="32" t="s">
        <v>577</v>
      </c>
      <c r="D48" s="521"/>
      <c r="E48" s="464"/>
      <c r="F48" s="565">
        <v>16.6599</v>
      </c>
      <c r="G48" s="37">
        <v>7907526</v>
      </c>
      <c r="H48" s="564">
        <v>202510</v>
      </c>
      <c r="I48" s="518"/>
      <c r="K48" s="430"/>
      <c r="L48" s="431"/>
    </row>
    <row r="49" spans="1:12" x14ac:dyDescent="0.35">
      <c r="A49" s="31" t="s">
        <v>594</v>
      </c>
      <c r="B49" s="32" t="s">
        <v>726</v>
      </c>
      <c r="C49" s="32" t="s">
        <v>442</v>
      </c>
      <c r="D49" s="521"/>
      <c r="E49" s="464"/>
      <c r="F49" s="565">
        <v>16.6599</v>
      </c>
      <c r="G49" s="37">
        <v>7473074</v>
      </c>
      <c r="H49" s="564" t="s">
        <v>1515</v>
      </c>
      <c r="I49" s="518"/>
      <c r="K49" s="430"/>
      <c r="L49" s="431"/>
    </row>
    <row r="50" spans="1:12" x14ac:dyDescent="0.35">
      <c r="A50" s="31" t="s">
        <v>596</v>
      </c>
      <c r="B50" s="32" t="s">
        <v>726</v>
      </c>
      <c r="C50" s="32" t="s">
        <v>468</v>
      </c>
      <c r="D50" s="521"/>
      <c r="E50" s="466"/>
      <c r="F50" s="565">
        <v>16.854980000000001</v>
      </c>
      <c r="G50" s="528">
        <v>8474260</v>
      </c>
      <c r="H50" s="564" t="s">
        <v>1516</v>
      </c>
      <c r="I50" s="518"/>
      <c r="K50" s="430"/>
      <c r="L50" s="431"/>
    </row>
    <row r="51" spans="1:12" x14ac:dyDescent="0.35">
      <c r="A51" s="484" t="s">
        <v>1402</v>
      </c>
      <c r="B51" s="33" t="s">
        <v>1403</v>
      </c>
      <c r="C51" s="33" t="s">
        <v>759</v>
      </c>
      <c r="D51" s="521" t="s">
        <v>1341</v>
      </c>
      <c r="E51" s="464"/>
      <c r="F51" s="565">
        <v>32.347529999999999</v>
      </c>
      <c r="G51" s="485">
        <v>9455785</v>
      </c>
      <c r="H51" s="564" t="s">
        <v>1517</v>
      </c>
      <c r="I51" s="523"/>
      <c r="K51" s="430"/>
      <c r="L51" s="431"/>
    </row>
    <row r="52" spans="1:12" x14ac:dyDescent="0.35">
      <c r="A52" s="31" t="s">
        <v>1024</v>
      </c>
      <c r="B52" s="32" t="s">
        <v>1027</v>
      </c>
      <c r="C52" s="32" t="s">
        <v>577</v>
      </c>
      <c r="D52" s="521"/>
      <c r="E52" s="464"/>
      <c r="F52" s="565">
        <v>18.128509999999999</v>
      </c>
      <c r="G52" s="483">
        <v>7915701</v>
      </c>
      <c r="H52" s="564">
        <v>202511</v>
      </c>
      <c r="I52" s="518"/>
      <c r="K52" s="430"/>
      <c r="L52" s="431"/>
    </row>
    <row r="53" spans="1:12" x14ac:dyDescent="0.35">
      <c r="A53" s="31" t="s">
        <v>1025</v>
      </c>
      <c r="B53" s="32" t="s">
        <v>1027</v>
      </c>
      <c r="C53" s="32" t="s">
        <v>442</v>
      </c>
      <c r="D53" s="521"/>
      <c r="E53" s="464"/>
      <c r="F53" s="565">
        <v>18.128509999999999</v>
      </c>
      <c r="G53" s="483">
        <v>7478517</v>
      </c>
      <c r="H53" s="564" t="s">
        <v>1518</v>
      </c>
      <c r="I53" s="518"/>
      <c r="K53" s="430"/>
      <c r="L53" s="431"/>
    </row>
    <row r="54" spans="1:12" x14ac:dyDescent="0.35">
      <c r="A54" s="31" t="s">
        <v>1026</v>
      </c>
      <c r="B54" s="32" t="s">
        <v>1027</v>
      </c>
      <c r="C54" s="32" t="s">
        <v>468</v>
      </c>
      <c r="D54" s="521"/>
      <c r="E54" s="466"/>
      <c r="F54" s="565">
        <v>18.323409999999999</v>
      </c>
      <c r="G54" s="483">
        <v>8492382</v>
      </c>
      <c r="H54" s="564" t="s">
        <v>1519</v>
      </c>
      <c r="I54" s="518"/>
      <c r="K54" s="430"/>
      <c r="L54" s="431"/>
    </row>
    <row r="55" spans="1:12" x14ac:dyDescent="0.35">
      <c r="A55" s="484" t="s">
        <v>1404</v>
      </c>
      <c r="B55" s="33" t="s">
        <v>1405</v>
      </c>
      <c r="C55" s="33" t="s">
        <v>759</v>
      </c>
      <c r="D55" s="521" t="s">
        <v>1341</v>
      </c>
      <c r="E55" s="464"/>
      <c r="F55" s="565">
        <v>34.81438</v>
      </c>
      <c r="G55" s="485">
        <v>9486323</v>
      </c>
      <c r="H55" s="564" t="s">
        <v>1520</v>
      </c>
      <c r="I55" s="523"/>
      <c r="K55" s="430"/>
      <c r="L55" s="431"/>
    </row>
    <row r="56" spans="1:12" x14ac:dyDescent="0.35">
      <c r="A56" s="31" t="s">
        <v>1028</v>
      </c>
      <c r="B56" s="32" t="s">
        <v>1031</v>
      </c>
      <c r="C56" s="32" t="s">
        <v>577</v>
      </c>
      <c r="D56" s="521"/>
      <c r="E56" s="464"/>
      <c r="F56" s="565">
        <v>22.41141</v>
      </c>
      <c r="G56" s="483">
        <v>7921510</v>
      </c>
      <c r="H56" s="564">
        <v>203394</v>
      </c>
      <c r="I56" s="518"/>
      <c r="K56" s="430"/>
      <c r="L56" s="431"/>
    </row>
    <row r="57" spans="1:12" x14ac:dyDescent="0.35">
      <c r="A57" s="31" t="s">
        <v>1029</v>
      </c>
      <c r="B57" s="32" t="s">
        <v>1031</v>
      </c>
      <c r="C57" s="32" t="s">
        <v>442</v>
      </c>
      <c r="D57" s="521"/>
      <c r="E57" s="464"/>
      <c r="F57" s="565">
        <v>22.41141</v>
      </c>
      <c r="G57" s="483">
        <v>7509352</v>
      </c>
      <c r="H57" s="564" t="s">
        <v>1521</v>
      </c>
      <c r="I57" s="518"/>
      <c r="K57" s="430"/>
      <c r="L57" s="431"/>
    </row>
    <row r="58" spans="1:12" x14ac:dyDescent="0.35">
      <c r="A58" s="31" t="s">
        <v>1030</v>
      </c>
      <c r="B58" s="32" t="s">
        <v>1031</v>
      </c>
      <c r="C58" s="32" t="s">
        <v>468</v>
      </c>
      <c r="D58" s="521"/>
      <c r="E58" s="466"/>
      <c r="F58" s="565">
        <v>22.6065</v>
      </c>
      <c r="G58" s="483">
        <v>8495666</v>
      </c>
      <c r="H58" s="564" t="s">
        <v>1522</v>
      </c>
      <c r="I58" s="518"/>
      <c r="K58" s="430"/>
      <c r="L58" s="431"/>
    </row>
    <row r="59" spans="1:12" x14ac:dyDescent="0.35">
      <c r="A59" s="484" t="s">
        <v>1406</v>
      </c>
      <c r="B59" s="33" t="s">
        <v>1407</v>
      </c>
      <c r="C59" s="33" t="s">
        <v>759</v>
      </c>
      <c r="D59" s="521" t="s">
        <v>1341</v>
      </c>
      <c r="E59" s="464"/>
      <c r="F59" s="565">
        <v>35.680259999999997</v>
      </c>
      <c r="G59" s="485">
        <v>9580294</v>
      </c>
      <c r="H59" s="564">
        <v>288493</v>
      </c>
      <c r="I59" s="523"/>
      <c r="K59" s="430"/>
      <c r="L59" s="431"/>
    </row>
    <row r="60" spans="1:12" x14ac:dyDescent="0.35">
      <c r="A60" s="31" t="s">
        <v>598</v>
      </c>
      <c r="B60" s="32" t="s">
        <v>728</v>
      </c>
      <c r="C60" s="32" t="s">
        <v>577</v>
      </c>
      <c r="D60" s="521"/>
      <c r="E60" s="464"/>
      <c r="F60" s="565">
        <v>23.512640000000001</v>
      </c>
      <c r="G60" s="37">
        <v>7927885</v>
      </c>
      <c r="H60" s="564">
        <v>301611</v>
      </c>
      <c r="I60" s="518"/>
      <c r="K60" s="430"/>
      <c r="L60" s="431"/>
    </row>
    <row r="61" spans="1:12" x14ac:dyDescent="0.35">
      <c r="A61" s="31" t="s">
        <v>597</v>
      </c>
      <c r="B61" s="32" t="s">
        <v>728</v>
      </c>
      <c r="C61" s="32" t="s">
        <v>442</v>
      </c>
      <c r="D61" s="521"/>
      <c r="E61" s="464"/>
      <c r="F61" s="565">
        <v>23.512640000000001</v>
      </c>
      <c r="G61" s="37">
        <v>7631232</v>
      </c>
      <c r="H61" s="564" t="s">
        <v>1523</v>
      </c>
      <c r="I61" s="518"/>
      <c r="K61" s="430"/>
      <c r="L61" s="431"/>
    </row>
    <row r="62" spans="1:12" x14ac:dyDescent="0.35">
      <c r="A62" s="31" t="s">
        <v>599</v>
      </c>
      <c r="B62" s="32" t="s">
        <v>728</v>
      </c>
      <c r="C62" s="32" t="s">
        <v>468</v>
      </c>
      <c r="D62" s="521"/>
      <c r="E62" s="466"/>
      <c r="F62" s="565">
        <v>23.707730000000002</v>
      </c>
      <c r="G62" s="37">
        <v>8561178</v>
      </c>
      <c r="H62" s="564" t="s">
        <v>1524</v>
      </c>
      <c r="I62" s="518"/>
      <c r="K62" s="430"/>
      <c r="L62" s="431"/>
    </row>
    <row r="63" spans="1:12" x14ac:dyDescent="0.35">
      <c r="A63" s="484" t="s">
        <v>1408</v>
      </c>
      <c r="B63" s="33" t="s">
        <v>1409</v>
      </c>
      <c r="C63" s="33" t="s">
        <v>759</v>
      </c>
      <c r="D63" s="521" t="s">
        <v>1341</v>
      </c>
      <c r="E63" s="464"/>
      <c r="F63" s="565">
        <v>38.035260000000001</v>
      </c>
      <c r="G63" s="485">
        <v>9631204</v>
      </c>
      <c r="H63" s="564">
        <v>288495</v>
      </c>
      <c r="I63" s="523"/>
      <c r="K63" s="430"/>
      <c r="L63" s="431"/>
    </row>
    <row r="64" spans="1:12" x14ac:dyDescent="0.35">
      <c r="A64" s="34"/>
      <c r="B64" s="32"/>
      <c r="C64" s="32"/>
      <c r="D64" s="521"/>
      <c r="E64" s="464"/>
      <c r="F64" s="565"/>
      <c r="G64" s="487"/>
      <c r="H64" s="564"/>
      <c r="I64" s="518"/>
      <c r="K64" s="430"/>
      <c r="L64" s="431"/>
    </row>
    <row r="65" spans="1:12" x14ac:dyDescent="0.35">
      <c r="A65" s="31" t="s">
        <v>1032</v>
      </c>
      <c r="B65" s="32" t="s">
        <v>1047</v>
      </c>
      <c r="C65" s="32" t="s">
        <v>577</v>
      </c>
      <c r="D65" s="521" t="s">
        <v>1341</v>
      </c>
      <c r="E65" s="464"/>
      <c r="F65" s="565">
        <v>23.526759999999999</v>
      </c>
      <c r="G65" s="483">
        <v>7735870</v>
      </c>
      <c r="H65" s="564">
        <v>210749</v>
      </c>
      <c r="I65" s="518"/>
      <c r="K65" s="430"/>
      <c r="L65" s="431"/>
    </row>
    <row r="66" spans="1:12" x14ac:dyDescent="0.35">
      <c r="A66" s="31" t="s">
        <v>1033</v>
      </c>
      <c r="B66" s="32" t="s">
        <v>1047</v>
      </c>
      <c r="C66" s="32" t="s">
        <v>442</v>
      </c>
      <c r="D66" s="521" t="s">
        <v>1341</v>
      </c>
      <c r="E66" s="464"/>
      <c r="F66" s="565">
        <v>23.526759999999999</v>
      </c>
      <c r="G66" s="483">
        <v>7006683</v>
      </c>
      <c r="H66" s="564">
        <v>210750</v>
      </c>
      <c r="I66" s="518"/>
      <c r="K66" s="430"/>
      <c r="L66" s="431"/>
    </row>
    <row r="67" spans="1:12" x14ac:dyDescent="0.35">
      <c r="A67" s="484" t="s">
        <v>1034</v>
      </c>
      <c r="B67" s="33" t="s">
        <v>1047</v>
      </c>
      <c r="C67" s="33" t="s">
        <v>468</v>
      </c>
      <c r="D67" s="465" t="s">
        <v>1341</v>
      </c>
      <c r="E67" s="464"/>
      <c r="F67" s="565">
        <v>23.72185</v>
      </c>
      <c r="G67" s="485">
        <v>8012885</v>
      </c>
      <c r="H67" s="564">
        <v>210751</v>
      </c>
      <c r="I67" s="518"/>
      <c r="K67" s="430"/>
      <c r="L67" s="431"/>
    </row>
    <row r="68" spans="1:12" x14ac:dyDescent="0.35">
      <c r="A68" s="31" t="s">
        <v>1035</v>
      </c>
      <c r="B68" s="32" t="s">
        <v>1048</v>
      </c>
      <c r="C68" s="32" t="s">
        <v>577</v>
      </c>
      <c r="D68" s="521" t="s">
        <v>1341</v>
      </c>
      <c r="E68" s="464"/>
      <c r="F68" s="565">
        <v>23.526759999999999</v>
      </c>
      <c r="G68" s="483">
        <v>7754207</v>
      </c>
      <c r="H68" s="564">
        <v>210752</v>
      </c>
      <c r="I68" s="518"/>
      <c r="K68" s="430"/>
      <c r="L68" s="431"/>
    </row>
    <row r="69" spans="1:12" x14ac:dyDescent="0.35">
      <c r="A69" s="31" t="s">
        <v>1036</v>
      </c>
      <c r="B69" s="32" t="s">
        <v>1048</v>
      </c>
      <c r="C69" s="32" t="s">
        <v>442</v>
      </c>
      <c r="D69" s="521" t="s">
        <v>1341</v>
      </c>
      <c r="E69" s="464"/>
      <c r="F69" s="565">
        <v>23.526759999999999</v>
      </c>
      <c r="G69" s="483">
        <v>7022103</v>
      </c>
      <c r="H69" s="564">
        <v>210753</v>
      </c>
      <c r="I69" s="518"/>
      <c r="K69" s="430"/>
      <c r="L69" s="431"/>
    </row>
    <row r="70" spans="1:12" x14ac:dyDescent="0.35">
      <c r="A70" s="484" t="s">
        <v>1037</v>
      </c>
      <c r="B70" s="33" t="s">
        <v>1048</v>
      </c>
      <c r="C70" s="33" t="s">
        <v>468</v>
      </c>
      <c r="D70" s="465" t="s">
        <v>1341</v>
      </c>
      <c r="E70" s="464"/>
      <c r="F70" s="565">
        <v>25.630549999999999</v>
      </c>
      <c r="G70" s="485">
        <v>8014677</v>
      </c>
      <c r="H70" s="641">
        <v>210769</v>
      </c>
      <c r="I70" s="518"/>
      <c r="K70" s="430"/>
      <c r="L70" s="431"/>
    </row>
    <row r="71" spans="1:12" x14ac:dyDescent="0.35">
      <c r="A71" s="31" t="s">
        <v>1038</v>
      </c>
      <c r="B71" s="32" t="s">
        <v>1049</v>
      </c>
      <c r="C71" s="32" t="s">
        <v>577</v>
      </c>
      <c r="D71" s="521" t="s">
        <v>1341</v>
      </c>
      <c r="E71" s="464"/>
      <c r="F71" s="565">
        <v>23.526759999999999</v>
      </c>
      <c r="G71" s="483">
        <v>7754240</v>
      </c>
      <c r="H71" s="564">
        <v>210755</v>
      </c>
      <c r="I71" s="518"/>
      <c r="K71" s="430"/>
      <c r="L71" s="431"/>
    </row>
    <row r="72" spans="1:12" x14ac:dyDescent="0.35">
      <c r="A72" s="31" t="s">
        <v>1039</v>
      </c>
      <c r="B72" s="32" t="s">
        <v>1049</v>
      </c>
      <c r="C72" s="32" t="s">
        <v>442</v>
      </c>
      <c r="D72" s="521" t="s">
        <v>1341</v>
      </c>
      <c r="E72" s="464"/>
      <c r="F72" s="565">
        <v>23.526759999999999</v>
      </c>
      <c r="G72" s="483">
        <v>7055586</v>
      </c>
      <c r="H72" s="564">
        <v>210756</v>
      </c>
      <c r="I72" s="518"/>
      <c r="K72" s="430"/>
      <c r="L72" s="431"/>
    </row>
    <row r="73" spans="1:12" x14ac:dyDescent="0.35">
      <c r="A73" s="484" t="s">
        <v>1040</v>
      </c>
      <c r="B73" s="33" t="s">
        <v>1049</v>
      </c>
      <c r="C73" s="33" t="s">
        <v>468</v>
      </c>
      <c r="D73" s="465" t="s">
        <v>1341</v>
      </c>
      <c r="E73" s="464"/>
      <c r="F73" s="565">
        <v>23.72185</v>
      </c>
      <c r="G73" s="485">
        <v>8039764</v>
      </c>
      <c r="H73" s="564">
        <v>210757</v>
      </c>
      <c r="I73" s="518"/>
      <c r="K73" s="430"/>
      <c r="L73" s="431"/>
    </row>
    <row r="74" spans="1:12" x14ac:dyDescent="0.35">
      <c r="A74" s="31" t="s">
        <v>1041</v>
      </c>
      <c r="B74" s="32" t="s">
        <v>1050</v>
      </c>
      <c r="C74" s="32" t="s">
        <v>577</v>
      </c>
      <c r="D74" s="521" t="s">
        <v>1341</v>
      </c>
      <c r="E74" s="464"/>
      <c r="F74" s="565">
        <v>23.673449999999999</v>
      </c>
      <c r="G74" s="483">
        <v>7770099</v>
      </c>
      <c r="H74" s="564">
        <v>210758</v>
      </c>
      <c r="I74" s="518"/>
      <c r="K74" s="430"/>
      <c r="L74" s="431"/>
    </row>
    <row r="75" spans="1:12" x14ac:dyDescent="0.35">
      <c r="A75" s="31" t="s">
        <v>1042</v>
      </c>
      <c r="B75" s="32" t="s">
        <v>1050</v>
      </c>
      <c r="C75" s="32" t="s">
        <v>442</v>
      </c>
      <c r="D75" s="521" t="s">
        <v>1341</v>
      </c>
      <c r="E75" s="464"/>
      <c r="F75" s="565">
        <v>23.673449999999999</v>
      </c>
      <c r="G75" s="483">
        <v>7090157</v>
      </c>
      <c r="H75" s="564">
        <v>210759</v>
      </c>
      <c r="I75" s="518"/>
      <c r="J75" s="13"/>
      <c r="K75" s="430"/>
      <c r="L75" s="431"/>
    </row>
    <row r="76" spans="1:12" x14ac:dyDescent="0.35">
      <c r="A76" s="484" t="s">
        <v>1043</v>
      </c>
      <c r="B76" s="33" t="s">
        <v>1050</v>
      </c>
      <c r="C76" s="33" t="s">
        <v>468</v>
      </c>
      <c r="D76" s="465" t="s">
        <v>1341</v>
      </c>
      <c r="E76" s="464"/>
      <c r="F76" s="565">
        <v>23.868539999999999</v>
      </c>
      <c r="G76" s="485">
        <v>8054532</v>
      </c>
      <c r="H76" s="564">
        <v>210760</v>
      </c>
      <c r="I76" s="518"/>
      <c r="J76" s="13"/>
      <c r="K76" s="430"/>
      <c r="L76" s="431"/>
    </row>
    <row r="77" spans="1:12" x14ac:dyDescent="0.35">
      <c r="A77" s="31" t="s">
        <v>1044</v>
      </c>
      <c r="B77" s="32" t="s">
        <v>1051</v>
      </c>
      <c r="C77" s="32" t="s">
        <v>577</v>
      </c>
      <c r="D77" s="521"/>
      <c r="E77" s="464"/>
      <c r="F77" s="565">
        <v>23.820340000000002</v>
      </c>
      <c r="G77" s="483">
        <v>7800942</v>
      </c>
      <c r="H77" s="564">
        <v>210761</v>
      </c>
      <c r="I77" s="518"/>
      <c r="J77" s="13"/>
      <c r="K77" s="430"/>
      <c r="L77" s="431"/>
    </row>
    <row r="78" spans="1:12" x14ac:dyDescent="0.35">
      <c r="A78" s="31" t="s">
        <v>1045</v>
      </c>
      <c r="B78" s="32" t="s">
        <v>1051</v>
      </c>
      <c r="C78" s="32" t="s">
        <v>442</v>
      </c>
      <c r="D78" s="521"/>
      <c r="E78" s="464"/>
      <c r="F78" s="565">
        <v>23.820340000000002</v>
      </c>
      <c r="G78" s="483">
        <v>7094091</v>
      </c>
      <c r="H78" s="564">
        <v>210762</v>
      </c>
      <c r="I78" s="518"/>
      <c r="J78" s="13"/>
      <c r="K78" s="430"/>
      <c r="L78" s="431"/>
    </row>
    <row r="79" spans="1:12" x14ac:dyDescent="0.35">
      <c r="A79" s="484" t="s">
        <v>1046</v>
      </c>
      <c r="B79" s="33" t="s">
        <v>1051</v>
      </c>
      <c r="C79" s="33" t="s">
        <v>468</v>
      </c>
      <c r="D79" s="465" t="s">
        <v>1341</v>
      </c>
      <c r="E79" s="464"/>
      <c r="F79" s="565">
        <v>24.015239999999999</v>
      </c>
      <c r="G79" s="485">
        <v>8097406</v>
      </c>
      <c r="H79" s="564">
        <v>210763</v>
      </c>
      <c r="I79" s="518"/>
      <c r="J79" s="13"/>
      <c r="K79" s="430"/>
      <c r="L79" s="431"/>
    </row>
    <row r="80" spans="1:12" x14ac:dyDescent="0.35">
      <c r="A80" s="31" t="s">
        <v>169</v>
      </c>
      <c r="B80" s="32" t="s">
        <v>727</v>
      </c>
      <c r="C80" s="32" t="s">
        <v>577</v>
      </c>
      <c r="D80" s="521"/>
      <c r="E80" s="464"/>
      <c r="F80" s="565">
        <v>23.967030000000001</v>
      </c>
      <c r="G80" s="37">
        <v>7826509</v>
      </c>
      <c r="H80" s="564">
        <v>210764</v>
      </c>
      <c r="I80" s="518"/>
      <c r="J80" s="13"/>
      <c r="K80" s="430"/>
      <c r="L80" s="431"/>
    </row>
    <row r="81" spans="1:12" x14ac:dyDescent="0.35">
      <c r="A81" s="31" t="s">
        <v>170</v>
      </c>
      <c r="B81" s="32" t="s">
        <v>727</v>
      </c>
      <c r="C81" s="32" t="s">
        <v>442</v>
      </c>
      <c r="D81" s="521"/>
      <c r="E81" s="464"/>
      <c r="F81" s="565">
        <v>23.967030000000001</v>
      </c>
      <c r="G81" s="37">
        <v>7119326</v>
      </c>
      <c r="H81" s="564">
        <v>210765</v>
      </c>
      <c r="I81" s="518"/>
      <c r="J81" s="13"/>
      <c r="K81" s="430"/>
      <c r="L81" s="431"/>
    </row>
    <row r="82" spans="1:12" x14ac:dyDescent="0.35">
      <c r="A82" s="484" t="s">
        <v>171</v>
      </c>
      <c r="B82" s="33" t="s">
        <v>727</v>
      </c>
      <c r="C82" s="33" t="s">
        <v>468</v>
      </c>
      <c r="D82" s="465" t="s">
        <v>1341</v>
      </c>
      <c r="E82" s="464"/>
      <c r="F82" s="565">
        <v>24.161930000000002</v>
      </c>
      <c r="G82" s="486">
        <v>8103002</v>
      </c>
      <c r="H82" s="564">
        <v>210766</v>
      </c>
      <c r="I82" s="518"/>
      <c r="J82" s="13"/>
      <c r="K82" s="430"/>
      <c r="L82" s="431"/>
    </row>
    <row r="83" spans="1:12" x14ac:dyDescent="0.35">
      <c r="A83" s="31" t="s">
        <v>1052</v>
      </c>
      <c r="B83" s="32" t="s">
        <v>1055</v>
      </c>
      <c r="C83" s="32" t="s">
        <v>577</v>
      </c>
      <c r="D83" s="521" t="s">
        <v>1341</v>
      </c>
      <c r="E83" s="464"/>
      <c r="F83" s="565">
        <v>25.435459999999999</v>
      </c>
      <c r="G83" s="483">
        <v>7833537</v>
      </c>
      <c r="H83" s="564">
        <v>210767</v>
      </c>
      <c r="I83" s="518"/>
      <c r="J83" s="13"/>
      <c r="K83" s="430"/>
      <c r="L83" s="431"/>
    </row>
    <row r="84" spans="1:12" x14ac:dyDescent="0.35">
      <c r="A84" s="31" t="s">
        <v>1053</v>
      </c>
      <c r="B84" s="32" t="s">
        <v>1055</v>
      </c>
      <c r="C84" s="32" t="s">
        <v>442</v>
      </c>
      <c r="D84" s="521" t="s">
        <v>1341</v>
      </c>
      <c r="E84" s="464"/>
      <c r="F84" s="565">
        <v>25.435459999999999</v>
      </c>
      <c r="G84" s="483">
        <v>7134230</v>
      </c>
      <c r="H84" s="564">
        <v>210768</v>
      </c>
      <c r="I84" s="518"/>
      <c r="J84" s="13"/>
      <c r="K84" s="430"/>
      <c r="L84" s="431"/>
    </row>
    <row r="85" spans="1:12" x14ac:dyDescent="0.35">
      <c r="A85" s="484" t="s">
        <v>1054</v>
      </c>
      <c r="B85" s="33" t="s">
        <v>1055</v>
      </c>
      <c r="C85" s="33" t="s">
        <v>468</v>
      </c>
      <c r="D85" s="465" t="s">
        <v>1341</v>
      </c>
      <c r="E85" s="464"/>
      <c r="F85" s="565">
        <v>25.630549999999999</v>
      </c>
      <c r="G85" s="485">
        <v>8122542</v>
      </c>
      <c r="H85" s="564">
        <v>210769</v>
      </c>
      <c r="I85" s="518"/>
      <c r="J85" s="13"/>
      <c r="K85" s="430"/>
      <c r="L85" s="431"/>
    </row>
    <row r="86" spans="1:12" x14ac:dyDescent="0.35">
      <c r="A86" s="31" t="s">
        <v>1194</v>
      </c>
      <c r="B86" s="32" t="s">
        <v>1200</v>
      </c>
      <c r="C86" s="32" t="s">
        <v>577</v>
      </c>
      <c r="D86" s="521" t="s">
        <v>1341</v>
      </c>
      <c r="E86" s="464"/>
      <c r="F86" s="565">
        <v>29.71855</v>
      </c>
      <c r="G86" s="483">
        <v>7843319</v>
      </c>
      <c r="H86" s="564">
        <v>210770</v>
      </c>
      <c r="I86" s="518"/>
      <c r="J86" s="13"/>
      <c r="K86" s="430"/>
      <c r="L86" s="431"/>
    </row>
    <row r="87" spans="1:12" x14ac:dyDescent="0.35">
      <c r="A87" s="31" t="s">
        <v>1195</v>
      </c>
      <c r="B87" s="32" t="s">
        <v>1200</v>
      </c>
      <c r="C87" s="32" t="s">
        <v>442</v>
      </c>
      <c r="D87" s="521" t="s">
        <v>1341</v>
      </c>
      <c r="E87" s="464"/>
      <c r="F87" s="565">
        <v>29.71855</v>
      </c>
      <c r="G87" s="483">
        <v>7163931</v>
      </c>
      <c r="H87" s="564">
        <v>210771</v>
      </c>
      <c r="I87" s="518"/>
      <c r="J87" s="13"/>
      <c r="K87" s="430"/>
      <c r="L87" s="431"/>
    </row>
    <row r="88" spans="1:12" x14ac:dyDescent="0.35">
      <c r="A88" s="484" t="s">
        <v>1196</v>
      </c>
      <c r="B88" s="33" t="s">
        <v>1200</v>
      </c>
      <c r="C88" s="33" t="s">
        <v>468</v>
      </c>
      <c r="D88" s="465" t="s">
        <v>1341</v>
      </c>
      <c r="E88" s="464"/>
      <c r="F88" s="565">
        <v>29.913450000000001</v>
      </c>
      <c r="G88" s="485">
        <v>8134692</v>
      </c>
      <c r="H88" s="641">
        <v>210772</v>
      </c>
      <c r="I88" s="518"/>
      <c r="J88" s="13"/>
      <c r="K88" s="430"/>
      <c r="L88" s="431"/>
    </row>
    <row r="89" spans="1:12" x14ac:dyDescent="0.35">
      <c r="A89" s="31" t="s">
        <v>1197</v>
      </c>
      <c r="B89" s="32" t="s">
        <v>1201</v>
      </c>
      <c r="C89" s="32" t="s">
        <v>577</v>
      </c>
      <c r="D89" s="521" t="s">
        <v>1341</v>
      </c>
      <c r="E89" s="464"/>
      <c r="F89" s="565">
        <v>30.819780000000002</v>
      </c>
      <c r="G89" s="483">
        <v>7862096</v>
      </c>
      <c r="H89" s="564">
        <v>210773</v>
      </c>
      <c r="I89" s="518"/>
      <c r="J89" s="13"/>
      <c r="K89" s="430"/>
      <c r="L89" s="431"/>
    </row>
    <row r="90" spans="1:12" x14ac:dyDescent="0.35">
      <c r="A90" s="31" t="s">
        <v>1198</v>
      </c>
      <c r="B90" s="32" t="s">
        <v>1201</v>
      </c>
      <c r="C90" s="32" t="s">
        <v>442</v>
      </c>
      <c r="D90" s="521" t="s">
        <v>1341</v>
      </c>
      <c r="E90" s="464"/>
      <c r="F90" s="565">
        <v>30.819780000000002</v>
      </c>
      <c r="G90" s="483">
        <v>7170704</v>
      </c>
      <c r="H90" s="564">
        <v>210774</v>
      </c>
      <c r="I90" s="518"/>
      <c r="J90" s="13"/>
      <c r="K90" s="430"/>
      <c r="L90" s="431"/>
    </row>
    <row r="91" spans="1:12" x14ac:dyDescent="0.35">
      <c r="A91" s="484" t="s">
        <v>1199</v>
      </c>
      <c r="B91" s="33" t="s">
        <v>1201</v>
      </c>
      <c r="C91" s="33" t="s">
        <v>468</v>
      </c>
      <c r="D91" s="465" t="s">
        <v>1341</v>
      </c>
      <c r="E91" s="464"/>
      <c r="F91" s="565">
        <v>31.014679999999998</v>
      </c>
      <c r="G91" s="485">
        <v>8142017</v>
      </c>
      <c r="H91" s="564">
        <v>210775</v>
      </c>
      <c r="I91" s="518"/>
      <c r="J91" s="13"/>
      <c r="K91" s="430"/>
      <c r="L91" s="431"/>
    </row>
    <row r="92" spans="1:12" x14ac:dyDescent="0.35">
      <c r="A92" s="31"/>
      <c r="B92" s="32"/>
      <c r="C92" s="32"/>
      <c r="D92" s="521"/>
      <c r="E92" s="464"/>
      <c r="F92" s="565"/>
      <c r="G92" s="37"/>
      <c r="H92" s="564"/>
      <c r="I92" s="518"/>
      <c r="J92" s="21"/>
      <c r="K92" s="430"/>
      <c r="L92" s="431"/>
    </row>
    <row r="93" spans="1:12" x14ac:dyDescent="0.35">
      <c r="A93" s="488" t="s">
        <v>1180</v>
      </c>
      <c r="B93" s="32"/>
      <c r="C93" s="32"/>
      <c r="D93" s="521"/>
      <c r="E93" s="464"/>
      <c r="F93" s="565"/>
      <c r="G93" s="37"/>
      <c r="H93" s="564"/>
      <c r="I93" s="518"/>
      <c r="J93" s="21"/>
      <c r="K93" s="430"/>
      <c r="L93" s="431"/>
    </row>
    <row r="94" spans="1:12" x14ac:dyDescent="0.35">
      <c r="A94" s="34" t="s">
        <v>1181</v>
      </c>
      <c r="B94" s="32" t="s">
        <v>1056</v>
      </c>
      <c r="C94" s="32" t="s">
        <v>439</v>
      </c>
      <c r="D94" s="521"/>
      <c r="E94" s="464"/>
      <c r="F94" s="565">
        <v>16.390229999999999</v>
      </c>
      <c r="G94" s="489">
        <v>8000501</v>
      </c>
      <c r="H94" s="641">
        <v>14300</v>
      </c>
      <c r="I94" s="518"/>
      <c r="J94" s="21"/>
      <c r="K94" s="430"/>
      <c r="L94" s="431"/>
    </row>
    <row r="95" spans="1:12" x14ac:dyDescent="0.35">
      <c r="A95" s="34" t="s">
        <v>1182</v>
      </c>
      <c r="B95" s="32" t="s">
        <v>1057</v>
      </c>
      <c r="C95" s="32" t="s">
        <v>439</v>
      </c>
      <c r="D95" s="521"/>
      <c r="E95" s="464"/>
      <c r="F95" s="565">
        <v>16.390229999999999</v>
      </c>
      <c r="G95" s="489">
        <v>8091502</v>
      </c>
      <c r="H95" s="641">
        <v>14299</v>
      </c>
      <c r="I95" s="518"/>
      <c r="J95" s="21"/>
      <c r="K95" s="430"/>
      <c r="L95" s="431"/>
    </row>
    <row r="96" spans="1:12" x14ac:dyDescent="0.35">
      <c r="A96" s="34" t="s">
        <v>1183</v>
      </c>
      <c r="B96" s="32" t="s">
        <v>1058</v>
      </c>
      <c r="C96" s="32" t="s">
        <v>439</v>
      </c>
      <c r="D96" s="521"/>
      <c r="E96" s="464"/>
      <c r="F96" s="565">
        <v>16.390229999999999</v>
      </c>
      <c r="G96" s="489">
        <v>8359762</v>
      </c>
      <c r="H96" s="641">
        <v>14301</v>
      </c>
      <c r="I96" s="518"/>
      <c r="J96" s="21"/>
      <c r="K96" s="430"/>
      <c r="L96" s="431"/>
    </row>
    <row r="97" spans="1:12" x14ac:dyDescent="0.35">
      <c r="A97" s="34" t="s">
        <v>1184</v>
      </c>
      <c r="B97" s="32" t="s">
        <v>1060</v>
      </c>
      <c r="C97" s="32" t="s">
        <v>439</v>
      </c>
      <c r="D97" s="521"/>
      <c r="E97" s="464"/>
      <c r="F97" s="565">
        <v>16.512820000000001</v>
      </c>
      <c r="G97" s="489">
        <v>8445585</v>
      </c>
      <c r="H97" s="564">
        <v>14302</v>
      </c>
      <c r="I97" s="518"/>
      <c r="J97" s="21"/>
      <c r="K97" s="430"/>
      <c r="L97" s="431"/>
    </row>
    <row r="98" spans="1:12" x14ac:dyDescent="0.35">
      <c r="A98" s="34" t="s">
        <v>1185</v>
      </c>
      <c r="B98" s="32" t="s">
        <v>1059</v>
      </c>
      <c r="C98" s="32" t="s">
        <v>439</v>
      </c>
      <c r="D98" s="521"/>
      <c r="E98" s="464"/>
      <c r="F98" s="565">
        <v>16.63541</v>
      </c>
      <c r="G98" s="489">
        <v>8517597</v>
      </c>
      <c r="H98" s="564">
        <v>14303</v>
      </c>
      <c r="I98" s="518"/>
      <c r="J98" s="22"/>
      <c r="K98" s="430"/>
      <c r="L98" s="431"/>
    </row>
    <row r="99" spans="1:12" x14ac:dyDescent="0.35">
      <c r="A99" s="34" t="s">
        <v>1186</v>
      </c>
      <c r="B99" s="32" t="s">
        <v>1061</v>
      </c>
      <c r="C99" s="32" t="s">
        <v>439</v>
      </c>
      <c r="D99" s="521"/>
      <c r="E99" s="464"/>
      <c r="F99" s="565">
        <v>22.021799999999999</v>
      </c>
      <c r="G99" s="489">
        <v>6861652</v>
      </c>
      <c r="H99" s="564">
        <v>311001</v>
      </c>
      <c r="I99" s="518"/>
      <c r="J99" s="22"/>
      <c r="K99" s="430"/>
      <c r="L99" s="431"/>
    </row>
    <row r="100" spans="1:12" x14ac:dyDescent="0.35">
      <c r="A100" s="34" t="s">
        <v>1187</v>
      </c>
      <c r="B100" s="32" t="s">
        <v>770</v>
      </c>
      <c r="C100" s="32" t="s">
        <v>439</v>
      </c>
      <c r="D100" s="521"/>
      <c r="E100" s="464"/>
      <c r="F100" s="565">
        <v>15.919919999999999</v>
      </c>
      <c r="G100" s="489">
        <v>8548489</v>
      </c>
      <c r="H100" s="641">
        <v>14304</v>
      </c>
      <c r="I100" s="518"/>
      <c r="J100" s="22"/>
      <c r="K100" s="430"/>
      <c r="L100" s="431"/>
    </row>
    <row r="101" spans="1:12" x14ac:dyDescent="0.35">
      <c r="A101" s="34" t="s">
        <v>1188</v>
      </c>
      <c r="B101" s="32" t="s">
        <v>771</v>
      </c>
      <c r="C101" s="32" t="s">
        <v>439</v>
      </c>
      <c r="D101" s="521"/>
      <c r="E101" s="464"/>
      <c r="F101" s="565">
        <v>24.51277</v>
      </c>
      <c r="G101" s="489">
        <v>6861712</v>
      </c>
      <c r="H101" s="564">
        <v>310998</v>
      </c>
      <c r="I101" s="518"/>
      <c r="J101" s="22"/>
      <c r="K101" s="430"/>
      <c r="L101" s="431"/>
    </row>
    <row r="102" spans="1:12" x14ac:dyDescent="0.35">
      <c r="A102" s="34" t="s">
        <v>1189</v>
      </c>
      <c r="B102" s="32" t="s">
        <v>1062</v>
      </c>
      <c r="C102" s="32" t="s">
        <v>439</v>
      </c>
      <c r="D102" s="521"/>
      <c r="E102" s="464"/>
      <c r="F102" s="565">
        <v>17.614419999999999</v>
      </c>
      <c r="G102" s="489">
        <v>8653566</v>
      </c>
      <c r="H102" s="564">
        <v>14305</v>
      </c>
      <c r="I102" s="518"/>
      <c r="J102" s="22"/>
      <c r="K102" s="430"/>
      <c r="L102" s="431"/>
    </row>
    <row r="103" spans="1:12" x14ac:dyDescent="0.35">
      <c r="A103" s="34" t="s">
        <v>1190</v>
      </c>
      <c r="B103" s="32" t="s">
        <v>1063</v>
      </c>
      <c r="C103" s="32" t="s">
        <v>439</v>
      </c>
      <c r="D103" s="521"/>
      <c r="E103" s="464"/>
      <c r="F103" s="565">
        <v>23.001000000000001</v>
      </c>
      <c r="G103" s="489">
        <v>6877115</v>
      </c>
      <c r="H103" s="564">
        <v>14382</v>
      </c>
      <c r="I103" s="518"/>
      <c r="J103" s="22"/>
      <c r="K103" s="430"/>
      <c r="L103" s="431"/>
    </row>
    <row r="104" spans="1:12" x14ac:dyDescent="0.35">
      <c r="A104" s="34" t="s">
        <v>1191</v>
      </c>
      <c r="B104" s="32" t="s">
        <v>1064</v>
      </c>
      <c r="C104" s="32" t="s">
        <v>439</v>
      </c>
      <c r="D104" s="521"/>
      <c r="E104" s="464"/>
      <c r="F104" s="565">
        <v>20.570499999999999</v>
      </c>
      <c r="G104" s="489">
        <v>8785467</v>
      </c>
      <c r="H104" s="564">
        <v>296178</v>
      </c>
      <c r="I104" s="518"/>
      <c r="J104" s="22"/>
      <c r="K104" s="430"/>
      <c r="L104" s="431"/>
    </row>
    <row r="105" spans="1:12" x14ac:dyDescent="0.35">
      <c r="A105" s="34" t="s">
        <v>1192</v>
      </c>
      <c r="B105" s="32" t="s">
        <v>1065</v>
      </c>
      <c r="C105" s="32" t="s">
        <v>439</v>
      </c>
      <c r="D105" s="521"/>
      <c r="E105" s="464"/>
      <c r="F105" s="565">
        <v>25.957080000000001</v>
      </c>
      <c r="G105" s="489">
        <v>6885191</v>
      </c>
      <c r="H105" s="564">
        <v>14383</v>
      </c>
      <c r="I105" s="518"/>
      <c r="J105" s="22"/>
      <c r="K105" s="430"/>
      <c r="L105" s="431"/>
    </row>
    <row r="106" spans="1:12" x14ac:dyDescent="0.35">
      <c r="A106" s="34" t="s">
        <v>1193</v>
      </c>
      <c r="B106" s="32" t="s">
        <v>772</v>
      </c>
      <c r="C106" s="32" t="s">
        <v>439</v>
      </c>
      <c r="D106" s="521"/>
      <c r="E106" s="464"/>
      <c r="F106" s="565">
        <v>26.813510000000001</v>
      </c>
      <c r="G106" s="489">
        <v>6885499</v>
      </c>
      <c r="H106" s="564">
        <v>14384</v>
      </c>
      <c r="I106" s="518"/>
      <c r="J106" s="22"/>
      <c r="K106" s="430"/>
      <c r="L106" s="431"/>
    </row>
    <row r="107" spans="1:12" x14ac:dyDescent="0.35">
      <c r="A107" s="490"/>
      <c r="B107" s="32"/>
      <c r="C107" s="32"/>
      <c r="D107" s="521"/>
      <c r="E107" s="464"/>
      <c r="F107" s="565"/>
      <c r="G107" s="487"/>
      <c r="H107" s="564"/>
      <c r="I107" s="518"/>
      <c r="J107" s="22"/>
      <c r="K107" s="430"/>
      <c r="L107" s="431"/>
    </row>
    <row r="108" spans="1:12" x14ac:dyDescent="0.35">
      <c r="A108" s="491" t="s">
        <v>765</v>
      </c>
      <c r="B108" s="33"/>
      <c r="C108" s="33"/>
      <c r="D108" s="465"/>
      <c r="E108" s="464"/>
      <c r="F108" s="565"/>
      <c r="G108" s="35"/>
      <c r="H108" s="564"/>
      <c r="I108" s="518"/>
      <c r="J108" s="22"/>
      <c r="K108" s="430"/>
      <c r="L108" s="431"/>
    </row>
    <row r="109" spans="1:12" x14ac:dyDescent="0.35">
      <c r="A109" s="492" t="s">
        <v>1069</v>
      </c>
      <c r="B109" s="32" t="s">
        <v>1066</v>
      </c>
      <c r="C109" s="32" t="s">
        <v>439</v>
      </c>
      <c r="D109" s="521"/>
      <c r="E109" s="464"/>
      <c r="F109" s="565">
        <v>16.390229999999999</v>
      </c>
      <c r="G109" s="489">
        <v>9089187</v>
      </c>
      <c r="H109" s="564">
        <v>282109</v>
      </c>
      <c r="I109" s="518"/>
      <c r="J109" s="22"/>
      <c r="K109" s="430"/>
      <c r="L109" s="431"/>
    </row>
    <row r="110" spans="1:12" x14ac:dyDescent="0.35">
      <c r="A110" s="492" t="s">
        <v>1070</v>
      </c>
      <c r="B110" s="32" t="s">
        <v>1067</v>
      </c>
      <c r="C110" s="32" t="s">
        <v>439</v>
      </c>
      <c r="D110" s="521"/>
      <c r="E110" s="464"/>
      <c r="F110" s="565">
        <v>16.390229999999999</v>
      </c>
      <c r="G110" s="489">
        <v>9106907</v>
      </c>
      <c r="H110" s="564">
        <v>282110</v>
      </c>
      <c r="I110" s="518"/>
      <c r="J110" s="22"/>
      <c r="K110" s="430"/>
      <c r="L110" s="431"/>
    </row>
    <row r="111" spans="1:12" x14ac:dyDescent="0.35">
      <c r="A111" s="492" t="s">
        <v>1071</v>
      </c>
      <c r="B111" s="32" t="s">
        <v>1068</v>
      </c>
      <c r="C111" s="32" t="s">
        <v>439</v>
      </c>
      <c r="D111" s="521"/>
      <c r="E111" s="464"/>
      <c r="F111" s="565">
        <v>16.390229999999999</v>
      </c>
      <c r="G111" s="489">
        <v>9139077</v>
      </c>
      <c r="H111" s="564">
        <v>282111</v>
      </c>
      <c r="I111" s="518"/>
      <c r="J111" s="22"/>
      <c r="K111" s="430"/>
      <c r="L111" s="431"/>
    </row>
    <row r="112" spans="1:12" x14ac:dyDescent="0.35">
      <c r="A112" s="492" t="s">
        <v>769</v>
      </c>
      <c r="B112" s="32" t="s">
        <v>773</v>
      </c>
      <c r="C112" s="32" t="s">
        <v>439</v>
      </c>
      <c r="D112" s="521"/>
      <c r="E112" s="464"/>
      <c r="F112" s="565">
        <v>16.512820000000001</v>
      </c>
      <c r="G112" s="483">
        <v>9182099</v>
      </c>
      <c r="H112" s="564">
        <v>282112</v>
      </c>
      <c r="I112" s="518"/>
      <c r="J112" s="13"/>
      <c r="K112" s="430"/>
      <c r="L112" s="431"/>
    </row>
    <row r="113" spans="1:12" x14ac:dyDescent="0.35">
      <c r="A113" s="492" t="s">
        <v>768</v>
      </c>
      <c r="B113" s="32" t="s">
        <v>774</v>
      </c>
      <c r="C113" s="32" t="s">
        <v>439</v>
      </c>
      <c r="D113" s="521"/>
      <c r="E113" s="464"/>
      <c r="F113" s="565">
        <v>16.63541</v>
      </c>
      <c r="G113" s="483">
        <v>9291634</v>
      </c>
      <c r="H113" s="564">
        <v>282113</v>
      </c>
      <c r="I113" s="518"/>
      <c r="J113" s="13"/>
      <c r="K113" s="430"/>
      <c r="L113" s="431"/>
    </row>
    <row r="114" spans="1:12" x14ac:dyDescent="0.35">
      <c r="A114" s="492" t="s">
        <v>1072</v>
      </c>
      <c r="B114" s="32" t="s">
        <v>774</v>
      </c>
      <c r="C114" s="32" t="s">
        <v>439</v>
      </c>
      <c r="D114" s="521"/>
      <c r="E114" s="467"/>
      <c r="F114" s="565">
        <v>22.021809999999999</v>
      </c>
      <c r="G114" s="489">
        <v>6022202</v>
      </c>
      <c r="H114" s="564">
        <v>282117</v>
      </c>
      <c r="I114" s="518"/>
      <c r="J114" s="13"/>
      <c r="K114" s="430"/>
      <c r="L114" s="431"/>
    </row>
    <row r="115" spans="1:12" x14ac:dyDescent="0.35">
      <c r="A115" s="492" t="s">
        <v>766</v>
      </c>
      <c r="B115" s="32" t="s">
        <v>775</v>
      </c>
      <c r="C115" s="32" t="s">
        <v>439</v>
      </c>
      <c r="D115" s="521"/>
      <c r="E115" s="464"/>
      <c r="F115" s="565">
        <v>16.757819999999999</v>
      </c>
      <c r="G115" s="483">
        <v>9301459</v>
      </c>
      <c r="H115" s="564">
        <v>282114</v>
      </c>
      <c r="I115" s="518"/>
      <c r="J115" s="13"/>
      <c r="K115" s="430"/>
      <c r="L115" s="431"/>
    </row>
    <row r="116" spans="1:12" x14ac:dyDescent="0.35">
      <c r="A116" s="492" t="s">
        <v>767</v>
      </c>
      <c r="B116" s="32" t="s">
        <v>776</v>
      </c>
      <c r="C116" s="32" t="s">
        <v>439</v>
      </c>
      <c r="D116" s="521"/>
      <c r="E116" s="464"/>
      <c r="F116" s="565">
        <v>22.144390000000001</v>
      </c>
      <c r="G116" s="483">
        <v>6028270</v>
      </c>
      <c r="H116" s="564">
        <v>282118</v>
      </c>
      <c r="I116" s="518"/>
      <c r="J116" s="13"/>
      <c r="K116" s="430"/>
      <c r="L116" s="431"/>
    </row>
    <row r="117" spans="1:12" x14ac:dyDescent="0.35">
      <c r="A117" s="492" t="s">
        <v>1073</v>
      </c>
      <c r="B117" s="32" t="s">
        <v>1077</v>
      </c>
      <c r="C117" s="32" t="s">
        <v>439</v>
      </c>
      <c r="D117" s="521"/>
      <c r="E117" s="464"/>
      <c r="F117" s="565">
        <v>17.614419999999999</v>
      </c>
      <c r="G117" s="483">
        <v>9403708</v>
      </c>
      <c r="H117" s="564">
        <v>282115</v>
      </c>
      <c r="I117" s="518"/>
      <c r="J117" s="13"/>
      <c r="K117" s="430"/>
      <c r="L117" s="431"/>
    </row>
    <row r="118" spans="1:12" x14ac:dyDescent="0.35">
      <c r="A118" s="492" t="s">
        <v>1074</v>
      </c>
      <c r="B118" s="32" t="s">
        <v>1078</v>
      </c>
      <c r="C118" s="32" t="s">
        <v>439</v>
      </c>
      <c r="D118" s="521"/>
      <c r="E118" s="464"/>
      <c r="F118" s="565">
        <v>23.001000000000001</v>
      </c>
      <c r="G118" s="483">
        <v>6042877</v>
      </c>
      <c r="H118" s="564">
        <v>282119</v>
      </c>
      <c r="I118" s="518"/>
      <c r="J118" s="13"/>
      <c r="K118" s="430"/>
      <c r="L118" s="431"/>
    </row>
    <row r="119" spans="1:12" x14ac:dyDescent="0.35">
      <c r="A119" s="492" t="s">
        <v>1075</v>
      </c>
      <c r="B119" s="32" t="s">
        <v>1079</v>
      </c>
      <c r="C119" s="32" t="s">
        <v>439</v>
      </c>
      <c r="D119" s="521"/>
      <c r="E119" s="464"/>
      <c r="F119" s="565">
        <v>20.570499999999999</v>
      </c>
      <c r="G119" s="483">
        <v>9564207</v>
      </c>
      <c r="H119" s="564">
        <v>282116</v>
      </c>
      <c r="I119" s="518"/>
      <c r="J119" s="13"/>
      <c r="K119" s="430"/>
      <c r="L119" s="431"/>
    </row>
    <row r="120" spans="1:12" x14ac:dyDescent="0.35">
      <c r="A120" s="492" t="s">
        <v>1076</v>
      </c>
      <c r="B120" s="32" t="s">
        <v>1080</v>
      </c>
      <c r="C120" s="32" t="s">
        <v>439</v>
      </c>
      <c r="D120" s="521"/>
      <c r="E120" s="464"/>
      <c r="F120" s="565">
        <v>25.957080000000001</v>
      </c>
      <c r="G120" s="483">
        <v>6058115</v>
      </c>
      <c r="H120" s="564">
        <v>282120</v>
      </c>
      <c r="I120" s="518"/>
      <c r="J120" s="13"/>
      <c r="K120" s="430"/>
      <c r="L120" s="431"/>
    </row>
    <row r="121" spans="1:12" x14ac:dyDescent="0.35">
      <c r="A121" s="492" t="s">
        <v>1081</v>
      </c>
      <c r="B121" s="32" t="s">
        <v>1082</v>
      </c>
      <c r="C121" s="32" t="s">
        <v>439</v>
      </c>
      <c r="D121" s="521"/>
      <c r="E121" s="464"/>
      <c r="F121" s="565">
        <v>26.813510000000001</v>
      </c>
      <c r="G121" s="483">
        <v>6063496</v>
      </c>
      <c r="H121" s="564">
        <v>282121</v>
      </c>
      <c r="I121" s="518"/>
      <c r="J121" s="13"/>
      <c r="K121" s="430"/>
      <c r="L121" s="431"/>
    </row>
    <row r="122" spans="1:12" x14ac:dyDescent="0.35">
      <c r="A122" s="492"/>
      <c r="B122" s="32"/>
      <c r="C122" s="32"/>
      <c r="D122" s="521"/>
      <c r="E122" s="464"/>
      <c r="F122" s="565"/>
      <c r="G122" s="493"/>
      <c r="H122" s="564"/>
      <c r="I122" s="518"/>
      <c r="J122" s="13"/>
      <c r="K122" s="430"/>
      <c r="L122" s="431"/>
    </row>
    <row r="123" spans="1:12" x14ac:dyDescent="0.35">
      <c r="A123" s="491" t="s">
        <v>781</v>
      </c>
      <c r="B123" s="32"/>
      <c r="C123" s="32"/>
      <c r="D123" s="521"/>
      <c r="E123" s="464"/>
      <c r="F123" s="565"/>
      <c r="G123" s="493"/>
      <c r="H123" s="564"/>
      <c r="I123" s="518"/>
      <c r="J123" s="13"/>
      <c r="K123" s="430"/>
      <c r="L123" s="431"/>
    </row>
    <row r="124" spans="1:12" x14ac:dyDescent="0.35">
      <c r="A124" s="492" t="s">
        <v>1086</v>
      </c>
      <c r="B124" s="32" t="s">
        <v>1084</v>
      </c>
      <c r="C124" s="32" t="s">
        <v>543</v>
      </c>
      <c r="D124" s="521"/>
      <c r="E124" s="464"/>
      <c r="F124" s="565">
        <v>15.88349</v>
      </c>
      <c r="G124" s="483">
        <v>3157261</v>
      </c>
      <c r="H124" s="564">
        <v>284454</v>
      </c>
      <c r="I124" s="518"/>
      <c r="J124" s="429"/>
      <c r="K124" s="430"/>
      <c r="L124" s="431"/>
    </row>
    <row r="125" spans="1:12" x14ac:dyDescent="0.35">
      <c r="A125" s="492" t="s">
        <v>1083</v>
      </c>
      <c r="B125" s="32" t="s">
        <v>1085</v>
      </c>
      <c r="C125" s="32" t="s">
        <v>788</v>
      </c>
      <c r="D125" s="521"/>
      <c r="E125" s="464"/>
      <c r="F125" s="565">
        <v>15.88349</v>
      </c>
      <c r="G125" s="483">
        <v>7846331</v>
      </c>
      <c r="H125" s="564">
        <v>282122</v>
      </c>
      <c r="I125" s="518"/>
      <c r="J125" s="429"/>
      <c r="K125" s="430"/>
      <c r="L125" s="431"/>
    </row>
    <row r="126" spans="1:12" x14ac:dyDescent="0.35">
      <c r="A126" s="492" t="s">
        <v>782</v>
      </c>
      <c r="B126" s="32" t="s">
        <v>785</v>
      </c>
      <c r="C126" s="32" t="s">
        <v>788</v>
      </c>
      <c r="D126" s="521"/>
      <c r="E126" s="464"/>
      <c r="F126" s="565">
        <v>15.88348</v>
      </c>
      <c r="G126" s="494">
        <v>3688343</v>
      </c>
      <c r="H126" s="564">
        <v>284455</v>
      </c>
      <c r="I126" s="518"/>
      <c r="J126" s="429"/>
      <c r="K126" s="430"/>
      <c r="L126" s="431"/>
    </row>
    <row r="127" spans="1:12" x14ac:dyDescent="0.35">
      <c r="A127" s="492" t="s">
        <v>783</v>
      </c>
      <c r="B127" s="32" t="s">
        <v>786</v>
      </c>
      <c r="C127" s="32" t="s">
        <v>479</v>
      </c>
      <c r="D127" s="521"/>
      <c r="E127" s="464"/>
      <c r="F127" s="565">
        <v>15.88348</v>
      </c>
      <c r="G127" s="494">
        <v>1023195</v>
      </c>
      <c r="H127" s="564">
        <v>282123</v>
      </c>
      <c r="I127" s="518"/>
      <c r="J127" s="429"/>
      <c r="K127" s="430"/>
      <c r="L127" s="431"/>
    </row>
    <row r="128" spans="1:12" x14ac:dyDescent="0.35">
      <c r="A128" s="492" t="s">
        <v>784</v>
      </c>
      <c r="B128" s="32" t="s">
        <v>787</v>
      </c>
      <c r="C128" s="32" t="s">
        <v>500</v>
      </c>
      <c r="D128" s="521"/>
      <c r="E128" s="464"/>
      <c r="F128" s="565">
        <v>15.88348</v>
      </c>
      <c r="G128" s="494">
        <v>9792576</v>
      </c>
      <c r="H128" s="564">
        <v>282124</v>
      </c>
      <c r="I128" s="518"/>
      <c r="J128" s="429"/>
      <c r="K128" s="430"/>
      <c r="L128" s="431"/>
    </row>
    <row r="129" spans="1:12" x14ac:dyDescent="0.35">
      <c r="A129" s="484"/>
      <c r="B129" s="33"/>
      <c r="C129" s="33"/>
      <c r="D129" s="465"/>
      <c r="E129" s="464"/>
      <c r="F129" s="565"/>
      <c r="G129" s="495"/>
      <c r="H129" s="564"/>
      <c r="I129" s="518"/>
      <c r="J129" s="13"/>
      <c r="K129" s="430"/>
      <c r="L129" s="431"/>
    </row>
    <row r="130" spans="1:12" x14ac:dyDescent="0.35">
      <c r="A130" s="492" t="s">
        <v>789</v>
      </c>
      <c r="B130" s="32" t="s">
        <v>794</v>
      </c>
      <c r="C130" s="32" t="s">
        <v>788</v>
      </c>
      <c r="D130" s="521"/>
      <c r="E130" s="464"/>
      <c r="F130" s="565">
        <v>0.22786000000000001</v>
      </c>
      <c r="G130" s="494">
        <v>1512005</v>
      </c>
      <c r="H130" s="564">
        <v>275348</v>
      </c>
      <c r="I130" s="518"/>
      <c r="J130" s="13"/>
      <c r="K130" s="430"/>
      <c r="L130" s="431"/>
    </row>
    <row r="131" spans="1:12" x14ac:dyDescent="0.35">
      <c r="A131" s="492" t="s">
        <v>790</v>
      </c>
      <c r="B131" s="32" t="s">
        <v>795</v>
      </c>
      <c r="C131" s="32" t="s">
        <v>798</v>
      </c>
      <c r="D131" s="521"/>
      <c r="E131" s="464"/>
      <c r="F131" s="565">
        <v>3.75244</v>
      </c>
      <c r="G131" s="494">
        <v>2101757</v>
      </c>
      <c r="H131" s="564">
        <v>282277</v>
      </c>
      <c r="I131" s="518"/>
      <c r="J131" s="13"/>
      <c r="K131" s="430"/>
      <c r="L131" s="431"/>
    </row>
    <row r="132" spans="1:12" x14ac:dyDescent="0.35">
      <c r="A132" s="492" t="s">
        <v>791</v>
      </c>
      <c r="B132" s="32" t="s">
        <v>796</v>
      </c>
      <c r="C132" s="32" t="s">
        <v>788</v>
      </c>
      <c r="D132" s="521"/>
      <c r="E132" s="464"/>
      <c r="F132" s="565">
        <v>0.91122999999999998</v>
      </c>
      <c r="G132" s="494">
        <v>8133273</v>
      </c>
      <c r="H132" s="564">
        <v>293824</v>
      </c>
      <c r="I132" s="518"/>
      <c r="J132" s="13"/>
      <c r="K132" s="430"/>
      <c r="L132" s="431"/>
    </row>
    <row r="133" spans="1:12" x14ac:dyDescent="0.35">
      <c r="A133" s="484"/>
      <c r="B133" s="33"/>
      <c r="C133" s="33"/>
      <c r="D133" s="465"/>
      <c r="E133" s="464"/>
      <c r="F133" s="565"/>
      <c r="G133" s="495"/>
      <c r="H133" s="564"/>
      <c r="I133" s="518"/>
      <c r="J133" s="13"/>
      <c r="K133" s="430"/>
      <c r="L133" s="431"/>
    </row>
    <row r="134" spans="1:12" x14ac:dyDescent="0.35">
      <c r="A134" s="492" t="s">
        <v>792</v>
      </c>
      <c r="B134" s="32" t="s">
        <v>797</v>
      </c>
      <c r="C134" s="32" t="s">
        <v>481</v>
      </c>
      <c r="D134" s="521"/>
      <c r="E134" s="464"/>
      <c r="F134" s="565">
        <v>0.23594999999999999</v>
      </c>
      <c r="G134" s="494">
        <v>5690481</v>
      </c>
      <c r="H134" s="564">
        <v>293797</v>
      </c>
      <c r="I134" s="518"/>
      <c r="J134" s="13"/>
      <c r="K134" s="430"/>
      <c r="L134" s="431"/>
    </row>
    <row r="135" spans="1:12" x14ac:dyDescent="0.35">
      <c r="A135" s="492" t="s">
        <v>793</v>
      </c>
      <c r="B135" s="32" t="s">
        <v>799</v>
      </c>
      <c r="C135" s="32" t="s">
        <v>479</v>
      </c>
      <c r="D135" s="521"/>
      <c r="E135" s="464"/>
      <c r="F135" s="565">
        <v>1.1712800000000001</v>
      </c>
      <c r="G135" s="494">
        <v>1486446</v>
      </c>
      <c r="H135" s="564">
        <v>293796</v>
      </c>
      <c r="I135" s="518"/>
      <c r="J135" s="13"/>
      <c r="K135" s="430"/>
      <c r="L135" s="431"/>
    </row>
    <row r="136" spans="1:12" x14ac:dyDescent="0.35">
      <c r="A136" s="484"/>
      <c r="B136" s="33"/>
      <c r="C136" s="33"/>
      <c r="D136" s="465"/>
      <c r="E136" s="464"/>
      <c r="F136" s="565"/>
      <c r="G136" s="495"/>
      <c r="H136" s="564"/>
      <c r="I136" s="518"/>
      <c r="J136" s="13"/>
      <c r="K136" s="430"/>
      <c r="L136" s="431"/>
    </row>
    <row r="137" spans="1:12" x14ac:dyDescent="0.35">
      <c r="A137" s="484"/>
      <c r="B137" s="33"/>
      <c r="C137" s="33"/>
      <c r="D137" s="465"/>
      <c r="E137" s="464"/>
      <c r="F137" s="565"/>
      <c r="G137" s="495"/>
      <c r="H137" s="564"/>
      <c r="I137" s="518"/>
      <c r="J137" s="13"/>
      <c r="K137" s="430"/>
      <c r="L137" s="431"/>
    </row>
    <row r="138" spans="1:12" x14ac:dyDescent="0.35">
      <c r="A138" s="492"/>
      <c r="B138" s="32"/>
      <c r="C138" s="32"/>
      <c r="D138" s="521"/>
      <c r="E138" s="464"/>
      <c r="F138" s="565"/>
      <c r="G138" s="496"/>
      <c r="H138" s="564"/>
      <c r="I138" s="518"/>
      <c r="J138" s="13"/>
      <c r="K138" s="430"/>
      <c r="L138" s="431"/>
    </row>
    <row r="139" spans="1:12" x14ac:dyDescent="0.35">
      <c r="A139" s="31"/>
      <c r="B139" s="32"/>
      <c r="C139" s="32"/>
      <c r="D139" s="521"/>
      <c r="E139" s="464"/>
      <c r="F139" s="565"/>
      <c r="G139" s="487"/>
      <c r="H139" s="564"/>
      <c r="I139" s="518"/>
      <c r="J139" s="13"/>
      <c r="K139" s="430"/>
      <c r="L139" s="431"/>
    </row>
    <row r="140" spans="1:12" x14ac:dyDescent="0.35">
      <c r="A140" s="34"/>
      <c r="B140" s="32"/>
      <c r="C140" s="32"/>
      <c r="D140" s="521"/>
      <c r="E140" s="464"/>
      <c r="F140" s="565"/>
      <c r="G140" s="487"/>
      <c r="H140" s="564"/>
      <c r="I140" s="518"/>
      <c r="J140" s="13"/>
      <c r="K140" s="430"/>
      <c r="L140" s="431"/>
    </row>
    <row r="141" spans="1:12" x14ac:dyDescent="0.35">
      <c r="A141" s="34"/>
      <c r="B141" s="32"/>
      <c r="C141" s="32"/>
      <c r="D141" s="521"/>
      <c r="E141" s="464"/>
      <c r="F141" s="565"/>
      <c r="G141" s="487"/>
      <c r="H141" s="564"/>
      <c r="I141" s="518"/>
      <c r="J141" s="13"/>
      <c r="K141" s="430"/>
      <c r="L141" s="431"/>
    </row>
    <row r="142" spans="1:12" x14ac:dyDescent="0.35">
      <c r="A142" s="488" t="s">
        <v>176</v>
      </c>
      <c r="B142" s="32"/>
      <c r="C142" s="32"/>
      <c r="D142" s="521"/>
      <c r="E142" s="464"/>
      <c r="F142" s="565"/>
      <c r="G142" s="487"/>
      <c r="H142" s="564"/>
      <c r="I142" s="518"/>
      <c r="J142" s="13"/>
      <c r="K142" s="430"/>
      <c r="L142" s="431"/>
    </row>
    <row r="143" spans="1:12" x14ac:dyDescent="0.35">
      <c r="A143" s="34" t="s">
        <v>588</v>
      </c>
      <c r="B143" s="32" t="s">
        <v>470</v>
      </c>
      <c r="C143" s="32" t="s">
        <v>577</v>
      </c>
      <c r="D143" s="521"/>
      <c r="E143" s="464"/>
      <c r="F143" s="565">
        <v>1.4347399999999999</v>
      </c>
      <c r="G143" s="37">
        <v>5823334</v>
      </c>
      <c r="H143" s="564">
        <v>202540</v>
      </c>
      <c r="I143" s="518"/>
      <c r="J143" s="13"/>
      <c r="K143" s="430"/>
      <c r="L143" s="431"/>
    </row>
    <row r="144" spans="1:12" x14ac:dyDescent="0.35">
      <c r="A144" s="34" t="s">
        <v>587</v>
      </c>
      <c r="B144" s="32" t="s">
        <v>470</v>
      </c>
      <c r="C144" s="32" t="s">
        <v>442</v>
      </c>
      <c r="D144" s="521"/>
      <c r="E144" s="464"/>
      <c r="F144" s="565">
        <v>1.4347399999999999</v>
      </c>
      <c r="G144" s="37">
        <v>4305133</v>
      </c>
      <c r="H144" s="564" t="s">
        <v>1525</v>
      </c>
      <c r="I144" s="518"/>
      <c r="J144" s="13"/>
      <c r="K144" s="430"/>
      <c r="L144" s="431"/>
    </row>
    <row r="145" spans="1:12" x14ac:dyDescent="0.35">
      <c r="A145" s="34" t="s">
        <v>589</v>
      </c>
      <c r="B145" s="32" t="s">
        <v>470</v>
      </c>
      <c r="C145" s="32" t="s">
        <v>468</v>
      </c>
      <c r="D145" s="521"/>
      <c r="E145" s="464"/>
      <c r="F145" s="565">
        <v>1.4347399999999999</v>
      </c>
      <c r="G145" s="37">
        <v>6548446</v>
      </c>
      <c r="H145" s="564" t="s">
        <v>1526</v>
      </c>
      <c r="I145" s="518"/>
      <c r="K145" s="430"/>
      <c r="L145" s="431"/>
    </row>
    <row r="146" spans="1:12" x14ac:dyDescent="0.35">
      <c r="A146" s="484" t="s">
        <v>1413</v>
      </c>
      <c r="B146" s="33" t="s">
        <v>470</v>
      </c>
      <c r="C146" s="33" t="s">
        <v>481</v>
      </c>
      <c r="D146" s="465" t="s">
        <v>1341</v>
      </c>
      <c r="E146" s="464"/>
      <c r="F146" s="565">
        <v>2.2325900000000001</v>
      </c>
      <c r="G146" s="485">
        <v>3520788</v>
      </c>
      <c r="H146" s="564" t="s">
        <v>1527</v>
      </c>
      <c r="I146" s="523"/>
      <c r="K146" s="430"/>
      <c r="L146" s="431"/>
    </row>
    <row r="147" spans="1:12" x14ac:dyDescent="0.35">
      <c r="A147" s="34" t="s">
        <v>606</v>
      </c>
      <c r="B147" s="32" t="s">
        <v>471</v>
      </c>
      <c r="C147" s="32" t="s">
        <v>577</v>
      </c>
      <c r="D147" s="521"/>
      <c r="E147" s="464"/>
      <c r="F147" s="565">
        <v>1.59188</v>
      </c>
      <c r="G147" s="37">
        <v>4114541</v>
      </c>
      <c r="H147" s="641">
        <v>202542</v>
      </c>
      <c r="I147" s="518"/>
      <c r="J147" s="13"/>
      <c r="K147" s="430"/>
      <c r="L147" s="431"/>
    </row>
    <row r="148" spans="1:12" x14ac:dyDescent="0.35">
      <c r="A148" s="34" t="s">
        <v>590</v>
      </c>
      <c r="B148" s="32" t="s">
        <v>471</v>
      </c>
      <c r="C148" s="32" t="s">
        <v>442</v>
      </c>
      <c r="D148" s="521"/>
      <c r="E148" s="464"/>
      <c r="F148" s="565">
        <v>1.59</v>
      </c>
      <c r="G148" s="37">
        <v>2843026</v>
      </c>
      <c r="H148" s="641" t="s">
        <v>1569</v>
      </c>
      <c r="I148" s="518"/>
      <c r="K148" s="430"/>
      <c r="L148" s="431"/>
    </row>
    <row r="149" spans="1:12" x14ac:dyDescent="0.35">
      <c r="A149" s="34" t="s">
        <v>607</v>
      </c>
      <c r="B149" s="32" t="s">
        <v>471</v>
      </c>
      <c r="C149" s="32" t="s">
        <v>468</v>
      </c>
      <c r="D149" s="521"/>
      <c r="E149" s="464"/>
      <c r="F149" s="565">
        <v>1.4347399999999999</v>
      </c>
      <c r="G149" s="37">
        <v>7448927</v>
      </c>
      <c r="H149" s="564" t="s">
        <v>1528</v>
      </c>
      <c r="I149" s="518"/>
      <c r="K149" s="430"/>
      <c r="L149" s="431"/>
    </row>
    <row r="150" spans="1:12" x14ac:dyDescent="0.35">
      <c r="A150" s="484" t="s">
        <v>1414</v>
      </c>
      <c r="B150" s="33" t="s">
        <v>471</v>
      </c>
      <c r="C150" s="33" t="s">
        <v>481</v>
      </c>
      <c r="D150" s="465" t="s">
        <v>1341</v>
      </c>
      <c r="E150" s="464"/>
      <c r="F150" s="565">
        <v>2.2325900000000001</v>
      </c>
      <c r="G150" s="485">
        <v>8304394</v>
      </c>
      <c r="H150" s="564" t="s">
        <v>1529</v>
      </c>
      <c r="I150" s="523"/>
      <c r="K150" s="430"/>
      <c r="L150" s="431"/>
    </row>
    <row r="151" spans="1:12" x14ac:dyDescent="0.35">
      <c r="A151" s="34" t="s">
        <v>609</v>
      </c>
      <c r="B151" s="32" t="s">
        <v>611</v>
      </c>
      <c r="C151" s="32" t="s">
        <v>577</v>
      </c>
      <c r="D151" s="521"/>
      <c r="E151" s="464"/>
      <c r="F151" s="565">
        <v>2.4067799999999999</v>
      </c>
      <c r="G151" s="37">
        <v>9406204</v>
      </c>
      <c r="H151" s="564">
        <v>245359</v>
      </c>
      <c r="I151" s="518"/>
      <c r="J151" s="13"/>
      <c r="K151" s="430"/>
      <c r="L151" s="431"/>
    </row>
    <row r="152" spans="1:12" x14ac:dyDescent="0.35">
      <c r="A152" s="34" t="s">
        <v>608</v>
      </c>
      <c r="B152" s="32" t="s">
        <v>611</v>
      </c>
      <c r="C152" s="32" t="s">
        <v>442</v>
      </c>
      <c r="D152" s="521"/>
      <c r="E152" s="464"/>
      <c r="F152" s="565">
        <v>2.4067799999999999</v>
      </c>
      <c r="G152" s="37">
        <v>5147820</v>
      </c>
      <c r="H152" s="564">
        <v>210776</v>
      </c>
      <c r="I152" s="518"/>
      <c r="J152" s="13"/>
      <c r="K152" s="430"/>
      <c r="L152" s="431"/>
    </row>
    <row r="153" spans="1:12" x14ac:dyDescent="0.35">
      <c r="A153" s="530" t="s">
        <v>610</v>
      </c>
      <c r="B153" s="32" t="s">
        <v>611</v>
      </c>
      <c r="C153" s="32" t="s">
        <v>468</v>
      </c>
      <c r="D153" s="521" t="s">
        <v>1341</v>
      </c>
      <c r="E153" s="464"/>
      <c r="F153" s="565">
        <v>2.4067799999999999</v>
      </c>
      <c r="G153" s="528">
        <v>2817915</v>
      </c>
      <c r="H153" s="564">
        <v>210777</v>
      </c>
      <c r="I153" s="518"/>
      <c r="J153" s="13"/>
      <c r="K153" s="430"/>
      <c r="L153" s="431"/>
    </row>
    <row r="154" spans="1:12" x14ac:dyDescent="0.35">
      <c r="A154" s="34" t="s">
        <v>613</v>
      </c>
      <c r="B154" s="32" t="s">
        <v>615</v>
      </c>
      <c r="C154" s="32" t="s">
        <v>577</v>
      </c>
      <c r="D154" s="521"/>
      <c r="E154" s="464"/>
      <c r="F154" s="565">
        <v>1.74017</v>
      </c>
      <c r="G154" s="37">
        <v>1071721</v>
      </c>
      <c r="H154" s="564">
        <v>202546</v>
      </c>
      <c r="I154" s="518"/>
      <c r="K154" s="430"/>
      <c r="L154" s="431"/>
    </row>
    <row r="155" spans="1:12" x14ac:dyDescent="0.35">
      <c r="A155" s="34" t="s">
        <v>612</v>
      </c>
      <c r="B155" s="32" t="s">
        <v>615</v>
      </c>
      <c r="C155" s="32" t="s">
        <v>442</v>
      </c>
      <c r="D155" s="521"/>
      <c r="E155" s="464"/>
      <c r="F155" s="565">
        <v>1.74017</v>
      </c>
      <c r="G155" s="37">
        <v>4049699</v>
      </c>
      <c r="H155" s="564">
        <v>202547</v>
      </c>
      <c r="I155" s="518"/>
      <c r="J155" s="13"/>
      <c r="K155" s="430"/>
      <c r="L155" s="431"/>
    </row>
    <row r="156" spans="1:12" x14ac:dyDescent="0.35">
      <c r="A156" s="34" t="s">
        <v>614</v>
      </c>
      <c r="B156" s="32" t="s">
        <v>615</v>
      </c>
      <c r="C156" s="32" t="s">
        <v>468</v>
      </c>
      <c r="D156" s="521"/>
      <c r="E156" s="464"/>
      <c r="F156" s="565">
        <v>1.74017</v>
      </c>
      <c r="G156" s="37">
        <v>1013591</v>
      </c>
      <c r="H156" s="564">
        <v>203016</v>
      </c>
      <c r="I156" s="518"/>
      <c r="J156" s="13"/>
      <c r="K156" s="430"/>
      <c r="L156" s="431"/>
    </row>
    <row r="157" spans="1:12" x14ac:dyDescent="0.35">
      <c r="A157" s="484" t="s">
        <v>1415</v>
      </c>
      <c r="B157" s="33" t="s">
        <v>615</v>
      </c>
      <c r="C157" s="33" t="s">
        <v>481</v>
      </c>
      <c r="D157" s="465" t="s">
        <v>1341</v>
      </c>
      <c r="E157" s="464"/>
      <c r="F157" s="565">
        <v>4.0943800000000001</v>
      </c>
      <c r="G157" s="485">
        <v>6373016</v>
      </c>
      <c r="H157" s="564">
        <v>278227</v>
      </c>
      <c r="I157" s="523"/>
      <c r="J157" s="13"/>
      <c r="K157" s="430"/>
      <c r="L157" s="431"/>
    </row>
    <row r="158" spans="1:12" x14ac:dyDescent="0.35">
      <c r="A158" s="34" t="s">
        <v>698</v>
      </c>
      <c r="B158" s="32" t="s">
        <v>616</v>
      </c>
      <c r="C158" s="32" t="s">
        <v>577</v>
      </c>
      <c r="D158" s="521"/>
      <c r="E158" s="464"/>
      <c r="F158" s="565">
        <v>2.7871800000000002</v>
      </c>
      <c r="G158" s="37">
        <v>2344977</v>
      </c>
      <c r="H158" s="564">
        <v>202548</v>
      </c>
      <c r="I158" s="518"/>
      <c r="K158" s="430"/>
      <c r="L158" s="431"/>
    </row>
    <row r="159" spans="1:12" x14ac:dyDescent="0.35">
      <c r="A159" s="34" t="s">
        <v>699</v>
      </c>
      <c r="B159" s="32" t="s">
        <v>616</v>
      </c>
      <c r="C159" s="32" t="s">
        <v>442</v>
      </c>
      <c r="D159" s="521"/>
      <c r="E159" s="464"/>
      <c r="F159" s="565">
        <v>2.7871800000000002</v>
      </c>
      <c r="G159" s="37">
        <v>3445250</v>
      </c>
      <c r="H159" s="564">
        <v>202549</v>
      </c>
      <c r="I159" s="518"/>
      <c r="J159" s="13"/>
      <c r="K159" s="430"/>
      <c r="L159" s="431"/>
    </row>
    <row r="160" spans="1:12" x14ac:dyDescent="0.35">
      <c r="A160" s="34" t="s">
        <v>700</v>
      </c>
      <c r="B160" s="32" t="s">
        <v>616</v>
      </c>
      <c r="C160" s="32" t="s">
        <v>468</v>
      </c>
      <c r="D160" s="521"/>
      <c r="E160" s="464"/>
      <c r="F160" s="565">
        <v>2.7871800000000002</v>
      </c>
      <c r="G160" s="37">
        <v>5903872</v>
      </c>
      <c r="H160" s="564">
        <v>203022</v>
      </c>
      <c r="I160" s="518"/>
      <c r="K160" s="430"/>
      <c r="L160" s="431"/>
    </row>
    <row r="161" spans="1:12" x14ac:dyDescent="0.35">
      <c r="A161" s="484" t="s">
        <v>1416</v>
      </c>
      <c r="B161" s="33" t="s">
        <v>616</v>
      </c>
      <c r="C161" s="33" t="s">
        <v>481</v>
      </c>
      <c r="D161" s="465" t="s">
        <v>1341</v>
      </c>
      <c r="E161" s="464"/>
      <c r="F161" s="565">
        <v>4.3301999999999996</v>
      </c>
      <c r="G161" s="485">
        <v>1965760</v>
      </c>
      <c r="H161" s="564">
        <v>203287</v>
      </c>
      <c r="I161" s="523"/>
      <c r="K161" s="430"/>
      <c r="L161" s="431"/>
    </row>
    <row r="162" spans="1:12" x14ac:dyDescent="0.35">
      <c r="A162" s="34" t="s">
        <v>618</v>
      </c>
      <c r="B162" s="32" t="s">
        <v>168</v>
      </c>
      <c r="C162" s="32" t="s">
        <v>577</v>
      </c>
      <c r="D162" s="521"/>
      <c r="E162" s="464"/>
      <c r="F162" s="565">
        <v>2.93709</v>
      </c>
      <c r="G162" s="37">
        <v>7561427</v>
      </c>
      <c r="H162" s="641">
        <v>202550</v>
      </c>
      <c r="I162" s="518"/>
      <c r="J162" s="13"/>
      <c r="K162" s="430"/>
      <c r="L162" s="431"/>
    </row>
    <row r="163" spans="1:12" x14ac:dyDescent="0.35">
      <c r="A163" s="34" t="s">
        <v>617</v>
      </c>
      <c r="B163" s="32" t="s">
        <v>472</v>
      </c>
      <c r="C163" s="32" t="s">
        <v>442</v>
      </c>
      <c r="D163" s="521"/>
      <c r="E163" s="464"/>
      <c r="F163" s="565">
        <v>2.93709</v>
      </c>
      <c r="G163" s="37">
        <v>1465799</v>
      </c>
      <c r="H163" s="641">
        <v>176852</v>
      </c>
      <c r="I163" s="518"/>
      <c r="J163" s="13"/>
      <c r="K163" s="430"/>
      <c r="L163" s="431"/>
    </row>
    <row r="164" spans="1:12" x14ac:dyDescent="0.35">
      <c r="A164" s="34" t="s">
        <v>619</v>
      </c>
      <c r="B164" s="32" t="s">
        <v>472</v>
      </c>
      <c r="C164" s="32" t="s">
        <v>468</v>
      </c>
      <c r="D164" s="521"/>
      <c r="E164" s="464"/>
      <c r="F164" s="565">
        <v>2.7871800000000002</v>
      </c>
      <c r="G164" s="37">
        <v>7482171</v>
      </c>
      <c r="H164" s="564" t="s">
        <v>1530</v>
      </c>
      <c r="I164" s="518"/>
      <c r="J164" s="13"/>
      <c r="K164" s="430"/>
      <c r="L164" s="431"/>
    </row>
    <row r="165" spans="1:12" x14ac:dyDescent="0.35">
      <c r="A165" s="484" t="s">
        <v>1417</v>
      </c>
      <c r="B165" s="33" t="s">
        <v>472</v>
      </c>
      <c r="C165" s="33" t="s">
        <v>481</v>
      </c>
      <c r="D165" s="465" t="s">
        <v>1341</v>
      </c>
      <c r="E165" s="464"/>
      <c r="F165" s="565">
        <v>4.8156400000000001</v>
      </c>
      <c r="G165" s="485">
        <v>1721189</v>
      </c>
      <c r="H165" s="564" t="s">
        <v>1531</v>
      </c>
      <c r="I165" s="523"/>
      <c r="J165" s="13"/>
      <c r="K165" s="430"/>
      <c r="L165" s="431"/>
    </row>
    <row r="166" spans="1:12" x14ac:dyDescent="0.35">
      <c r="A166" s="34"/>
      <c r="B166" s="32"/>
      <c r="C166" s="32"/>
      <c r="D166" s="521"/>
      <c r="E166" s="464"/>
      <c r="F166" s="565"/>
      <c r="G166" s="487"/>
      <c r="H166" s="564"/>
      <c r="I166" s="518"/>
      <c r="J166" s="13"/>
      <c r="K166" s="430"/>
      <c r="L166" s="431"/>
    </row>
    <row r="167" spans="1:12" x14ac:dyDescent="0.35">
      <c r="A167" s="34" t="s">
        <v>697</v>
      </c>
      <c r="B167" s="32" t="s">
        <v>167</v>
      </c>
      <c r="C167" s="32" t="s">
        <v>577</v>
      </c>
      <c r="D167" s="521"/>
      <c r="E167" s="464"/>
      <c r="F167" s="565">
        <v>2.1385900000000002</v>
      </c>
      <c r="G167" s="37">
        <v>1646954</v>
      </c>
      <c r="H167" s="564">
        <v>210820</v>
      </c>
      <c r="I167" s="518"/>
      <c r="J167" s="13"/>
      <c r="K167" s="430"/>
      <c r="L167" s="431"/>
    </row>
    <row r="168" spans="1:12" x14ac:dyDescent="0.35">
      <c r="A168" s="34" t="s">
        <v>696</v>
      </c>
      <c r="B168" s="32" t="s">
        <v>167</v>
      </c>
      <c r="C168" s="32" t="s">
        <v>442</v>
      </c>
      <c r="D168" s="521"/>
      <c r="E168" s="464"/>
      <c r="F168" s="565">
        <v>1.5415000000000001</v>
      </c>
      <c r="G168" s="37">
        <v>3205443</v>
      </c>
      <c r="H168" s="564">
        <v>210817</v>
      </c>
      <c r="I168" s="518"/>
      <c r="J168" s="13"/>
      <c r="K168" s="430"/>
      <c r="L168" s="431"/>
    </row>
    <row r="169" spans="1:12" x14ac:dyDescent="0.35">
      <c r="A169" s="34" t="s">
        <v>197</v>
      </c>
      <c r="B169" s="32" t="s">
        <v>167</v>
      </c>
      <c r="C169" s="32" t="s">
        <v>468</v>
      </c>
      <c r="D169" s="521"/>
      <c r="E169" s="464"/>
      <c r="F169" s="565">
        <v>2.1385900000000002</v>
      </c>
      <c r="G169" s="37">
        <v>7759723</v>
      </c>
      <c r="H169" s="564">
        <v>283023</v>
      </c>
      <c r="I169" s="518"/>
      <c r="J169" s="13"/>
      <c r="K169" s="430"/>
      <c r="L169" s="431"/>
    </row>
    <row r="170" spans="1:12" x14ac:dyDescent="0.35">
      <c r="A170" s="484" t="s">
        <v>1418</v>
      </c>
      <c r="B170" s="33" t="s">
        <v>167</v>
      </c>
      <c r="C170" s="33" t="s">
        <v>481</v>
      </c>
      <c r="D170" s="465" t="s">
        <v>1341</v>
      </c>
      <c r="E170" s="464"/>
      <c r="F170" s="565">
        <v>0</v>
      </c>
      <c r="G170" s="485">
        <v>9341294</v>
      </c>
      <c r="H170" s="564" t="s">
        <v>1532</v>
      </c>
      <c r="I170" s="518"/>
      <c r="J170" s="13"/>
      <c r="K170" s="430"/>
      <c r="L170" s="431"/>
    </row>
    <row r="171" spans="1:12" x14ac:dyDescent="0.35">
      <c r="A171" s="34"/>
      <c r="B171" s="32"/>
      <c r="C171" s="32"/>
      <c r="D171" s="521"/>
      <c r="E171" s="464"/>
      <c r="F171" s="565"/>
      <c r="G171" s="487"/>
      <c r="H171" s="564"/>
      <c r="I171" s="518"/>
      <c r="J171" s="13"/>
      <c r="K171" s="430"/>
      <c r="L171" s="431"/>
    </row>
    <row r="172" spans="1:12" x14ac:dyDescent="0.35">
      <c r="A172" s="488" t="s">
        <v>177</v>
      </c>
      <c r="B172" s="32"/>
      <c r="C172" s="32"/>
      <c r="D172" s="521"/>
      <c r="E172" s="464"/>
      <c r="F172" s="565"/>
      <c r="G172" s="487"/>
      <c r="H172" s="564"/>
      <c r="I172" s="518"/>
      <c r="K172" s="430"/>
      <c r="L172" s="431"/>
    </row>
    <row r="173" spans="1:12" x14ac:dyDescent="0.35">
      <c r="A173" s="34" t="s">
        <v>473</v>
      </c>
      <c r="B173" s="32" t="s">
        <v>777</v>
      </c>
      <c r="C173" s="32" t="s">
        <v>474</v>
      </c>
      <c r="D173" s="521"/>
      <c r="E173" s="464"/>
      <c r="F173" s="565">
        <v>0.39928999999999998</v>
      </c>
      <c r="G173" s="489">
        <v>1014891</v>
      </c>
      <c r="H173" s="564">
        <v>12687</v>
      </c>
      <c r="I173" s="518"/>
      <c r="K173" s="430"/>
      <c r="L173" s="431"/>
    </row>
    <row r="174" spans="1:12" x14ac:dyDescent="0.35">
      <c r="A174" s="34" t="s">
        <v>440</v>
      </c>
      <c r="B174" s="32" t="s">
        <v>778</v>
      </c>
      <c r="C174" s="32" t="s">
        <v>474</v>
      </c>
      <c r="D174" s="521"/>
      <c r="E174" s="464"/>
      <c r="F174" s="565">
        <v>0.75153000000000003</v>
      </c>
      <c r="G174" s="489">
        <v>4045944</v>
      </c>
      <c r="H174" s="564">
        <v>12689</v>
      </c>
      <c r="I174" s="518"/>
      <c r="K174" s="430"/>
      <c r="L174" s="431"/>
    </row>
    <row r="175" spans="1:12" x14ac:dyDescent="0.35">
      <c r="A175" s="484"/>
      <c r="B175" s="33"/>
      <c r="C175" s="33"/>
      <c r="D175" s="465"/>
      <c r="E175" s="464"/>
      <c r="F175" s="565"/>
      <c r="G175" s="493"/>
      <c r="H175" s="564"/>
      <c r="I175" s="518"/>
      <c r="J175" s="13"/>
      <c r="K175" s="430"/>
      <c r="L175" s="431"/>
    </row>
    <row r="176" spans="1:12" x14ac:dyDescent="0.35">
      <c r="A176" s="34"/>
      <c r="B176" s="32"/>
      <c r="C176" s="32"/>
      <c r="D176" s="521"/>
      <c r="E176" s="464"/>
      <c r="F176" s="565"/>
      <c r="G176" s="487"/>
      <c r="H176" s="564"/>
      <c r="I176" s="518"/>
      <c r="J176" s="13"/>
      <c r="K176" s="430"/>
      <c r="L176" s="431"/>
    </row>
    <row r="177" spans="1:12" x14ac:dyDescent="0.35">
      <c r="A177" s="488" t="s">
        <v>178</v>
      </c>
      <c r="B177" s="32"/>
      <c r="C177" s="32"/>
      <c r="D177" s="521"/>
      <c r="E177" s="464"/>
      <c r="F177" s="565"/>
      <c r="G177" s="487"/>
      <c r="H177" s="564"/>
      <c r="I177" s="518"/>
      <c r="J177" s="13"/>
      <c r="K177" s="430"/>
      <c r="L177" s="431"/>
    </row>
    <row r="178" spans="1:12" x14ac:dyDescent="0.35">
      <c r="A178" s="34" t="s">
        <v>704</v>
      </c>
      <c r="B178" s="32" t="s">
        <v>701</v>
      </c>
      <c r="C178" s="32" t="s">
        <v>554</v>
      </c>
      <c r="D178" s="521"/>
      <c r="E178" s="464"/>
      <c r="F178" s="565">
        <v>4.2079700000000004</v>
      </c>
      <c r="G178" s="37">
        <v>5074773</v>
      </c>
      <c r="H178" s="564">
        <v>202564</v>
      </c>
      <c r="I178" s="518"/>
      <c r="J178" s="13"/>
      <c r="K178" s="430"/>
      <c r="L178" s="431"/>
    </row>
    <row r="179" spans="1:12" x14ac:dyDescent="0.35">
      <c r="A179" s="34" t="s">
        <v>705</v>
      </c>
      <c r="B179" s="32" t="s">
        <v>701</v>
      </c>
      <c r="C179" s="32" t="s">
        <v>442</v>
      </c>
      <c r="D179" s="521"/>
      <c r="E179" s="464"/>
      <c r="F179" s="565">
        <v>4.2079700000000004</v>
      </c>
      <c r="G179" s="37">
        <v>1802448</v>
      </c>
      <c r="H179" s="564">
        <v>202565</v>
      </c>
      <c r="I179" s="518"/>
      <c r="J179" s="13"/>
      <c r="K179" s="430"/>
      <c r="L179" s="431"/>
    </row>
    <row r="180" spans="1:12" x14ac:dyDescent="0.35">
      <c r="A180" s="34" t="s">
        <v>706</v>
      </c>
      <c r="B180" s="32" t="s">
        <v>701</v>
      </c>
      <c r="C180" s="32" t="s">
        <v>702</v>
      </c>
      <c r="D180" s="521"/>
      <c r="E180" s="464"/>
      <c r="F180" s="565">
        <v>4.2079700000000004</v>
      </c>
      <c r="G180" s="37">
        <v>5519405</v>
      </c>
      <c r="H180" s="564">
        <v>203104</v>
      </c>
      <c r="I180" s="518"/>
      <c r="J180" s="13"/>
      <c r="K180" s="430"/>
      <c r="L180" s="431"/>
    </row>
    <row r="181" spans="1:12" x14ac:dyDescent="0.35">
      <c r="A181" s="484" t="s">
        <v>1419</v>
      </c>
      <c r="B181" s="33" t="s">
        <v>701</v>
      </c>
      <c r="C181" s="33" t="s">
        <v>479</v>
      </c>
      <c r="D181" s="465" t="s">
        <v>1341</v>
      </c>
      <c r="E181" s="464"/>
      <c r="F181" s="565">
        <v>3.45512</v>
      </c>
      <c r="G181" s="485">
        <v>5526449</v>
      </c>
      <c r="H181" s="564">
        <v>203144</v>
      </c>
      <c r="I181" s="523"/>
      <c r="J181" s="13"/>
      <c r="K181" s="430"/>
      <c r="L181" s="431"/>
    </row>
    <row r="182" spans="1:12" x14ac:dyDescent="0.35">
      <c r="A182" s="34" t="s">
        <v>707</v>
      </c>
      <c r="B182" s="32" t="s">
        <v>703</v>
      </c>
      <c r="C182" s="32" t="s">
        <v>554</v>
      </c>
      <c r="D182" s="521"/>
      <c r="E182" s="464"/>
      <c r="F182" s="565">
        <v>5.1253900000000003</v>
      </c>
      <c r="G182" s="37">
        <v>2720695</v>
      </c>
      <c r="H182" s="564">
        <v>210823</v>
      </c>
      <c r="I182" s="518"/>
      <c r="J182" s="13"/>
      <c r="K182" s="430"/>
      <c r="L182" s="431"/>
    </row>
    <row r="183" spans="1:12" x14ac:dyDescent="0.35">
      <c r="A183" s="34" t="s">
        <v>708</v>
      </c>
      <c r="B183" s="32" t="s">
        <v>703</v>
      </c>
      <c r="C183" s="32" t="s">
        <v>442</v>
      </c>
      <c r="D183" s="521"/>
      <c r="E183" s="464"/>
      <c r="F183" s="565">
        <v>5.1253900000000003</v>
      </c>
      <c r="G183" s="37">
        <v>7084462</v>
      </c>
      <c r="H183" s="564">
        <v>210822</v>
      </c>
      <c r="I183" s="518"/>
      <c r="J183" s="13"/>
      <c r="K183" s="430"/>
      <c r="L183" s="431"/>
    </row>
    <row r="184" spans="1:12" x14ac:dyDescent="0.35">
      <c r="A184" s="484" t="s">
        <v>709</v>
      </c>
      <c r="B184" s="33" t="s">
        <v>703</v>
      </c>
      <c r="C184" s="33" t="s">
        <v>702</v>
      </c>
      <c r="D184" s="465" t="s">
        <v>1341</v>
      </c>
      <c r="E184" s="464"/>
      <c r="F184" s="565">
        <v>5.1253900000000003</v>
      </c>
      <c r="G184" s="486">
        <v>7562990</v>
      </c>
      <c r="H184" s="564">
        <v>210821</v>
      </c>
      <c r="I184" s="518"/>
      <c r="J184" s="13"/>
      <c r="K184" s="430"/>
      <c r="L184" s="431"/>
    </row>
    <row r="185" spans="1:12" x14ac:dyDescent="0.35">
      <c r="A185" s="34" t="s">
        <v>710</v>
      </c>
      <c r="B185" s="32" t="s">
        <v>713</v>
      </c>
      <c r="C185" s="32" t="s">
        <v>554</v>
      </c>
      <c r="D185" s="521"/>
      <c r="E185" s="464"/>
      <c r="F185" s="565">
        <v>5.8567799999999997</v>
      </c>
      <c r="G185" s="37">
        <v>3213636</v>
      </c>
      <c r="H185" s="564">
        <v>202562</v>
      </c>
      <c r="I185" s="518"/>
      <c r="J185" s="13"/>
      <c r="K185" s="430"/>
      <c r="L185" s="431"/>
    </row>
    <row r="186" spans="1:12" x14ac:dyDescent="0.35">
      <c r="A186" s="34" t="s">
        <v>711</v>
      </c>
      <c r="B186" s="32" t="s">
        <v>713</v>
      </c>
      <c r="C186" s="32" t="s">
        <v>442</v>
      </c>
      <c r="D186" s="521"/>
      <c r="E186" s="464"/>
      <c r="F186" s="565">
        <v>5.8567799999999997</v>
      </c>
      <c r="G186" s="37">
        <v>1003537</v>
      </c>
      <c r="H186" s="564">
        <v>202563</v>
      </c>
      <c r="I186" s="518"/>
      <c r="J186" s="13"/>
      <c r="K186" s="430"/>
      <c r="L186" s="431"/>
    </row>
    <row r="187" spans="1:12" x14ac:dyDescent="0.35">
      <c r="A187" s="34" t="s">
        <v>712</v>
      </c>
      <c r="B187" s="32" t="s">
        <v>713</v>
      </c>
      <c r="C187" s="32" t="s">
        <v>702</v>
      </c>
      <c r="D187" s="521"/>
      <c r="E187" s="464"/>
      <c r="F187" s="565">
        <v>5.8567799999999997</v>
      </c>
      <c r="G187" s="37">
        <v>4186639</v>
      </c>
      <c r="H187" s="564">
        <v>203103</v>
      </c>
      <c r="I187" s="518"/>
      <c r="J187" s="13"/>
      <c r="K187" s="430"/>
      <c r="L187" s="431"/>
    </row>
    <row r="188" spans="1:12" x14ac:dyDescent="0.35">
      <c r="A188" s="484" t="s">
        <v>1420</v>
      </c>
      <c r="B188" s="33" t="s">
        <v>713</v>
      </c>
      <c r="C188" s="33" t="s">
        <v>479</v>
      </c>
      <c r="D188" s="465" t="s">
        <v>1341</v>
      </c>
      <c r="E188" s="464"/>
      <c r="F188" s="565">
        <v>5.2664099999999996</v>
      </c>
      <c r="G188" s="485">
        <v>5254121</v>
      </c>
      <c r="H188" s="564">
        <v>203146</v>
      </c>
      <c r="I188" s="523"/>
      <c r="J188" s="13"/>
      <c r="K188" s="430"/>
      <c r="L188" s="431"/>
    </row>
    <row r="189" spans="1:12" x14ac:dyDescent="0.35">
      <c r="A189" s="34" t="s">
        <v>715</v>
      </c>
      <c r="B189" s="32" t="s">
        <v>714</v>
      </c>
      <c r="C189" s="32" t="s">
        <v>554</v>
      </c>
      <c r="D189" s="521"/>
      <c r="E189" s="464"/>
      <c r="F189" s="565">
        <v>6.1373600000000001</v>
      </c>
      <c r="G189" s="37">
        <v>4438914</v>
      </c>
      <c r="H189" s="564">
        <v>202560</v>
      </c>
      <c r="I189" s="518"/>
      <c r="J189" s="13"/>
      <c r="K189" s="430"/>
      <c r="L189" s="431"/>
    </row>
    <row r="190" spans="1:12" x14ac:dyDescent="0.35">
      <c r="A190" s="34" t="s">
        <v>0</v>
      </c>
      <c r="B190" s="32" t="s">
        <v>714</v>
      </c>
      <c r="C190" s="32" t="s">
        <v>442</v>
      </c>
      <c r="D190" s="521"/>
      <c r="E190" s="464"/>
      <c r="F190" s="565">
        <v>6.1373600000000001</v>
      </c>
      <c r="G190" s="37">
        <v>1714924</v>
      </c>
      <c r="H190" s="564">
        <v>202561</v>
      </c>
      <c r="I190" s="518"/>
      <c r="J190" s="13"/>
      <c r="K190" s="430"/>
      <c r="L190" s="431"/>
    </row>
    <row r="191" spans="1:12" x14ac:dyDescent="0.35">
      <c r="A191" s="34" t="s">
        <v>1</v>
      </c>
      <c r="B191" s="32" t="s">
        <v>714</v>
      </c>
      <c r="C191" s="32" t="s">
        <v>702</v>
      </c>
      <c r="D191" s="521"/>
      <c r="E191" s="464"/>
      <c r="F191" s="565">
        <v>6.1373600000000001</v>
      </c>
      <c r="G191" s="37">
        <v>5835868</v>
      </c>
      <c r="H191" s="564">
        <v>203101</v>
      </c>
      <c r="I191" s="518"/>
      <c r="J191" s="13"/>
      <c r="K191" s="430"/>
      <c r="L191" s="431"/>
    </row>
    <row r="192" spans="1:12" x14ac:dyDescent="0.35">
      <c r="A192" s="484" t="s">
        <v>1421</v>
      </c>
      <c r="B192" s="33" t="s">
        <v>714</v>
      </c>
      <c r="C192" s="33" t="s">
        <v>479</v>
      </c>
      <c r="D192" s="465" t="s">
        <v>1341</v>
      </c>
      <c r="E192" s="464"/>
      <c r="F192" s="565">
        <v>5.5187099999999996</v>
      </c>
      <c r="G192" s="485">
        <v>7162263</v>
      </c>
      <c r="H192" s="564">
        <v>203149</v>
      </c>
      <c r="I192" s="523"/>
      <c r="J192" s="13"/>
      <c r="K192" s="430"/>
      <c r="L192" s="431"/>
    </row>
    <row r="193" spans="1:12" x14ac:dyDescent="0.35">
      <c r="A193" s="484"/>
      <c r="B193" s="33"/>
      <c r="C193" s="33"/>
      <c r="D193" s="465"/>
      <c r="E193" s="464"/>
      <c r="F193" s="565"/>
      <c r="G193" s="486"/>
      <c r="H193" s="564"/>
      <c r="I193" s="518"/>
      <c r="J193" s="13"/>
      <c r="K193" s="430"/>
      <c r="L193" s="431"/>
    </row>
    <row r="194" spans="1:12" x14ac:dyDescent="0.35">
      <c r="A194" s="34" t="s">
        <v>2</v>
      </c>
      <c r="B194" s="32" t="s">
        <v>497</v>
      </c>
      <c r="C194" s="32" t="s">
        <v>577</v>
      </c>
      <c r="D194" s="521"/>
      <c r="E194" s="464"/>
      <c r="F194" s="565">
        <v>14.286440000000001</v>
      </c>
      <c r="G194" s="37">
        <v>8479020</v>
      </c>
      <c r="H194" s="564">
        <v>205759</v>
      </c>
      <c r="I194" s="518"/>
      <c r="J194" s="13"/>
      <c r="K194" s="430"/>
      <c r="L194" s="431"/>
    </row>
    <row r="195" spans="1:12" x14ac:dyDescent="0.35">
      <c r="A195" s="34" t="s">
        <v>3</v>
      </c>
      <c r="B195" s="32" t="s">
        <v>497</v>
      </c>
      <c r="C195" s="32" t="s">
        <v>442</v>
      </c>
      <c r="D195" s="521"/>
      <c r="E195" s="464"/>
      <c r="F195" s="565">
        <v>14.286440000000001</v>
      </c>
      <c r="G195" s="37">
        <v>8479022</v>
      </c>
      <c r="H195" s="564" t="s">
        <v>1533</v>
      </c>
      <c r="I195" s="518"/>
      <c r="J195" s="13"/>
      <c r="K195" s="430"/>
      <c r="L195" s="431"/>
    </row>
    <row r="196" spans="1:12" x14ac:dyDescent="0.35">
      <c r="A196" s="530" t="s">
        <v>4</v>
      </c>
      <c r="B196" s="32" t="s">
        <v>497</v>
      </c>
      <c r="C196" s="32" t="s">
        <v>468</v>
      </c>
      <c r="D196" s="521"/>
      <c r="E196" s="464"/>
      <c r="F196" s="565">
        <v>14.286440000000001</v>
      </c>
      <c r="G196" s="528">
        <v>8479024</v>
      </c>
      <c r="H196" s="564" t="s">
        <v>1534</v>
      </c>
      <c r="I196" s="518"/>
      <c r="J196" s="13"/>
      <c r="K196" s="430"/>
      <c r="L196" s="431"/>
    </row>
    <row r="197" spans="1:12" x14ac:dyDescent="0.35">
      <c r="A197" s="484" t="s">
        <v>1422</v>
      </c>
      <c r="B197" s="33" t="s">
        <v>497</v>
      </c>
      <c r="C197" s="33" t="s">
        <v>1423</v>
      </c>
      <c r="D197" s="465" t="s">
        <v>1341</v>
      </c>
      <c r="E197" s="464"/>
      <c r="F197" s="565">
        <v>49.273699999999998</v>
      </c>
      <c r="G197" s="485">
        <v>4717033</v>
      </c>
      <c r="H197" s="564" t="s">
        <v>1535</v>
      </c>
      <c r="I197" s="523"/>
      <c r="J197" s="13"/>
      <c r="K197" s="430"/>
      <c r="L197" s="431"/>
    </row>
    <row r="198" spans="1:12" x14ac:dyDescent="0.35">
      <c r="A198" s="34"/>
      <c r="B198" s="32"/>
      <c r="C198" s="32"/>
      <c r="D198" s="521"/>
      <c r="E198" s="464"/>
      <c r="F198" s="565"/>
      <c r="G198" s="487"/>
      <c r="H198" s="564"/>
      <c r="I198" s="518"/>
      <c r="J198" s="13"/>
      <c r="K198" s="430"/>
      <c r="L198" s="431"/>
    </row>
    <row r="199" spans="1:12" x14ac:dyDescent="0.35">
      <c r="A199" s="34" t="s">
        <v>194</v>
      </c>
      <c r="B199" s="32" t="s">
        <v>498</v>
      </c>
      <c r="C199" s="32" t="s">
        <v>577</v>
      </c>
      <c r="D199" s="521"/>
      <c r="E199" s="464"/>
      <c r="F199" s="565">
        <v>6.6514600000000002</v>
      </c>
      <c r="G199" s="37">
        <v>8473390</v>
      </c>
      <c r="H199" s="564">
        <v>205758</v>
      </c>
      <c r="I199" s="518"/>
      <c r="J199" s="13"/>
      <c r="K199" s="430"/>
      <c r="L199" s="431"/>
    </row>
    <row r="200" spans="1:12" x14ac:dyDescent="0.35">
      <c r="A200" s="34" t="s">
        <v>195</v>
      </c>
      <c r="B200" s="32" t="s">
        <v>498</v>
      </c>
      <c r="C200" s="32" t="s">
        <v>442</v>
      </c>
      <c r="D200" s="521"/>
      <c r="E200" s="464"/>
      <c r="F200" s="565">
        <v>6.7215100000000003</v>
      </c>
      <c r="G200" s="37">
        <v>8473392</v>
      </c>
      <c r="H200" s="564" t="s">
        <v>1536</v>
      </c>
      <c r="I200" s="518"/>
      <c r="J200" s="13"/>
      <c r="K200" s="430"/>
      <c r="L200" s="431"/>
    </row>
    <row r="201" spans="1:12" x14ac:dyDescent="0.35">
      <c r="A201" s="530" t="s">
        <v>196</v>
      </c>
      <c r="B201" s="32" t="s">
        <v>498</v>
      </c>
      <c r="C201" s="32" t="s">
        <v>468</v>
      </c>
      <c r="D201" s="521"/>
      <c r="E201" s="464"/>
      <c r="F201" s="565">
        <v>6.7215100000000003</v>
      </c>
      <c r="G201" s="528">
        <v>8473394</v>
      </c>
      <c r="H201" s="564" t="s">
        <v>1537</v>
      </c>
      <c r="I201" s="518"/>
      <c r="J201" s="13"/>
      <c r="K201" s="430"/>
      <c r="L201" s="431"/>
    </row>
    <row r="202" spans="1:12" x14ac:dyDescent="0.35">
      <c r="A202" s="484" t="s">
        <v>1424</v>
      </c>
      <c r="B202" s="33" t="s">
        <v>498</v>
      </c>
      <c r="C202" s="33" t="s">
        <v>1423</v>
      </c>
      <c r="D202" s="465" t="s">
        <v>1341</v>
      </c>
      <c r="E202" s="464"/>
      <c r="F202" s="565">
        <v>20.730070000000001</v>
      </c>
      <c r="G202" s="485">
        <v>9051133</v>
      </c>
      <c r="H202" s="564" t="s">
        <v>1538</v>
      </c>
      <c r="I202" s="523"/>
      <c r="J202" s="13"/>
      <c r="K202" s="430"/>
      <c r="L202" s="431"/>
    </row>
    <row r="203" spans="1:12" x14ac:dyDescent="0.35">
      <c r="A203" s="34"/>
      <c r="B203" s="32"/>
      <c r="C203" s="32"/>
      <c r="D203" s="521"/>
      <c r="E203" s="464"/>
      <c r="F203" s="565"/>
      <c r="G203" s="487"/>
      <c r="H203" s="564"/>
      <c r="I203" s="518"/>
      <c r="J203" s="13"/>
      <c r="K203" s="430"/>
      <c r="L203" s="431"/>
    </row>
    <row r="204" spans="1:12" x14ac:dyDescent="0.35">
      <c r="A204" s="34" t="s">
        <v>5</v>
      </c>
      <c r="B204" s="32" t="s">
        <v>499</v>
      </c>
      <c r="C204" s="32" t="s">
        <v>554</v>
      </c>
      <c r="D204" s="521"/>
      <c r="E204" s="464"/>
      <c r="F204" s="565">
        <v>4.0720000000000001</v>
      </c>
      <c r="G204" s="37">
        <v>4276837</v>
      </c>
      <c r="H204" s="564">
        <v>202567</v>
      </c>
      <c r="I204" s="518"/>
      <c r="J204" s="13"/>
      <c r="K204" s="430"/>
      <c r="L204" s="431"/>
    </row>
    <row r="205" spans="1:12" x14ac:dyDescent="0.35">
      <c r="A205" s="34" t="s">
        <v>6</v>
      </c>
      <c r="B205" s="32" t="s">
        <v>499</v>
      </c>
      <c r="C205" s="32" t="s">
        <v>442</v>
      </c>
      <c r="D205" s="521"/>
      <c r="E205" s="464"/>
      <c r="F205" s="565">
        <v>4.0720000000000001</v>
      </c>
      <c r="G205" s="37">
        <v>8611682</v>
      </c>
      <c r="H205" s="564" t="s">
        <v>1539</v>
      </c>
      <c r="I205" s="518"/>
      <c r="J205" s="13"/>
      <c r="K205" s="430"/>
      <c r="L205" s="431"/>
    </row>
    <row r="206" spans="1:12" x14ac:dyDescent="0.35">
      <c r="A206" s="530" t="s">
        <v>7</v>
      </c>
      <c r="B206" s="32" t="s">
        <v>499</v>
      </c>
      <c r="C206" s="32" t="s">
        <v>500</v>
      </c>
      <c r="D206" s="521"/>
      <c r="E206" s="464"/>
      <c r="F206" s="565">
        <v>4.0720000000000001</v>
      </c>
      <c r="G206" s="528">
        <v>8611684</v>
      </c>
      <c r="H206" s="564" t="s">
        <v>1540</v>
      </c>
      <c r="I206" s="518"/>
      <c r="J206" s="13"/>
      <c r="K206" s="430"/>
      <c r="L206" s="431"/>
    </row>
    <row r="207" spans="1:12" x14ac:dyDescent="0.35">
      <c r="A207" s="484" t="s">
        <v>1426</v>
      </c>
      <c r="B207" s="33" t="s">
        <v>499</v>
      </c>
      <c r="C207" s="33" t="s">
        <v>479</v>
      </c>
      <c r="D207" s="465"/>
      <c r="E207" s="464"/>
      <c r="F207" s="565">
        <v>4.0720000000000001</v>
      </c>
      <c r="G207" s="485">
        <v>8611680</v>
      </c>
      <c r="H207" s="564">
        <v>202568</v>
      </c>
      <c r="I207" s="523"/>
      <c r="J207" s="13"/>
      <c r="K207" s="430"/>
      <c r="L207" s="431"/>
    </row>
    <row r="208" spans="1:12" x14ac:dyDescent="0.35">
      <c r="A208" s="34" t="s">
        <v>8</v>
      </c>
      <c r="B208" s="32" t="s">
        <v>501</v>
      </c>
      <c r="C208" s="32" t="s">
        <v>554</v>
      </c>
      <c r="D208" s="521"/>
      <c r="E208" s="464"/>
      <c r="F208" s="565">
        <v>6.2968700000000002</v>
      </c>
      <c r="G208" s="37">
        <v>3350802</v>
      </c>
      <c r="H208" s="564">
        <v>202569</v>
      </c>
      <c r="I208" s="518"/>
      <c r="J208" s="13"/>
      <c r="K208" s="430"/>
      <c r="L208" s="431"/>
    </row>
    <row r="209" spans="1:12" x14ac:dyDescent="0.35">
      <c r="A209" s="34" t="s">
        <v>9</v>
      </c>
      <c r="B209" s="32" t="s">
        <v>501</v>
      </c>
      <c r="C209" s="32" t="s">
        <v>442</v>
      </c>
      <c r="D209" s="521"/>
      <c r="E209" s="464"/>
      <c r="F209" s="565">
        <v>6.2968700000000002</v>
      </c>
      <c r="G209" s="37">
        <v>8610692</v>
      </c>
      <c r="H209" s="564" t="s">
        <v>1541</v>
      </c>
      <c r="I209" s="518"/>
      <c r="J209" s="13"/>
      <c r="K209" s="430"/>
      <c r="L209" s="431"/>
    </row>
    <row r="210" spans="1:12" x14ac:dyDescent="0.35">
      <c r="A210" s="530" t="s">
        <v>1425</v>
      </c>
      <c r="B210" s="32" t="s">
        <v>501</v>
      </c>
      <c r="C210" s="32" t="s">
        <v>500</v>
      </c>
      <c r="D210" s="521"/>
      <c r="E210" s="464"/>
      <c r="F210" s="565">
        <v>6.2968700000000002</v>
      </c>
      <c r="G210" s="528">
        <v>8610694</v>
      </c>
      <c r="H210" s="564" t="s">
        <v>1542</v>
      </c>
      <c r="I210" s="518"/>
      <c r="J210" s="13"/>
      <c r="K210" s="430"/>
      <c r="L210" s="431"/>
    </row>
    <row r="211" spans="1:12" x14ac:dyDescent="0.35">
      <c r="A211" s="484" t="s">
        <v>1427</v>
      </c>
      <c r="B211" s="33" t="s">
        <v>501</v>
      </c>
      <c r="C211" s="33" t="s">
        <v>479</v>
      </c>
      <c r="D211" s="465"/>
      <c r="E211" s="464"/>
      <c r="F211" s="565">
        <v>6.2968700000000002</v>
      </c>
      <c r="G211" s="485">
        <v>8610690</v>
      </c>
      <c r="H211" s="564">
        <v>202569</v>
      </c>
      <c r="I211" s="518"/>
      <c r="J211" s="13"/>
      <c r="K211" s="430"/>
      <c r="L211" s="431"/>
    </row>
    <row r="212" spans="1:12" x14ac:dyDescent="0.35">
      <c r="A212" s="34"/>
      <c r="B212" s="32"/>
      <c r="C212" s="32"/>
      <c r="D212" s="521"/>
      <c r="E212" s="464"/>
      <c r="F212" s="565"/>
      <c r="G212" s="487"/>
      <c r="H212" s="564"/>
      <c r="I212" s="518"/>
      <c r="J212" s="13"/>
      <c r="K212" s="430"/>
      <c r="L212" s="431"/>
    </row>
    <row r="213" spans="1:12" x14ac:dyDescent="0.35">
      <c r="A213" s="34"/>
      <c r="B213" s="32"/>
      <c r="C213" s="32"/>
      <c r="D213" s="521"/>
      <c r="E213" s="464"/>
      <c r="F213" s="565"/>
      <c r="G213" s="487"/>
      <c r="H213" s="564"/>
      <c r="I213" s="518"/>
      <c r="J213" s="13"/>
      <c r="K213" s="430"/>
      <c r="L213" s="431"/>
    </row>
    <row r="214" spans="1:12" x14ac:dyDescent="0.35">
      <c r="A214" s="488" t="s">
        <v>175</v>
      </c>
      <c r="B214" s="32"/>
      <c r="C214" s="32"/>
      <c r="D214" s="521"/>
      <c r="E214" s="464"/>
      <c r="F214" s="565"/>
      <c r="G214" s="487"/>
      <c r="H214" s="564"/>
      <c r="I214" s="518"/>
      <c r="J214" s="13"/>
      <c r="K214" s="430"/>
      <c r="L214" s="431"/>
    </row>
    <row r="215" spans="1:12" x14ac:dyDescent="0.35">
      <c r="A215" s="34" t="s">
        <v>1087</v>
      </c>
      <c r="B215" s="32" t="s">
        <v>1090</v>
      </c>
      <c r="C215" s="32" t="s">
        <v>577</v>
      </c>
      <c r="D215" s="521"/>
      <c r="E215" s="464"/>
      <c r="F215" s="565">
        <v>6.5190299999999999</v>
      </c>
      <c r="G215" s="483">
        <v>1472243</v>
      </c>
      <c r="H215" s="564">
        <v>202514</v>
      </c>
      <c r="I215" s="518"/>
      <c r="J215" s="429"/>
      <c r="K215" s="430"/>
      <c r="L215" s="431"/>
    </row>
    <row r="216" spans="1:12" x14ac:dyDescent="0.35">
      <c r="A216" s="34" t="s">
        <v>1088</v>
      </c>
      <c r="B216" s="32" t="s">
        <v>1090</v>
      </c>
      <c r="C216" s="32" t="s">
        <v>442</v>
      </c>
      <c r="D216" s="521"/>
      <c r="E216" s="464"/>
      <c r="F216" s="565">
        <v>6.5190299999999999</v>
      </c>
      <c r="G216" s="483">
        <v>6342943</v>
      </c>
      <c r="H216" s="564">
        <v>202515</v>
      </c>
      <c r="I216" s="518"/>
      <c r="J216" s="429"/>
      <c r="K216" s="430"/>
      <c r="L216" s="431"/>
    </row>
    <row r="217" spans="1:12" x14ac:dyDescent="0.35">
      <c r="A217" s="530" t="s">
        <v>1089</v>
      </c>
      <c r="B217" s="32" t="s">
        <v>1090</v>
      </c>
      <c r="C217" s="32" t="s">
        <v>468</v>
      </c>
      <c r="D217" s="521"/>
      <c r="E217" s="464"/>
      <c r="F217" s="565">
        <v>5.88917</v>
      </c>
      <c r="G217" s="483">
        <v>8946618</v>
      </c>
      <c r="H217" s="564">
        <v>202981</v>
      </c>
      <c r="I217" s="518"/>
      <c r="J217" s="429"/>
      <c r="K217" s="430"/>
      <c r="L217" s="431"/>
    </row>
    <row r="218" spans="1:12" x14ac:dyDescent="0.35">
      <c r="A218" s="484" t="s">
        <v>1430</v>
      </c>
      <c r="B218" s="33" t="s">
        <v>1431</v>
      </c>
      <c r="C218" s="33" t="s">
        <v>759</v>
      </c>
      <c r="D218" s="465" t="s">
        <v>1341</v>
      </c>
      <c r="E218" s="464"/>
      <c r="F218" s="565">
        <v>12.311529999999999</v>
      </c>
      <c r="G218" s="485">
        <v>8621208</v>
      </c>
      <c r="H218" s="564">
        <v>203164</v>
      </c>
      <c r="I218" s="523"/>
      <c r="J218" s="429"/>
      <c r="K218" s="430"/>
      <c r="L218" s="431"/>
    </row>
    <row r="219" spans="1:12" x14ac:dyDescent="0.35">
      <c r="A219" s="34" t="s">
        <v>1091</v>
      </c>
      <c r="B219" s="32" t="s">
        <v>1094</v>
      </c>
      <c r="C219" s="32" t="s">
        <v>577</v>
      </c>
      <c r="D219" s="521"/>
      <c r="E219" s="464"/>
      <c r="F219" s="565">
        <v>6.62744</v>
      </c>
      <c r="G219" s="483">
        <v>3083862</v>
      </c>
      <c r="H219" s="564">
        <v>202516</v>
      </c>
      <c r="I219" s="518"/>
      <c r="J219" s="429"/>
      <c r="K219" s="430"/>
      <c r="L219" s="431"/>
    </row>
    <row r="220" spans="1:12" x14ac:dyDescent="0.35">
      <c r="A220" s="34" t="s">
        <v>1092</v>
      </c>
      <c r="B220" s="32" t="s">
        <v>1094</v>
      </c>
      <c r="C220" s="32" t="s">
        <v>442</v>
      </c>
      <c r="D220" s="521"/>
      <c r="E220" s="464"/>
      <c r="F220" s="565">
        <v>6.62744</v>
      </c>
      <c r="G220" s="483">
        <v>8198325</v>
      </c>
      <c r="H220" s="564">
        <v>202517</v>
      </c>
      <c r="I220" s="518"/>
      <c r="J220" s="429"/>
      <c r="K220" s="430"/>
      <c r="L220" s="431"/>
    </row>
    <row r="221" spans="1:12" x14ac:dyDescent="0.35">
      <c r="A221" s="530" t="s">
        <v>1093</v>
      </c>
      <c r="B221" s="32" t="s">
        <v>1094</v>
      </c>
      <c r="C221" s="32" t="s">
        <v>468</v>
      </c>
      <c r="D221" s="521"/>
      <c r="E221" s="464"/>
      <c r="F221" s="565">
        <v>5.9870999999999999</v>
      </c>
      <c r="G221" s="483">
        <v>6443879</v>
      </c>
      <c r="H221" s="564">
        <v>202982</v>
      </c>
      <c r="I221" s="518"/>
      <c r="J221" s="429"/>
      <c r="K221" s="430"/>
      <c r="L221" s="431"/>
    </row>
    <row r="222" spans="1:12" x14ac:dyDescent="0.35">
      <c r="A222" s="484" t="s">
        <v>1428</v>
      </c>
      <c r="B222" s="33" t="s">
        <v>1429</v>
      </c>
      <c r="C222" s="33" t="s">
        <v>759</v>
      </c>
      <c r="D222" s="465" t="s">
        <v>1341</v>
      </c>
      <c r="E222" s="464"/>
      <c r="F222" s="565">
        <v>12.46852</v>
      </c>
      <c r="G222" s="485">
        <v>4426159</v>
      </c>
      <c r="H222" s="564">
        <v>203166</v>
      </c>
      <c r="I222" s="523"/>
      <c r="J222" s="429"/>
      <c r="K222" s="430"/>
      <c r="L222" s="431"/>
    </row>
    <row r="223" spans="1:12" x14ac:dyDescent="0.35">
      <c r="A223" s="34" t="s">
        <v>1095</v>
      </c>
      <c r="B223" s="32" t="s">
        <v>1098</v>
      </c>
      <c r="C223" s="32" t="s">
        <v>577</v>
      </c>
      <c r="D223" s="521"/>
      <c r="E223" s="464"/>
      <c r="F223" s="565">
        <v>6.7358200000000004</v>
      </c>
      <c r="G223" s="483">
        <v>4262438</v>
      </c>
      <c r="H223" s="564">
        <v>202518</v>
      </c>
      <c r="I223" s="518"/>
      <c r="J223" s="429"/>
      <c r="K223" s="430"/>
      <c r="L223" s="431"/>
    </row>
    <row r="224" spans="1:12" x14ac:dyDescent="0.35">
      <c r="A224" s="34" t="s">
        <v>1096</v>
      </c>
      <c r="B224" s="32" t="s">
        <v>1098</v>
      </c>
      <c r="C224" s="32" t="s">
        <v>442</v>
      </c>
      <c r="D224" s="521"/>
      <c r="E224" s="464"/>
      <c r="F224" s="565">
        <v>6.7358200000000004</v>
      </c>
      <c r="G224" s="483">
        <v>2290699</v>
      </c>
      <c r="H224" s="564">
        <v>202519</v>
      </c>
      <c r="I224" s="518"/>
      <c r="J224" s="429"/>
      <c r="K224" s="430"/>
      <c r="L224" s="431"/>
    </row>
    <row r="225" spans="1:12" x14ac:dyDescent="0.35">
      <c r="A225" s="530" t="s">
        <v>1097</v>
      </c>
      <c r="B225" s="32" t="s">
        <v>1098</v>
      </c>
      <c r="C225" s="32" t="s">
        <v>468</v>
      </c>
      <c r="D225" s="521"/>
      <c r="E225" s="464"/>
      <c r="F225" s="565">
        <v>6.0850200000000001</v>
      </c>
      <c r="G225" s="483">
        <v>7596230</v>
      </c>
      <c r="H225" s="564">
        <v>202983</v>
      </c>
      <c r="I225" s="518"/>
      <c r="J225" s="429"/>
      <c r="K225" s="430"/>
      <c r="L225" s="431"/>
    </row>
    <row r="226" spans="1:12" x14ac:dyDescent="0.35">
      <c r="A226" s="484" t="s">
        <v>1433</v>
      </c>
      <c r="B226" s="33" t="s">
        <v>1432</v>
      </c>
      <c r="C226" s="33" t="s">
        <v>759</v>
      </c>
      <c r="D226" s="465" t="s">
        <v>1341</v>
      </c>
      <c r="E226" s="464"/>
      <c r="F226" s="565">
        <v>12.62571</v>
      </c>
      <c r="G226" s="485">
        <v>2062875</v>
      </c>
      <c r="H226" s="564">
        <v>203168</v>
      </c>
      <c r="I226" s="523"/>
      <c r="J226" s="429"/>
      <c r="K226" s="430"/>
      <c r="L226" s="431"/>
    </row>
    <row r="227" spans="1:12" x14ac:dyDescent="0.35">
      <c r="A227" s="34" t="s">
        <v>1099</v>
      </c>
      <c r="B227" s="32" t="s">
        <v>1105</v>
      </c>
      <c r="C227" s="32" t="s">
        <v>577</v>
      </c>
      <c r="D227" s="521"/>
      <c r="E227" s="464"/>
      <c r="F227" s="565">
        <v>6.8442100000000003</v>
      </c>
      <c r="G227" s="483">
        <v>3741088</v>
      </c>
      <c r="H227" s="564">
        <v>202520</v>
      </c>
      <c r="I227" s="518"/>
      <c r="J227" s="429"/>
      <c r="K227" s="430"/>
      <c r="L227" s="431"/>
    </row>
    <row r="228" spans="1:12" x14ac:dyDescent="0.35">
      <c r="A228" s="34" t="s">
        <v>1100</v>
      </c>
      <c r="B228" s="32" t="s">
        <v>1105</v>
      </c>
      <c r="C228" s="32" t="s">
        <v>442</v>
      </c>
      <c r="D228" s="521"/>
      <c r="E228" s="464"/>
      <c r="F228" s="565">
        <v>6.8442100000000003</v>
      </c>
      <c r="G228" s="483">
        <v>4191768</v>
      </c>
      <c r="H228" s="564">
        <v>202521</v>
      </c>
      <c r="I228" s="518"/>
      <c r="J228" s="429"/>
      <c r="K228" s="430"/>
      <c r="L228" s="431"/>
    </row>
    <row r="229" spans="1:12" x14ac:dyDescent="0.35">
      <c r="A229" s="530" t="s">
        <v>1101</v>
      </c>
      <c r="B229" s="32" t="s">
        <v>1105</v>
      </c>
      <c r="C229" s="32" t="s">
        <v>468</v>
      </c>
      <c r="D229" s="521" t="s">
        <v>1341</v>
      </c>
      <c r="E229" s="464"/>
      <c r="F229" s="565">
        <v>6.1829299999999998</v>
      </c>
      <c r="G229" s="483">
        <v>7703025</v>
      </c>
      <c r="H229" s="564">
        <v>202985</v>
      </c>
      <c r="I229" s="518"/>
      <c r="J229" s="429"/>
      <c r="K229" s="430"/>
      <c r="L229" s="431"/>
    </row>
    <row r="230" spans="1:12" x14ac:dyDescent="0.35">
      <c r="A230" s="484" t="s">
        <v>1434</v>
      </c>
      <c r="B230" s="33" t="s">
        <v>1435</v>
      </c>
      <c r="C230" s="33" t="s">
        <v>759</v>
      </c>
      <c r="D230" s="465" t="s">
        <v>1341</v>
      </c>
      <c r="E230" s="464"/>
      <c r="F230" s="565">
        <v>12.782719999999999</v>
      </c>
      <c r="G230" s="485">
        <v>8346482</v>
      </c>
      <c r="H230" s="564">
        <v>203172</v>
      </c>
      <c r="I230" s="523"/>
      <c r="J230" s="429"/>
      <c r="K230" s="430"/>
      <c r="L230" s="431"/>
    </row>
    <row r="231" spans="1:12" x14ac:dyDescent="0.35">
      <c r="A231" s="34" t="s">
        <v>1102</v>
      </c>
      <c r="B231" s="32" t="s">
        <v>1106</v>
      </c>
      <c r="C231" s="32" t="s">
        <v>577</v>
      </c>
      <c r="D231" s="521"/>
      <c r="E231" s="464"/>
      <c r="F231" s="565">
        <v>6.2810499999999996</v>
      </c>
      <c r="G231" s="483">
        <v>2436584</v>
      </c>
      <c r="H231" s="564">
        <v>202522</v>
      </c>
      <c r="I231" s="518"/>
      <c r="J231" s="429"/>
      <c r="K231" s="430"/>
      <c r="L231" s="431"/>
    </row>
    <row r="232" spans="1:12" x14ac:dyDescent="0.35">
      <c r="A232" s="34" t="s">
        <v>1103</v>
      </c>
      <c r="B232" s="32" t="s">
        <v>1106</v>
      </c>
      <c r="C232" s="32" t="s">
        <v>442</v>
      </c>
      <c r="D232" s="521"/>
      <c r="E232" s="464"/>
      <c r="F232" s="565">
        <v>6.2810499999999996</v>
      </c>
      <c r="G232" s="483">
        <v>5670943</v>
      </c>
      <c r="H232" s="564">
        <v>202523</v>
      </c>
      <c r="I232" s="518"/>
      <c r="J232" s="429"/>
      <c r="K232" s="430"/>
      <c r="L232" s="431"/>
    </row>
    <row r="233" spans="1:12" x14ac:dyDescent="0.35">
      <c r="A233" s="530" t="s">
        <v>1104</v>
      </c>
      <c r="B233" s="32" t="s">
        <v>1106</v>
      </c>
      <c r="C233" s="32" t="s">
        <v>468</v>
      </c>
      <c r="D233" s="521" t="s">
        <v>1341</v>
      </c>
      <c r="E233" s="464"/>
      <c r="F233" s="565">
        <v>6.2810499999999996</v>
      </c>
      <c r="G233" s="483">
        <v>2398612</v>
      </c>
      <c r="H233" s="564">
        <v>205926</v>
      </c>
      <c r="I233" s="518"/>
      <c r="J233" s="429"/>
      <c r="K233" s="430"/>
      <c r="L233" s="431"/>
    </row>
    <row r="234" spans="1:12" x14ac:dyDescent="0.35">
      <c r="A234" s="484" t="s">
        <v>1436</v>
      </c>
      <c r="B234" s="33" t="s">
        <v>1437</v>
      </c>
      <c r="C234" s="33" t="s">
        <v>759</v>
      </c>
      <c r="D234" s="465" t="s">
        <v>1341</v>
      </c>
      <c r="E234" s="464"/>
      <c r="F234" s="565">
        <v>12.92196</v>
      </c>
      <c r="G234" s="485">
        <v>5600049</v>
      </c>
      <c r="H234" s="564">
        <v>203176</v>
      </c>
      <c r="I234" s="523"/>
      <c r="J234" s="429"/>
      <c r="K234" s="430"/>
      <c r="L234" s="431"/>
    </row>
    <row r="235" spans="1:12" x14ac:dyDescent="0.35">
      <c r="A235" s="34" t="s">
        <v>665</v>
      </c>
      <c r="B235" s="32" t="s">
        <v>445</v>
      </c>
      <c r="C235" s="32" t="s">
        <v>577</v>
      </c>
      <c r="D235" s="521"/>
      <c r="E235" s="464"/>
      <c r="F235" s="565">
        <v>6.3789800000000003</v>
      </c>
      <c r="G235" s="37">
        <v>8705976</v>
      </c>
      <c r="H235" s="564">
        <v>202524</v>
      </c>
      <c r="I235" s="518"/>
      <c r="J235" s="429"/>
      <c r="K235" s="430"/>
      <c r="L235" s="431"/>
    </row>
    <row r="236" spans="1:12" x14ac:dyDescent="0.35">
      <c r="A236" s="34" t="s">
        <v>444</v>
      </c>
      <c r="B236" s="32" t="s">
        <v>445</v>
      </c>
      <c r="C236" s="32" t="s">
        <v>442</v>
      </c>
      <c r="D236" s="521"/>
      <c r="E236" s="464"/>
      <c r="F236" s="565">
        <v>6.3789800000000003</v>
      </c>
      <c r="G236" s="37">
        <v>2236035</v>
      </c>
      <c r="H236" s="564">
        <v>202525</v>
      </c>
      <c r="I236" s="518"/>
      <c r="J236" s="429"/>
      <c r="K236" s="430"/>
      <c r="L236" s="431"/>
    </row>
    <row r="237" spans="1:12" x14ac:dyDescent="0.35">
      <c r="A237" s="530" t="s">
        <v>666</v>
      </c>
      <c r="B237" s="32" t="s">
        <v>445</v>
      </c>
      <c r="C237" s="32" t="s">
        <v>468</v>
      </c>
      <c r="D237" s="521" t="s">
        <v>1341</v>
      </c>
      <c r="E237" s="464"/>
      <c r="F237" s="565">
        <v>6.3789800000000003</v>
      </c>
      <c r="G237" s="528">
        <v>4392383</v>
      </c>
      <c r="H237" s="564">
        <v>202993</v>
      </c>
      <c r="I237" s="518"/>
      <c r="J237" s="429"/>
      <c r="K237" s="430"/>
      <c r="L237" s="431"/>
    </row>
    <row r="238" spans="1:12" x14ac:dyDescent="0.35">
      <c r="A238" s="484" t="s">
        <v>1438</v>
      </c>
      <c r="B238" s="33" t="s">
        <v>1439</v>
      </c>
      <c r="C238" s="33" t="s">
        <v>759</v>
      </c>
      <c r="D238" s="465" t="s">
        <v>1341</v>
      </c>
      <c r="E238" s="464"/>
      <c r="F238" s="565">
        <v>13.10915</v>
      </c>
      <c r="G238" s="485">
        <v>6985231</v>
      </c>
      <c r="H238" s="564">
        <v>203178</v>
      </c>
      <c r="I238" s="523"/>
      <c r="J238" s="429"/>
      <c r="K238" s="430"/>
      <c r="L238" s="431"/>
    </row>
    <row r="239" spans="1:12" x14ac:dyDescent="0.35">
      <c r="A239" s="34" t="s">
        <v>1107</v>
      </c>
      <c r="B239" s="32" t="s">
        <v>1113</v>
      </c>
      <c r="C239" s="32" t="s">
        <v>577</v>
      </c>
      <c r="D239" s="521"/>
      <c r="E239" s="464"/>
      <c r="F239" s="565">
        <v>7.3622199999999998</v>
      </c>
      <c r="G239" s="483">
        <v>2422408</v>
      </c>
      <c r="H239" s="564">
        <v>202526</v>
      </c>
      <c r="I239" s="518"/>
      <c r="J239" s="429"/>
      <c r="K239" s="430"/>
      <c r="L239" s="431"/>
    </row>
    <row r="240" spans="1:12" x14ac:dyDescent="0.35">
      <c r="A240" s="34" t="s">
        <v>1108</v>
      </c>
      <c r="B240" s="32" t="s">
        <v>1113</v>
      </c>
      <c r="C240" s="32" t="s">
        <v>442</v>
      </c>
      <c r="D240" s="521"/>
      <c r="E240" s="464"/>
      <c r="F240" s="565">
        <v>7.3622199999999998</v>
      </c>
      <c r="G240" s="483">
        <v>8860295</v>
      </c>
      <c r="H240" s="564">
        <v>202527</v>
      </c>
      <c r="I240" s="518"/>
      <c r="J240" s="429"/>
      <c r="K240" s="430"/>
      <c r="L240" s="431"/>
    </row>
    <row r="241" spans="1:12" x14ac:dyDescent="0.35">
      <c r="A241" s="530" t="s">
        <v>1109</v>
      </c>
      <c r="B241" s="32" t="s">
        <v>1113</v>
      </c>
      <c r="C241" s="32" t="s">
        <v>468</v>
      </c>
      <c r="D241" s="521" t="s">
        <v>1341</v>
      </c>
      <c r="E241" s="464"/>
      <c r="F241" s="565">
        <v>6.6509</v>
      </c>
      <c r="G241" s="483">
        <v>5132615</v>
      </c>
      <c r="H241" s="564">
        <v>202994</v>
      </c>
      <c r="I241" s="518"/>
      <c r="J241" s="429"/>
      <c r="K241" s="430"/>
      <c r="L241" s="431"/>
    </row>
    <row r="242" spans="1:12" x14ac:dyDescent="0.35">
      <c r="A242" s="484" t="s">
        <v>1440</v>
      </c>
      <c r="B242" s="33" t="s">
        <v>1441</v>
      </c>
      <c r="C242" s="33" t="s">
        <v>759</v>
      </c>
      <c r="D242" s="465" t="s">
        <v>1341</v>
      </c>
      <c r="E242" s="464"/>
      <c r="F242" s="565">
        <v>13.450240000000001</v>
      </c>
      <c r="G242" s="485">
        <v>5781644</v>
      </c>
      <c r="H242" s="564">
        <v>203184</v>
      </c>
      <c r="I242" s="523"/>
      <c r="J242" s="429"/>
      <c r="K242" s="430"/>
      <c r="L242" s="431"/>
    </row>
    <row r="243" spans="1:12" x14ac:dyDescent="0.35">
      <c r="A243" s="34" t="s">
        <v>1110</v>
      </c>
      <c r="B243" s="32" t="s">
        <v>1114</v>
      </c>
      <c r="C243" s="32" t="s">
        <v>577</v>
      </c>
      <c r="D243" s="521"/>
      <c r="E243" s="464"/>
      <c r="F243" s="565">
        <v>6.923</v>
      </c>
      <c r="G243" s="483">
        <v>1696058</v>
      </c>
      <c r="H243" s="564">
        <v>203000</v>
      </c>
      <c r="I243" s="518"/>
      <c r="J243" s="429"/>
      <c r="K243" s="430"/>
      <c r="L243" s="431"/>
    </row>
    <row r="244" spans="1:12" x14ac:dyDescent="0.35">
      <c r="A244" s="34" t="s">
        <v>1111</v>
      </c>
      <c r="B244" s="32" t="s">
        <v>1114</v>
      </c>
      <c r="C244" s="32" t="s">
        <v>442</v>
      </c>
      <c r="D244" s="521"/>
      <c r="E244" s="464"/>
      <c r="F244" s="565">
        <v>6.923</v>
      </c>
      <c r="G244" s="483">
        <v>9244783</v>
      </c>
      <c r="H244" s="564">
        <v>203001</v>
      </c>
      <c r="I244" s="518"/>
      <c r="J244" s="429"/>
      <c r="K244" s="430"/>
      <c r="L244" s="431"/>
    </row>
    <row r="245" spans="1:12" x14ac:dyDescent="0.35">
      <c r="A245" s="530" t="s">
        <v>1112</v>
      </c>
      <c r="B245" s="32" t="s">
        <v>1114</v>
      </c>
      <c r="C245" s="32" t="s">
        <v>468</v>
      </c>
      <c r="D245" s="521" t="s">
        <v>1341</v>
      </c>
      <c r="E245" s="464"/>
      <c r="F245" s="565">
        <v>6.923</v>
      </c>
      <c r="G245" s="483">
        <v>9215758</v>
      </c>
      <c r="H245" s="564">
        <v>202995</v>
      </c>
      <c r="I245" s="518"/>
      <c r="J245" s="429"/>
      <c r="K245" s="430"/>
      <c r="L245" s="431"/>
    </row>
    <row r="246" spans="1:12" x14ac:dyDescent="0.35">
      <c r="A246" s="484" t="s">
        <v>1442</v>
      </c>
      <c r="B246" s="33" t="s">
        <v>1443</v>
      </c>
      <c r="C246" s="33" t="s">
        <v>759</v>
      </c>
      <c r="D246" s="465" t="s">
        <v>1341</v>
      </c>
      <c r="E246" s="464"/>
      <c r="F246" s="565">
        <v>13.803739999999999</v>
      </c>
      <c r="G246" s="485">
        <v>5495041</v>
      </c>
      <c r="H246" s="564">
        <v>203190</v>
      </c>
      <c r="I246" s="523"/>
      <c r="J246" s="429"/>
      <c r="K246" s="430"/>
      <c r="L246" s="431"/>
    </row>
    <row r="247" spans="1:12" x14ac:dyDescent="0.35">
      <c r="A247" s="34" t="s">
        <v>10</v>
      </c>
      <c r="B247" s="32" t="s">
        <v>13</v>
      </c>
      <c r="C247" s="32" t="s">
        <v>577</v>
      </c>
      <c r="D247" s="521"/>
      <c r="E247" s="464"/>
      <c r="F247" s="565">
        <v>7.9644300000000001</v>
      </c>
      <c r="G247" s="37">
        <v>3892970</v>
      </c>
      <c r="H247" s="564">
        <v>202528</v>
      </c>
      <c r="I247" s="518"/>
      <c r="J247" s="429"/>
      <c r="K247" s="430"/>
      <c r="L247" s="431"/>
    </row>
    <row r="248" spans="1:12" x14ac:dyDescent="0.35">
      <c r="A248" s="34" t="s">
        <v>11</v>
      </c>
      <c r="B248" s="32" t="s">
        <v>13</v>
      </c>
      <c r="C248" s="32" t="s">
        <v>442</v>
      </c>
      <c r="D248" s="521"/>
      <c r="E248" s="464"/>
      <c r="F248" s="565">
        <v>7.9644300000000001</v>
      </c>
      <c r="G248" s="37">
        <v>4273717</v>
      </c>
      <c r="H248" s="564">
        <v>202529</v>
      </c>
      <c r="I248" s="518"/>
      <c r="J248" s="429"/>
      <c r="K248" s="430"/>
      <c r="L248" s="431"/>
    </row>
    <row r="249" spans="1:12" x14ac:dyDescent="0.35">
      <c r="A249" s="530" t="s">
        <v>12</v>
      </c>
      <c r="B249" s="32" t="s">
        <v>13</v>
      </c>
      <c r="C249" s="32" t="s">
        <v>468</v>
      </c>
      <c r="D249" s="521" t="s">
        <v>1341</v>
      </c>
      <c r="E249" s="464"/>
      <c r="F249" s="565">
        <v>7.1949199999999998</v>
      </c>
      <c r="G249" s="528">
        <v>4651778</v>
      </c>
      <c r="H249" s="564">
        <v>202996</v>
      </c>
      <c r="I249" s="518"/>
      <c r="J249" s="429"/>
      <c r="K249" s="430"/>
      <c r="L249" s="431"/>
    </row>
    <row r="250" spans="1:12" x14ac:dyDescent="0.35">
      <c r="A250" s="484" t="s">
        <v>1444</v>
      </c>
      <c r="B250" s="33" t="s">
        <v>1445</v>
      </c>
      <c r="C250" s="33" t="s">
        <v>759</v>
      </c>
      <c r="D250" s="465" t="s">
        <v>1341</v>
      </c>
      <c r="E250" s="464"/>
      <c r="F250" s="565">
        <v>14.37495</v>
      </c>
      <c r="G250" s="485">
        <v>9950987</v>
      </c>
      <c r="H250" s="564">
        <v>203194</v>
      </c>
      <c r="I250" s="518"/>
      <c r="J250" s="13"/>
      <c r="K250" s="430"/>
      <c r="L250" s="431"/>
    </row>
    <row r="251" spans="1:12" x14ac:dyDescent="0.35">
      <c r="A251" s="34"/>
      <c r="B251" s="32"/>
      <c r="C251" s="32"/>
      <c r="D251" s="521"/>
      <c r="E251" s="464"/>
      <c r="F251" s="565"/>
      <c r="G251" s="487"/>
      <c r="H251" s="564"/>
      <c r="I251" s="518"/>
      <c r="J251" s="13"/>
      <c r="K251" s="430"/>
      <c r="L251" s="431"/>
    </row>
    <row r="252" spans="1:12" x14ac:dyDescent="0.35">
      <c r="A252" s="34"/>
      <c r="B252" s="32"/>
      <c r="C252" s="32"/>
      <c r="D252" s="521"/>
      <c r="E252" s="464"/>
      <c r="F252" s="565"/>
      <c r="G252" s="487"/>
      <c r="H252" s="564"/>
      <c r="I252" s="518"/>
      <c r="J252" s="13"/>
      <c r="K252" s="430"/>
      <c r="L252" s="431"/>
    </row>
    <row r="253" spans="1:12" x14ac:dyDescent="0.35">
      <c r="A253" s="488" t="s">
        <v>179</v>
      </c>
      <c r="B253" s="32"/>
      <c r="C253" s="32"/>
      <c r="D253" s="521"/>
      <c r="E253" s="464"/>
      <c r="F253" s="565"/>
      <c r="G253" s="487"/>
      <c r="H253" s="564"/>
      <c r="I253" s="518"/>
      <c r="J253" s="13"/>
      <c r="K253" s="430"/>
      <c r="L253" s="431"/>
    </row>
    <row r="254" spans="1:12" x14ac:dyDescent="0.35">
      <c r="A254" s="34" t="s">
        <v>1115</v>
      </c>
      <c r="B254" s="32" t="s">
        <v>1117</v>
      </c>
      <c r="C254" s="32" t="s">
        <v>475</v>
      </c>
      <c r="D254" s="521" t="s">
        <v>1341</v>
      </c>
      <c r="E254" s="464"/>
      <c r="F254" s="565">
        <v>9.78749</v>
      </c>
      <c r="G254" s="489">
        <v>2774799</v>
      </c>
      <c r="H254" s="564">
        <v>222070</v>
      </c>
      <c r="I254" s="518"/>
      <c r="J254" s="13"/>
      <c r="K254" s="430"/>
      <c r="L254" s="431"/>
    </row>
    <row r="255" spans="1:12" x14ac:dyDescent="0.35">
      <c r="A255" s="34" t="s">
        <v>1116</v>
      </c>
      <c r="B255" s="32" t="s">
        <v>1117</v>
      </c>
      <c r="C255" s="32" t="s">
        <v>476</v>
      </c>
      <c r="D255" s="521" t="s">
        <v>1341</v>
      </c>
      <c r="E255" s="464"/>
      <c r="F255" s="565">
        <v>11.71772</v>
      </c>
      <c r="G255" s="489">
        <v>6040986</v>
      </c>
      <c r="H255" s="564">
        <v>222071</v>
      </c>
      <c r="I255" s="518"/>
      <c r="J255" s="13"/>
      <c r="K255" s="430"/>
      <c r="L255" s="431"/>
    </row>
    <row r="256" spans="1:12" x14ac:dyDescent="0.35">
      <c r="A256" s="34" t="s">
        <v>1118</v>
      </c>
      <c r="B256" s="32" t="s">
        <v>1120</v>
      </c>
      <c r="C256" s="32" t="s">
        <v>475</v>
      </c>
      <c r="D256" s="521" t="s">
        <v>1341</v>
      </c>
      <c r="E256" s="464"/>
      <c r="F256" s="565">
        <v>10.956569999999999</v>
      </c>
      <c r="G256" s="489">
        <v>3308193</v>
      </c>
      <c r="H256" s="564">
        <v>222074</v>
      </c>
      <c r="I256" s="518"/>
      <c r="J256" s="13"/>
      <c r="K256" s="430"/>
      <c r="L256" s="431"/>
    </row>
    <row r="257" spans="1:12" x14ac:dyDescent="0.35">
      <c r="A257" s="34" t="s">
        <v>1119</v>
      </c>
      <c r="B257" s="32" t="s">
        <v>1120</v>
      </c>
      <c r="C257" s="32" t="s">
        <v>476</v>
      </c>
      <c r="D257" s="521" t="s">
        <v>1341</v>
      </c>
      <c r="E257" s="464"/>
      <c r="F257" s="565">
        <v>11.599959999999999</v>
      </c>
      <c r="G257" s="489">
        <v>2389528</v>
      </c>
      <c r="H257" s="564">
        <v>222075</v>
      </c>
      <c r="I257" s="518"/>
      <c r="J257" s="13"/>
      <c r="K257" s="430"/>
      <c r="L257" s="431"/>
    </row>
    <row r="258" spans="1:12" x14ac:dyDescent="0.35">
      <c r="A258" s="34" t="s">
        <v>1121</v>
      </c>
      <c r="B258" s="32" t="s">
        <v>1123</v>
      </c>
      <c r="C258" s="32" t="s">
        <v>475</v>
      </c>
      <c r="D258" s="521" t="s">
        <v>1341</v>
      </c>
      <c r="E258" s="464"/>
      <c r="F258" s="565">
        <v>10.55153</v>
      </c>
      <c r="G258" s="489">
        <v>7929860</v>
      </c>
      <c r="H258" s="564">
        <v>222078</v>
      </c>
      <c r="I258" s="518"/>
      <c r="J258" s="13"/>
      <c r="K258" s="430"/>
      <c r="L258" s="431"/>
    </row>
    <row r="259" spans="1:12" x14ac:dyDescent="0.35">
      <c r="A259" s="34" t="s">
        <v>1122</v>
      </c>
      <c r="B259" s="32" t="s">
        <v>1123</v>
      </c>
      <c r="C259" s="32" t="s">
        <v>476</v>
      </c>
      <c r="D259" s="521" t="s">
        <v>1341</v>
      </c>
      <c r="E259" s="464"/>
      <c r="F259" s="565">
        <v>12.97845</v>
      </c>
      <c r="G259" s="489">
        <v>3132465</v>
      </c>
      <c r="H259" s="564">
        <v>222079</v>
      </c>
      <c r="I259" s="518"/>
      <c r="J259" s="13"/>
      <c r="K259" s="430"/>
      <c r="L259" s="431"/>
    </row>
    <row r="260" spans="1:12" x14ac:dyDescent="0.35">
      <c r="A260" s="34" t="s">
        <v>1124</v>
      </c>
      <c r="B260" s="32" t="s">
        <v>1128</v>
      </c>
      <c r="C260" s="32" t="s">
        <v>475</v>
      </c>
      <c r="D260" s="521"/>
      <c r="E260" s="464"/>
      <c r="F260" s="565">
        <v>11.739190000000001</v>
      </c>
      <c r="G260" s="489">
        <v>1224597</v>
      </c>
      <c r="H260" s="564">
        <v>222083</v>
      </c>
      <c r="I260" s="518"/>
      <c r="J260" s="13"/>
      <c r="K260" s="430"/>
      <c r="L260" s="431"/>
    </row>
    <row r="261" spans="1:12" x14ac:dyDescent="0.35">
      <c r="A261" s="34" t="s">
        <v>1125</v>
      </c>
      <c r="B261" s="32" t="s">
        <v>1128</v>
      </c>
      <c r="C261" s="32" t="s">
        <v>476</v>
      </c>
      <c r="D261" s="521"/>
      <c r="E261" s="464"/>
      <c r="F261" s="565">
        <v>12.74545</v>
      </c>
      <c r="G261" s="489">
        <v>7491368</v>
      </c>
      <c r="H261" s="564">
        <v>222084</v>
      </c>
      <c r="I261" s="518"/>
      <c r="J261" s="13"/>
      <c r="K261" s="430"/>
      <c r="L261" s="431"/>
    </row>
    <row r="262" spans="1:12" x14ac:dyDescent="0.35">
      <c r="A262" s="34" t="s">
        <v>1126</v>
      </c>
      <c r="B262" s="32" t="s">
        <v>1129</v>
      </c>
      <c r="C262" s="32" t="s">
        <v>475</v>
      </c>
      <c r="D262" s="521"/>
      <c r="E262" s="464"/>
      <c r="F262" s="565">
        <v>14.23917</v>
      </c>
      <c r="G262" s="489">
        <v>2294507</v>
      </c>
      <c r="H262" s="564">
        <v>222089</v>
      </c>
      <c r="I262" s="518"/>
      <c r="J262" s="13"/>
      <c r="K262" s="430"/>
      <c r="L262" s="431"/>
    </row>
    <row r="263" spans="1:12" x14ac:dyDescent="0.35">
      <c r="A263" s="34" t="s">
        <v>1127</v>
      </c>
      <c r="B263" s="32" t="s">
        <v>1129</v>
      </c>
      <c r="C263" s="32" t="s">
        <v>476</v>
      </c>
      <c r="D263" s="521"/>
      <c r="E263" s="464"/>
      <c r="F263" s="565">
        <v>14.23917</v>
      </c>
      <c r="G263" s="489">
        <v>1236119</v>
      </c>
      <c r="H263" s="564">
        <v>222089</v>
      </c>
      <c r="I263" s="518"/>
      <c r="J263" s="13"/>
      <c r="K263" s="430"/>
      <c r="L263" s="431"/>
    </row>
    <row r="264" spans="1:12" x14ac:dyDescent="0.35">
      <c r="A264" s="34" t="s">
        <v>667</v>
      </c>
      <c r="B264" s="32" t="s">
        <v>441</v>
      </c>
      <c r="C264" s="32" t="s">
        <v>475</v>
      </c>
      <c r="D264" s="521"/>
      <c r="E264" s="464"/>
      <c r="F264" s="565">
        <v>11.697749999999999</v>
      </c>
      <c r="G264" s="497">
        <v>2291585</v>
      </c>
      <c r="H264" s="564">
        <v>222092</v>
      </c>
      <c r="I264" s="519"/>
      <c r="J264" s="13"/>
      <c r="K264" s="430"/>
      <c r="L264" s="431"/>
    </row>
    <row r="265" spans="1:12" x14ac:dyDescent="0.35">
      <c r="A265" s="34" t="s">
        <v>668</v>
      </c>
      <c r="B265" s="32" t="s">
        <v>441</v>
      </c>
      <c r="C265" s="32" t="s">
        <v>476</v>
      </c>
      <c r="D265" s="521"/>
      <c r="E265" s="464"/>
      <c r="F265" s="565">
        <v>14.86964</v>
      </c>
      <c r="G265" s="497">
        <v>1699007</v>
      </c>
      <c r="H265" s="564">
        <v>222093</v>
      </c>
      <c r="I265" s="519"/>
      <c r="J265" s="13"/>
      <c r="K265" s="430"/>
      <c r="L265" s="431"/>
    </row>
    <row r="266" spans="1:12" x14ac:dyDescent="0.35">
      <c r="A266" s="34" t="s">
        <v>1130</v>
      </c>
      <c r="B266" s="32" t="s">
        <v>1134</v>
      </c>
      <c r="C266" s="32" t="s">
        <v>475</v>
      </c>
      <c r="D266" s="521"/>
      <c r="E266" s="464"/>
      <c r="F266" s="565">
        <v>13.304410000000001</v>
      </c>
      <c r="G266" s="498">
        <v>2557206</v>
      </c>
      <c r="H266" s="564">
        <v>222097</v>
      </c>
      <c r="I266" s="519"/>
      <c r="J266" s="13"/>
      <c r="K266" s="430"/>
      <c r="L266" s="431"/>
    </row>
    <row r="267" spans="1:12" x14ac:dyDescent="0.35">
      <c r="A267" s="34" t="s">
        <v>1131</v>
      </c>
      <c r="B267" s="32" t="s">
        <v>1134</v>
      </c>
      <c r="C267" s="32" t="s">
        <v>476</v>
      </c>
      <c r="D267" s="521"/>
      <c r="E267" s="464"/>
      <c r="F267" s="565">
        <v>16.12961</v>
      </c>
      <c r="G267" s="498">
        <v>4421646</v>
      </c>
      <c r="H267" s="564">
        <v>222098</v>
      </c>
      <c r="I267" s="519"/>
      <c r="J267" s="13"/>
      <c r="K267" s="430"/>
      <c r="L267" s="431"/>
    </row>
    <row r="268" spans="1:12" x14ac:dyDescent="0.35">
      <c r="A268" s="34" t="s">
        <v>1132</v>
      </c>
      <c r="B268" s="32" t="s">
        <v>1135</v>
      </c>
      <c r="C268" s="32" t="s">
        <v>475</v>
      </c>
      <c r="D268" s="521" t="s">
        <v>1341</v>
      </c>
      <c r="E268" s="464"/>
      <c r="F268" s="565">
        <v>14.08703</v>
      </c>
      <c r="G268" s="498">
        <v>2317239</v>
      </c>
      <c r="H268" s="564">
        <v>222102</v>
      </c>
      <c r="I268" s="519"/>
      <c r="J268" s="13"/>
      <c r="K268" s="430"/>
      <c r="L268" s="431"/>
    </row>
    <row r="269" spans="1:12" x14ac:dyDescent="0.35">
      <c r="A269" s="34" t="s">
        <v>1133</v>
      </c>
      <c r="B269" s="32" t="s">
        <v>1135</v>
      </c>
      <c r="C269" s="32" t="s">
        <v>476</v>
      </c>
      <c r="D269" s="521" t="s">
        <v>1341</v>
      </c>
      <c r="E269" s="464"/>
      <c r="F269" s="565">
        <v>19.4557</v>
      </c>
      <c r="G269" s="498">
        <v>5772746</v>
      </c>
      <c r="H269" s="564">
        <v>222103</v>
      </c>
      <c r="I269" s="519"/>
      <c r="J269" s="13"/>
      <c r="K269" s="430"/>
      <c r="L269" s="431"/>
    </row>
    <row r="270" spans="1:12" x14ac:dyDescent="0.35">
      <c r="A270" s="34" t="s">
        <v>669</v>
      </c>
      <c r="B270" s="32" t="s">
        <v>674</v>
      </c>
      <c r="C270" s="32" t="s">
        <v>475</v>
      </c>
      <c r="D270" s="521"/>
      <c r="E270" s="464"/>
      <c r="F270" s="565">
        <v>13.988720000000001</v>
      </c>
      <c r="G270" s="497">
        <v>5253385</v>
      </c>
      <c r="H270" s="564">
        <v>222106</v>
      </c>
      <c r="I270" s="519"/>
      <c r="J270" s="13"/>
      <c r="K270" s="430"/>
      <c r="L270" s="431"/>
    </row>
    <row r="271" spans="1:12" x14ac:dyDescent="0.35">
      <c r="A271" s="34" t="s">
        <v>670</v>
      </c>
      <c r="B271" s="32" t="s">
        <v>674</v>
      </c>
      <c r="C271" s="32" t="s">
        <v>476</v>
      </c>
      <c r="D271" s="521"/>
      <c r="E271" s="464"/>
      <c r="F271" s="565">
        <v>21.748750000000001</v>
      </c>
      <c r="G271" s="497">
        <v>3645981</v>
      </c>
      <c r="H271" s="564">
        <v>222108</v>
      </c>
      <c r="I271" s="519"/>
      <c r="J271" s="13"/>
      <c r="K271" s="430"/>
      <c r="L271" s="431"/>
    </row>
    <row r="272" spans="1:12" x14ac:dyDescent="0.35">
      <c r="A272" s="34"/>
      <c r="B272" s="32"/>
      <c r="C272" s="32"/>
      <c r="D272" s="521"/>
      <c r="E272" s="464"/>
      <c r="F272" s="565"/>
      <c r="G272" s="487"/>
      <c r="H272" s="564"/>
      <c r="I272" s="518"/>
      <c r="J272" s="13"/>
      <c r="K272" s="430"/>
      <c r="L272" s="431"/>
    </row>
    <row r="273" spans="1:12" x14ac:dyDescent="0.35">
      <c r="A273" s="34" t="s">
        <v>1136</v>
      </c>
      <c r="B273" s="32" t="s">
        <v>1146</v>
      </c>
      <c r="C273" s="32" t="s">
        <v>475</v>
      </c>
      <c r="D273" s="521" t="s">
        <v>1341</v>
      </c>
      <c r="E273" s="464"/>
      <c r="F273" s="565">
        <v>7.9598199999999997</v>
      </c>
      <c r="G273" s="489">
        <v>3804408</v>
      </c>
      <c r="H273" s="564">
        <v>222067</v>
      </c>
      <c r="I273" s="518"/>
      <c r="J273" s="13"/>
      <c r="K273" s="430"/>
      <c r="L273" s="431"/>
    </row>
    <row r="274" spans="1:12" x14ac:dyDescent="0.35">
      <c r="A274" s="34" t="s">
        <v>1137</v>
      </c>
      <c r="B274" s="32" t="s">
        <v>1146</v>
      </c>
      <c r="C274" s="32" t="s">
        <v>476</v>
      </c>
      <c r="D274" s="521" t="s">
        <v>1341</v>
      </c>
      <c r="E274" s="464"/>
      <c r="F274" s="565">
        <v>9.1994699999999998</v>
      </c>
      <c r="G274" s="489">
        <v>5036146</v>
      </c>
      <c r="H274" s="564">
        <v>222069</v>
      </c>
      <c r="I274" s="518"/>
      <c r="J274" s="13"/>
      <c r="K274" s="430"/>
      <c r="L274" s="431"/>
    </row>
    <row r="275" spans="1:12" x14ac:dyDescent="0.35">
      <c r="A275" s="34" t="s">
        <v>1138</v>
      </c>
      <c r="B275" s="32" t="s">
        <v>1147</v>
      </c>
      <c r="C275" s="32" t="s">
        <v>475</v>
      </c>
      <c r="D275" s="521" t="s">
        <v>1341</v>
      </c>
      <c r="E275" s="464"/>
      <c r="F275" s="565">
        <v>8.3418399999999995</v>
      </c>
      <c r="G275" s="489">
        <v>5859728</v>
      </c>
      <c r="H275" s="564">
        <v>222072</v>
      </c>
      <c r="I275" s="518"/>
      <c r="K275" s="430"/>
      <c r="L275" s="431"/>
    </row>
    <row r="276" spans="1:12" x14ac:dyDescent="0.35">
      <c r="A276" s="34" t="s">
        <v>1139</v>
      </c>
      <c r="B276" s="32" t="s">
        <v>1147</v>
      </c>
      <c r="C276" s="32" t="s">
        <v>476</v>
      </c>
      <c r="D276" s="521" t="s">
        <v>1341</v>
      </c>
      <c r="E276" s="464"/>
      <c r="F276" s="565">
        <v>9.7722999999999995</v>
      </c>
      <c r="G276" s="489">
        <v>8132199</v>
      </c>
      <c r="H276" s="564">
        <v>222073</v>
      </c>
      <c r="I276" s="518"/>
      <c r="J276" s="13"/>
      <c r="K276" s="430"/>
      <c r="L276" s="431"/>
    </row>
    <row r="277" spans="1:12" x14ac:dyDescent="0.35">
      <c r="A277" s="34" t="s">
        <v>1140</v>
      </c>
      <c r="B277" s="32" t="s">
        <v>1148</v>
      </c>
      <c r="C277" s="32" t="s">
        <v>475</v>
      </c>
      <c r="D277" s="521" t="s">
        <v>1341</v>
      </c>
      <c r="E277" s="464"/>
      <c r="F277" s="565">
        <v>8.7239199999999997</v>
      </c>
      <c r="G277" s="489">
        <v>4171919</v>
      </c>
      <c r="H277" s="564">
        <v>222076</v>
      </c>
      <c r="I277" s="518"/>
      <c r="J277" s="13"/>
      <c r="K277" s="430"/>
      <c r="L277" s="431"/>
    </row>
    <row r="278" spans="1:12" x14ac:dyDescent="0.35">
      <c r="A278" s="34" t="s">
        <v>1141</v>
      </c>
      <c r="B278" s="32" t="s">
        <v>1148</v>
      </c>
      <c r="C278" s="32" t="s">
        <v>476</v>
      </c>
      <c r="D278" s="521" t="s">
        <v>1341</v>
      </c>
      <c r="E278" s="464"/>
      <c r="F278" s="565">
        <v>10.34498</v>
      </c>
      <c r="G278" s="489">
        <v>7015370</v>
      </c>
      <c r="H278" s="564">
        <v>222077</v>
      </c>
      <c r="I278" s="518"/>
      <c r="K278" s="430"/>
      <c r="L278" s="431"/>
    </row>
    <row r="279" spans="1:12" x14ac:dyDescent="0.35">
      <c r="A279" s="34" t="s">
        <v>1142</v>
      </c>
      <c r="B279" s="32" t="s">
        <v>1149</v>
      </c>
      <c r="C279" s="32" t="s">
        <v>475</v>
      </c>
      <c r="D279" s="521" t="s">
        <v>1341</v>
      </c>
      <c r="E279" s="464"/>
      <c r="F279" s="565">
        <v>9.1059199999999993</v>
      </c>
      <c r="G279" s="489">
        <v>5254946</v>
      </c>
      <c r="H279" s="564">
        <v>222081</v>
      </c>
      <c r="I279" s="518"/>
      <c r="J279" s="13"/>
      <c r="K279" s="430"/>
      <c r="L279" s="431"/>
    </row>
    <row r="280" spans="1:12" x14ac:dyDescent="0.35">
      <c r="A280" s="34" t="s">
        <v>1143</v>
      </c>
      <c r="B280" s="32" t="s">
        <v>1149</v>
      </c>
      <c r="C280" s="32" t="s">
        <v>476</v>
      </c>
      <c r="D280" s="521" t="s">
        <v>1341</v>
      </c>
      <c r="E280" s="464"/>
      <c r="F280" s="565">
        <v>10.917809999999999</v>
      </c>
      <c r="G280" s="489">
        <v>2409562</v>
      </c>
      <c r="H280" s="564">
        <v>222082</v>
      </c>
      <c r="I280" s="518"/>
      <c r="J280" s="13"/>
      <c r="K280" s="430"/>
      <c r="L280" s="431"/>
    </row>
    <row r="281" spans="1:12" x14ac:dyDescent="0.35">
      <c r="A281" s="34" t="s">
        <v>1144</v>
      </c>
      <c r="B281" s="32" t="s">
        <v>1150</v>
      </c>
      <c r="C281" s="32" t="s">
        <v>475</v>
      </c>
      <c r="D281" s="521" t="s">
        <v>1341</v>
      </c>
      <c r="E281" s="464"/>
      <c r="F281" s="565">
        <v>9.4879499999999997</v>
      </c>
      <c r="G281" s="489">
        <v>9507673</v>
      </c>
      <c r="H281" s="564">
        <v>222085</v>
      </c>
      <c r="I281" s="518"/>
      <c r="J281" s="13"/>
      <c r="K281" s="430"/>
      <c r="L281" s="431"/>
    </row>
    <row r="282" spans="1:12" x14ac:dyDescent="0.35">
      <c r="A282" s="34" t="s">
        <v>1145</v>
      </c>
      <c r="B282" s="32" t="s">
        <v>1150</v>
      </c>
      <c r="C282" s="32" t="s">
        <v>476</v>
      </c>
      <c r="D282" s="521" t="s">
        <v>1341</v>
      </c>
      <c r="E282" s="464"/>
      <c r="F282" s="565">
        <v>11.49065</v>
      </c>
      <c r="G282" s="489">
        <v>1253534</v>
      </c>
      <c r="H282" s="564">
        <v>222086</v>
      </c>
      <c r="I282" s="518"/>
      <c r="J282" s="13"/>
      <c r="K282" s="430"/>
      <c r="L282" s="431"/>
    </row>
    <row r="283" spans="1:12" x14ac:dyDescent="0.35">
      <c r="A283" s="34" t="s">
        <v>207</v>
      </c>
      <c r="B283" s="32" t="s">
        <v>209</v>
      </c>
      <c r="C283" s="32" t="s">
        <v>475</v>
      </c>
      <c r="D283" s="521"/>
      <c r="E283" s="464"/>
      <c r="F283" s="565">
        <v>10.56526</v>
      </c>
      <c r="G283" s="497">
        <v>7291705</v>
      </c>
      <c r="H283" s="564">
        <v>222090</v>
      </c>
      <c r="I283" s="519"/>
      <c r="K283" s="430"/>
      <c r="L283" s="431"/>
    </row>
    <row r="284" spans="1:12" x14ac:dyDescent="0.35">
      <c r="A284" s="34" t="s">
        <v>208</v>
      </c>
      <c r="B284" s="32" t="s">
        <v>209</v>
      </c>
      <c r="C284" s="32" t="s">
        <v>476</v>
      </c>
      <c r="D284" s="521"/>
      <c r="E284" s="464"/>
      <c r="F284" s="565">
        <v>12.9131</v>
      </c>
      <c r="G284" s="497">
        <v>3964623</v>
      </c>
      <c r="H284" s="564">
        <v>222091</v>
      </c>
      <c r="I284" s="519"/>
      <c r="J284" s="13"/>
      <c r="K284" s="430"/>
      <c r="L284" s="431"/>
    </row>
    <row r="285" spans="1:12" x14ac:dyDescent="0.35">
      <c r="A285" s="34" t="s">
        <v>1151</v>
      </c>
      <c r="B285" s="32" t="s">
        <v>1157</v>
      </c>
      <c r="C285" s="32" t="s">
        <v>475</v>
      </c>
      <c r="D285" s="521" t="s">
        <v>1341</v>
      </c>
      <c r="E285" s="464"/>
      <c r="F285" s="565">
        <v>10.63378</v>
      </c>
      <c r="G285" s="498">
        <v>5688629</v>
      </c>
      <c r="H285" s="564">
        <v>222094</v>
      </c>
      <c r="I285" s="519"/>
      <c r="J285" s="13"/>
      <c r="K285" s="430"/>
      <c r="L285" s="431"/>
    </row>
    <row r="286" spans="1:12" x14ac:dyDescent="0.35">
      <c r="A286" s="34" t="s">
        <v>1152</v>
      </c>
      <c r="B286" s="32" t="s">
        <v>1157</v>
      </c>
      <c r="C286" s="32" t="s">
        <v>476</v>
      </c>
      <c r="D286" s="521" t="s">
        <v>1341</v>
      </c>
      <c r="E286" s="464"/>
      <c r="F286" s="565">
        <v>14.302</v>
      </c>
      <c r="G286" s="498">
        <v>7608000</v>
      </c>
      <c r="H286" s="564">
        <v>222095</v>
      </c>
      <c r="I286" s="519"/>
      <c r="J286" s="13"/>
      <c r="K286" s="430"/>
      <c r="L286" s="431"/>
    </row>
    <row r="287" spans="1:12" x14ac:dyDescent="0.35">
      <c r="A287" s="34" t="s">
        <v>1153</v>
      </c>
      <c r="B287" s="32" t="s">
        <v>1158</v>
      </c>
      <c r="C287" s="32" t="s">
        <v>475</v>
      </c>
      <c r="D287" s="521" t="s">
        <v>1341</v>
      </c>
      <c r="E287" s="464"/>
      <c r="F287" s="565">
        <v>11.39742</v>
      </c>
      <c r="G287" s="498">
        <v>9544431</v>
      </c>
      <c r="H287" s="564">
        <v>222099</v>
      </c>
      <c r="I287" s="519"/>
      <c r="J287" s="13"/>
      <c r="K287" s="430"/>
      <c r="L287" s="431"/>
    </row>
    <row r="288" spans="1:12" x14ac:dyDescent="0.35">
      <c r="A288" s="34" t="s">
        <v>1156</v>
      </c>
      <c r="B288" s="32" t="s">
        <v>1158</v>
      </c>
      <c r="C288" s="32" t="s">
        <v>476</v>
      </c>
      <c r="D288" s="521" t="s">
        <v>1341</v>
      </c>
      <c r="E288" s="464"/>
      <c r="F288" s="565">
        <v>16.540310000000002</v>
      </c>
      <c r="G288" s="498">
        <v>8250939</v>
      </c>
      <c r="H288" s="564">
        <v>222100</v>
      </c>
      <c r="I288" s="519"/>
      <c r="J288" s="13"/>
      <c r="K288" s="430"/>
      <c r="L288" s="431"/>
    </row>
    <row r="289" spans="1:12" x14ac:dyDescent="0.35">
      <c r="A289" s="34" t="s">
        <v>1154</v>
      </c>
      <c r="B289" s="32" t="s">
        <v>1159</v>
      </c>
      <c r="C289" s="32" t="s">
        <v>475</v>
      </c>
      <c r="D289" s="521" t="s">
        <v>1341</v>
      </c>
      <c r="E289" s="464"/>
      <c r="F289" s="565">
        <v>12.16109</v>
      </c>
      <c r="G289" s="498">
        <v>2152523</v>
      </c>
      <c r="H289" s="564">
        <v>222104</v>
      </c>
      <c r="I289" s="519"/>
      <c r="J289" s="13"/>
      <c r="K289" s="430"/>
      <c r="L289" s="431"/>
    </row>
    <row r="290" spans="1:12" x14ac:dyDescent="0.35">
      <c r="A290" s="34" t="s">
        <v>1155</v>
      </c>
      <c r="B290" s="32" t="s">
        <v>1159</v>
      </c>
      <c r="C290" s="32" t="s">
        <v>476</v>
      </c>
      <c r="D290" s="521" t="s">
        <v>1341</v>
      </c>
      <c r="E290" s="464"/>
      <c r="F290" s="565">
        <v>18.778649999999999</v>
      </c>
      <c r="G290" s="498">
        <v>4922166</v>
      </c>
      <c r="H290" s="564">
        <v>222105</v>
      </c>
      <c r="I290" s="519"/>
      <c r="J290" s="13"/>
      <c r="K290" s="430"/>
      <c r="L290" s="431"/>
    </row>
    <row r="291" spans="1:12" x14ac:dyDescent="0.35">
      <c r="A291" s="34"/>
      <c r="B291" s="32"/>
      <c r="C291" s="32"/>
      <c r="D291" s="521"/>
      <c r="E291" s="464"/>
      <c r="F291" s="565"/>
      <c r="G291" s="497"/>
      <c r="H291" s="564"/>
      <c r="I291" s="519"/>
      <c r="J291" s="13"/>
      <c r="K291" s="430"/>
      <c r="L291" s="431"/>
    </row>
    <row r="292" spans="1:12" x14ac:dyDescent="0.35">
      <c r="A292" s="34" t="s">
        <v>1160</v>
      </c>
      <c r="B292" s="32" t="s">
        <v>1166</v>
      </c>
      <c r="C292" s="32" t="s">
        <v>577</v>
      </c>
      <c r="D292" s="521"/>
      <c r="E292" s="464"/>
      <c r="F292" s="565">
        <v>6.1435899999999997</v>
      </c>
      <c r="G292" s="483">
        <v>7183333</v>
      </c>
      <c r="H292" s="564">
        <v>210781</v>
      </c>
      <c r="I292" s="519"/>
      <c r="J292" s="13"/>
      <c r="K292" s="430"/>
      <c r="L292" s="431"/>
    </row>
    <row r="293" spans="1:12" x14ac:dyDescent="0.35">
      <c r="A293" s="34" t="s">
        <v>1161</v>
      </c>
      <c r="B293" s="32" t="s">
        <v>1166</v>
      </c>
      <c r="C293" s="32" t="s">
        <v>442</v>
      </c>
      <c r="D293" s="521"/>
      <c r="E293" s="464"/>
      <c r="F293" s="565">
        <v>6.1435899999999997</v>
      </c>
      <c r="G293" s="483">
        <v>8790595</v>
      </c>
      <c r="H293" s="564">
        <v>210782</v>
      </c>
      <c r="I293" s="519"/>
      <c r="J293" s="13"/>
      <c r="K293" s="430"/>
      <c r="L293" s="431"/>
    </row>
    <row r="294" spans="1:12" x14ac:dyDescent="0.35">
      <c r="A294" s="484" t="s">
        <v>1162</v>
      </c>
      <c r="B294" s="33" t="s">
        <v>1166</v>
      </c>
      <c r="C294" s="33" t="s">
        <v>468</v>
      </c>
      <c r="D294" s="465"/>
      <c r="E294" s="464"/>
      <c r="F294" s="565">
        <v>6.1435899999999997</v>
      </c>
      <c r="G294" s="485">
        <v>2498246</v>
      </c>
      <c r="H294" s="564">
        <v>210783</v>
      </c>
      <c r="I294" s="519"/>
      <c r="J294" s="13"/>
      <c r="K294" s="430"/>
      <c r="L294" s="431"/>
    </row>
    <row r="295" spans="1:12" x14ac:dyDescent="0.35">
      <c r="A295" s="34" t="s">
        <v>671</v>
      </c>
      <c r="B295" s="32" t="s">
        <v>463</v>
      </c>
      <c r="C295" s="32" t="s">
        <v>577</v>
      </c>
      <c r="D295" s="521"/>
      <c r="E295" s="464"/>
      <c r="F295" s="565">
        <v>6.4565700000000001</v>
      </c>
      <c r="G295" s="496">
        <v>4222766</v>
      </c>
      <c r="H295" s="564">
        <v>210787</v>
      </c>
      <c r="I295" s="518"/>
      <c r="J295" s="13"/>
      <c r="K295" s="430"/>
      <c r="L295" s="431"/>
    </row>
    <row r="296" spans="1:12" x14ac:dyDescent="0.35">
      <c r="A296" s="34" t="s">
        <v>672</v>
      </c>
      <c r="B296" s="32" t="s">
        <v>463</v>
      </c>
      <c r="C296" s="32" t="s">
        <v>442</v>
      </c>
      <c r="D296" s="521"/>
      <c r="E296" s="464"/>
      <c r="F296" s="565">
        <v>6.4565700000000001</v>
      </c>
      <c r="G296" s="499">
        <v>7984939</v>
      </c>
      <c r="H296" s="564">
        <v>210788</v>
      </c>
      <c r="I296" s="518"/>
      <c r="J296" s="13"/>
      <c r="K296" s="430"/>
      <c r="L296" s="431"/>
    </row>
    <row r="297" spans="1:12" x14ac:dyDescent="0.35">
      <c r="A297" s="484" t="s">
        <v>675</v>
      </c>
      <c r="B297" s="33" t="s">
        <v>463</v>
      </c>
      <c r="C297" s="33" t="s">
        <v>468</v>
      </c>
      <c r="D297" s="465" t="s">
        <v>1341</v>
      </c>
      <c r="E297" s="464"/>
      <c r="F297" s="565">
        <v>6.4565700000000001</v>
      </c>
      <c r="G297" s="486">
        <v>5581246</v>
      </c>
      <c r="H297" s="564">
        <v>210789</v>
      </c>
      <c r="I297" s="518"/>
      <c r="J297" s="13"/>
      <c r="K297" s="430"/>
      <c r="L297" s="431"/>
    </row>
    <row r="298" spans="1:12" x14ac:dyDescent="0.35">
      <c r="A298" s="34" t="s">
        <v>1163</v>
      </c>
      <c r="B298" s="32" t="s">
        <v>1167</v>
      </c>
      <c r="C298" s="32" t="s">
        <v>577</v>
      </c>
      <c r="D298" s="521"/>
      <c r="E298" s="464"/>
      <c r="F298" s="565">
        <v>6.9749699999999999</v>
      </c>
      <c r="G298" s="483">
        <v>4851238</v>
      </c>
      <c r="H298" s="564">
        <v>210793</v>
      </c>
      <c r="I298" s="518"/>
      <c r="J298" s="13"/>
      <c r="K298" s="430"/>
      <c r="L298" s="431"/>
    </row>
    <row r="299" spans="1:12" x14ac:dyDescent="0.35">
      <c r="A299" s="34" t="s">
        <v>1164</v>
      </c>
      <c r="B299" s="32" t="s">
        <v>1167</v>
      </c>
      <c r="C299" s="32" t="s">
        <v>442</v>
      </c>
      <c r="D299" s="521"/>
      <c r="E299" s="464"/>
      <c r="F299" s="565">
        <v>6.9749699999999999</v>
      </c>
      <c r="G299" s="483">
        <v>9629759</v>
      </c>
      <c r="H299" s="564">
        <v>210794</v>
      </c>
      <c r="I299" s="518"/>
      <c r="J299" s="13"/>
      <c r="K299" s="430"/>
      <c r="L299" s="431"/>
    </row>
    <row r="300" spans="1:12" x14ac:dyDescent="0.35">
      <c r="A300" s="484" t="s">
        <v>1165</v>
      </c>
      <c r="B300" s="33" t="s">
        <v>1167</v>
      </c>
      <c r="C300" s="33" t="s">
        <v>468</v>
      </c>
      <c r="D300" s="465" t="s">
        <v>1341</v>
      </c>
      <c r="E300" s="464"/>
      <c r="F300" s="565">
        <v>6.9749699999999999</v>
      </c>
      <c r="G300" s="485">
        <v>4286938</v>
      </c>
      <c r="H300" s="564">
        <v>210795</v>
      </c>
      <c r="I300" s="518"/>
      <c r="J300" s="13"/>
      <c r="K300" s="430"/>
      <c r="L300" s="431"/>
    </row>
    <row r="301" spans="1:12" x14ac:dyDescent="0.35">
      <c r="A301" s="34"/>
      <c r="B301" s="32"/>
      <c r="C301" s="32"/>
      <c r="D301" s="521"/>
      <c r="E301" s="464"/>
      <c r="F301" s="565"/>
      <c r="G301" s="274"/>
      <c r="H301" s="564"/>
      <c r="I301" s="518"/>
      <c r="J301" s="13"/>
      <c r="K301" s="430"/>
      <c r="L301" s="431"/>
    </row>
    <row r="302" spans="1:12" x14ac:dyDescent="0.35">
      <c r="A302" s="34"/>
      <c r="B302" s="32"/>
      <c r="C302" s="32"/>
      <c r="D302" s="521"/>
      <c r="E302" s="464"/>
      <c r="F302" s="565"/>
      <c r="G302" s="274"/>
      <c r="H302" s="564"/>
      <c r="I302" s="518"/>
      <c r="J302" s="13"/>
      <c r="K302" s="430"/>
      <c r="L302" s="431"/>
    </row>
    <row r="303" spans="1:12" x14ac:dyDescent="0.35">
      <c r="A303" s="484"/>
      <c r="B303" s="33"/>
      <c r="C303" s="33"/>
      <c r="D303" s="465"/>
      <c r="E303" s="464"/>
      <c r="F303" s="565"/>
      <c r="G303" s="274"/>
      <c r="H303" s="564"/>
      <c r="I303" s="518"/>
      <c r="J303" s="13"/>
      <c r="K303" s="430"/>
      <c r="L303" s="431"/>
    </row>
    <row r="304" spans="1:12" x14ac:dyDescent="0.35">
      <c r="A304" s="34" t="s">
        <v>676</v>
      </c>
      <c r="B304" s="32" t="s">
        <v>673</v>
      </c>
      <c r="C304" s="32" t="s">
        <v>577</v>
      </c>
      <c r="D304" s="521"/>
      <c r="E304" s="464"/>
      <c r="F304" s="565">
        <v>8.0120000000000005</v>
      </c>
      <c r="G304" s="496">
        <v>7126828</v>
      </c>
      <c r="H304" s="564">
        <v>210799</v>
      </c>
      <c r="I304" s="518"/>
      <c r="J304" s="13"/>
      <c r="K304" s="430"/>
      <c r="L304" s="431"/>
    </row>
    <row r="305" spans="1:12" x14ac:dyDescent="0.35">
      <c r="A305" s="34" t="s">
        <v>677</v>
      </c>
      <c r="B305" s="32" t="s">
        <v>673</v>
      </c>
      <c r="C305" s="32" t="s">
        <v>442</v>
      </c>
      <c r="D305" s="521"/>
      <c r="E305" s="464"/>
      <c r="F305" s="565">
        <v>8.0120000000000005</v>
      </c>
      <c r="G305" s="499">
        <v>7510918</v>
      </c>
      <c r="H305" s="564">
        <v>210800</v>
      </c>
      <c r="I305" s="518"/>
      <c r="K305" s="430"/>
      <c r="L305" s="431"/>
    </row>
    <row r="306" spans="1:12" x14ac:dyDescent="0.35">
      <c r="A306" s="484" t="s">
        <v>678</v>
      </c>
      <c r="B306" s="33" t="s">
        <v>463</v>
      </c>
      <c r="C306" s="33" t="s">
        <v>468</v>
      </c>
      <c r="D306" s="465" t="s">
        <v>1341</v>
      </c>
      <c r="E306" s="464"/>
      <c r="F306" s="565">
        <v>8.0120000000000005</v>
      </c>
      <c r="G306" s="486">
        <v>1874439</v>
      </c>
      <c r="H306" s="564">
        <v>210801</v>
      </c>
      <c r="I306" s="518"/>
      <c r="K306" s="430"/>
      <c r="L306" s="431"/>
    </row>
    <row r="307" spans="1:12" x14ac:dyDescent="0.35">
      <c r="A307" s="488"/>
      <c r="B307" s="32"/>
      <c r="C307" s="32"/>
      <c r="D307" s="521"/>
      <c r="E307" s="464"/>
      <c r="F307" s="565"/>
      <c r="G307" s="37"/>
      <c r="H307" s="564"/>
      <c r="I307" s="518"/>
      <c r="K307" s="430"/>
      <c r="L307" s="431"/>
    </row>
    <row r="308" spans="1:12" x14ac:dyDescent="0.35">
      <c r="A308" s="34" t="s">
        <v>1168</v>
      </c>
      <c r="B308" s="32" t="s">
        <v>1171</v>
      </c>
      <c r="C308" s="32" t="s">
        <v>577</v>
      </c>
      <c r="D308" s="521" t="s">
        <v>1341</v>
      </c>
      <c r="E308" s="464"/>
      <c r="F308" s="565">
        <v>5.6445800000000004</v>
      </c>
      <c r="G308" s="483">
        <v>8168478</v>
      </c>
      <c r="H308" s="564">
        <v>210778</v>
      </c>
      <c r="I308" s="518"/>
      <c r="J308" s="13"/>
      <c r="K308" s="430"/>
      <c r="L308" s="431"/>
    </row>
    <row r="309" spans="1:12" x14ac:dyDescent="0.35">
      <c r="A309" s="34" t="s">
        <v>1169</v>
      </c>
      <c r="B309" s="32" t="s">
        <v>1171</v>
      </c>
      <c r="C309" s="32" t="s">
        <v>442</v>
      </c>
      <c r="D309" s="521" t="s">
        <v>1341</v>
      </c>
      <c r="E309" s="464"/>
      <c r="F309" s="565">
        <v>5.6445800000000004</v>
      </c>
      <c r="G309" s="483">
        <v>6610192</v>
      </c>
      <c r="H309" s="564">
        <v>210779</v>
      </c>
      <c r="I309" s="518"/>
      <c r="J309" s="13"/>
      <c r="K309" s="430"/>
      <c r="L309" s="431"/>
    </row>
    <row r="310" spans="1:12" x14ac:dyDescent="0.35">
      <c r="A310" s="484" t="s">
        <v>1170</v>
      </c>
      <c r="B310" s="33" t="s">
        <v>1171</v>
      </c>
      <c r="C310" s="33" t="s">
        <v>468</v>
      </c>
      <c r="D310" s="465" t="s">
        <v>1341</v>
      </c>
      <c r="E310" s="464"/>
      <c r="F310" s="565">
        <v>5.2385700000000002</v>
      </c>
      <c r="G310" s="485">
        <v>1422256</v>
      </c>
      <c r="H310" s="564">
        <v>210780</v>
      </c>
      <c r="I310" s="518"/>
      <c r="J310" s="13"/>
      <c r="K310" s="430"/>
      <c r="L310" s="431"/>
    </row>
    <row r="311" spans="1:12" x14ac:dyDescent="0.35">
      <c r="A311" s="34" t="s">
        <v>203</v>
      </c>
      <c r="B311" s="32" t="s">
        <v>206</v>
      </c>
      <c r="C311" s="32" t="s">
        <v>577</v>
      </c>
      <c r="D311" s="521"/>
      <c r="E311" s="464"/>
      <c r="F311" s="565">
        <v>5.8695899999999996</v>
      </c>
      <c r="G311" s="500">
        <v>2406463</v>
      </c>
      <c r="H311" s="564">
        <v>210784</v>
      </c>
      <c r="I311" s="518"/>
      <c r="J311" s="13"/>
      <c r="K311" s="430"/>
      <c r="L311" s="431"/>
    </row>
    <row r="312" spans="1:12" x14ac:dyDescent="0.35">
      <c r="A312" s="34" t="s">
        <v>204</v>
      </c>
      <c r="B312" s="32" t="s">
        <v>206</v>
      </c>
      <c r="C312" s="32" t="s">
        <v>442</v>
      </c>
      <c r="D312" s="521"/>
      <c r="E312" s="464"/>
      <c r="F312" s="565">
        <v>5.8695899999999996</v>
      </c>
      <c r="G312" s="500">
        <v>1548847</v>
      </c>
      <c r="H312" s="564">
        <v>210785</v>
      </c>
      <c r="I312" s="518"/>
      <c r="J312" s="13"/>
      <c r="K312" s="430"/>
      <c r="L312" s="431"/>
    </row>
    <row r="313" spans="1:12" x14ac:dyDescent="0.35">
      <c r="A313" s="484" t="s">
        <v>205</v>
      </c>
      <c r="B313" s="33" t="s">
        <v>206</v>
      </c>
      <c r="C313" s="33" t="s">
        <v>468</v>
      </c>
      <c r="D313" s="465" t="s">
        <v>1341</v>
      </c>
      <c r="E313" s="464"/>
      <c r="F313" s="565">
        <v>5.4834899999999998</v>
      </c>
      <c r="G313" s="486">
        <v>7982816</v>
      </c>
      <c r="H313" s="564">
        <v>210786</v>
      </c>
      <c r="I313" s="518"/>
      <c r="J313" s="13"/>
      <c r="K313" s="430"/>
      <c r="L313" s="431"/>
    </row>
    <row r="314" spans="1:12" x14ac:dyDescent="0.35">
      <c r="A314" s="34" t="s">
        <v>1172</v>
      </c>
      <c r="B314" s="32" t="s">
        <v>1175</v>
      </c>
      <c r="C314" s="32" t="s">
        <v>577</v>
      </c>
      <c r="D314" s="521" t="s">
        <v>1341</v>
      </c>
      <c r="E314" s="464"/>
      <c r="F314" s="565">
        <v>5.9517800000000003</v>
      </c>
      <c r="G314" s="483">
        <v>5511982</v>
      </c>
      <c r="H314" s="564">
        <v>210790</v>
      </c>
      <c r="I314" s="518"/>
      <c r="J314" s="13"/>
      <c r="K314" s="430"/>
      <c r="L314" s="431"/>
    </row>
    <row r="315" spans="1:12" x14ac:dyDescent="0.35">
      <c r="A315" s="34" t="s">
        <v>1173</v>
      </c>
      <c r="B315" s="32" t="s">
        <v>1175</v>
      </c>
      <c r="C315" s="32" t="s">
        <v>442</v>
      </c>
      <c r="D315" s="521" t="s">
        <v>1341</v>
      </c>
      <c r="E315" s="464"/>
      <c r="F315" s="565">
        <v>5.9517800000000003</v>
      </c>
      <c r="G315" s="483">
        <v>9103982</v>
      </c>
      <c r="H315" s="564">
        <v>210791</v>
      </c>
      <c r="I315" s="518"/>
      <c r="J315" s="13"/>
      <c r="K315" s="430"/>
      <c r="L315" s="431"/>
    </row>
    <row r="316" spans="1:12" x14ac:dyDescent="0.35">
      <c r="A316" s="484" t="s">
        <v>1174</v>
      </c>
      <c r="B316" s="33" t="s">
        <v>1175</v>
      </c>
      <c r="C316" s="33" t="s">
        <v>468</v>
      </c>
      <c r="D316" s="465" t="s">
        <v>1341</v>
      </c>
      <c r="E316" s="464"/>
      <c r="F316" s="565">
        <v>5.9517800000000003</v>
      </c>
      <c r="G316" s="485">
        <v>1845403</v>
      </c>
      <c r="H316" s="564">
        <v>210792</v>
      </c>
      <c r="I316" s="518"/>
      <c r="J316" s="13"/>
      <c r="K316" s="430"/>
      <c r="L316" s="431"/>
    </row>
    <row r="317" spans="1:12" x14ac:dyDescent="0.35">
      <c r="A317" s="34"/>
      <c r="B317" s="32"/>
      <c r="C317" s="32"/>
      <c r="D317" s="521"/>
      <c r="E317" s="464"/>
      <c r="F317" s="565"/>
      <c r="G317" s="274"/>
      <c r="H317" s="564"/>
      <c r="I317" s="518"/>
      <c r="J317" s="13"/>
      <c r="K317" s="430"/>
      <c r="L317" s="431"/>
    </row>
    <row r="318" spans="1:12" x14ac:dyDescent="0.35">
      <c r="A318" s="34"/>
      <c r="B318" s="32"/>
      <c r="C318" s="32"/>
      <c r="D318" s="521"/>
      <c r="E318" s="464"/>
      <c r="F318" s="565"/>
      <c r="G318" s="274"/>
      <c r="H318" s="564"/>
      <c r="I318" s="518"/>
      <c r="J318" s="13"/>
      <c r="K318" s="430"/>
      <c r="L318" s="431"/>
    </row>
    <row r="319" spans="1:12" x14ac:dyDescent="0.35">
      <c r="A319" s="484"/>
      <c r="B319" s="33"/>
      <c r="C319" s="33"/>
      <c r="D319" s="465"/>
      <c r="E319" s="464"/>
      <c r="F319" s="565"/>
      <c r="G319" s="274"/>
      <c r="H319" s="564"/>
      <c r="I319" s="518"/>
      <c r="J319" s="13"/>
      <c r="K319" s="430"/>
      <c r="L319" s="431"/>
    </row>
    <row r="320" spans="1:12" x14ac:dyDescent="0.35">
      <c r="A320" s="34" t="s">
        <v>1176</v>
      </c>
      <c r="B320" s="32" t="s">
        <v>1179</v>
      </c>
      <c r="C320" s="32" t="s">
        <v>577</v>
      </c>
      <c r="D320" s="521" t="s">
        <v>1341</v>
      </c>
      <c r="E320" s="464"/>
      <c r="F320" s="565">
        <v>6.8881800000000002</v>
      </c>
      <c r="G320" s="483">
        <v>4040898</v>
      </c>
      <c r="H320" s="564">
        <v>210796</v>
      </c>
      <c r="I320" s="518"/>
      <c r="J320" s="13"/>
      <c r="K320" s="430"/>
      <c r="L320" s="431"/>
    </row>
    <row r="321" spans="1:12" x14ac:dyDescent="0.35">
      <c r="A321" s="34" t="s">
        <v>1177</v>
      </c>
      <c r="B321" s="32" t="s">
        <v>1179</v>
      </c>
      <c r="C321" s="32" t="s">
        <v>442</v>
      </c>
      <c r="D321" s="521" t="s">
        <v>1341</v>
      </c>
      <c r="E321" s="464"/>
      <c r="F321" s="565">
        <v>7.1608299999999998</v>
      </c>
      <c r="G321" s="483">
        <v>9177129</v>
      </c>
      <c r="H321" s="564">
        <v>210797</v>
      </c>
      <c r="I321" s="518"/>
      <c r="J321" s="13"/>
      <c r="K321" s="430"/>
      <c r="L321" s="431"/>
    </row>
    <row r="322" spans="1:12" x14ac:dyDescent="0.35">
      <c r="A322" s="484" t="s">
        <v>1178</v>
      </c>
      <c r="B322" s="33" t="s">
        <v>1179</v>
      </c>
      <c r="C322" s="33" t="s">
        <v>468</v>
      </c>
      <c r="D322" s="465" t="s">
        <v>1341</v>
      </c>
      <c r="E322" s="464"/>
      <c r="F322" s="565">
        <v>6.8881800000000002</v>
      </c>
      <c r="G322" s="485">
        <v>4973064</v>
      </c>
      <c r="H322" s="564">
        <v>210798</v>
      </c>
      <c r="I322" s="518"/>
      <c r="J322" s="13"/>
      <c r="K322" s="430"/>
      <c r="L322" s="431"/>
    </row>
    <row r="323" spans="1:12" x14ac:dyDescent="0.35">
      <c r="A323" s="34"/>
      <c r="B323" s="32"/>
      <c r="C323" s="32"/>
      <c r="D323" s="521"/>
      <c r="E323" s="464"/>
      <c r="F323" s="565"/>
      <c r="G323" s="35"/>
      <c r="H323" s="564"/>
      <c r="I323" s="518"/>
      <c r="J323" s="13"/>
      <c r="K323" s="430"/>
      <c r="L323" s="431"/>
    </row>
    <row r="324" spans="1:12" x14ac:dyDescent="0.35">
      <c r="A324" s="31" t="s">
        <v>199</v>
      </c>
      <c r="B324" s="32" t="s">
        <v>202</v>
      </c>
      <c r="C324" s="32" t="s">
        <v>554</v>
      </c>
      <c r="D324" s="521"/>
      <c r="E324" s="464"/>
      <c r="F324" s="565">
        <v>2.3597199999999998</v>
      </c>
      <c r="G324" s="37">
        <v>7602540</v>
      </c>
      <c r="H324" s="564">
        <v>205991</v>
      </c>
      <c r="I324" s="518"/>
      <c r="J324" s="13"/>
      <c r="K324" s="430"/>
      <c r="L324" s="431"/>
    </row>
    <row r="325" spans="1:12" x14ac:dyDescent="0.35">
      <c r="A325" s="31" t="s">
        <v>200</v>
      </c>
      <c r="B325" s="32" t="s">
        <v>202</v>
      </c>
      <c r="C325" s="32" t="s">
        <v>442</v>
      </c>
      <c r="D325" s="521"/>
      <c r="E325" s="464"/>
      <c r="F325" s="565">
        <v>2.3597199999999998</v>
      </c>
      <c r="G325" s="37">
        <v>1725109</v>
      </c>
      <c r="H325" s="564">
        <v>210816</v>
      </c>
      <c r="I325" s="518"/>
      <c r="J325" s="13"/>
      <c r="K325" s="430"/>
      <c r="L325" s="431"/>
    </row>
    <row r="326" spans="1:12" x14ac:dyDescent="0.35">
      <c r="A326" s="530" t="s">
        <v>201</v>
      </c>
      <c r="B326" s="32" t="s">
        <v>202</v>
      </c>
      <c r="C326" s="32" t="s">
        <v>702</v>
      </c>
      <c r="D326" s="521" t="s">
        <v>1341</v>
      </c>
      <c r="E326" s="464"/>
      <c r="F326" s="565">
        <v>2.3597199999999998</v>
      </c>
      <c r="G326" s="528">
        <v>6806959</v>
      </c>
      <c r="H326" s="564">
        <v>210815</v>
      </c>
      <c r="I326" s="518"/>
      <c r="J326" s="13"/>
      <c r="K326" s="430"/>
      <c r="L326" s="431"/>
    </row>
    <row r="327" spans="1:12" x14ac:dyDescent="0.35">
      <c r="A327" s="484" t="s">
        <v>1453</v>
      </c>
      <c r="B327" s="33" t="s">
        <v>202</v>
      </c>
      <c r="C327" s="33" t="s">
        <v>479</v>
      </c>
      <c r="D327" s="465" t="s">
        <v>1341</v>
      </c>
      <c r="E327" s="464"/>
      <c r="F327" s="565">
        <v>2.2410100000000002</v>
      </c>
      <c r="G327" s="485">
        <v>4419894</v>
      </c>
      <c r="H327" s="564">
        <v>210814</v>
      </c>
      <c r="I327" s="527"/>
      <c r="J327" s="13"/>
      <c r="K327" s="430"/>
      <c r="L327" s="431"/>
    </row>
    <row r="328" spans="1:12" x14ac:dyDescent="0.35">
      <c r="A328" s="31" t="s">
        <v>53</v>
      </c>
      <c r="B328" s="32" t="s">
        <v>443</v>
      </c>
      <c r="C328" s="32" t="s">
        <v>554</v>
      </c>
      <c r="D328" s="521"/>
      <c r="E328" s="464"/>
      <c r="F328" s="565">
        <v>2.4851200000000002</v>
      </c>
      <c r="G328" s="37">
        <v>1004836</v>
      </c>
      <c r="H328" s="564">
        <v>202570</v>
      </c>
      <c r="I328" s="518"/>
      <c r="J328" s="13"/>
      <c r="K328" s="430"/>
      <c r="L328" s="431"/>
    </row>
    <row r="329" spans="1:12" x14ac:dyDescent="0.35">
      <c r="A329" s="31" t="s">
        <v>198</v>
      </c>
      <c r="B329" s="32" t="s">
        <v>443</v>
      </c>
      <c r="C329" s="32" t="s">
        <v>442</v>
      </c>
      <c r="D329" s="521"/>
      <c r="E329" s="464"/>
      <c r="F329" s="565">
        <v>2.4851200000000002</v>
      </c>
      <c r="G329" s="37">
        <v>1110359</v>
      </c>
      <c r="H329" s="564">
        <v>202571</v>
      </c>
      <c r="I329" s="518"/>
      <c r="J329" s="13"/>
      <c r="K329" s="430"/>
      <c r="L329" s="431"/>
    </row>
    <row r="330" spans="1:12" x14ac:dyDescent="0.35">
      <c r="A330" s="530" t="s">
        <v>54</v>
      </c>
      <c r="B330" s="32" t="s">
        <v>443</v>
      </c>
      <c r="C330" s="32" t="s">
        <v>702</v>
      </c>
      <c r="D330" s="521" t="s">
        <v>1341</v>
      </c>
      <c r="E330" s="464"/>
      <c r="F330" s="565">
        <v>2.4851200000000002</v>
      </c>
      <c r="G330" s="528">
        <v>4178837</v>
      </c>
      <c r="H330" s="564">
        <v>203079</v>
      </c>
      <c r="I330" s="518"/>
      <c r="J330" s="13"/>
      <c r="K330" s="430"/>
      <c r="L330" s="431"/>
    </row>
    <row r="331" spans="1:12" x14ac:dyDescent="0.35">
      <c r="A331" s="484" t="s">
        <v>1454</v>
      </c>
      <c r="B331" s="33" t="s">
        <v>443</v>
      </c>
      <c r="C331" s="33" t="s">
        <v>479</v>
      </c>
      <c r="D331" s="465" t="s">
        <v>1341</v>
      </c>
      <c r="E331" s="464"/>
      <c r="F331" s="565">
        <v>2.4851200000000002</v>
      </c>
      <c r="G331" s="485">
        <v>4312103</v>
      </c>
      <c r="H331" s="564">
        <v>227339</v>
      </c>
      <c r="I331" s="518"/>
      <c r="J331" s="13"/>
      <c r="K331" s="430"/>
      <c r="L331" s="431"/>
    </row>
    <row r="332" spans="1:12" x14ac:dyDescent="0.35">
      <c r="A332" s="34"/>
      <c r="B332" s="32"/>
      <c r="C332" s="32"/>
      <c r="D332" s="521"/>
      <c r="E332" s="464"/>
      <c r="F332" s="565"/>
      <c r="G332" s="37"/>
      <c r="H332" s="564"/>
      <c r="I332" s="518"/>
      <c r="J332" s="13"/>
      <c r="K332" s="430"/>
      <c r="L332" s="431"/>
    </row>
    <row r="333" spans="1:12" x14ac:dyDescent="0.35">
      <c r="A333" s="488" t="s">
        <v>180</v>
      </c>
      <c r="B333" s="32"/>
      <c r="C333" s="32"/>
      <c r="D333" s="521"/>
      <c r="E333" s="464"/>
      <c r="F333" s="565"/>
      <c r="G333" s="37"/>
      <c r="H333" s="564"/>
      <c r="I333" s="518"/>
      <c r="J333" s="13"/>
      <c r="K333" s="430"/>
      <c r="L333" s="431"/>
    </row>
    <row r="334" spans="1:12" x14ac:dyDescent="0.35">
      <c r="A334" s="31" t="s">
        <v>723</v>
      </c>
      <c r="B334" s="32" t="s">
        <v>625</v>
      </c>
      <c r="C334" s="32" t="s">
        <v>626</v>
      </c>
      <c r="D334" s="521"/>
      <c r="E334" s="464"/>
      <c r="F334" s="565">
        <v>11.78777</v>
      </c>
      <c r="G334" s="37">
        <v>8761550</v>
      </c>
      <c r="H334" s="564">
        <v>14296</v>
      </c>
      <c r="I334" s="518"/>
      <c r="J334" s="13"/>
      <c r="K334" s="430"/>
      <c r="L334" s="431"/>
    </row>
    <row r="335" spans="1:12" x14ac:dyDescent="0.35">
      <c r="A335" s="31" t="s">
        <v>627</v>
      </c>
      <c r="B335" s="32" t="s">
        <v>625</v>
      </c>
      <c r="C335" s="32" t="s">
        <v>442</v>
      </c>
      <c r="D335" s="521"/>
      <c r="E335" s="464"/>
      <c r="F335" s="565">
        <v>10.81949</v>
      </c>
      <c r="G335" s="37">
        <v>8761552</v>
      </c>
      <c r="H335" s="564">
        <v>176747</v>
      </c>
      <c r="I335" s="518"/>
      <c r="J335" s="13"/>
      <c r="K335" s="430"/>
      <c r="L335" s="431"/>
    </row>
    <row r="336" spans="1:12" x14ac:dyDescent="0.35">
      <c r="A336" s="530" t="s">
        <v>628</v>
      </c>
      <c r="B336" s="32" t="s">
        <v>625</v>
      </c>
      <c r="C336" s="32" t="s">
        <v>631</v>
      </c>
      <c r="D336" s="521" t="s">
        <v>1341</v>
      </c>
      <c r="E336" s="464"/>
      <c r="F336" s="565">
        <v>10.59953</v>
      </c>
      <c r="G336" s="483">
        <v>8761554</v>
      </c>
      <c r="H336" s="564">
        <v>203204</v>
      </c>
      <c r="I336" s="518"/>
      <c r="J336" s="13"/>
      <c r="K336" s="430"/>
      <c r="L336" s="431"/>
    </row>
    <row r="337" spans="1:12" x14ac:dyDescent="0.35">
      <c r="A337" s="484" t="s">
        <v>1448</v>
      </c>
      <c r="B337" s="33" t="s">
        <v>625</v>
      </c>
      <c r="C337" s="33" t="s">
        <v>1449</v>
      </c>
      <c r="D337" s="465" t="s">
        <v>1341</v>
      </c>
      <c r="E337" s="464"/>
      <c r="F337" s="565">
        <v>12.58563</v>
      </c>
      <c r="G337" s="485">
        <v>8761553</v>
      </c>
      <c r="H337" s="564">
        <v>14292</v>
      </c>
      <c r="I337" s="527"/>
      <c r="J337" s="13"/>
      <c r="K337" s="430"/>
      <c r="L337" s="431"/>
    </row>
    <row r="338" spans="1:12" x14ac:dyDescent="0.35">
      <c r="A338" s="31" t="s">
        <v>724</v>
      </c>
      <c r="B338" s="32" t="s">
        <v>84</v>
      </c>
      <c r="C338" s="32" t="s">
        <v>626</v>
      </c>
      <c r="D338" s="521"/>
      <c r="E338" s="464"/>
      <c r="F338" s="565">
        <v>16.024339999999999</v>
      </c>
      <c r="G338" s="37">
        <v>9149630</v>
      </c>
      <c r="H338" s="564">
        <v>14297</v>
      </c>
      <c r="I338" s="518"/>
      <c r="J338" s="13"/>
      <c r="K338" s="430"/>
      <c r="L338" s="431"/>
    </row>
    <row r="339" spans="1:12" x14ac:dyDescent="0.35">
      <c r="A339" s="31" t="s">
        <v>629</v>
      </c>
      <c r="B339" s="32" t="s">
        <v>84</v>
      </c>
      <c r="C339" s="32" t="s">
        <v>442</v>
      </c>
      <c r="D339" s="521"/>
      <c r="E339" s="464"/>
      <c r="F339" s="565">
        <v>16.26896</v>
      </c>
      <c r="G339" s="37">
        <v>9149632</v>
      </c>
      <c r="H339" s="564">
        <v>202554</v>
      </c>
      <c r="I339" s="518"/>
      <c r="J339" s="13"/>
      <c r="K339" s="430"/>
      <c r="L339" s="431"/>
    </row>
    <row r="340" spans="1:12" x14ac:dyDescent="0.35">
      <c r="A340" s="530" t="s">
        <v>630</v>
      </c>
      <c r="B340" s="32" t="s">
        <v>84</v>
      </c>
      <c r="C340" s="32" t="s">
        <v>631</v>
      </c>
      <c r="D340" s="521" t="s">
        <v>1341</v>
      </c>
      <c r="E340" s="464"/>
      <c r="F340" s="565">
        <v>14.409050000000001</v>
      </c>
      <c r="G340" s="483">
        <v>9149634</v>
      </c>
      <c r="H340" s="564">
        <v>203205</v>
      </c>
      <c r="I340" s="518"/>
      <c r="J340" s="13"/>
      <c r="K340" s="430"/>
      <c r="L340" s="431"/>
    </row>
    <row r="341" spans="1:12" x14ac:dyDescent="0.35">
      <c r="A341" s="484" t="s">
        <v>1450</v>
      </c>
      <c r="B341" s="33" t="s">
        <v>84</v>
      </c>
      <c r="C341" s="33" t="s">
        <v>1449</v>
      </c>
      <c r="D341" s="465" t="s">
        <v>1341</v>
      </c>
      <c r="E341" s="464"/>
      <c r="F341" s="565">
        <v>18.20496</v>
      </c>
      <c r="G341" s="485">
        <v>9149633</v>
      </c>
      <c r="H341" s="564">
        <v>14295</v>
      </c>
      <c r="I341" s="527"/>
      <c r="J341" s="13"/>
      <c r="K341" s="430"/>
      <c r="L341" s="431"/>
    </row>
    <row r="342" spans="1:12" x14ac:dyDescent="0.35">
      <c r="A342" s="530"/>
      <c r="B342" s="32"/>
      <c r="C342" s="32"/>
      <c r="D342" s="521"/>
      <c r="E342" s="464"/>
      <c r="F342" s="565"/>
      <c r="G342" s="528"/>
      <c r="H342" s="564"/>
      <c r="I342" s="527"/>
      <c r="J342" s="13"/>
      <c r="K342" s="430"/>
      <c r="L342" s="431"/>
    </row>
    <row r="343" spans="1:12" x14ac:dyDescent="0.35">
      <c r="A343" s="31" t="s">
        <v>622</v>
      </c>
      <c r="B343" s="32" t="s">
        <v>478</v>
      </c>
      <c r="C343" s="32" t="s">
        <v>479</v>
      </c>
      <c r="D343" s="521"/>
      <c r="E343" s="464"/>
      <c r="F343" s="565">
        <v>40.633789999999998</v>
      </c>
      <c r="G343" s="37">
        <v>7144460</v>
      </c>
      <c r="H343" s="564">
        <v>13890</v>
      </c>
      <c r="I343" s="518"/>
      <c r="J343" s="13"/>
      <c r="K343" s="430"/>
      <c r="L343" s="431"/>
    </row>
    <row r="344" spans="1:12" x14ac:dyDescent="0.35">
      <c r="A344" s="31" t="s">
        <v>620</v>
      </c>
      <c r="B344" s="32" t="s">
        <v>477</v>
      </c>
      <c r="C344" s="32" t="s">
        <v>442</v>
      </c>
      <c r="D344" s="521"/>
      <c r="E344" s="464"/>
      <c r="F344" s="565">
        <v>41.763359999999999</v>
      </c>
      <c r="G344" s="37">
        <v>7144462</v>
      </c>
      <c r="H344" s="564" t="s">
        <v>1543</v>
      </c>
      <c r="I344" s="518"/>
      <c r="J344" s="13"/>
      <c r="K344" s="430"/>
      <c r="L344" s="431"/>
    </row>
    <row r="345" spans="1:12" x14ac:dyDescent="0.35">
      <c r="A345" s="532"/>
      <c r="B345" s="463"/>
      <c r="C345" s="463"/>
      <c r="D345" s="522"/>
      <c r="E345" s="468"/>
      <c r="F345" s="565"/>
      <c r="G345" s="545"/>
      <c r="H345" s="564"/>
      <c r="I345" s="518"/>
      <c r="J345" s="13"/>
      <c r="K345" s="430"/>
      <c r="L345" s="431"/>
    </row>
    <row r="346" spans="1:12" x14ac:dyDescent="0.35">
      <c r="A346" s="31" t="s">
        <v>624</v>
      </c>
      <c r="B346" s="32" t="s">
        <v>621</v>
      </c>
      <c r="C346" s="32" t="s">
        <v>479</v>
      </c>
      <c r="D346" s="521"/>
      <c r="E346" s="464"/>
      <c r="F346" s="565">
        <v>55.538930000000001</v>
      </c>
      <c r="G346" s="37">
        <v>7144380</v>
      </c>
      <c r="H346" s="564">
        <v>13891</v>
      </c>
      <c r="I346" s="518"/>
      <c r="J346" s="13"/>
      <c r="K346" s="430"/>
      <c r="L346" s="431"/>
    </row>
    <row r="347" spans="1:12" x14ac:dyDescent="0.35">
      <c r="A347" s="31" t="s">
        <v>623</v>
      </c>
      <c r="B347" s="32" t="s">
        <v>621</v>
      </c>
      <c r="C347" s="32" t="s">
        <v>442</v>
      </c>
      <c r="D347" s="521"/>
      <c r="E347" s="464"/>
      <c r="F347" s="565">
        <v>56.265050000000002</v>
      </c>
      <c r="G347" s="37">
        <v>7144382</v>
      </c>
      <c r="H347" s="564">
        <v>202559</v>
      </c>
      <c r="I347" s="518"/>
      <c r="J347" s="13"/>
      <c r="K347" s="430"/>
      <c r="L347" s="431"/>
    </row>
    <row r="348" spans="1:12" x14ac:dyDescent="0.35">
      <c r="A348" s="31"/>
      <c r="B348" s="32"/>
      <c r="C348" s="32"/>
      <c r="D348" s="521"/>
      <c r="E348" s="464"/>
      <c r="F348" s="565"/>
      <c r="G348" s="37"/>
      <c r="H348" s="564"/>
      <c r="I348" s="518"/>
      <c r="J348" s="13"/>
      <c r="K348" s="430"/>
      <c r="L348" s="431"/>
    </row>
    <row r="349" spans="1:12" x14ac:dyDescent="0.35">
      <c r="A349" s="34" t="s">
        <v>315</v>
      </c>
      <c r="B349" s="32" t="s">
        <v>480</v>
      </c>
      <c r="C349" s="32" t="s">
        <v>577</v>
      </c>
      <c r="D349" s="521"/>
      <c r="E349" s="464"/>
      <c r="F349" s="565">
        <v>2.7293500000000002</v>
      </c>
      <c r="G349" s="37">
        <v>8373549</v>
      </c>
      <c r="H349" s="564">
        <v>13892</v>
      </c>
      <c r="I349" s="518"/>
      <c r="J349" s="13"/>
      <c r="K349" s="430"/>
      <c r="L349" s="431"/>
    </row>
    <row r="350" spans="1:12" x14ac:dyDescent="0.35">
      <c r="A350" s="34" t="s">
        <v>316</v>
      </c>
      <c r="B350" s="32" t="s">
        <v>480</v>
      </c>
      <c r="C350" s="32" t="s">
        <v>442</v>
      </c>
      <c r="D350" s="521"/>
      <c r="E350" s="464"/>
      <c r="F350" s="565">
        <v>2.7293599999999998</v>
      </c>
      <c r="G350" s="37">
        <v>3899999</v>
      </c>
      <c r="H350" s="564" t="s">
        <v>1544</v>
      </c>
      <c r="I350" s="518"/>
      <c r="J350" s="13"/>
      <c r="K350" s="430"/>
      <c r="L350" s="431"/>
    </row>
    <row r="351" spans="1:12" x14ac:dyDescent="0.35">
      <c r="A351" s="530" t="s">
        <v>317</v>
      </c>
      <c r="B351" s="32" t="s">
        <v>480</v>
      </c>
      <c r="C351" s="32" t="s">
        <v>468</v>
      </c>
      <c r="D351" s="521" t="s">
        <v>1341</v>
      </c>
      <c r="E351" s="464"/>
      <c r="F351" s="565">
        <v>2.7293599999999998</v>
      </c>
      <c r="G351" s="528">
        <v>4478258</v>
      </c>
      <c r="H351" s="564" t="s">
        <v>1545</v>
      </c>
      <c r="I351" s="518"/>
      <c r="J351" s="13"/>
      <c r="K351" s="430"/>
      <c r="L351" s="431"/>
    </row>
    <row r="352" spans="1:12" x14ac:dyDescent="0.35">
      <c r="A352" s="484" t="s">
        <v>1451</v>
      </c>
      <c r="B352" s="33" t="s">
        <v>480</v>
      </c>
      <c r="C352" s="33" t="s">
        <v>481</v>
      </c>
      <c r="D352" s="465" t="s">
        <v>1341</v>
      </c>
      <c r="E352" s="464"/>
      <c r="F352" s="565">
        <v>4.1059599999999996</v>
      </c>
      <c r="G352" s="485">
        <v>8495458</v>
      </c>
      <c r="H352" s="564" t="s">
        <v>1546</v>
      </c>
      <c r="I352" s="527"/>
      <c r="J352" s="13"/>
      <c r="K352" s="430"/>
      <c r="L352" s="431"/>
    </row>
    <row r="353" spans="1:12" x14ac:dyDescent="0.35">
      <c r="A353" s="34" t="s">
        <v>318</v>
      </c>
      <c r="B353" s="32" t="s">
        <v>482</v>
      </c>
      <c r="C353" s="32" t="s">
        <v>577</v>
      </c>
      <c r="D353" s="521"/>
      <c r="E353" s="464"/>
      <c r="F353" s="565">
        <v>3.9593699999999998</v>
      </c>
      <c r="G353" s="37">
        <v>4597273</v>
      </c>
      <c r="H353" s="564">
        <v>203293</v>
      </c>
      <c r="I353" s="518"/>
      <c r="J353" s="13"/>
      <c r="K353" s="430"/>
      <c r="L353" s="431"/>
    </row>
    <row r="354" spans="1:12" x14ac:dyDescent="0.35">
      <c r="A354" s="34" t="s">
        <v>319</v>
      </c>
      <c r="B354" s="32" t="s">
        <v>482</v>
      </c>
      <c r="C354" s="32" t="s">
        <v>442</v>
      </c>
      <c r="D354" s="521"/>
      <c r="E354" s="464"/>
      <c r="F354" s="565">
        <v>4.4032299999999998</v>
      </c>
      <c r="G354" s="37">
        <v>9535289</v>
      </c>
      <c r="H354" s="564" t="s">
        <v>1547</v>
      </c>
      <c r="I354" s="518"/>
      <c r="J354" s="13"/>
      <c r="K354" s="430"/>
      <c r="L354" s="431"/>
    </row>
    <row r="355" spans="1:12" x14ac:dyDescent="0.35">
      <c r="A355" s="530" t="s">
        <v>320</v>
      </c>
      <c r="B355" s="32" t="s">
        <v>482</v>
      </c>
      <c r="C355" s="32" t="s">
        <v>468</v>
      </c>
      <c r="D355" s="521" t="s">
        <v>1341</v>
      </c>
      <c r="E355" s="464"/>
      <c r="F355" s="565">
        <v>4.9776199999999999</v>
      </c>
      <c r="G355" s="528">
        <v>4069104</v>
      </c>
      <c r="H355" s="564" t="s">
        <v>1548</v>
      </c>
      <c r="I355" s="518"/>
      <c r="J355" s="13"/>
      <c r="K355" s="430"/>
      <c r="L355" s="431"/>
    </row>
    <row r="356" spans="1:12" x14ac:dyDescent="0.35">
      <c r="A356" s="484" t="s">
        <v>1452</v>
      </c>
      <c r="B356" s="33" t="s">
        <v>482</v>
      </c>
      <c r="C356" s="33" t="s">
        <v>481</v>
      </c>
      <c r="D356" s="465" t="s">
        <v>1341</v>
      </c>
      <c r="E356" s="464"/>
      <c r="F356" s="565">
        <v>7.0516500000000004</v>
      </c>
      <c r="G356" s="485">
        <v>4784474</v>
      </c>
      <c r="H356" s="564" t="s">
        <v>1549</v>
      </c>
      <c r="I356" s="518"/>
      <c r="J356" s="13"/>
      <c r="K356" s="430"/>
      <c r="L356" s="431"/>
    </row>
    <row r="357" spans="1:12" x14ac:dyDescent="0.35">
      <c r="A357" s="34"/>
      <c r="B357" s="32"/>
      <c r="C357" s="32"/>
      <c r="D357" s="521"/>
      <c r="E357" s="464"/>
      <c r="F357" s="565"/>
      <c r="G357" s="487"/>
      <c r="H357" s="564"/>
      <c r="I357" s="518"/>
      <c r="J357" s="13"/>
      <c r="K357" s="430"/>
      <c r="L357" s="431"/>
    </row>
    <row r="358" spans="1:12" x14ac:dyDescent="0.35">
      <c r="A358" s="488" t="s">
        <v>181</v>
      </c>
      <c r="B358" s="32"/>
      <c r="C358" s="32"/>
      <c r="D358" s="521"/>
      <c r="E358" s="464"/>
      <c r="F358" s="565"/>
      <c r="G358" s="487"/>
      <c r="H358" s="564"/>
      <c r="I358" s="518"/>
      <c r="J358" s="13"/>
      <c r="K358" s="430"/>
      <c r="L358" s="431"/>
    </row>
    <row r="359" spans="1:12" x14ac:dyDescent="0.35">
      <c r="A359" s="34" t="s">
        <v>1205</v>
      </c>
      <c r="B359" s="32" t="s">
        <v>762</v>
      </c>
      <c r="C359" s="32" t="s">
        <v>679</v>
      </c>
      <c r="D359" s="521"/>
      <c r="E359" s="464"/>
      <c r="F359" s="565">
        <v>20.000679999999999</v>
      </c>
      <c r="G359" s="489">
        <v>8734707</v>
      </c>
      <c r="H359" s="564">
        <v>14184</v>
      </c>
      <c r="I359" s="518"/>
      <c r="J359" s="13"/>
      <c r="K359" s="430"/>
      <c r="L359" s="431"/>
    </row>
    <row r="360" spans="1:12" x14ac:dyDescent="0.35">
      <c r="A360" s="34" t="s">
        <v>1206</v>
      </c>
      <c r="B360" s="32" t="s">
        <v>762</v>
      </c>
      <c r="C360" s="32" t="s">
        <v>483</v>
      </c>
      <c r="D360" s="521"/>
      <c r="E360" s="464"/>
      <c r="F360" s="565">
        <v>20.000679999999999</v>
      </c>
      <c r="G360" s="489">
        <v>8801547</v>
      </c>
      <c r="H360" s="564" t="s">
        <v>1550</v>
      </c>
      <c r="I360" s="518"/>
      <c r="J360" s="13"/>
      <c r="K360" s="430"/>
      <c r="L360" s="431"/>
    </row>
    <row r="361" spans="1:12" x14ac:dyDescent="0.35">
      <c r="A361" s="530" t="s">
        <v>1207</v>
      </c>
      <c r="B361" s="32" t="s">
        <v>762</v>
      </c>
      <c r="C361" s="32" t="s">
        <v>484</v>
      </c>
      <c r="D361" s="521"/>
      <c r="E361" s="464"/>
      <c r="F361" s="565">
        <v>20</v>
      </c>
      <c r="G361" s="483">
        <v>8764468</v>
      </c>
      <c r="H361" s="641" t="s">
        <v>1570</v>
      </c>
      <c r="I361" s="518"/>
      <c r="J361" s="13"/>
      <c r="K361" s="430"/>
      <c r="L361" s="431"/>
    </row>
    <row r="362" spans="1:12" x14ac:dyDescent="0.35">
      <c r="A362" s="484" t="s">
        <v>1446</v>
      </c>
      <c r="B362" s="33" t="s">
        <v>1447</v>
      </c>
      <c r="C362" s="33" t="s">
        <v>759</v>
      </c>
      <c r="D362" s="465" t="s">
        <v>1341</v>
      </c>
      <c r="E362" s="464"/>
      <c r="F362" s="565">
        <v>29.959540000000001</v>
      </c>
      <c r="G362" s="485">
        <v>9746396</v>
      </c>
      <c r="H362" s="564">
        <v>288486</v>
      </c>
      <c r="I362" s="518"/>
      <c r="J362" s="13"/>
      <c r="K362" s="430"/>
      <c r="L362" s="431"/>
    </row>
    <row r="363" spans="1:12" x14ac:dyDescent="0.35">
      <c r="A363" s="484"/>
      <c r="B363" s="33"/>
      <c r="C363" s="33"/>
      <c r="D363" s="465"/>
      <c r="E363" s="464"/>
      <c r="F363" s="565"/>
      <c r="G363" s="486"/>
      <c r="H363" s="564"/>
      <c r="I363" s="518"/>
      <c r="J363" s="13"/>
      <c r="K363" s="430"/>
      <c r="L363" s="431"/>
    </row>
    <row r="364" spans="1:12" x14ac:dyDescent="0.35">
      <c r="A364" s="484"/>
      <c r="B364" s="33"/>
      <c r="C364" s="33"/>
      <c r="D364" s="465"/>
      <c r="E364" s="464"/>
      <c r="F364" s="565"/>
      <c r="G364" s="486"/>
      <c r="H364" s="564"/>
      <c r="I364" s="518"/>
      <c r="J364" s="13"/>
      <c r="K364" s="430"/>
      <c r="L364" s="431"/>
    </row>
    <row r="365" spans="1:12" x14ac:dyDescent="0.35">
      <c r="A365" s="34" t="s">
        <v>486</v>
      </c>
      <c r="B365" s="32" t="s">
        <v>487</v>
      </c>
      <c r="C365" s="32" t="s">
        <v>479</v>
      </c>
      <c r="D365" s="521"/>
      <c r="E365" s="464"/>
      <c r="F365" s="565">
        <v>2.1192299999999999</v>
      </c>
      <c r="G365" s="37">
        <v>6689160</v>
      </c>
      <c r="H365" s="564">
        <v>14180</v>
      </c>
      <c r="I365" s="518"/>
      <c r="J365" s="13"/>
      <c r="K365" s="430"/>
      <c r="L365" s="431"/>
    </row>
    <row r="366" spans="1:12" x14ac:dyDescent="0.35">
      <c r="A366" s="34"/>
      <c r="B366" s="32"/>
      <c r="C366" s="32"/>
      <c r="D366" s="521"/>
      <c r="E366" s="464"/>
      <c r="F366" s="565"/>
      <c r="G366" s="487"/>
      <c r="H366" s="564"/>
      <c r="I366" s="518"/>
      <c r="J366" s="13"/>
      <c r="K366" s="430"/>
      <c r="L366" s="431"/>
    </row>
    <row r="367" spans="1:12" x14ac:dyDescent="0.35">
      <c r="A367" s="484" t="s">
        <v>680</v>
      </c>
      <c r="B367" s="33" t="s">
        <v>488</v>
      </c>
      <c r="C367" s="33" t="s">
        <v>489</v>
      </c>
      <c r="D367" s="465"/>
      <c r="E367" s="464"/>
      <c r="F367" s="565">
        <v>39.219340000000003</v>
      </c>
      <c r="G367" s="486">
        <v>3915505</v>
      </c>
      <c r="H367" s="564">
        <v>203337</v>
      </c>
      <c r="I367" s="518"/>
      <c r="J367" s="13"/>
      <c r="K367" s="430"/>
      <c r="L367" s="431"/>
    </row>
    <row r="368" spans="1:12" x14ac:dyDescent="0.35">
      <c r="A368" s="484" t="s">
        <v>681</v>
      </c>
      <c r="B368" s="33" t="s">
        <v>682</v>
      </c>
      <c r="C368" s="33" t="s">
        <v>489</v>
      </c>
      <c r="D368" s="465"/>
      <c r="E368" s="464"/>
      <c r="F368" s="565">
        <v>39.219340000000003</v>
      </c>
      <c r="G368" s="486">
        <v>1842529</v>
      </c>
      <c r="H368" s="564">
        <v>203341</v>
      </c>
      <c r="I368" s="518"/>
      <c r="J368" s="13"/>
      <c r="K368" s="430"/>
      <c r="L368" s="431"/>
    </row>
    <row r="369" spans="1:12" x14ac:dyDescent="0.35">
      <c r="A369" s="484" t="s">
        <v>683</v>
      </c>
      <c r="B369" s="33" t="s">
        <v>490</v>
      </c>
      <c r="C369" s="33" t="s">
        <v>489</v>
      </c>
      <c r="D369" s="465"/>
      <c r="E369" s="464"/>
      <c r="F369" s="565">
        <v>39.506239999999998</v>
      </c>
      <c r="G369" s="486">
        <v>7695504</v>
      </c>
      <c r="H369" s="564">
        <v>203342</v>
      </c>
      <c r="I369" s="518"/>
      <c r="J369" s="13"/>
      <c r="K369" s="430"/>
      <c r="L369" s="431"/>
    </row>
    <row r="370" spans="1:12" x14ac:dyDescent="0.35">
      <c r="A370" s="484" t="s">
        <v>684</v>
      </c>
      <c r="B370" s="33" t="s">
        <v>685</v>
      </c>
      <c r="C370" s="33" t="s">
        <v>489</v>
      </c>
      <c r="D370" s="465"/>
      <c r="E370" s="464"/>
      <c r="F370" s="565">
        <v>39.506239999999998</v>
      </c>
      <c r="G370" s="486">
        <v>7519915</v>
      </c>
      <c r="H370" s="564">
        <v>203344</v>
      </c>
      <c r="I370" s="518"/>
      <c r="J370" s="13"/>
      <c r="K370" s="430"/>
      <c r="L370" s="431"/>
    </row>
    <row r="371" spans="1:12" x14ac:dyDescent="0.35">
      <c r="A371" s="484" t="s">
        <v>687</v>
      </c>
      <c r="B371" s="33" t="s">
        <v>491</v>
      </c>
      <c r="C371" s="33" t="s">
        <v>489</v>
      </c>
      <c r="D371" s="465"/>
      <c r="E371" s="464"/>
      <c r="F371" s="565">
        <v>39.793140000000001</v>
      </c>
      <c r="G371" s="486">
        <v>7830104</v>
      </c>
      <c r="H371" s="564">
        <v>203346</v>
      </c>
      <c r="I371" s="518"/>
      <c r="J371" s="13"/>
      <c r="K371" s="430"/>
      <c r="L371" s="431"/>
    </row>
    <row r="372" spans="1:12" x14ac:dyDescent="0.35">
      <c r="A372" s="484" t="s">
        <v>688</v>
      </c>
      <c r="B372" s="33" t="s">
        <v>686</v>
      </c>
      <c r="C372" s="33" t="s">
        <v>489</v>
      </c>
      <c r="D372" s="465"/>
      <c r="E372" s="464"/>
      <c r="F372" s="565">
        <v>39.793140000000001</v>
      </c>
      <c r="G372" s="486">
        <v>4059564</v>
      </c>
      <c r="H372" s="564">
        <v>203348</v>
      </c>
      <c r="I372" s="518"/>
      <c r="J372" s="13"/>
      <c r="K372" s="430"/>
      <c r="L372" s="431"/>
    </row>
    <row r="373" spans="1:12" x14ac:dyDescent="0.35">
      <c r="A373" s="484" t="s">
        <v>690</v>
      </c>
      <c r="B373" s="33" t="s">
        <v>492</v>
      </c>
      <c r="C373" s="33" t="s">
        <v>489</v>
      </c>
      <c r="D373" s="465"/>
      <c r="E373" s="464"/>
      <c r="F373" s="565">
        <v>40.080060000000003</v>
      </c>
      <c r="G373" s="486">
        <v>6278623</v>
      </c>
      <c r="H373" s="564">
        <v>203352</v>
      </c>
      <c r="I373" s="518"/>
      <c r="J373" s="13"/>
      <c r="K373" s="430"/>
      <c r="L373" s="431"/>
    </row>
    <row r="374" spans="1:12" x14ac:dyDescent="0.35">
      <c r="A374" s="484" t="s">
        <v>691</v>
      </c>
      <c r="B374" s="33" t="s">
        <v>689</v>
      </c>
      <c r="C374" s="33" t="s">
        <v>489</v>
      </c>
      <c r="D374" s="465"/>
      <c r="E374" s="464"/>
      <c r="F374" s="565">
        <v>40.080060000000003</v>
      </c>
      <c r="G374" s="486">
        <v>7042924</v>
      </c>
      <c r="H374" s="564">
        <v>203357</v>
      </c>
      <c r="I374" s="518"/>
      <c r="J374" s="13"/>
      <c r="K374" s="430"/>
      <c r="L374" s="431"/>
    </row>
    <row r="375" spans="1:12" x14ac:dyDescent="0.35">
      <c r="A375" s="484" t="s">
        <v>692</v>
      </c>
      <c r="B375" s="33" t="s">
        <v>493</v>
      </c>
      <c r="C375" s="33" t="s">
        <v>489</v>
      </c>
      <c r="D375" s="465"/>
      <c r="E375" s="464"/>
      <c r="F375" s="565">
        <v>44.289490000000001</v>
      </c>
      <c r="G375" s="486">
        <v>9286690</v>
      </c>
      <c r="H375" s="564">
        <v>203358</v>
      </c>
      <c r="I375" s="518"/>
      <c r="J375" s="13"/>
      <c r="K375" s="430"/>
      <c r="L375" s="431"/>
    </row>
    <row r="376" spans="1:12" x14ac:dyDescent="0.35">
      <c r="A376" s="484" t="s">
        <v>693</v>
      </c>
      <c r="B376" s="33" t="s">
        <v>494</v>
      </c>
      <c r="C376" s="33" t="s">
        <v>489</v>
      </c>
      <c r="D376" s="465"/>
      <c r="E376" s="464"/>
      <c r="F376" s="565">
        <v>45.106949999999998</v>
      </c>
      <c r="G376" s="486">
        <v>8132340</v>
      </c>
      <c r="H376" s="564">
        <v>203361</v>
      </c>
      <c r="I376" s="518"/>
      <c r="K376" s="430"/>
      <c r="L376" s="431"/>
    </row>
    <row r="377" spans="1:12" x14ac:dyDescent="0.35">
      <c r="A377" s="484" t="s">
        <v>695</v>
      </c>
      <c r="B377" s="33" t="s">
        <v>694</v>
      </c>
      <c r="C377" s="33" t="s">
        <v>489</v>
      </c>
      <c r="D377" s="465"/>
      <c r="E377" s="464"/>
      <c r="F377" s="565">
        <v>45.106949999999998</v>
      </c>
      <c r="G377" s="486">
        <v>1518239</v>
      </c>
      <c r="H377" s="564">
        <v>203366</v>
      </c>
      <c r="I377" s="518"/>
      <c r="J377" s="13"/>
      <c r="K377" s="430"/>
      <c r="L377" s="431"/>
    </row>
    <row r="378" spans="1:12" x14ac:dyDescent="0.35">
      <c r="A378" s="34"/>
      <c r="B378" s="32"/>
      <c r="C378" s="32"/>
      <c r="D378" s="521"/>
      <c r="E378" s="464"/>
      <c r="F378" s="565"/>
      <c r="G378" s="487"/>
      <c r="H378" s="564"/>
      <c r="I378" s="518"/>
      <c r="J378" s="13"/>
      <c r="K378" s="430"/>
      <c r="L378" s="431"/>
    </row>
    <row r="379" spans="1:12" x14ac:dyDescent="0.35">
      <c r="A379" s="34"/>
      <c r="B379" s="32"/>
      <c r="C379" s="32"/>
      <c r="D379" s="521"/>
      <c r="E379" s="464"/>
      <c r="F379" s="565"/>
      <c r="G379" s="487"/>
      <c r="H379" s="564"/>
      <c r="I379" s="518"/>
      <c r="J379" s="13"/>
      <c r="K379" s="430"/>
      <c r="L379" s="431"/>
    </row>
    <row r="380" spans="1:12" x14ac:dyDescent="0.35">
      <c r="A380" s="488" t="s">
        <v>182</v>
      </c>
      <c r="B380" s="32"/>
      <c r="C380" s="32"/>
      <c r="D380" s="521"/>
      <c r="E380" s="464"/>
      <c r="F380" s="565"/>
      <c r="G380" s="487"/>
      <c r="H380" s="564"/>
      <c r="I380" s="518"/>
      <c r="J380" s="13"/>
      <c r="K380" s="430"/>
      <c r="L380" s="431"/>
    </row>
    <row r="381" spans="1:12" x14ac:dyDescent="0.35">
      <c r="A381" s="34" t="s">
        <v>1217</v>
      </c>
      <c r="B381" s="32" t="s">
        <v>1281</v>
      </c>
      <c r="C381" s="32" t="s">
        <v>485</v>
      </c>
      <c r="D381" s="521"/>
      <c r="E381" s="464"/>
      <c r="F381" s="565">
        <v>27.854489999999998</v>
      </c>
      <c r="G381" s="501">
        <v>6700230</v>
      </c>
      <c r="H381" s="564">
        <v>176760</v>
      </c>
      <c r="I381" s="518"/>
      <c r="J381" s="13"/>
      <c r="K381" s="430"/>
      <c r="L381" s="431"/>
    </row>
    <row r="382" spans="1:12" x14ac:dyDescent="0.35">
      <c r="A382" s="34" t="s">
        <v>1214</v>
      </c>
      <c r="B382" s="32" t="s">
        <v>1282</v>
      </c>
      <c r="C382" s="32" t="s">
        <v>485</v>
      </c>
      <c r="D382" s="521"/>
      <c r="E382" s="464"/>
      <c r="F382" s="565">
        <v>33.880009999999999</v>
      </c>
      <c r="G382" s="500">
        <v>6700070</v>
      </c>
      <c r="H382" s="564">
        <v>12989</v>
      </c>
      <c r="I382" s="518"/>
      <c r="J382" s="13"/>
      <c r="K382" s="430"/>
      <c r="L382" s="431"/>
    </row>
    <row r="383" spans="1:12" x14ac:dyDescent="0.35">
      <c r="A383" s="34" t="s">
        <v>1218</v>
      </c>
      <c r="B383" s="32" t="s">
        <v>1283</v>
      </c>
      <c r="C383" s="32" t="s">
        <v>485</v>
      </c>
      <c r="D383" s="521"/>
      <c r="E383" s="464"/>
      <c r="F383" s="565">
        <v>36.572949999999999</v>
      </c>
      <c r="G383" s="501">
        <v>6698800</v>
      </c>
      <c r="H383" s="564">
        <v>176773</v>
      </c>
      <c r="I383" s="518"/>
      <c r="J383" s="13"/>
      <c r="K383" s="430"/>
      <c r="L383" s="431"/>
    </row>
    <row r="384" spans="1:12" x14ac:dyDescent="0.35">
      <c r="A384" s="34" t="s">
        <v>1219</v>
      </c>
      <c r="B384" s="32" t="s">
        <v>1284</v>
      </c>
      <c r="C384" s="32" t="s">
        <v>485</v>
      </c>
      <c r="D384" s="521"/>
      <c r="E384" s="464"/>
      <c r="F384" s="565">
        <v>42.864629999999998</v>
      </c>
      <c r="G384" s="501">
        <v>6699100</v>
      </c>
      <c r="H384" s="564">
        <v>176778</v>
      </c>
      <c r="I384" s="518"/>
      <c r="J384" s="13"/>
      <c r="K384" s="430"/>
      <c r="L384" s="431"/>
    </row>
    <row r="385" spans="1:12" x14ac:dyDescent="0.35">
      <c r="A385" s="34" t="s">
        <v>1220</v>
      </c>
      <c r="B385" s="32" t="s">
        <v>1285</v>
      </c>
      <c r="C385" s="32" t="s">
        <v>485</v>
      </c>
      <c r="D385" s="521"/>
      <c r="E385" s="464"/>
      <c r="F385" s="565">
        <v>49.022210000000001</v>
      </c>
      <c r="G385" s="501">
        <v>6698230</v>
      </c>
      <c r="H385" s="564">
        <v>176787</v>
      </c>
      <c r="I385" s="518"/>
      <c r="J385" s="13"/>
      <c r="K385" s="430"/>
      <c r="L385" s="431"/>
    </row>
    <row r="386" spans="1:12" x14ac:dyDescent="0.35">
      <c r="A386" s="34" t="s">
        <v>1221</v>
      </c>
      <c r="B386" s="32" t="s">
        <v>1286</v>
      </c>
      <c r="C386" s="32" t="s">
        <v>485</v>
      </c>
      <c r="D386" s="521"/>
      <c r="E386" s="464"/>
      <c r="F386" s="565">
        <v>32.756999999999998</v>
      </c>
      <c r="G386" s="501">
        <v>6699800</v>
      </c>
      <c r="H386" s="564">
        <v>176761</v>
      </c>
      <c r="I386" s="518"/>
      <c r="J386" s="13"/>
      <c r="K386" s="430"/>
      <c r="L386" s="431"/>
    </row>
    <row r="387" spans="1:12" x14ac:dyDescent="0.35">
      <c r="A387" s="34" t="s">
        <v>1215</v>
      </c>
      <c r="B387" s="32" t="s">
        <v>1287</v>
      </c>
      <c r="C387" s="32" t="s">
        <v>485</v>
      </c>
      <c r="D387" s="521"/>
      <c r="E387" s="464"/>
      <c r="F387" s="565">
        <v>38.677849999999999</v>
      </c>
      <c r="G387" s="500">
        <v>6698580</v>
      </c>
      <c r="H387" s="564">
        <v>176768</v>
      </c>
      <c r="I387" s="518"/>
      <c r="J387" s="13"/>
      <c r="K387" s="430"/>
      <c r="L387" s="431"/>
    </row>
    <row r="388" spans="1:12" x14ac:dyDescent="0.35">
      <c r="A388" s="34" t="s">
        <v>1222</v>
      </c>
      <c r="B388" s="32" t="s">
        <v>1288</v>
      </c>
      <c r="C388" s="32" t="s">
        <v>485</v>
      </c>
      <c r="D388" s="521"/>
      <c r="E388" s="464"/>
      <c r="F388" s="565">
        <v>45.077739999999999</v>
      </c>
      <c r="G388" s="501">
        <v>6698400</v>
      </c>
      <c r="H388" s="564">
        <v>176774</v>
      </c>
      <c r="I388" s="518"/>
      <c r="J388" s="13"/>
      <c r="K388" s="430"/>
      <c r="L388" s="431"/>
    </row>
    <row r="389" spans="1:12" x14ac:dyDescent="0.35">
      <c r="A389" s="34" t="s">
        <v>1223</v>
      </c>
      <c r="B389" s="32" t="s">
        <v>1289</v>
      </c>
      <c r="C389" s="32" t="s">
        <v>485</v>
      </c>
      <c r="D389" s="521"/>
      <c r="E389" s="464"/>
      <c r="F389" s="565">
        <v>51.38382</v>
      </c>
      <c r="G389" s="501">
        <v>6699550</v>
      </c>
      <c r="H389" s="564">
        <v>176779</v>
      </c>
      <c r="I389" s="518"/>
      <c r="J389" s="13"/>
      <c r="K389" s="430"/>
      <c r="L389" s="431"/>
    </row>
    <row r="390" spans="1:12" x14ac:dyDescent="0.35">
      <c r="A390" s="34" t="s">
        <v>1224</v>
      </c>
      <c r="B390" s="32" t="s">
        <v>1290</v>
      </c>
      <c r="C390" s="32" t="s">
        <v>485</v>
      </c>
      <c r="D390" s="521"/>
      <c r="E390" s="464"/>
      <c r="F390" s="565">
        <v>58.345700000000001</v>
      </c>
      <c r="G390" s="501">
        <v>6699470</v>
      </c>
      <c r="H390" s="564">
        <v>176788</v>
      </c>
      <c r="I390" s="518"/>
      <c r="J390" s="13"/>
      <c r="K390" s="430"/>
      <c r="L390" s="431"/>
    </row>
    <row r="391" spans="1:12" x14ac:dyDescent="0.35">
      <c r="A391" s="34" t="s">
        <v>1226</v>
      </c>
      <c r="B391" s="32" t="s">
        <v>1291</v>
      </c>
      <c r="C391" s="32" t="s">
        <v>485</v>
      </c>
      <c r="D391" s="521"/>
      <c r="E391" s="464"/>
      <c r="F391" s="565">
        <v>43.159669999999998</v>
      </c>
      <c r="G391" s="501">
        <v>6908650</v>
      </c>
      <c r="H391" s="564">
        <v>12983</v>
      </c>
      <c r="I391" s="518"/>
      <c r="J391" s="13"/>
      <c r="K391" s="430"/>
      <c r="L391" s="431"/>
    </row>
    <row r="392" spans="1:12" x14ac:dyDescent="0.35">
      <c r="A392" s="34" t="s">
        <v>1216</v>
      </c>
      <c r="B392" s="32" t="s">
        <v>502</v>
      </c>
      <c r="C392" s="32" t="s">
        <v>485</v>
      </c>
      <c r="D392" s="521"/>
      <c r="E392" s="464"/>
      <c r="F392" s="565">
        <v>53.315179999999998</v>
      </c>
      <c r="G392" s="500">
        <v>3695280</v>
      </c>
      <c r="H392" s="564">
        <v>12984</v>
      </c>
      <c r="I392" s="518"/>
      <c r="J392" s="13"/>
      <c r="K392" s="430"/>
      <c r="L392" s="431"/>
    </row>
    <row r="393" spans="1:12" x14ac:dyDescent="0.35">
      <c r="A393" s="34" t="s">
        <v>1227</v>
      </c>
      <c r="B393" s="32" t="s">
        <v>1230</v>
      </c>
      <c r="C393" s="32" t="s">
        <v>485</v>
      </c>
      <c r="D393" s="521"/>
      <c r="E393" s="464"/>
      <c r="F393" s="565">
        <v>60.55453</v>
      </c>
      <c r="G393" s="501">
        <v>3695360</v>
      </c>
      <c r="H393" s="564">
        <v>12985</v>
      </c>
      <c r="I393" s="518"/>
      <c r="J393" s="13"/>
      <c r="K393" s="430"/>
      <c r="L393" s="431"/>
    </row>
    <row r="394" spans="1:12" x14ac:dyDescent="0.35">
      <c r="A394" s="34" t="s">
        <v>1228</v>
      </c>
      <c r="B394" s="32" t="s">
        <v>1231</v>
      </c>
      <c r="C394" s="32" t="s">
        <v>485</v>
      </c>
      <c r="D394" s="521"/>
      <c r="E394" s="464"/>
      <c r="F394" s="565">
        <v>64.283320000000003</v>
      </c>
      <c r="G394" s="501">
        <v>3700600</v>
      </c>
      <c r="H394" s="564">
        <v>176780</v>
      </c>
      <c r="I394" s="518"/>
      <c r="J394" s="13"/>
      <c r="K394" s="430"/>
      <c r="L394" s="431"/>
    </row>
    <row r="395" spans="1:12" x14ac:dyDescent="0.35">
      <c r="A395" s="34" t="s">
        <v>1229</v>
      </c>
      <c r="B395" s="32" t="s">
        <v>1232</v>
      </c>
      <c r="C395" s="32" t="s">
        <v>485</v>
      </c>
      <c r="D395" s="521"/>
      <c r="E395" s="464"/>
      <c r="F395" s="565">
        <v>78.98603</v>
      </c>
      <c r="G395" s="501">
        <v>3695500</v>
      </c>
      <c r="H395" s="564">
        <v>12986</v>
      </c>
      <c r="I395" s="518"/>
      <c r="J395" s="13"/>
      <c r="K395" s="430"/>
      <c r="L395" s="431"/>
    </row>
    <row r="396" spans="1:12" x14ac:dyDescent="0.35">
      <c r="A396" s="502" t="s">
        <v>1279</v>
      </c>
      <c r="B396" s="463" t="s">
        <v>1225</v>
      </c>
      <c r="C396" s="463" t="s">
        <v>485</v>
      </c>
      <c r="D396" s="522" t="s">
        <v>1341</v>
      </c>
      <c r="E396" s="468"/>
      <c r="F396" s="565">
        <v>47.621290000000002</v>
      </c>
      <c r="G396" s="503">
        <v>6700660</v>
      </c>
      <c r="H396" s="564">
        <v>12967</v>
      </c>
      <c r="I396" s="518"/>
      <c r="J396" s="13"/>
      <c r="K396" s="430"/>
      <c r="L396" s="431"/>
    </row>
    <row r="397" spans="1:12" x14ac:dyDescent="0.35">
      <c r="A397" s="34" t="s">
        <v>1247</v>
      </c>
      <c r="B397" s="32" t="s">
        <v>503</v>
      </c>
      <c r="C397" s="32" t="s">
        <v>485</v>
      </c>
      <c r="D397" s="521"/>
      <c r="E397" s="464"/>
      <c r="F397" s="565">
        <v>57.387929999999997</v>
      </c>
      <c r="G397" s="500">
        <v>6700740</v>
      </c>
      <c r="H397" s="564">
        <v>12993</v>
      </c>
      <c r="I397" s="518"/>
      <c r="J397" s="13"/>
      <c r="K397" s="430"/>
      <c r="L397" s="431"/>
    </row>
    <row r="398" spans="1:12" x14ac:dyDescent="0.35">
      <c r="A398" s="34" t="s">
        <v>1235</v>
      </c>
      <c r="B398" s="32" t="s">
        <v>1233</v>
      </c>
      <c r="C398" s="32" t="s">
        <v>485</v>
      </c>
      <c r="D398" s="521"/>
      <c r="E398" s="464"/>
      <c r="F398" s="565">
        <v>73.077280000000002</v>
      </c>
      <c r="G398" s="501">
        <v>6742800</v>
      </c>
      <c r="H398" s="564">
        <v>12962</v>
      </c>
      <c r="I398" s="518"/>
      <c r="J398" s="13"/>
      <c r="K398" s="430"/>
      <c r="L398" s="431"/>
    </row>
    <row r="399" spans="1:12" x14ac:dyDescent="0.35">
      <c r="A399" s="34" t="s">
        <v>1236</v>
      </c>
      <c r="B399" s="32" t="s">
        <v>506</v>
      </c>
      <c r="C399" s="32" t="s">
        <v>485</v>
      </c>
      <c r="D399" s="521"/>
      <c r="E399" s="464"/>
      <c r="F399" s="565">
        <v>89.258300000000006</v>
      </c>
      <c r="G399" s="500">
        <v>6715400</v>
      </c>
      <c r="H399" s="564">
        <v>12976</v>
      </c>
      <c r="I399" s="518"/>
      <c r="J399" s="13"/>
      <c r="K399" s="563"/>
      <c r="L399" s="431"/>
    </row>
    <row r="400" spans="1:12" x14ac:dyDescent="0.35">
      <c r="A400" s="34" t="s">
        <v>1237</v>
      </c>
      <c r="B400" s="32" t="s">
        <v>1234</v>
      </c>
      <c r="C400" s="32" t="s">
        <v>485</v>
      </c>
      <c r="D400" s="521"/>
      <c r="E400" s="464"/>
      <c r="F400" s="565">
        <v>103.2907</v>
      </c>
      <c r="G400" s="501">
        <v>6746140</v>
      </c>
      <c r="H400" s="564">
        <v>12973</v>
      </c>
      <c r="I400" s="518"/>
      <c r="J400" s="13"/>
      <c r="K400" s="430"/>
      <c r="L400" s="431"/>
    </row>
    <row r="401" spans="1:12" x14ac:dyDescent="0.35">
      <c r="A401" s="34" t="s">
        <v>1238</v>
      </c>
      <c r="B401" s="32" t="s">
        <v>1240</v>
      </c>
      <c r="C401" s="32" t="s">
        <v>485</v>
      </c>
      <c r="D401" s="521"/>
      <c r="E401" s="464"/>
      <c r="F401" s="565">
        <v>100.48036999999999</v>
      </c>
      <c r="G401" s="501">
        <v>6745760</v>
      </c>
      <c r="H401" s="564">
        <v>13013</v>
      </c>
      <c r="I401" s="518"/>
      <c r="J401" s="13"/>
      <c r="K401" s="430"/>
      <c r="L401" s="431"/>
    </row>
    <row r="402" spans="1:12" x14ac:dyDescent="0.35">
      <c r="A402" s="34" t="s">
        <v>1239</v>
      </c>
      <c r="B402" s="32" t="s">
        <v>507</v>
      </c>
      <c r="C402" s="32" t="s">
        <v>485</v>
      </c>
      <c r="D402" s="521"/>
      <c r="E402" s="464"/>
      <c r="F402" s="565">
        <v>121.89036</v>
      </c>
      <c r="G402" s="500">
        <v>6720400</v>
      </c>
      <c r="H402" s="564">
        <v>14231</v>
      </c>
      <c r="I402" s="518"/>
      <c r="J402" s="13"/>
      <c r="K402" s="430"/>
      <c r="L402" s="431"/>
    </row>
    <row r="403" spans="1:12" x14ac:dyDescent="0.35">
      <c r="A403" s="34" t="s">
        <v>1354</v>
      </c>
      <c r="B403" s="32" t="s">
        <v>1241</v>
      </c>
      <c r="C403" s="32" t="s">
        <v>485</v>
      </c>
      <c r="D403" s="521"/>
      <c r="E403" s="464"/>
      <c r="F403" s="565">
        <v>139.80625000000001</v>
      </c>
      <c r="G403" s="501">
        <v>6745170</v>
      </c>
      <c r="H403" s="564">
        <v>12987</v>
      </c>
      <c r="I403" s="518"/>
      <c r="J403" s="13"/>
      <c r="K403" s="430"/>
      <c r="L403" s="431"/>
    </row>
    <row r="404" spans="1:12" x14ac:dyDescent="0.35">
      <c r="A404" s="34" t="s">
        <v>1242</v>
      </c>
      <c r="B404" s="32" t="s">
        <v>1244</v>
      </c>
      <c r="C404" s="32" t="s">
        <v>485</v>
      </c>
      <c r="D404" s="521"/>
      <c r="E404" s="464"/>
      <c r="F404" s="565">
        <v>126.084</v>
      </c>
      <c r="G404" s="501">
        <v>6746200</v>
      </c>
      <c r="H404" s="564">
        <v>134147</v>
      </c>
      <c r="I404" s="518"/>
      <c r="J404" s="13"/>
      <c r="K404" s="430"/>
      <c r="L404" s="431"/>
    </row>
    <row r="405" spans="1:12" x14ac:dyDescent="0.35">
      <c r="A405" s="34" t="s">
        <v>1243</v>
      </c>
      <c r="B405" s="32" t="s">
        <v>508</v>
      </c>
      <c r="C405" s="32" t="s">
        <v>485</v>
      </c>
      <c r="D405" s="521"/>
      <c r="E405" s="464"/>
      <c r="F405" s="565">
        <v>149.69191000000001</v>
      </c>
      <c r="G405" s="500">
        <v>6715770</v>
      </c>
      <c r="H405" s="564">
        <v>12982</v>
      </c>
      <c r="I405" s="518"/>
      <c r="J405" s="13"/>
      <c r="K405" s="430"/>
      <c r="L405" s="431"/>
    </row>
    <row r="406" spans="1:12" x14ac:dyDescent="0.35">
      <c r="A406" s="34" t="s">
        <v>1246</v>
      </c>
      <c r="B406" s="32" t="s">
        <v>1245</v>
      </c>
      <c r="C406" s="32" t="s">
        <v>485</v>
      </c>
      <c r="D406" s="521"/>
      <c r="E406" s="464"/>
      <c r="F406" s="565">
        <v>174.48204999999999</v>
      </c>
      <c r="G406" s="501">
        <v>6742660</v>
      </c>
      <c r="H406" s="564">
        <v>14230</v>
      </c>
      <c r="I406" s="518"/>
      <c r="K406" s="430"/>
      <c r="L406" s="431"/>
    </row>
    <row r="407" spans="1:12" x14ac:dyDescent="0.35">
      <c r="A407" s="34"/>
      <c r="B407" s="32"/>
      <c r="C407" s="32"/>
      <c r="D407" s="521"/>
      <c r="E407" s="464"/>
      <c r="F407" s="565"/>
      <c r="G407" s="500"/>
      <c r="H407" s="564"/>
      <c r="I407" s="518"/>
      <c r="J407" s="13"/>
      <c r="K407" s="430"/>
      <c r="L407" s="431"/>
    </row>
    <row r="408" spans="1:12" x14ac:dyDescent="0.35">
      <c r="A408" s="488" t="s">
        <v>183</v>
      </c>
      <c r="B408" s="32"/>
      <c r="C408" s="32"/>
      <c r="D408" s="521"/>
      <c r="E408" s="464"/>
      <c r="F408" s="565"/>
      <c r="G408" s="487"/>
      <c r="H408" s="564"/>
      <c r="I408" s="518"/>
      <c r="J408" s="13"/>
      <c r="K408" s="430"/>
      <c r="L408" s="431"/>
    </row>
    <row r="409" spans="1:12" x14ac:dyDescent="0.35">
      <c r="A409" s="34" t="s">
        <v>1248</v>
      </c>
      <c r="B409" s="32" t="s">
        <v>1280</v>
      </c>
      <c r="C409" s="32" t="s">
        <v>485</v>
      </c>
      <c r="D409" s="521"/>
      <c r="E409" s="464"/>
      <c r="F409" s="565">
        <v>24.164940000000001</v>
      </c>
      <c r="G409" s="489">
        <v>3696900</v>
      </c>
      <c r="H409" s="564">
        <v>12994</v>
      </c>
      <c r="I409" s="518"/>
      <c r="J409" s="13"/>
      <c r="K409" s="430"/>
      <c r="L409" s="431"/>
    </row>
    <row r="410" spans="1:12" x14ac:dyDescent="0.35">
      <c r="A410" s="34" t="s">
        <v>1249</v>
      </c>
      <c r="B410" s="32" t="s">
        <v>760</v>
      </c>
      <c r="C410" s="32" t="s">
        <v>485</v>
      </c>
      <c r="D410" s="521"/>
      <c r="E410" s="464"/>
      <c r="F410" s="565">
        <v>26.36289</v>
      </c>
      <c r="G410" s="500">
        <v>3866780</v>
      </c>
      <c r="H410" s="564">
        <v>279167</v>
      </c>
      <c r="I410" s="518"/>
      <c r="J410" s="13"/>
      <c r="K410" s="430"/>
      <c r="L410" s="431"/>
    </row>
    <row r="411" spans="1:12" x14ac:dyDescent="0.35">
      <c r="A411" s="34" t="s">
        <v>1250</v>
      </c>
      <c r="B411" s="32" t="s">
        <v>1253</v>
      </c>
      <c r="C411" s="32" t="s">
        <v>485</v>
      </c>
      <c r="D411" s="521"/>
      <c r="E411" s="464"/>
      <c r="F411" s="565">
        <v>33.237119999999997</v>
      </c>
      <c r="G411" s="501">
        <v>3697200</v>
      </c>
      <c r="H411" s="564">
        <v>309263</v>
      </c>
      <c r="I411" s="518"/>
      <c r="J411" s="13"/>
      <c r="K411" s="430"/>
      <c r="L411" s="431"/>
    </row>
    <row r="412" spans="1:12" x14ac:dyDescent="0.35">
      <c r="A412" s="34" t="s">
        <v>1251</v>
      </c>
      <c r="B412" s="32" t="s">
        <v>1254</v>
      </c>
      <c r="C412" s="32" t="s">
        <v>485</v>
      </c>
      <c r="D412" s="521"/>
      <c r="E412" s="464"/>
      <c r="F412" s="565">
        <v>0</v>
      </c>
      <c r="G412" s="501">
        <v>3867300</v>
      </c>
      <c r="H412" s="564" t="s">
        <v>1532</v>
      </c>
      <c r="I412" s="518"/>
      <c r="J412" s="13"/>
      <c r="K412" s="430"/>
      <c r="L412" s="431"/>
    </row>
    <row r="413" spans="1:12" x14ac:dyDescent="0.35">
      <c r="A413" s="34" t="s">
        <v>1252</v>
      </c>
      <c r="B413" s="32" t="s">
        <v>1255</v>
      </c>
      <c r="C413" s="32" t="s">
        <v>485</v>
      </c>
      <c r="D413" s="521"/>
      <c r="E413" s="464"/>
      <c r="F413" s="565">
        <v>48.270380000000003</v>
      </c>
      <c r="G413" s="501">
        <v>3867080</v>
      </c>
      <c r="H413" s="564">
        <v>309266</v>
      </c>
      <c r="I413" s="518"/>
      <c r="J413" s="13"/>
      <c r="K413" s="430"/>
      <c r="L413" s="431"/>
    </row>
    <row r="414" spans="1:12" x14ac:dyDescent="0.35">
      <c r="A414" s="34" t="s">
        <v>1258</v>
      </c>
      <c r="B414" s="32" t="s">
        <v>1294</v>
      </c>
      <c r="C414" s="32" t="s">
        <v>485</v>
      </c>
      <c r="D414" s="521"/>
      <c r="E414" s="464"/>
      <c r="F414" s="565">
        <v>25.19913</v>
      </c>
      <c r="G414" s="501">
        <v>6702360</v>
      </c>
      <c r="H414" s="564">
        <v>13038</v>
      </c>
      <c r="I414" s="518"/>
      <c r="J414" s="13"/>
      <c r="K414" s="430"/>
      <c r="L414" s="431"/>
    </row>
    <row r="415" spans="1:12" x14ac:dyDescent="0.35">
      <c r="A415" s="34" t="s">
        <v>1256</v>
      </c>
      <c r="B415" s="32" t="s">
        <v>1295</v>
      </c>
      <c r="C415" s="32" t="s">
        <v>485</v>
      </c>
      <c r="D415" s="521"/>
      <c r="E415" s="464"/>
      <c r="F415" s="565">
        <v>27.397279999999999</v>
      </c>
      <c r="G415" s="500">
        <v>6702440</v>
      </c>
      <c r="H415" s="564">
        <v>12992</v>
      </c>
      <c r="I415" s="518"/>
      <c r="J415" s="13"/>
      <c r="K415" s="430"/>
      <c r="L415" s="431"/>
    </row>
    <row r="416" spans="1:12" x14ac:dyDescent="0.35">
      <c r="A416" s="34" t="s">
        <v>1259</v>
      </c>
      <c r="B416" s="32" t="s">
        <v>1296</v>
      </c>
      <c r="C416" s="32" t="s">
        <v>485</v>
      </c>
      <c r="D416" s="521"/>
      <c r="E416" s="464"/>
      <c r="F416" s="565">
        <v>34.27149</v>
      </c>
      <c r="G416" s="501">
        <v>6702280</v>
      </c>
      <c r="H416" s="564">
        <v>13695</v>
      </c>
      <c r="I416" s="518"/>
      <c r="J416" s="13"/>
      <c r="K416" s="430"/>
      <c r="L416" s="431"/>
    </row>
    <row r="417" spans="1:12" x14ac:dyDescent="0.35">
      <c r="A417" s="34" t="s">
        <v>1260</v>
      </c>
      <c r="B417" s="32" t="s">
        <v>1297</v>
      </c>
      <c r="C417" s="32" t="s">
        <v>485</v>
      </c>
      <c r="D417" s="521"/>
      <c r="E417" s="464"/>
      <c r="F417" s="565">
        <v>41.475479999999997</v>
      </c>
      <c r="G417" s="501">
        <v>6701470</v>
      </c>
      <c r="H417" s="564">
        <v>176781</v>
      </c>
      <c r="I417" s="518"/>
      <c r="J417" s="13"/>
      <c r="K417" s="430"/>
      <c r="L417" s="431"/>
    </row>
    <row r="418" spans="1:12" x14ac:dyDescent="0.35">
      <c r="A418" s="34" t="s">
        <v>1261</v>
      </c>
      <c r="B418" s="32" t="s">
        <v>1298</v>
      </c>
      <c r="C418" s="32" t="s">
        <v>485</v>
      </c>
      <c r="D418" s="521"/>
      <c r="E418" s="464"/>
      <c r="F418" s="565">
        <v>43.17924</v>
      </c>
      <c r="G418" s="501">
        <v>6702100</v>
      </c>
      <c r="H418" s="564">
        <v>176789</v>
      </c>
      <c r="I418" s="518"/>
      <c r="J418" s="13"/>
      <c r="K418" s="430"/>
      <c r="L418" s="431"/>
    </row>
    <row r="419" spans="1:12" x14ac:dyDescent="0.35">
      <c r="A419" s="34" t="s">
        <v>1262</v>
      </c>
      <c r="B419" s="32" t="s">
        <v>1263</v>
      </c>
      <c r="C419" s="32" t="s">
        <v>485</v>
      </c>
      <c r="D419" s="521"/>
      <c r="E419" s="464"/>
      <c r="F419" s="565">
        <v>36.719320000000003</v>
      </c>
      <c r="G419" s="501">
        <v>3696680</v>
      </c>
      <c r="H419" s="564">
        <v>12995</v>
      </c>
      <c r="I419" s="518"/>
      <c r="J419" s="13"/>
      <c r="K419" s="430"/>
      <c r="L419" s="431"/>
    </row>
    <row r="420" spans="1:12" x14ac:dyDescent="0.35">
      <c r="A420" s="34" t="s">
        <v>1257</v>
      </c>
      <c r="B420" s="32" t="s">
        <v>504</v>
      </c>
      <c r="C420" s="32" t="s">
        <v>485</v>
      </c>
      <c r="D420" s="521"/>
      <c r="E420" s="464"/>
      <c r="F420" s="565">
        <v>40.01641</v>
      </c>
      <c r="G420" s="500">
        <v>3866940</v>
      </c>
      <c r="H420" s="564">
        <v>12996</v>
      </c>
      <c r="I420" s="518"/>
      <c r="J420" s="13"/>
      <c r="K420" s="430"/>
      <c r="L420" s="431"/>
    </row>
    <row r="421" spans="1:12" x14ac:dyDescent="0.35">
      <c r="A421" s="34" t="s">
        <v>1264</v>
      </c>
      <c r="B421" s="32" t="s">
        <v>1267</v>
      </c>
      <c r="C421" s="32" t="s">
        <v>485</v>
      </c>
      <c r="D421" s="521"/>
      <c r="E421" s="464"/>
      <c r="F421" s="565">
        <v>50.327669999999998</v>
      </c>
      <c r="G421" s="501">
        <v>3696840</v>
      </c>
      <c r="H421" s="564">
        <v>12997</v>
      </c>
      <c r="I421" s="518"/>
      <c r="J421" s="13"/>
      <c r="K421" s="430"/>
      <c r="L421" s="431"/>
    </row>
    <row r="422" spans="1:12" x14ac:dyDescent="0.35">
      <c r="A422" s="34" t="s">
        <v>1265</v>
      </c>
      <c r="B422" s="32" t="s">
        <v>1268</v>
      </c>
      <c r="C422" s="32" t="s">
        <v>485</v>
      </c>
      <c r="D422" s="521"/>
      <c r="E422" s="464"/>
      <c r="F422" s="565">
        <v>57.414740000000002</v>
      </c>
      <c r="G422" s="501">
        <v>3700890</v>
      </c>
      <c r="H422" s="564">
        <v>176782</v>
      </c>
      <c r="I422" s="518"/>
      <c r="J422" s="13"/>
      <c r="K422" s="430"/>
      <c r="L422" s="431"/>
    </row>
    <row r="423" spans="1:12" x14ac:dyDescent="0.35">
      <c r="A423" s="34" t="s">
        <v>1266</v>
      </c>
      <c r="B423" s="32" t="s">
        <v>1269</v>
      </c>
      <c r="C423" s="32" t="s">
        <v>485</v>
      </c>
      <c r="D423" s="521"/>
      <c r="E423" s="464"/>
      <c r="F423" s="565">
        <v>74.162480000000002</v>
      </c>
      <c r="G423" s="501">
        <v>3867240</v>
      </c>
      <c r="H423" s="564">
        <v>12998</v>
      </c>
      <c r="I423" s="518"/>
      <c r="J423" s="13"/>
      <c r="K423" s="430"/>
      <c r="L423" s="431"/>
    </row>
    <row r="424" spans="1:12" x14ac:dyDescent="0.35">
      <c r="A424" s="34" t="s">
        <v>1235</v>
      </c>
      <c r="B424" s="32" t="s">
        <v>1271</v>
      </c>
      <c r="C424" s="32" t="s">
        <v>485</v>
      </c>
      <c r="D424" s="521"/>
      <c r="E424" s="464"/>
      <c r="F424" s="565">
        <v>71.217339999999993</v>
      </c>
      <c r="G424" s="501">
        <v>6748430</v>
      </c>
      <c r="H424" s="564">
        <v>12963</v>
      </c>
      <c r="I424" s="518"/>
      <c r="J424" s="13"/>
      <c r="K424" s="430"/>
      <c r="L424" s="431"/>
    </row>
    <row r="425" spans="1:12" x14ac:dyDescent="0.35">
      <c r="A425" s="34" t="s">
        <v>1236</v>
      </c>
      <c r="B425" s="32" t="s">
        <v>509</v>
      </c>
      <c r="C425" s="32" t="s">
        <v>485</v>
      </c>
      <c r="D425" s="521"/>
      <c r="E425" s="464"/>
      <c r="F425" s="565">
        <v>84.367519999999999</v>
      </c>
      <c r="G425" s="500">
        <v>6747970</v>
      </c>
      <c r="H425" s="564">
        <v>92078</v>
      </c>
      <c r="I425" s="518"/>
      <c r="J425" s="13"/>
      <c r="K425" s="430"/>
      <c r="L425" s="431"/>
    </row>
    <row r="426" spans="1:12" x14ac:dyDescent="0.35">
      <c r="A426" s="34" t="s">
        <v>1237</v>
      </c>
      <c r="B426" s="32" t="s">
        <v>1272</v>
      </c>
      <c r="C426" s="32" t="s">
        <v>485</v>
      </c>
      <c r="D426" s="521"/>
      <c r="E426" s="464"/>
      <c r="F426" s="565">
        <v>101.39028</v>
      </c>
      <c r="G426" s="501">
        <v>6747890</v>
      </c>
      <c r="H426" s="564">
        <v>14097</v>
      </c>
      <c r="I426" s="518"/>
      <c r="J426" s="13"/>
      <c r="K426" s="430"/>
      <c r="L426" s="431"/>
    </row>
    <row r="427" spans="1:12" x14ac:dyDescent="0.35">
      <c r="A427" s="34" t="s">
        <v>1274</v>
      </c>
      <c r="B427" s="32" t="s">
        <v>1273</v>
      </c>
      <c r="C427" s="32" t="s">
        <v>485</v>
      </c>
      <c r="D427" s="521"/>
      <c r="E427" s="464"/>
      <c r="F427" s="565">
        <v>100.48036999999999</v>
      </c>
      <c r="G427" s="501">
        <v>6745760</v>
      </c>
      <c r="H427" s="564">
        <v>13013</v>
      </c>
      <c r="I427" s="518"/>
      <c r="J427" s="13"/>
      <c r="K427" s="563"/>
      <c r="L427" s="431"/>
    </row>
    <row r="428" spans="1:12" x14ac:dyDescent="0.35">
      <c r="A428" s="34" t="s">
        <v>1270</v>
      </c>
      <c r="B428" s="32" t="s">
        <v>510</v>
      </c>
      <c r="C428" s="32" t="s">
        <v>485</v>
      </c>
      <c r="D428" s="521"/>
      <c r="E428" s="464"/>
      <c r="F428" s="565">
        <v>98.289760000000001</v>
      </c>
      <c r="G428" s="500">
        <v>6751140</v>
      </c>
      <c r="H428" s="564">
        <v>12910</v>
      </c>
      <c r="I428" s="518"/>
      <c r="J428" s="13"/>
      <c r="K428" s="563"/>
      <c r="L428" s="431"/>
    </row>
    <row r="429" spans="1:12" x14ac:dyDescent="0.35">
      <c r="A429" s="34" t="s">
        <v>1276</v>
      </c>
      <c r="B429" s="32" t="s">
        <v>1275</v>
      </c>
      <c r="C429" s="32" t="s">
        <v>485</v>
      </c>
      <c r="D429" s="521"/>
      <c r="E429" s="464"/>
      <c r="F429" s="565">
        <v>113.6379</v>
      </c>
      <c r="G429" s="501">
        <v>6751060</v>
      </c>
      <c r="H429" s="564">
        <v>12978</v>
      </c>
      <c r="I429" s="518"/>
      <c r="J429" s="13"/>
      <c r="K429" s="563"/>
      <c r="L429" s="431"/>
    </row>
    <row r="430" spans="1:12" x14ac:dyDescent="0.35">
      <c r="A430" s="34" t="s">
        <v>1242</v>
      </c>
      <c r="B430" s="32" t="s">
        <v>1277</v>
      </c>
      <c r="C430" s="32" t="s">
        <v>485</v>
      </c>
      <c r="D430" s="521"/>
      <c r="E430" s="464"/>
      <c r="F430" s="565">
        <v>137.53487000000001</v>
      </c>
      <c r="G430" s="501">
        <v>6749300</v>
      </c>
      <c r="H430" s="564">
        <v>12917</v>
      </c>
      <c r="I430" s="518"/>
      <c r="J430" s="13"/>
      <c r="K430" s="430"/>
      <c r="L430" s="431"/>
    </row>
    <row r="431" spans="1:12" x14ac:dyDescent="0.35">
      <c r="A431" s="34" t="s">
        <v>1243</v>
      </c>
      <c r="B431" s="32" t="s">
        <v>511</v>
      </c>
      <c r="C431" s="32" t="s">
        <v>485</v>
      </c>
      <c r="D431" s="521"/>
      <c r="E431" s="464"/>
      <c r="F431" s="565">
        <v>139.91039000000001</v>
      </c>
      <c r="G431" s="500">
        <v>6749830</v>
      </c>
      <c r="H431" s="564">
        <v>92079</v>
      </c>
      <c r="I431" s="518"/>
      <c r="J431" s="13"/>
      <c r="K431" s="430"/>
      <c r="L431" s="431"/>
    </row>
    <row r="432" spans="1:12" x14ac:dyDescent="0.35">
      <c r="A432" s="34" t="s">
        <v>1246</v>
      </c>
      <c r="B432" s="32" t="s">
        <v>1278</v>
      </c>
      <c r="C432" s="32" t="s">
        <v>485</v>
      </c>
      <c r="D432" s="521"/>
      <c r="E432" s="464"/>
      <c r="F432" s="565">
        <v>170.68159</v>
      </c>
      <c r="G432" s="501">
        <v>6750900</v>
      </c>
      <c r="H432" s="564">
        <v>225197</v>
      </c>
      <c r="I432" s="518"/>
      <c r="K432" s="430"/>
      <c r="L432" s="431"/>
    </row>
    <row r="433" spans="1:12" x14ac:dyDescent="0.35">
      <c r="A433" s="34"/>
      <c r="B433" s="32"/>
      <c r="C433" s="32"/>
      <c r="D433" s="521"/>
      <c r="E433" s="464"/>
      <c r="F433" s="565"/>
      <c r="G433" s="500"/>
      <c r="H433" s="564"/>
      <c r="I433" s="518"/>
      <c r="J433" s="13"/>
      <c r="K433" s="430"/>
      <c r="L433" s="431"/>
    </row>
    <row r="434" spans="1:12" x14ac:dyDescent="0.35">
      <c r="A434" s="488" t="s">
        <v>184</v>
      </c>
      <c r="B434" s="32"/>
      <c r="C434" s="32"/>
      <c r="D434" s="521"/>
      <c r="E434" s="464"/>
      <c r="F434" s="565"/>
      <c r="G434" s="487"/>
      <c r="H434" s="564"/>
      <c r="I434" s="518"/>
      <c r="J434" s="13"/>
      <c r="K434" s="430"/>
      <c r="L434" s="431"/>
    </row>
    <row r="435" spans="1:12" x14ac:dyDescent="0.35">
      <c r="A435" s="34" t="s">
        <v>1303</v>
      </c>
      <c r="B435" s="32" t="s">
        <v>1304</v>
      </c>
      <c r="C435" s="32" t="s">
        <v>485</v>
      </c>
      <c r="D435" s="521"/>
      <c r="E435" s="464"/>
      <c r="F435" s="565">
        <v>40.821069999999999</v>
      </c>
      <c r="G435" s="489">
        <v>6698150</v>
      </c>
      <c r="H435" s="564">
        <v>12999</v>
      </c>
      <c r="I435" s="518"/>
      <c r="J435" s="13"/>
      <c r="K435" s="430"/>
      <c r="L435" s="431"/>
    </row>
    <row r="436" spans="1:12" x14ac:dyDescent="0.35">
      <c r="A436" s="34" t="s">
        <v>1299</v>
      </c>
      <c r="B436" s="32" t="s">
        <v>1292</v>
      </c>
      <c r="C436" s="32" t="s">
        <v>485</v>
      </c>
      <c r="D436" s="521"/>
      <c r="E436" s="464"/>
      <c r="F436" s="565">
        <v>47.945549999999997</v>
      </c>
      <c r="G436" s="500">
        <v>6700580</v>
      </c>
      <c r="H436" s="564">
        <v>13000</v>
      </c>
      <c r="I436" s="518"/>
      <c r="J436" s="13"/>
      <c r="K436" s="430"/>
      <c r="L436" s="431"/>
    </row>
    <row r="437" spans="1:12" x14ac:dyDescent="0.35">
      <c r="A437" s="34" t="s">
        <v>1305</v>
      </c>
      <c r="B437" s="32" t="s">
        <v>1308</v>
      </c>
      <c r="C437" s="32" t="s">
        <v>485</v>
      </c>
      <c r="D437" s="521"/>
      <c r="E437" s="464"/>
      <c r="F437" s="565">
        <v>58.175440000000002</v>
      </c>
      <c r="G437" s="501">
        <v>6700150</v>
      </c>
      <c r="H437" s="564">
        <v>13001</v>
      </c>
      <c r="I437" s="518"/>
      <c r="J437" s="13"/>
      <c r="K437" s="430"/>
      <c r="L437" s="431"/>
    </row>
    <row r="438" spans="1:12" x14ac:dyDescent="0.35">
      <c r="A438" s="34" t="s">
        <v>1306</v>
      </c>
      <c r="B438" s="32" t="s">
        <v>1309</v>
      </c>
      <c r="C438" s="32" t="s">
        <v>485</v>
      </c>
      <c r="D438" s="521"/>
      <c r="E438" s="464"/>
      <c r="F438" s="565">
        <v>62.848950000000002</v>
      </c>
      <c r="G438" s="501">
        <v>6699390</v>
      </c>
      <c r="H438" s="564">
        <v>176783</v>
      </c>
      <c r="I438" s="518"/>
      <c r="J438" s="13"/>
      <c r="K438" s="430"/>
      <c r="L438" s="431"/>
    </row>
    <row r="439" spans="1:12" x14ac:dyDescent="0.35">
      <c r="A439" s="34" t="s">
        <v>1307</v>
      </c>
      <c r="B439" s="32" t="s">
        <v>1310</v>
      </c>
      <c r="C439" s="32" t="s">
        <v>485</v>
      </c>
      <c r="D439" s="521"/>
      <c r="E439" s="464"/>
      <c r="F439" s="565">
        <v>72.097089999999994</v>
      </c>
      <c r="G439" s="501">
        <v>6701100</v>
      </c>
      <c r="H439" s="564">
        <v>176790</v>
      </c>
      <c r="I439" s="518"/>
      <c r="J439" s="13"/>
      <c r="K439" s="430"/>
      <c r="L439" s="431"/>
    </row>
    <row r="440" spans="1:12" x14ac:dyDescent="0.35">
      <c r="A440" s="34" t="s">
        <v>1311</v>
      </c>
      <c r="B440" s="32" t="s">
        <v>1312</v>
      </c>
      <c r="C440" s="32" t="s">
        <v>485</v>
      </c>
      <c r="D440" s="521"/>
      <c r="E440" s="464"/>
      <c r="F440" s="565">
        <v>37.636150000000001</v>
      </c>
      <c r="G440" s="501">
        <v>6700800</v>
      </c>
      <c r="H440" s="564">
        <v>176762</v>
      </c>
      <c r="I440" s="518"/>
      <c r="J440" s="13"/>
      <c r="K440" s="430"/>
      <c r="L440" s="431"/>
    </row>
    <row r="441" spans="1:12" x14ac:dyDescent="0.35">
      <c r="A441" s="34" t="s">
        <v>1300</v>
      </c>
      <c r="B441" s="32" t="s">
        <v>1293</v>
      </c>
      <c r="C441" s="32" t="s">
        <v>485</v>
      </c>
      <c r="D441" s="521"/>
      <c r="E441" s="464"/>
      <c r="F441" s="565">
        <v>44.042470000000002</v>
      </c>
      <c r="G441" s="500">
        <v>6701390</v>
      </c>
      <c r="H441" s="564">
        <v>176769</v>
      </c>
      <c r="I441" s="518"/>
      <c r="J441" s="13"/>
      <c r="K441" s="430"/>
      <c r="L441" s="431"/>
    </row>
    <row r="442" spans="1:12" x14ac:dyDescent="0.35">
      <c r="A442" s="34" t="s">
        <v>1313</v>
      </c>
      <c r="B442" s="32" t="s">
        <v>1316</v>
      </c>
      <c r="C442" s="32" t="s">
        <v>485</v>
      </c>
      <c r="D442" s="521"/>
      <c r="E442" s="464"/>
      <c r="F442" s="565">
        <v>53.241340000000001</v>
      </c>
      <c r="G442" s="501">
        <v>6701980</v>
      </c>
      <c r="H442" s="564">
        <v>176775</v>
      </c>
      <c r="I442" s="518"/>
      <c r="J442" s="13"/>
      <c r="K442" s="430"/>
      <c r="L442" s="431"/>
    </row>
    <row r="443" spans="1:12" x14ac:dyDescent="0.35">
      <c r="A443" s="34" t="s">
        <v>1314</v>
      </c>
      <c r="B443" s="32" t="s">
        <v>1317</v>
      </c>
      <c r="C443" s="32" t="s">
        <v>485</v>
      </c>
      <c r="D443" s="521"/>
      <c r="E443" s="464"/>
      <c r="F443" s="565">
        <v>62.623579999999997</v>
      </c>
      <c r="G443" s="501">
        <v>6701800</v>
      </c>
      <c r="H443" s="564">
        <v>176784</v>
      </c>
      <c r="I443" s="518"/>
      <c r="J443" s="13"/>
      <c r="K443" s="430"/>
      <c r="L443" s="431"/>
    </row>
    <row r="444" spans="1:12" x14ac:dyDescent="0.35">
      <c r="A444" s="34" t="s">
        <v>1315</v>
      </c>
      <c r="B444" s="32" t="s">
        <v>1318</v>
      </c>
      <c r="C444" s="32" t="s">
        <v>485</v>
      </c>
      <c r="D444" s="521"/>
      <c r="E444" s="464"/>
      <c r="F444" s="565">
        <v>71.871709999999993</v>
      </c>
      <c r="G444" s="501">
        <v>6702790</v>
      </c>
      <c r="H444" s="564">
        <v>176791</v>
      </c>
      <c r="I444" s="518"/>
      <c r="J444" s="13"/>
      <c r="K444" s="430"/>
      <c r="L444" s="431"/>
    </row>
    <row r="445" spans="1:12" x14ac:dyDescent="0.35">
      <c r="A445" s="34" t="s">
        <v>1319</v>
      </c>
      <c r="B445" s="32" t="s">
        <v>1320</v>
      </c>
      <c r="C445" s="32" t="s">
        <v>485</v>
      </c>
      <c r="D445" s="521"/>
      <c r="E445" s="464"/>
      <c r="F445" s="565">
        <v>51.256480000000003</v>
      </c>
      <c r="G445" s="501">
        <v>6701630</v>
      </c>
      <c r="H445" s="564">
        <v>176763</v>
      </c>
      <c r="I445" s="518"/>
      <c r="J445" s="13"/>
      <c r="K445" s="430"/>
      <c r="L445" s="431"/>
    </row>
    <row r="446" spans="1:12" x14ac:dyDescent="0.35">
      <c r="A446" s="34" t="s">
        <v>1301</v>
      </c>
      <c r="B446" s="32" t="s">
        <v>17</v>
      </c>
      <c r="C446" s="32" t="s">
        <v>485</v>
      </c>
      <c r="D446" s="521"/>
      <c r="E446" s="464"/>
      <c r="F446" s="565">
        <v>68.25694</v>
      </c>
      <c r="G446" s="500">
        <v>3777170</v>
      </c>
      <c r="H446" s="564">
        <v>13003</v>
      </c>
      <c r="I446" s="518"/>
      <c r="J446" s="13"/>
      <c r="K446" s="430"/>
      <c r="L446" s="431"/>
    </row>
    <row r="447" spans="1:12" x14ac:dyDescent="0.35">
      <c r="A447" s="34" t="s">
        <v>1324</v>
      </c>
      <c r="B447" s="32" t="s">
        <v>1321</v>
      </c>
      <c r="C447" s="32" t="s">
        <v>485</v>
      </c>
      <c r="D447" s="521"/>
      <c r="E447" s="464"/>
      <c r="F447" s="565">
        <v>70.976650000000006</v>
      </c>
      <c r="G447" s="501">
        <v>3777680</v>
      </c>
      <c r="H447" s="564">
        <v>176776</v>
      </c>
      <c r="I447" s="518"/>
      <c r="J447" s="13"/>
      <c r="K447" s="430"/>
      <c r="L447" s="431"/>
    </row>
    <row r="448" spans="1:12" x14ac:dyDescent="0.35">
      <c r="A448" s="34" t="s">
        <v>1325</v>
      </c>
      <c r="B448" s="32" t="s">
        <v>1322</v>
      </c>
      <c r="C448" s="32" t="s">
        <v>485</v>
      </c>
      <c r="D448" s="521"/>
      <c r="E448" s="464"/>
      <c r="F448" s="565">
        <v>85.055520000000001</v>
      </c>
      <c r="G448" s="501">
        <v>3890730</v>
      </c>
      <c r="H448" s="564">
        <v>176785</v>
      </c>
      <c r="I448" s="518"/>
      <c r="J448" s="13"/>
      <c r="K448" s="430"/>
      <c r="L448" s="431"/>
    </row>
    <row r="449" spans="1:12" x14ac:dyDescent="0.35">
      <c r="A449" s="34" t="s">
        <v>1326</v>
      </c>
      <c r="B449" s="32" t="s">
        <v>1323</v>
      </c>
      <c r="C449" s="32" t="s">
        <v>485</v>
      </c>
      <c r="D449" s="521"/>
      <c r="E449" s="464"/>
      <c r="F449" s="565">
        <v>94.886809999999997</v>
      </c>
      <c r="G449" s="501">
        <v>3865890</v>
      </c>
      <c r="H449" s="564">
        <v>176792</v>
      </c>
      <c r="I449" s="518"/>
      <c r="J449" s="13"/>
      <c r="K449" s="430"/>
      <c r="L449" s="431"/>
    </row>
    <row r="450" spans="1:12" x14ac:dyDescent="0.35">
      <c r="A450" s="34" t="s">
        <v>1327</v>
      </c>
      <c r="B450" s="32" t="s">
        <v>1328</v>
      </c>
      <c r="C450" s="32" t="s">
        <v>485</v>
      </c>
      <c r="D450" s="521"/>
      <c r="E450" s="464"/>
      <c r="F450" s="565">
        <v>65.108220000000003</v>
      </c>
      <c r="G450" s="501">
        <v>3776500</v>
      </c>
      <c r="H450" s="564">
        <v>176764</v>
      </c>
      <c r="I450" s="518"/>
      <c r="J450" s="13"/>
      <c r="K450" s="430"/>
      <c r="L450" s="431"/>
    </row>
    <row r="451" spans="1:12" x14ac:dyDescent="0.35">
      <c r="A451" s="34" t="s">
        <v>1302</v>
      </c>
      <c r="B451" s="32" t="s">
        <v>505</v>
      </c>
      <c r="C451" s="32" t="s">
        <v>485</v>
      </c>
      <c r="D451" s="521"/>
      <c r="E451" s="464"/>
      <c r="F451" s="565">
        <v>73.331860000000006</v>
      </c>
      <c r="G451" s="500">
        <v>3777090</v>
      </c>
      <c r="H451" s="564">
        <v>13005</v>
      </c>
      <c r="I451" s="518"/>
      <c r="J451" s="13"/>
      <c r="K451" s="430"/>
      <c r="L451" s="431"/>
    </row>
    <row r="452" spans="1:12" x14ac:dyDescent="0.35">
      <c r="A452" s="34" t="s">
        <v>1329</v>
      </c>
      <c r="B452" s="32" t="s">
        <v>1332</v>
      </c>
      <c r="C452" s="32" t="s">
        <v>485</v>
      </c>
      <c r="D452" s="521"/>
      <c r="E452" s="464"/>
      <c r="F452" s="565">
        <v>78.229100000000003</v>
      </c>
      <c r="G452" s="501">
        <v>3777500</v>
      </c>
      <c r="H452" s="564">
        <v>176777</v>
      </c>
      <c r="I452" s="518"/>
      <c r="J452" s="13"/>
      <c r="K452" s="430"/>
      <c r="L452" s="431"/>
    </row>
    <row r="453" spans="1:12" x14ac:dyDescent="0.35">
      <c r="A453" s="34" t="s">
        <v>1330</v>
      </c>
      <c r="B453" s="32" t="s">
        <v>1333</v>
      </c>
      <c r="C453" s="32" t="s">
        <v>485</v>
      </c>
      <c r="D453" s="521"/>
      <c r="E453" s="464"/>
      <c r="F453" s="565">
        <v>90.702070000000006</v>
      </c>
      <c r="G453" s="501">
        <v>3890650</v>
      </c>
      <c r="H453" s="564">
        <v>176786</v>
      </c>
      <c r="I453" s="518"/>
      <c r="J453" s="13"/>
      <c r="K453" s="430"/>
      <c r="L453" s="431"/>
    </row>
    <row r="454" spans="1:12" x14ac:dyDescent="0.35">
      <c r="A454" s="34" t="s">
        <v>1331</v>
      </c>
      <c r="B454" s="32" t="s">
        <v>1334</v>
      </c>
      <c r="C454" s="32" t="s">
        <v>485</v>
      </c>
      <c r="D454" s="521"/>
      <c r="E454" s="464"/>
      <c r="F454" s="565">
        <v>103.04093</v>
      </c>
      <c r="G454" s="501">
        <v>3865600</v>
      </c>
      <c r="H454" s="564">
        <v>176793</v>
      </c>
      <c r="I454" s="518"/>
      <c r="J454" s="13"/>
      <c r="K454" s="430"/>
      <c r="L454" s="431"/>
    </row>
    <row r="455" spans="1:12" x14ac:dyDescent="0.35">
      <c r="A455" s="34"/>
      <c r="B455" s="32"/>
      <c r="C455" s="32"/>
      <c r="D455" s="521"/>
      <c r="E455" s="464"/>
      <c r="F455" s="565"/>
      <c r="G455" s="500"/>
      <c r="H455" s="564"/>
      <c r="I455" s="518"/>
      <c r="J455" s="13"/>
      <c r="K455" s="430"/>
      <c r="L455" s="431"/>
    </row>
    <row r="456" spans="1:12" x14ac:dyDescent="0.35">
      <c r="A456" s="488" t="s">
        <v>185</v>
      </c>
      <c r="B456" s="32"/>
      <c r="C456" s="32"/>
      <c r="D456" s="521"/>
      <c r="E456" s="464"/>
      <c r="F456" s="565"/>
      <c r="G456" s="500"/>
      <c r="H456" s="564"/>
      <c r="I456" s="518"/>
      <c r="J456" s="13"/>
      <c r="K456" s="430"/>
      <c r="L456" s="431"/>
    </row>
    <row r="457" spans="1:12" x14ac:dyDescent="0.35">
      <c r="A457" s="34" t="s">
        <v>19</v>
      </c>
      <c r="B457" s="32" t="s">
        <v>523</v>
      </c>
      <c r="C457" s="32" t="s">
        <v>485</v>
      </c>
      <c r="D457" s="521"/>
      <c r="E457" s="464"/>
      <c r="F457" s="565">
        <v>3.6650700000000001</v>
      </c>
      <c r="G457" s="500">
        <v>5726900</v>
      </c>
      <c r="H457" s="564">
        <v>13011</v>
      </c>
      <c r="I457" s="518"/>
      <c r="J457" s="13"/>
      <c r="K457" s="430"/>
      <c r="L457" s="431"/>
    </row>
    <row r="458" spans="1:12" x14ac:dyDescent="0.35">
      <c r="A458" s="34" t="s">
        <v>20</v>
      </c>
      <c r="B458" s="32" t="s">
        <v>524</v>
      </c>
      <c r="C458" s="32" t="s">
        <v>485</v>
      </c>
      <c r="D458" s="521"/>
      <c r="E458" s="464"/>
      <c r="F458" s="565">
        <v>4.4506899999999998</v>
      </c>
      <c r="G458" s="500">
        <v>5728380</v>
      </c>
      <c r="H458" s="564">
        <v>13012</v>
      </c>
      <c r="I458" s="518"/>
      <c r="J458" s="13"/>
      <c r="K458" s="430"/>
      <c r="L458" s="431"/>
    </row>
    <row r="459" spans="1:12" x14ac:dyDescent="0.35">
      <c r="A459" s="34" t="s">
        <v>21</v>
      </c>
      <c r="B459" s="32" t="s">
        <v>525</v>
      </c>
      <c r="C459" s="32" t="s">
        <v>485</v>
      </c>
      <c r="D459" s="521"/>
      <c r="E459" s="464"/>
      <c r="F459" s="565">
        <v>5.2376300000000002</v>
      </c>
      <c r="G459" s="500">
        <v>5729510</v>
      </c>
      <c r="H459" s="564">
        <v>13072</v>
      </c>
      <c r="I459" s="518"/>
      <c r="J459" s="13"/>
      <c r="K459" s="430"/>
      <c r="L459" s="431"/>
    </row>
    <row r="460" spans="1:12" x14ac:dyDescent="0.35">
      <c r="A460" s="34" t="s">
        <v>22</v>
      </c>
      <c r="B460" s="32" t="s">
        <v>526</v>
      </c>
      <c r="C460" s="32" t="s">
        <v>485</v>
      </c>
      <c r="D460" s="521"/>
      <c r="E460" s="464"/>
      <c r="F460" s="565">
        <v>8.2490600000000001</v>
      </c>
      <c r="G460" s="500">
        <v>5729780</v>
      </c>
      <c r="H460" s="564">
        <v>99012</v>
      </c>
      <c r="I460" s="518"/>
      <c r="J460" s="13"/>
      <c r="K460" s="430"/>
      <c r="L460" s="431"/>
    </row>
    <row r="461" spans="1:12" x14ac:dyDescent="0.35">
      <c r="A461" s="34" t="s">
        <v>18</v>
      </c>
      <c r="B461" s="32" t="s">
        <v>527</v>
      </c>
      <c r="C461" s="32" t="s">
        <v>479</v>
      </c>
      <c r="D461" s="521"/>
      <c r="E461" s="464"/>
      <c r="F461" s="565">
        <v>0</v>
      </c>
      <c r="G461" s="500">
        <v>6070030</v>
      </c>
      <c r="H461" s="564" t="s">
        <v>1532</v>
      </c>
      <c r="I461" s="518"/>
      <c r="J461" s="13"/>
      <c r="K461" s="430"/>
      <c r="L461" s="431"/>
    </row>
    <row r="462" spans="1:12" x14ac:dyDescent="0.35">
      <c r="A462" s="34" t="s">
        <v>73</v>
      </c>
      <c r="B462" s="32" t="s">
        <v>528</v>
      </c>
      <c r="C462" s="32" t="s">
        <v>479</v>
      </c>
      <c r="D462" s="521"/>
      <c r="E462" s="464"/>
      <c r="F462" s="565">
        <v>1.9273499999999999</v>
      </c>
      <c r="G462" s="500">
        <v>6070200</v>
      </c>
      <c r="H462" s="564">
        <v>13015</v>
      </c>
      <c r="I462" s="518"/>
      <c r="J462" s="13"/>
      <c r="K462" s="430"/>
      <c r="L462" s="431"/>
    </row>
    <row r="463" spans="1:12" x14ac:dyDescent="0.35">
      <c r="A463" s="34"/>
      <c r="B463" s="32"/>
      <c r="C463" s="32"/>
      <c r="D463" s="521"/>
      <c r="E463" s="464"/>
      <c r="F463" s="565"/>
      <c r="G463" s="500"/>
      <c r="H463" s="564"/>
      <c r="I463" s="518"/>
      <c r="J463" s="13"/>
      <c r="K463" s="430"/>
      <c r="L463" s="431"/>
    </row>
    <row r="464" spans="1:12" x14ac:dyDescent="0.35">
      <c r="A464" s="34"/>
      <c r="B464" s="32"/>
      <c r="C464" s="32"/>
      <c r="D464" s="521"/>
      <c r="E464" s="464"/>
      <c r="F464" s="565"/>
      <c r="G464" s="500"/>
      <c r="H464" s="564"/>
      <c r="I464" s="518"/>
      <c r="J464" s="13"/>
      <c r="K464" s="430"/>
      <c r="L464" s="431"/>
    </row>
    <row r="465" spans="1:12" x14ac:dyDescent="0.35">
      <c r="A465" s="488" t="s">
        <v>186</v>
      </c>
      <c r="B465" s="32"/>
      <c r="C465" s="32"/>
      <c r="D465" s="521"/>
      <c r="E465" s="464"/>
      <c r="F465" s="565"/>
      <c r="G465" s="500"/>
      <c r="H465" s="564"/>
      <c r="I465" s="518"/>
      <c r="J465" s="13"/>
      <c r="K465" s="430"/>
      <c r="L465" s="431"/>
    </row>
    <row r="466" spans="1:12" x14ac:dyDescent="0.35">
      <c r="A466" s="34" t="s">
        <v>23</v>
      </c>
      <c r="B466" s="32" t="s">
        <v>47</v>
      </c>
      <c r="C466" s="32" t="s">
        <v>577</v>
      </c>
      <c r="D466" s="521"/>
      <c r="E466" s="464"/>
      <c r="F466" s="565">
        <v>5.7865700000000002</v>
      </c>
      <c r="G466" s="500">
        <v>8860753</v>
      </c>
      <c r="H466" s="564">
        <v>210837</v>
      </c>
      <c r="I466" s="518"/>
      <c r="J466" s="13"/>
      <c r="K466" s="430"/>
      <c r="L466" s="431"/>
    </row>
    <row r="467" spans="1:12" x14ac:dyDescent="0.35">
      <c r="A467" s="34" t="s">
        <v>24</v>
      </c>
      <c r="B467" s="32" t="s">
        <v>47</v>
      </c>
      <c r="C467" s="32" t="s">
        <v>442</v>
      </c>
      <c r="D467" s="521"/>
      <c r="E467" s="464"/>
      <c r="F467" s="565">
        <v>5.7865700000000002</v>
      </c>
      <c r="G467" s="500">
        <v>5175821</v>
      </c>
      <c r="H467" s="564">
        <v>210838</v>
      </c>
      <c r="I467" s="518"/>
      <c r="J467" s="13"/>
      <c r="K467" s="430"/>
      <c r="L467" s="431"/>
    </row>
    <row r="468" spans="1:12" x14ac:dyDescent="0.35">
      <c r="A468" s="530" t="s">
        <v>25</v>
      </c>
      <c r="B468" s="32" t="s">
        <v>47</v>
      </c>
      <c r="C468" s="32" t="s">
        <v>468</v>
      </c>
      <c r="D468" s="521"/>
      <c r="E468" s="464"/>
      <c r="F468" s="565">
        <v>5.3911899999999999</v>
      </c>
      <c r="G468" s="528">
        <v>7446870</v>
      </c>
      <c r="H468" s="564">
        <v>210839</v>
      </c>
      <c r="I468" s="518"/>
      <c r="J468" s="13"/>
      <c r="K468" s="430"/>
      <c r="L468" s="431"/>
    </row>
    <row r="469" spans="1:12" x14ac:dyDescent="0.35">
      <c r="A469" s="484" t="s">
        <v>1455</v>
      </c>
      <c r="B469" s="33" t="s">
        <v>47</v>
      </c>
      <c r="C469" s="33" t="s">
        <v>1423</v>
      </c>
      <c r="D469" s="465"/>
      <c r="E469" s="464"/>
      <c r="F469" s="565">
        <v>29.99175</v>
      </c>
      <c r="G469" s="485">
        <v>1075138</v>
      </c>
      <c r="H469" s="564">
        <v>210836</v>
      </c>
      <c r="I469" s="531"/>
      <c r="J469" s="13"/>
      <c r="K469" s="430"/>
      <c r="L469" s="431"/>
    </row>
    <row r="470" spans="1:12" x14ac:dyDescent="0.35">
      <c r="A470" s="34" t="s">
        <v>26</v>
      </c>
      <c r="B470" s="32" t="s">
        <v>48</v>
      </c>
      <c r="C470" s="32" t="s">
        <v>577</v>
      </c>
      <c r="D470" s="521"/>
      <c r="E470" s="464"/>
      <c r="F470" s="565">
        <v>7.2901999999999996</v>
      </c>
      <c r="G470" s="504">
        <v>1652924</v>
      </c>
      <c r="H470" s="564">
        <v>210845</v>
      </c>
      <c r="I470" s="518"/>
      <c r="J470" s="13"/>
      <c r="K470" s="430"/>
      <c r="L470" s="431"/>
    </row>
    <row r="471" spans="1:12" x14ac:dyDescent="0.35">
      <c r="A471" s="34" t="s">
        <v>27</v>
      </c>
      <c r="B471" s="32" t="s">
        <v>48</v>
      </c>
      <c r="C471" s="32" t="s">
        <v>442</v>
      </c>
      <c r="D471" s="521"/>
      <c r="E471" s="464"/>
      <c r="F471" s="565">
        <v>7.2901999999999996</v>
      </c>
      <c r="G471" s="504">
        <v>1722284</v>
      </c>
      <c r="H471" s="564">
        <v>210846</v>
      </c>
      <c r="I471" s="518"/>
      <c r="J471" s="13"/>
      <c r="K471" s="430"/>
      <c r="L471" s="431"/>
    </row>
    <row r="472" spans="1:12" x14ac:dyDescent="0.35">
      <c r="A472" s="530" t="s">
        <v>28</v>
      </c>
      <c r="B472" s="32" t="s">
        <v>48</v>
      </c>
      <c r="C472" s="32" t="s">
        <v>468</v>
      </c>
      <c r="D472" s="521"/>
      <c r="E472" s="464"/>
      <c r="F472" s="565">
        <v>7.2901999999999996</v>
      </c>
      <c r="G472" s="528">
        <v>4099350</v>
      </c>
      <c r="H472" s="564">
        <v>210847</v>
      </c>
      <c r="I472" s="518"/>
      <c r="J472" s="13"/>
      <c r="K472" s="430"/>
      <c r="L472" s="431"/>
    </row>
    <row r="473" spans="1:12" x14ac:dyDescent="0.35">
      <c r="A473" s="484" t="s">
        <v>1456</v>
      </c>
      <c r="B473" s="33" t="s">
        <v>48</v>
      </c>
      <c r="C473" s="33" t="s">
        <v>1423</v>
      </c>
      <c r="D473" s="465"/>
      <c r="E473" s="464"/>
      <c r="F473" s="565">
        <v>33.944949999999999</v>
      </c>
      <c r="G473" s="485">
        <v>6644388</v>
      </c>
      <c r="H473" s="564">
        <v>210844</v>
      </c>
      <c r="I473" s="531"/>
      <c r="J473" s="13"/>
      <c r="K473" s="430"/>
      <c r="L473" s="431"/>
    </row>
    <row r="474" spans="1:12" x14ac:dyDescent="0.35">
      <c r="A474" s="34" t="s">
        <v>29</v>
      </c>
      <c r="B474" s="32" t="s">
        <v>49</v>
      </c>
      <c r="C474" s="32" t="s">
        <v>577</v>
      </c>
      <c r="D474" s="521"/>
      <c r="E474" s="464"/>
      <c r="F474" s="565">
        <v>10.70745</v>
      </c>
      <c r="G474" s="504">
        <v>8237194</v>
      </c>
      <c r="H474" s="564">
        <v>210849</v>
      </c>
      <c r="I474" s="518"/>
      <c r="J474" s="13"/>
      <c r="K474" s="430"/>
      <c r="L474" s="431"/>
    </row>
    <row r="475" spans="1:12" x14ac:dyDescent="0.35">
      <c r="A475" s="34" t="s">
        <v>30</v>
      </c>
      <c r="B475" s="32" t="s">
        <v>49</v>
      </c>
      <c r="C475" s="32" t="s">
        <v>442</v>
      </c>
      <c r="D475" s="521"/>
      <c r="E475" s="464"/>
      <c r="F475" s="565">
        <v>10.70745</v>
      </c>
      <c r="G475" s="504">
        <v>4052763</v>
      </c>
      <c r="H475" s="564">
        <v>210850</v>
      </c>
      <c r="I475" s="518"/>
      <c r="J475" s="13"/>
      <c r="K475" s="430"/>
      <c r="L475" s="431"/>
    </row>
    <row r="476" spans="1:12" x14ac:dyDescent="0.35">
      <c r="A476" s="530" t="s">
        <v>31</v>
      </c>
      <c r="B476" s="32" t="s">
        <v>49</v>
      </c>
      <c r="C476" s="32" t="s">
        <v>468</v>
      </c>
      <c r="D476" s="521"/>
      <c r="E476" s="464"/>
      <c r="F476" s="565">
        <v>10.70745</v>
      </c>
      <c r="G476" s="528">
        <v>7400313</v>
      </c>
      <c r="H476" s="564">
        <v>210851</v>
      </c>
      <c r="I476" s="518"/>
      <c r="J476" s="13"/>
      <c r="K476" s="430"/>
      <c r="L476" s="431"/>
    </row>
    <row r="477" spans="1:12" x14ac:dyDescent="0.35">
      <c r="A477" s="484" t="s">
        <v>1457</v>
      </c>
      <c r="B477" s="33" t="s">
        <v>49</v>
      </c>
      <c r="C477" s="33" t="s">
        <v>1423</v>
      </c>
      <c r="D477" s="465"/>
      <c r="E477" s="464"/>
      <c r="F477" s="565">
        <v>35.779029999999999</v>
      </c>
      <c r="G477" s="485">
        <v>6109145</v>
      </c>
      <c r="H477" s="564">
        <v>210848</v>
      </c>
      <c r="I477" s="531"/>
      <c r="J477" s="13"/>
      <c r="K477" s="430"/>
      <c r="L477" s="431"/>
    </row>
    <row r="478" spans="1:12" x14ac:dyDescent="0.35">
      <c r="A478" s="34" t="s">
        <v>44</v>
      </c>
      <c r="B478" s="32" t="s">
        <v>50</v>
      </c>
      <c r="C478" s="32" t="s">
        <v>577</v>
      </c>
      <c r="D478" s="521"/>
      <c r="E478" s="464"/>
      <c r="F478" s="565">
        <v>16.745570000000001</v>
      </c>
      <c r="G478" s="504">
        <v>8113610</v>
      </c>
      <c r="H478" s="564">
        <v>210943</v>
      </c>
      <c r="I478" s="518"/>
      <c r="J478" s="13"/>
      <c r="K478" s="430"/>
      <c r="L478" s="431"/>
    </row>
    <row r="479" spans="1:12" x14ac:dyDescent="0.35">
      <c r="A479" s="34" t="s">
        <v>45</v>
      </c>
      <c r="B479" s="32" t="s">
        <v>50</v>
      </c>
      <c r="C479" s="32" t="s">
        <v>442</v>
      </c>
      <c r="D479" s="521"/>
      <c r="E479" s="464"/>
      <c r="F479" s="565">
        <v>16.745570000000001</v>
      </c>
      <c r="G479" s="504">
        <v>8113612</v>
      </c>
      <c r="H479" s="564" t="s">
        <v>1551</v>
      </c>
      <c r="I479" s="518"/>
      <c r="J479" s="13"/>
      <c r="K479" s="430"/>
      <c r="L479" s="431"/>
    </row>
    <row r="480" spans="1:12" x14ac:dyDescent="0.35">
      <c r="A480" s="530" t="s">
        <v>46</v>
      </c>
      <c r="B480" s="32" t="s">
        <v>50</v>
      </c>
      <c r="C480" s="32" t="s">
        <v>468</v>
      </c>
      <c r="D480" s="521"/>
      <c r="E480" s="464"/>
      <c r="F480" s="565">
        <v>16.745570000000001</v>
      </c>
      <c r="G480" s="528">
        <v>8113614</v>
      </c>
      <c r="H480" s="564" t="s">
        <v>1552</v>
      </c>
      <c r="I480" s="518"/>
      <c r="J480" s="13"/>
      <c r="K480" s="430"/>
      <c r="L480" s="431"/>
    </row>
    <row r="481" spans="1:12" x14ac:dyDescent="0.35">
      <c r="A481" s="484" t="s">
        <v>1458</v>
      </c>
      <c r="B481" s="33" t="s">
        <v>50</v>
      </c>
      <c r="C481" s="33" t="s">
        <v>1423</v>
      </c>
      <c r="D481" s="465"/>
      <c r="E481" s="464"/>
      <c r="F481" s="565">
        <v>37.812759999999997</v>
      </c>
      <c r="G481" s="485">
        <v>8405350</v>
      </c>
      <c r="H481" s="564">
        <v>288524</v>
      </c>
      <c r="I481" s="531"/>
      <c r="J481" s="13"/>
      <c r="K481" s="430"/>
      <c r="L481" s="431"/>
    </row>
    <row r="482" spans="1:12" x14ac:dyDescent="0.35">
      <c r="A482" s="34"/>
      <c r="B482" s="32"/>
      <c r="C482" s="32"/>
      <c r="D482" s="521"/>
      <c r="E482" s="464"/>
      <c r="F482" s="565"/>
      <c r="G482" s="500"/>
      <c r="H482" s="564"/>
      <c r="I482" s="518"/>
      <c r="J482" s="13"/>
      <c r="K482" s="430"/>
      <c r="L482" s="431"/>
    </row>
    <row r="483" spans="1:12" x14ac:dyDescent="0.35">
      <c r="A483" s="34" t="s">
        <v>32</v>
      </c>
      <c r="B483" s="32" t="s">
        <v>52</v>
      </c>
      <c r="C483" s="32" t="s">
        <v>554</v>
      </c>
      <c r="D483" s="521"/>
      <c r="E483" s="464"/>
      <c r="F483" s="565">
        <v>1.85033</v>
      </c>
      <c r="G483" s="500">
        <v>5716290</v>
      </c>
      <c r="H483" s="564">
        <v>210831</v>
      </c>
      <c r="I483" s="518"/>
      <c r="J483" s="13"/>
      <c r="K483" s="430"/>
      <c r="L483" s="431"/>
    </row>
    <row r="484" spans="1:12" x14ac:dyDescent="0.35">
      <c r="A484" s="34" t="s">
        <v>33</v>
      </c>
      <c r="B484" s="32" t="s">
        <v>52</v>
      </c>
      <c r="C484" s="32" t="s">
        <v>442</v>
      </c>
      <c r="D484" s="521"/>
      <c r="E484" s="464"/>
      <c r="F484" s="565">
        <v>1.85033</v>
      </c>
      <c r="G484" s="500">
        <v>5738648</v>
      </c>
      <c r="H484" s="564">
        <v>210830</v>
      </c>
      <c r="I484" s="518"/>
      <c r="J484" s="13"/>
      <c r="K484" s="430"/>
      <c r="L484" s="431"/>
    </row>
    <row r="485" spans="1:12" x14ac:dyDescent="0.35">
      <c r="A485" s="530" t="s">
        <v>34</v>
      </c>
      <c r="B485" s="32" t="s">
        <v>52</v>
      </c>
      <c r="C485" s="32" t="s">
        <v>702</v>
      </c>
      <c r="D485" s="521" t="s">
        <v>1341</v>
      </c>
      <c r="E485" s="464"/>
      <c r="F485" s="565">
        <v>1.85033</v>
      </c>
      <c r="G485" s="528">
        <v>3961716</v>
      </c>
      <c r="H485" s="564">
        <v>210829</v>
      </c>
      <c r="I485" s="518"/>
      <c r="J485" s="13"/>
      <c r="K485" s="430"/>
      <c r="L485" s="431"/>
    </row>
    <row r="486" spans="1:12" x14ac:dyDescent="0.35">
      <c r="A486" s="484" t="s">
        <v>1459</v>
      </c>
      <c r="B486" s="33" t="s">
        <v>52</v>
      </c>
      <c r="C486" s="33" t="s">
        <v>479</v>
      </c>
      <c r="D486" s="465" t="s">
        <v>1341</v>
      </c>
      <c r="E486" s="464"/>
      <c r="F486" s="565">
        <v>1.85033</v>
      </c>
      <c r="G486" s="485">
        <v>4919907</v>
      </c>
      <c r="H486" s="564">
        <v>210828</v>
      </c>
      <c r="I486" s="531"/>
      <c r="J486" s="13"/>
      <c r="K486" s="430"/>
      <c r="L486" s="431"/>
    </row>
    <row r="487" spans="1:12" x14ac:dyDescent="0.35">
      <c r="A487" s="34" t="s">
        <v>35</v>
      </c>
      <c r="B487" s="32" t="s">
        <v>38</v>
      </c>
      <c r="C487" s="32" t="s">
        <v>554</v>
      </c>
      <c r="D487" s="521"/>
      <c r="E487" s="464"/>
      <c r="F487" s="565">
        <v>1.70871</v>
      </c>
      <c r="G487" s="500">
        <v>1332165</v>
      </c>
      <c r="H487" s="564">
        <v>210827</v>
      </c>
      <c r="I487" s="518"/>
      <c r="K487" s="430"/>
      <c r="L487" s="431"/>
    </row>
    <row r="488" spans="1:12" x14ac:dyDescent="0.35">
      <c r="A488" s="34" t="s">
        <v>36</v>
      </c>
      <c r="B488" s="32" t="s">
        <v>38</v>
      </c>
      <c r="C488" s="32" t="s">
        <v>442</v>
      </c>
      <c r="D488" s="521"/>
      <c r="E488" s="464"/>
      <c r="F488" s="565">
        <v>1.70871</v>
      </c>
      <c r="G488" s="500">
        <v>5081757</v>
      </c>
      <c r="H488" s="564">
        <v>210826</v>
      </c>
      <c r="I488" s="518"/>
      <c r="J488" s="13"/>
      <c r="K488" s="430"/>
      <c r="L488" s="431"/>
    </row>
    <row r="489" spans="1:12" x14ac:dyDescent="0.35">
      <c r="A489" s="530" t="s">
        <v>37</v>
      </c>
      <c r="B489" s="32" t="s">
        <v>38</v>
      </c>
      <c r="C489" s="32" t="s">
        <v>702</v>
      </c>
      <c r="D489" s="521" t="s">
        <v>1341</v>
      </c>
      <c r="E489" s="464"/>
      <c r="F489" s="565">
        <v>1.5962499999999999</v>
      </c>
      <c r="G489" s="528">
        <v>4753918</v>
      </c>
      <c r="H489" s="564">
        <v>210825</v>
      </c>
      <c r="I489" s="518"/>
      <c r="J489" s="13"/>
      <c r="K489" s="430"/>
      <c r="L489" s="431"/>
    </row>
    <row r="490" spans="1:12" x14ac:dyDescent="0.35">
      <c r="A490" s="484" t="s">
        <v>1460</v>
      </c>
      <c r="B490" s="33" t="s">
        <v>38</v>
      </c>
      <c r="C490" s="33" t="s">
        <v>479</v>
      </c>
      <c r="D490" s="465" t="s">
        <v>1341</v>
      </c>
      <c r="E490" s="464"/>
      <c r="F490" s="565">
        <v>1.70871</v>
      </c>
      <c r="G490" s="485">
        <v>4109517</v>
      </c>
      <c r="H490" s="564">
        <v>210827</v>
      </c>
      <c r="I490" s="531"/>
      <c r="J490" s="13"/>
      <c r="K490" s="430"/>
      <c r="L490" s="431"/>
    </row>
    <row r="491" spans="1:12" x14ac:dyDescent="0.35">
      <c r="A491" s="34" t="s">
        <v>51</v>
      </c>
      <c r="B491" s="32" t="s">
        <v>151</v>
      </c>
      <c r="C491" s="32" t="s">
        <v>554</v>
      </c>
      <c r="D491" s="521"/>
      <c r="E491" s="464"/>
      <c r="F491" s="565">
        <v>1.85033</v>
      </c>
      <c r="G491" s="500">
        <v>8113856</v>
      </c>
      <c r="H491" s="564">
        <v>202582</v>
      </c>
      <c r="I491" s="518"/>
      <c r="J491" s="13"/>
      <c r="K491" s="430"/>
      <c r="L491" s="431"/>
    </row>
    <row r="492" spans="1:12" x14ac:dyDescent="0.35">
      <c r="A492" s="34" t="s">
        <v>59</v>
      </c>
      <c r="B492" s="32" t="s">
        <v>151</v>
      </c>
      <c r="C492" s="32" t="s">
        <v>442</v>
      </c>
      <c r="D492" s="521"/>
      <c r="E492" s="464"/>
      <c r="F492" s="565">
        <v>1.85033</v>
      </c>
      <c r="G492" s="500">
        <v>8113852</v>
      </c>
      <c r="H492" s="564" t="s">
        <v>1553</v>
      </c>
      <c r="I492" s="518"/>
      <c r="J492" s="13"/>
      <c r="K492" s="430"/>
      <c r="L492" s="431"/>
    </row>
    <row r="493" spans="1:12" x14ac:dyDescent="0.35">
      <c r="A493" s="530" t="s">
        <v>60</v>
      </c>
      <c r="B493" s="32" t="s">
        <v>151</v>
      </c>
      <c r="C493" s="32" t="s">
        <v>702</v>
      </c>
      <c r="D493" s="521"/>
      <c r="E493" s="464"/>
      <c r="F493" s="565">
        <v>1.85033</v>
      </c>
      <c r="G493" s="528">
        <v>8113854</v>
      </c>
      <c r="H493" s="564" t="s">
        <v>1554</v>
      </c>
      <c r="I493" s="518"/>
      <c r="J493" s="13"/>
      <c r="K493" s="430"/>
      <c r="L493" s="431"/>
    </row>
    <row r="494" spans="1:12" x14ac:dyDescent="0.35">
      <c r="A494" s="484" t="s">
        <v>1461</v>
      </c>
      <c r="B494" s="33" t="s">
        <v>151</v>
      </c>
      <c r="C494" s="33" t="s">
        <v>479</v>
      </c>
      <c r="D494" s="465" t="s">
        <v>1341</v>
      </c>
      <c r="E494" s="464"/>
      <c r="F494" s="565">
        <v>1.85033</v>
      </c>
      <c r="G494" s="485">
        <v>8113850</v>
      </c>
      <c r="H494" s="564" t="s">
        <v>1555</v>
      </c>
      <c r="I494" s="531"/>
      <c r="J494" s="13"/>
      <c r="K494" s="430"/>
      <c r="L494" s="431"/>
    </row>
    <row r="495" spans="1:12" x14ac:dyDescent="0.35">
      <c r="A495" s="34"/>
      <c r="B495" s="32"/>
      <c r="C495" s="32"/>
      <c r="D495" s="521"/>
      <c r="E495" s="464"/>
      <c r="F495" s="565"/>
      <c r="G495" s="500"/>
      <c r="H495" s="564"/>
      <c r="I495" s="518"/>
      <c r="J495" s="13"/>
      <c r="K495" s="430"/>
      <c r="L495" s="431"/>
    </row>
    <row r="496" spans="1:12" x14ac:dyDescent="0.35">
      <c r="A496" s="34" t="s">
        <v>55</v>
      </c>
      <c r="B496" s="32" t="s">
        <v>56</v>
      </c>
      <c r="C496" s="32" t="s">
        <v>577</v>
      </c>
      <c r="D496" s="521"/>
      <c r="E496" s="464"/>
      <c r="F496" s="565">
        <v>3.4353400000000001</v>
      </c>
      <c r="G496" s="500">
        <v>7952586</v>
      </c>
      <c r="H496" s="564">
        <v>221230</v>
      </c>
      <c r="I496" s="518"/>
      <c r="J496" s="13"/>
      <c r="K496" s="430"/>
      <c r="L496" s="431"/>
    </row>
    <row r="497" spans="1:12" x14ac:dyDescent="0.35">
      <c r="A497" s="34" t="s">
        <v>57</v>
      </c>
      <c r="B497" s="32" t="s">
        <v>56</v>
      </c>
      <c r="C497" s="32" t="s">
        <v>442</v>
      </c>
      <c r="D497" s="521"/>
      <c r="E497" s="464"/>
      <c r="F497" s="565">
        <v>3.4353400000000001</v>
      </c>
      <c r="G497" s="500">
        <v>7952582</v>
      </c>
      <c r="H497" s="564" t="s">
        <v>1556</v>
      </c>
      <c r="I497" s="518"/>
      <c r="J497" s="13"/>
      <c r="K497" s="430"/>
      <c r="L497" s="431"/>
    </row>
    <row r="498" spans="1:12" x14ac:dyDescent="0.35">
      <c r="A498" s="484" t="s">
        <v>58</v>
      </c>
      <c r="B498" s="33" t="s">
        <v>56</v>
      </c>
      <c r="C498" s="33" t="s">
        <v>468</v>
      </c>
      <c r="D498" s="465"/>
      <c r="E498" s="464"/>
      <c r="F498" s="565">
        <v>3.4353400000000001</v>
      </c>
      <c r="G498" s="486">
        <v>7952584</v>
      </c>
      <c r="H498" s="564" t="s">
        <v>1557</v>
      </c>
      <c r="I498" s="518"/>
      <c r="J498" s="13"/>
      <c r="K498" s="430"/>
      <c r="L498" s="431"/>
    </row>
    <row r="499" spans="1:12" x14ac:dyDescent="0.35">
      <c r="A499" s="484" t="s">
        <v>1462</v>
      </c>
      <c r="B499" s="33" t="s">
        <v>56</v>
      </c>
      <c r="C499" s="33" t="s">
        <v>1423</v>
      </c>
      <c r="D499" s="465"/>
      <c r="E499" s="464"/>
      <c r="F499" s="565">
        <v>6.6780099999999996</v>
      </c>
      <c r="G499" s="485">
        <v>5902025</v>
      </c>
      <c r="H499" s="564" t="s">
        <v>1558</v>
      </c>
      <c r="I499" s="531"/>
      <c r="J499" s="13"/>
      <c r="K499" s="430"/>
      <c r="L499" s="431"/>
    </row>
    <row r="500" spans="1:12" x14ac:dyDescent="0.35">
      <c r="A500" s="34"/>
      <c r="B500" s="32"/>
      <c r="C500" s="32"/>
      <c r="D500" s="521"/>
      <c r="E500" s="464"/>
      <c r="F500" s="565"/>
      <c r="G500" s="500"/>
      <c r="H500" s="564"/>
      <c r="I500" s="518"/>
      <c r="J500" s="13"/>
      <c r="K500" s="430"/>
      <c r="L500" s="431"/>
    </row>
    <row r="501" spans="1:12" x14ac:dyDescent="0.35">
      <c r="A501" s="34" t="s">
        <v>336</v>
      </c>
      <c r="B501" s="32" t="s">
        <v>61</v>
      </c>
      <c r="C501" s="32" t="s">
        <v>577</v>
      </c>
      <c r="D501" s="521"/>
      <c r="E501" s="464"/>
      <c r="F501" s="565">
        <v>4.6832500000000001</v>
      </c>
      <c r="G501" s="500">
        <v>9752780</v>
      </c>
      <c r="H501" s="564">
        <v>202534</v>
      </c>
      <c r="I501" s="518"/>
      <c r="J501" s="13"/>
      <c r="K501" s="430"/>
      <c r="L501" s="431"/>
    </row>
    <row r="502" spans="1:12" x14ac:dyDescent="0.35">
      <c r="A502" s="34" t="s">
        <v>337</v>
      </c>
      <c r="B502" s="32" t="s">
        <v>61</v>
      </c>
      <c r="C502" s="32" t="s">
        <v>442</v>
      </c>
      <c r="D502" s="521"/>
      <c r="E502" s="464"/>
      <c r="F502" s="565">
        <v>4.7534999999999998</v>
      </c>
      <c r="G502" s="500">
        <v>9752782</v>
      </c>
      <c r="H502" s="564">
        <v>202535</v>
      </c>
      <c r="I502" s="518"/>
      <c r="J502" s="13"/>
      <c r="K502" s="430"/>
      <c r="L502" s="431"/>
    </row>
    <row r="503" spans="1:12" x14ac:dyDescent="0.35">
      <c r="A503" s="34" t="s">
        <v>338</v>
      </c>
      <c r="B503" s="32" t="s">
        <v>61</v>
      </c>
      <c r="C503" s="32" t="s">
        <v>468</v>
      </c>
      <c r="D503" s="521" t="s">
        <v>1341</v>
      </c>
      <c r="E503" s="464"/>
      <c r="F503" s="565">
        <v>4.7534999999999998</v>
      </c>
      <c r="G503" s="500">
        <v>9752784</v>
      </c>
      <c r="H503" s="564">
        <v>203109</v>
      </c>
      <c r="I503" s="518"/>
      <c r="J503" s="13"/>
      <c r="K503" s="430"/>
      <c r="L503" s="431"/>
    </row>
    <row r="504" spans="1:12" x14ac:dyDescent="0.35">
      <c r="A504" s="484" t="s">
        <v>1463</v>
      </c>
      <c r="B504" s="33" t="s">
        <v>61</v>
      </c>
      <c r="C504" s="33" t="s">
        <v>1423</v>
      </c>
      <c r="D504" s="465" t="s">
        <v>1341</v>
      </c>
      <c r="E504" s="464"/>
      <c r="F504" s="565">
        <v>0</v>
      </c>
      <c r="G504" s="485">
        <v>3013881</v>
      </c>
      <c r="H504" s="564" t="s">
        <v>1532</v>
      </c>
      <c r="I504" s="531"/>
      <c r="J504" s="13"/>
      <c r="K504" s="430"/>
      <c r="L504" s="431"/>
    </row>
    <row r="505" spans="1:12" x14ac:dyDescent="0.35">
      <c r="A505" s="34"/>
      <c r="B505" s="32"/>
      <c r="C505" s="32"/>
      <c r="D505" s="521"/>
      <c r="E505" s="464"/>
      <c r="F505" s="565"/>
      <c r="G505" s="500"/>
      <c r="H505" s="564"/>
      <c r="I505" s="518"/>
      <c r="J505" s="13"/>
      <c r="K505" s="430"/>
      <c r="L505" s="431"/>
    </row>
    <row r="506" spans="1:12" x14ac:dyDescent="0.35">
      <c r="A506" s="34" t="s">
        <v>63</v>
      </c>
      <c r="B506" s="32" t="s">
        <v>62</v>
      </c>
      <c r="C506" s="32" t="s">
        <v>554</v>
      </c>
      <c r="D506" s="521"/>
      <c r="E506" s="464"/>
      <c r="F506" s="565">
        <v>1.4808699999999999</v>
      </c>
      <c r="G506" s="500">
        <v>6586948</v>
      </c>
      <c r="H506" s="564">
        <v>229192</v>
      </c>
      <c r="I506" s="518"/>
      <c r="J506" s="13"/>
      <c r="K506" s="430"/>
      <c r="L506" s="431"/>
    </row>
    <row r="507" spans="1:12" x14ac:dyDescent="0.35">
      <c r="A507" s="34" t="s">
        <v>64</v>
      </c>
      <c r="B507" s="32" t="s">
        <v>62</v>
      </c>
      <c r="C507" s="32" t="s">
        <v>442</v>
      </c>
      <c r="D507" s="521"/>
      <c r="E507" s="464"/>
      <c r="F507" s="565">
        <v>1.4808699999999999</v>
      </c>
      <c r="G507" s="500">
        <v>6960088</v>
      </c>
      <c r="H507" s="564">
        <v>229193</v>
      </c>
      <c r="I507" s="518"/>
      <c r="J507" s="13"/>
      <c r="K507" s="430"/>
      <c r="L507" s="431"/>
    </row>
    <row r="508" spans="1:12" x14ac:dyDescent="0.35">
      <c r="A508" s="484" t="s">
        <v>65</v>
      </c>
      <c r="B508" s="33" t="s">
        <v>62</v>
      </c>
      <c r="C508" s="33" t="s">
        <v>702</v>
      </c>
      <c r="D508" s="465" t="s">
        <v>1341</v>
      </c>
      <c r="E508" s="464"/>
      <c r="F508" s="565">
        <v>1.3315900000000001</v>
      </c>
      <c r="G508" s="486">
        <v>1344661</v>
      </c>
      <c r="H508" s="564">
        <v>288439</v>
      </c>
      <c r="I508" s="518"/>
      <c r="K508" s="430"/>
      <c r="L508" s="431"/>
    </row>
    <row r="509" spans="1:12" x14ac:dyDescent="0.35">
      <c r="A509" s="484" t="s">
        <v>1464</v>
      </c>
      <c r="B509" s="33" t="s">
        <v>62</v>
      </c>
      <c r="C509" s="33" t="s">
        <v>479</v>
      </c>
      <c r="D509" s="465" t="s">
        <v>1341</v>
      </c>
      <c r="E509" s="464"/>
      <c r="F509" s="565">
        <v>1.4808699999999999</v>
      </c>
      <c r="G509" s="485">
        <v>5065069</v>
      </c>
      <c r="H509" s="564">
        <v>229192</v>
      </c>
      <c r="I509" s="531"/>
      <c r="K509" s="430"/>
      <c r="L509" s="431"/>
    </row>
    <row r="510" spans="1:12" x14ac:dyDescent="0.35">
      <c r="A510" s="34"/>
      <c r="B510" s="32"/>
      <c r="C510" s="32"/>
      <c r="D510" s="521"/>
      <c r="E510" s="464"/>
      <c r="F510" s="565"/>
      <c r="G510" s="500"/>
      <c r="H510" s="564"/>
      <c r="I510" s="518"/>
      <c r="J510" s="13"/>
      <c r="K510" s="430"/>
      <c r="L510" s="431"/>
    </row>
    <row r="511" spans="1:12" x14ac:dyDescent="0.35">
      <c r="A511" s="34" t="s">
        <v>66</v>
      </c>
      <c r="B511" s="32" t="s">
        <v>67</v>
      </c>
      <c r="C511" s="32" t="s">
        <v>554</v>
      </c>
      <c r="D511" s="521"/>
      <c r="E511" s="464"/>
      <c r="F511" s="565">
        <v>0.84326000000000001</v>
      </c>
      <c r="G511" s="500">
        <v>9410686</v>
      </c>
      <c r="H511" s="564">
        <v>202538</v>
      </c>
      <c r="I511" s="518"/>
      <c r="J511" s="13"/>
      <c r="K511" s="430"/>
      <c r="L511" s="431"/>
    </row>
    <row r="512" spans="1:12" x14ac:dyDescent="0.35">
      <c r="A512" s="34" t="s">
        <v>68</v>
      </c>
      <c r="B512" s="32" t="s">
        <v>67</v>
      </c>
      <c r="C512" s="32" t="s">
        <v>442</v>
      </c>
      <c r="D512" s="521"/>
      <c r="E512" s="464"/>
      <c r="F512" s="565">
        <v>0.84326000000000001</v>
      </c>
      <c r="G512" s="500">
        <v>9410682</v>
      </c>
      <c r="H512" s="564">
        <v>202539</v>
      </c>
      <c r="I512" s="518"/>
      <c r="J512" s="13"/>
      <c r="K512" s="430"/>
      <c r="L512" s="431"/>
    </row>
    <row r="513" spans="1:12" x14ac:dyDescent="0.35">
      <c r="A513" s="484" t="s">
        <v>69</v>
      </c>
      <c r="B513" s="33" t="s">
        <v>67</v>
      </c>
      <c r="C513" s="33" t="s">
        <v>702</v>
      </c>
      <c r="D513" s="465" t="s">
        <v>1341</v>
      </c>
      <c r="E513" s="464"/>
      <c r="F513" s="565">
        <v>0.84326000000000001</v>
      </c>
      <c r="G513" s="486">
        <v>9410684</v>
      </c>
      <c r="H513" s="564">
        <v>203116</v>
      </c>
      <c r="I513" s="518"/>
      <c r="J513" s="13"/>
      <c r="K513" s="430"/>
      <c r="L513" s="431"/>
    </row>
    <row r="514" spans="1:12" x14ac:dyDescent="0.35">
      <c r="A514" s="484" t="s">
        <v>1465</v>
      </c>
      <c r="B514" s="33" t="s">
        <v>67</v>
      </c>
      <c r="C514" s="33" t="s">
        <v>479</v>
      </c>
      <c r="D514" s="465" t="s">
        <v>1341</v>
      </c>
      <c r="E514" s="464"/>
      <c r="F514" s="565">
        <v>0.75824999999999998</v>
      </c>
      <c r="G514" s="485">
        <v>9410680</v>
      </c>
      <c r="H514" s="564">
        <v>203203</v>
      </c>
      <c r="I514" s="518"/>
      <c r="J514" s="13"/>
      <c r="K514" s="430"/>
      <c r="L514" s="431"/>
    </row>
    <row r="515" spans="1:12" x14ac:dyDescent="0.35">
      <c r="A515" s="34"/>
      <c r="B515" s="32"/>
      <c r="C515" s="32"/>
      <c r="D515" s="521"/>
      <c r="E515" s="464"/>
      <c r="F515" s="565"/>
      <c r="G515" s="500"/>
      <c r="H515" s="564"/>
      <c r="I515" s="518"/>
      <c r="J515" s="13"/>
      <c r="K515" s="430"/>
      <c r="L515" s="431"/>
    </row>
    <row r="516" spans="1:12" x14ac:dyDescent="0.35">
      <c r="A516" s="34"/>
      <c r="B516" s="32"/>
      <c r="C516" s="32"/>
      <c r="D516" s="521"/>
      <c r="E516" s="464"/>
      <c r="F516" s="565"/>
      <c r="G516" s="500"/>
      <c r="H516" s="564"/>
      <c r="I516" s="518"/>
      <c r="J516" s="13"/>
      <c r="K516" s="430"/>
      <c r="L516" s="431"/>
    </row>
    <row r="517" spans="1:12" x14ac:dyDescent="0.35">
      <c r="A517" s="488" t="s">
        <v>187</v>
      </c>
      <c r="B517" s="32"/>
      <c r="C517" s="32"/>
      <c r="D517" s="521"/>
      <c r="E517" s="464"/>
      <c r="F517" s="565"/>
      <c r="G517" s="487"/>
      <c r="H517" s="564"/>
      <c r="I517" s="518"/>
      <c r="J517" s="13"/>
      <c r="K517" s="430"/>
      <c r="L517" s="431"/>
    </row>
    <row r="518" spans="1:12" x14ac:dyDescent="0.35">
      <c r="A518" s="34" t="s">
        <v>1336</v>
      </c>
      <c r="B518" s="32" t="s">
        <v>1339</v>
      </c>
      <c r="C518" s="32" t="s">
        <v>577</v>
      </c>
      <c r="D518" s="464" t="s">
        <v>1341</v>
      </c>
      <c r="E518" s="464"/>
      <c r="F518" s="565">
        <v>27.800640000000001</v>
      </c>
      <c r="G518" s="489">
        <v>8675730</v>
      </c>
      <c r="H518" s="564">
        <v>13163</v>
      </c>
      <c r="I518" s="518"/>
      <c r="J518" s="13"/>
      <c r="K518" s="430"/>
      <c r="L518" s="431"/>
    </row>
    <row r="519" spans="1:12" x14ac:dyDescent="0.35">
      <c r="A519" s="34" t="s">
        <v>1337</v>
      </c>
      <c r="B519" s="32" t="s">
        <v>1340</v>
      </c>
      <c r="C519" s="32" t="s">
        <v>442</v>
      </c>
      <c r="D519" s="464" t="s">
        <v>1341</v>
      </c>
      <c r="E519" s="464"/>
      <c r="F519" s="565">
        <v>0</v>
      </c>
      <c r="G519" s="489">
        <v>7934520</v>
      </c>
      <c r="H519" s="564" t="s">
        <v>1532</v>
      </c>
      <c r="I519" s="518"/>
      <c r="J519" s="13"/>
      <c r="K519" s="430"/>
      <c r="L519" s="431"/>
    </row>
    <row r="520" spans="1:12" x14ac:dyDescent="0.35">
      <c r="A520" s="530" t="s">
        <v>1338</v>
      </c>
      <c r="B520" s="32" t="s">
        <v>1340</v>
      </c>
      <c r="C520" s="32" t="s">
        <v>468</v>
      </c>
      <c r="D520" s="521" t="s">
        <v>1341</v>
      </c>
      <c r="E520" s="521"/>
      <c r="F520" s="565">
        <v>27.800640000000001</v>
      </c>
      <c r="G520" s="483">
        <v>7934524</v>
      </c>
      <c r="H520" s="564" t="s">
        <v>1559</v>
      </c>
      <c r="I520" s="518"/>
      <c r="J520" s="13"/>
      <c r="K520" s="430"/>
      <c r="L520" s="431"/>
    </row>
    <row r="521" spans="1:12" x14ac:dyDescent="0.35">
      <c r="A521" s="484" t="s">
        <v>1466</v>
      </c>
      <c r="B521" s="33" t="s">
        <v>1467</v>
      </c>
      <c r="C521" s="33" t="s">
        <v>759</v>
      </c>
      <c r="D521" s="465" t="s">
        <v>1341</v>
      </c>
      <c r="E521" s="465"/>
      <c r="F521" s="565">
        <v>62.334989999999998</v>
      </c>
      <c r="G521" s="485">
        <v>8438430</v>
      </c>
      <c r="H521" s="564" t="s">
        <v>1560</v>
      </c>
      <c r="I521" s="531"/>
      <c r="J521" s="13"/>
      <c r="K521" s="430"/>
      <c r="L521" s="431"/>
    </row>
    <row r="522" spans="1:12" x14ac:dyDescent="0.35">
      <c r="A522" s="34" t="s">
        <v>397</v>
      </c>
      <c r="B522" s="32" t="s">
        <v>495</v>
      </c>
      <c r="C522" s="32" t="s">
        <v>577</v>
      </c>
      <c r="D522" s="464"/>
      <c r="E522" s="464"/>
      <c r="F522" s="565">
        <v>28.674389999999999</v>
      </c>
      <c r="G522" s="37">
        <v>8679310</v>
      </c>
      <c r="H522" s="564">
        <v>13162</v>
      </c>
      <c r="I522" s="518"/>
      <c r="J522" s="13"/>
      <c r="K522" s="430"/>
      <c r="L522" s="431"/>
    </row>
    <row r="523" spans="1:12" x14ac:dyDescent="0.35">
      <c r="A523" s="34" t="s">
        <v>398</v>
      </c>
      <c r="B523" s="32" t="s">
        <v>496</v>
      </c>
      <c r="C523" s="32" t="s">
        <v>442</v>
      </c>
      <c r="D523" s="464"/>
      <c r="E523" s="464"/>
      <c r="F523" s="565">
        <v>28.674389999999999</v>
      </c>
      <c r="G523" s="37">
        <v>7934760</v>
      </c>
      <c r="H523" s="564">
        <v>13164</v>
      </c>
      <c r="I523" s="518"/>
      <c r="J523" s="13"/>
      <c r="K523" s="430"/>
      <c r="L523" s="431"/>
    </row>
    <row r="524" spans="1:12" x14ac:dyDescent="0.35">
      <c r="A524" s="484" t="s">
        <v>399</v>
      </c>
      <c r="B524" s="33" t="s">
        <v>496</v>
      </c>
      <c r="C524" s="33" t="s">
        <v>468</v>
      </c>
      <c r="D524" s="464"/>
      <c r="E524" s="464"/>
      <c r="F524" s="565">
        <v>28.674389999999999</v>
      </c>
      <c r="G524" s="486">
        <v>7934764</v>
      </c>
      <c r="H524" s="564" t="s">
        <v>1561</v>
      </c>
      <c r="I524" s="518"/>
      <c r="J524" s="13"/>
      <c r="K524" s="430"/>
      <c r="L524" s="431"/>
    </row>
    <row r="525" spans="1:12" x14ac:dyDescent="0.35">
      <c r="A525" s="484" t="s">
        <v>1468</v>
      </c>
      <c r="B525" s="33" t="s">
        <v>1469</v>
      </c>
      <c r="C525" s="33" t="s">
        <v>759</v>
      </c>
      <c r="D525" s="464" t="s">
        <v>1341</v>
      </c>
      <c r="E525" s="464"/>
      <c r="F525" s="565">
        <v>63.938249999999996</v>
      </c>
      <c r="G525" s="485">
        <v>8030380</v>
      </c>
      <c r="H525" s="564">
        <v>13161</v>
      </c>
      <c r="I525" s="531"/>
      <c r="J525" s="13"/>
      <c r="K525" s="430"/>
      <c r="L525" s="431"/>
    </row>
    <row r="526" spans="1:12" x14ac:dyDescent="0.35">
      <c r="A526" s="34" t="s">
        <v>1335</v>
      </c>
      <c r="B526" s="32" t="s">
        <v>1372</v>
      </c>
      <c r="C526" s="32" t="s">
        <v>577</v>
      </c>
      <c r="D526" s="464" t="s">
        <v>1341</v>
      </c>
      <c r="E526" s="464"/>
      <c r="F526" s="565">
        <v>30.234719999999999</v>
      </c>
      <c r="G526" s="489">
        <v>9149940</v>
      </c>
      <c r="H526" s="564">
        <v>14328</v>
      </c>
      <c r="I526" s="518"/>
      <c r="J526" s="13"/>
      <c r="K526" s="430"/>
      <c r="L526" s="431"/>
    </row>
    <row r="527" spans="1:12" x14ac:dyDescent="0.35">
      <c r="A527" s="34" t="s">
        <v>1342</v>
      </c>
      <c r="B527" s="32" t="s">
        <v>1373</v>
      </c>
      <c r="C527" s="32" t="s">
        <v>442</v>
      </c>
      <c r="D527" s="464" t="s">
        <v>1341</v>
      </c>
      <c r="E527" s="464"/>
      <c r="F527" s="565">
        <v>27.186979999999998</v>
      </c>
      <c r="G527" s="489">
        <v>7934830</v>
      </c>
      <c r="H527" s="564">
        <v>177050</v>
      </c>
      <c r="I527" s="518"/>
      <c r="J527" s="13"/>
      <c r="K527" s="430"/>
      <c r="L527" s="431"/>
    </row>
    <row r="528" spans="1:12" x14ac:dyDescent="0.35">
      <c r="A528" s="484" t="s">
        <v>1343</v>
      </c>
      <c r="B528" s="33" t="s">
        <v>1373</v>
      </c>
      <c r="C528" s="33" t="s">
        <v>468</v>
      </c>
      <c r="D528" s="465" t="s">
        <v>1341</v>
      </c>
      <c r="E528" s="465"/>
      <c r="F528" s="565">
        <v>27.186979999999998</v>
      </c>
      <c r="G528" s="485">
        <v>7934834</v>
      </c>
      <c r="H528" s="564">
        <v>177049</v>
      </c>
      <c r="I528" s="518"/>
      <c r="J528" s="13"/>
      <c r="K528" s="430"/>
      <c r="L528" s="431"/>
    </row>
    <row r="529" spans="1:12" x14ac:dyDescent="0.35">
      <c r="A529" s="484" t="s">
        <v>1470</v>
      </c>
      <c r="B529" s="33" t="s">
        <v>1471</v>
      </c>
      <c r="C529" s="33" t="s">
        <v>759</v>
      </c>
      <c r="D529" s="465" t="s">
        <v>1341</v>
      </c>
      <c r="E529" s="465"/>
      <c r="F529" s="565">
        <v>59.745359999999998</v>
      </c>
      <c r="G529" s="485">
        <v>8561640</v>
      </c>
      <c r="H529" s="564">
        <v>177048</v>
      </c>
      <c r="I529" s="531"/>
      <c r="J529" s="13"/>
      <c r="K529" s="430"/>
      <c r="L529" s="431"/>
    </row>
    <row r="530" spans="1:12" x14ac:dyDescent="0.35">
      <c r="A530" s="34" t="s">
        <v>1344</v>
      </c>
      <c r="B530" s="32" t="s">
        <v>1374</v>
      </c>
      <c r="C530" s="32" t="s">
        <v>577</v>
      </c>
      <c r="D530" s="464" t="s">
        <v>1341</v>
      </c>
      <c r="E530" s="464"/>
      <c r="F530" s="565">
        <v>28.590029999999999</v>
      </c>
      <c r="G530" s="489">
        <v>8832690</v>
      </c>
      <c r="H530" s="564">
        <v>203383</v>
      </c>
      <c r="I530" s="518"/>
      <c r="J530" s="13"/>
      <c r="K530" s="430"/>
      <c r="L530" s="431"/>
    </row>
    <row r="531" spans="1:12" x14ac:dyDescent="0.35">
      <c r="A531" s="34" t="s">
        <v>1345</v>
      </c>
      <c r="B531" s="32" t="s">
        <v>1375</v>
      </c>
      <c r="C531" s="32" t="s">
        <v>442</v>
      </c>
      <c r="D531" s="464" t="s">
        <v>1341</v>
      </c>
      <c r="E531" s="464"/>
      <c r="F531" s="565">
        <v>31.79505</v>
      </c>
      <c r="G531" s="489">
        <v>7934900</v>
      </c>
      <c r="H531" s="564" t="s">
        <v>1562</v>
      </c>
      <c r="I531" s="518"/>
      <c r="J531" s="13"/>
      <c r="K531" s="430"/>
      <c r="L531" s="431"/>
    </row>
    <row r="532" spans="1:12" x14ac:dyDescent="0.35">
      <c r="A532" s="484" t="s">
        <v>1346</v>
      </c>
      <c r="B532" s="33" t="s">
        <v>1375</v>
      </c>
      <c r="C532" s="33" t="s">
        <v>468</v>
      </c>
      <c r="D532" s="465" t="s">
        <v>1341</v>
      </c>
      <c r="E532" s="465"/>
      <c r="F532" s="565">
        <v>28.590029999999999</v>
      </c>
      <c r="G532" s="485">
        <v>7934904</v>
      </c>
      <c r="H532" s="564">
        <v>177052</v>
      </c>
      <c r="I532" s="518"/>
      <c r="J532" s="13"/>
      <c r="K532" s="430"/>
      <c r="L532" s="431"/>
    </row>
    <row r="533" spans="1:12" x14ac:dyDescent="0.35">
      <c r="A533" s="484" t="s">
        <v>1472</v>
      </c>
      <c r="B533" s="33" t="s">
        <v>1473</v>
      </c>
      <c r="C533" s="33" t="s">
        <v>759</v>
      </c>
      <c r="D533" s="465" t="s">
        <v>1341</v>
      </c>
      <c r="E533" s="465"/>
      <c r="F533" s="565">
        <v>61.99774</v>
      </c>
      <c r="G533" s="485">
        <v>8504830</v>
      </c>
      <c r="H533" s="564">
        <v>177051</v>
      </c>
      <c r="I533" s="531"/>
      <c r="J533" s="13"/>
      <c r="K533" s="430"/>
      <c r="L533" s="431"/>
    </row>
    <row r="534" spans="1:12" x14ac:dyDescent="0.35">
      <c r="A534" s="34" t="s">
        <v>1347</v>
      </c>
      <c r="B534" s="32" t="s">
        <v>1376</v>
      </c>
      <c r="C534" s="32" t="s">
        <v>577</v>
      </c>
      <c r="D534" s="464" t="s">
        <v>1341</v>
      </c>
      <c r="E534" s="464"/>
      <c r="F534" s="565">
        <v>33.355379999999997</v>
      </c>
      <c r="G534" s="489">
        <v>8675800</v>
      </c>
      <c r="H534" s="564">
        <v>14329</v>
      </c>
      <c r="I534" s="518"/>
      <c r="J534" s="13"/>
      <c r="K534" s="430"/>
      <c r="L534" s="431"/>
    </row>
    <row r="535" spans="1:12" x14ac:dyDescent="0.35">
      <c r="A535" s="34" t="s">
        <v>1348</v>
      </c>
      <c r="B535" s="32" t="s">
        <v>1377</v>
      </c>
      <c r="C535" s="32" t="s">
        <v>442</v>
      </c>
      <c r="D535" s="464" t="s">
        <v>1341</v>
      </c>
      <c r="E535" s="464"/>
      <c r="F535" s="565">
        <v>29.993069999999999</v>
      </c>
      <c r="G535" s="489">
        <v>7935060</v>
      </c>
      <c r="H535" s="564">
        <v>177055</v>
      </c>
      <c r="I535" s="518"/>
      <c r="J535" s="13"/>
      <c r="K535" s="430"/>
      <c r="L535" s="431"/>
    </row>
    <row r="536" spans="1:12" x14ac:dyDescent="0.35">
      <c r="A536" s="484" t="s">
        <v>1349</v>
      </c>
      <c r="B536" s="33" t="s">
        <v>1377</v>
      </c>
      <c r="C536" s="33" t="s">
        <v>468</v>
      </c>
      <c r="D536" s="465" t="s">
        <v>1341</v>
      </c>
      <c r="E536" s="465"/>
      <c r="F536" s="565">
        <v>0</v>
      </c>
      <c r="G536" s="485">
        <v>7935064</v>
      </c>
      <c r="H536" s="564" t="s">
        <v>1532</v>
      </c>
      <c r="I536" s="518"/>
      <c r="J536" s="13"/>
      <c r="K536" s="430"/>
      <c r="L536" s="431"/>
    </row>
    <row r="537" spans="1:12" x14ac:dyDescent="0.35">
      <c r="A537" s="484" t="s">
        <v>1474</v>
      </c>
      <c r="B537" s="33" t="s">
        <v>1475</v>
      </c>
      <c r="C537" s="33" t="s">
        <v>759</v>
      </c>
      <c r="D537" s="465" t="s">
        <v>1341</v>
      </c>
      <c r="E537" s="465"/>
      <c r="F537" s="565">
        <v>64.250129999999999</v>
      </c>
      <c r="G537" s="485">
        <v>8030450</v>
      </c>
      <c r="H537" s="564">
        <v>177053</v>
      </c>
      <c r="I537" s="518"/>
      <c r="J537" s="13"/>
      <c r="K537" s="430"/>
      <c r="L537" s="431"/>
    </row>
    <row r="538" spans="1:12" x14ac:dyDescent="0.35">
      <c r="A538" s="34"/>
      <c r="B538" s="32"/>
      <c r="C538" s="32"/>
      <c r="D538" s="521"/>
      <c r="E538" s="464"/>
      <c r="F538" s="565"/>
      <c r="G538" s="500"/>
      <c r="H538" s="564"/>
      <c r="I538" s="518"/>
      <c r="J538" s="13"/>
      <c r="K538" s="430"/>
      <c r="L538" s="431"/>
    </row>
    <row r="539" spans="1:12" x14ac:dyDescent="0.35">
      <c r="A539" s="488" t="s">
        <v>188</v>
      </c>
      <c r="B539" s="32"/>
      <c r="C539" s="32"/>
      <c r="D539" s="521"/>
      <c r="E539" s="464"/>
      <c r="F539" s="565"/>
      <c r="G539" s="500"/>
      <c r="H539" s="564"/>
      <c r="I539" s="518"/>
      <c r="J539" s="13"/>
      <c r="K539" s="430"/>
      <c r="L539" s="431"/>
    </row>
    <row r="540" spans="1:12" x14ac:dyDescent="0.35">
      <c r="A540" s="34" t="s">
        <v>396</v>
      </c>
      <c r="B540" s="32" t="s">
        <v>70</v>
      </c>
      <c r="C540" s="32" t="s">
        <v>485</v>
      </c>
      <c r="D540" s="521"/>
      <c r="E540" s="464"/>
      <c r="F540" s="565">
        <v>42.601520000000001</v>
      </c>
      <c r="G540" s="500">
        <v>4050440</v>
      </c>
      <c r="H540" s="564">
        <v>92080</v>
      </c>
      <c r="I540" s="518"/>
      <c r="J540" s="13"/>
      <c r="K540" s="430"/>
      <c r="L540" s="431"/>
    </row>
    <row r="541" spans="1:12" x14ac:dyDescent="0.35">
      <c r="A541" s="34"/>
      <c r="B541" s="32"/>
      <c r="C541" s="32"/>
      <c r="D541" s="521"/>
      <c r="E541" s="464"/>
      <c r="F541" s="565"/>
      <c r="G541" s="500"/>
      <c r="H541" s="564"/>
      <c r="I541" s="518"/>
      <c r="J541" s="13"/>
      <c r="K541" s="430"/>
      <c r="L541" s="431"/>
    </row>
    <row r="542" spans="1:12" x14ac:dyDescent="0.35">
      <c r="A542" s="505"/>
      <c r="B542" s="32"/>
      <c r="C542" s="32"/>
      <c r="D542" s="521"/>
      <c r="E542" s="464"/>
      <c r="F542" s="565"/>
      <c r="G542" s="500"/>
      <c r="H542" s="564"/>
      <c r="I542" s="518"/>
      <c r="J542" s="13"/>
      <c r="K542" s="430"/>
      <c r="L542" s="431"/>
    </row>
    <row r="543" spans="1:12" x14ac:dyDescent="0.35">
      <c r="A543" s="488" t="s">
        <v>189</v>
      </c>
      <c r="B543" s="32"/>
      <c r="C543" s="32"/>
      <c r="D543" s="521"/>
      <c r="E543" s="464"/>
      <c r="F543" s="565"/>
      <c r="G543" s="487"/>
      <c r="H543" s="564"/>
      <c r="I543" s="518"/>
      <c r="J543" s="13"/>
      <c r="K543" s="430"/>
      <c r="L543" s="431"/>
    </row>
    <row r="544" spans="1:12" x14ac:dyDescent="0.35">
      <c r="A544" s="34" t="s">
        <v>512</v>
      </c>
      <c r="B544" s="32" t="s">
        <v>746</v>
      </c>
      <c r="C544" s="32" t="s">
        <v>747</v>
      </c>
      <c r="D544" s="521"/>
      <c r="E544" s="464"/>
      <c r="F544" s="565">
        <v>38.501280000000001</v>
      </c>
      <c r="G544" s="37">
        <v>1366848</v>
      </c>
      <c r="H544" s="564">
        <v>227693</v>
      </c>
      <c r="I544" s="518"/>
      <c r="J544" s="13"/>
      <c r="K544" s="430"/>
      <c r="L544" s="431"/>
    </row>
    <row r="545" spans="1:12" x14ac:dyDescent="0.35">
      <c r="A545" s="34" t="s">
        <v>16</v>
      </c>
      <c r="B545" s="32" t="s">
        <v>513</v>
      </c>
      <c r="C545" s="32" t="s">
        <v>485</v>
      </c>
      <c r="D545" s="521"/>
      <c r="E545" s="464"/>
      <c r="F545" s="565">
        <v>23.186489999999999</v>
      </c>
      <c r="G545" s="37">
        <v>6484600</v>
      </c>
      <c r="H545" s="564">
        <v>92062</v>
      </c>
      <c r="I545" s="518"/>
      <c r="J545" s="13"/>
      <c r="K545" s="430"/>
      <c r="L545" s="431"/>
    </row>
    <row r="546" spans="1:12" x14ac:dyDescent="0.35">
      <c r="A546" s="34" t="s">
        <v>1381</v>
      </c>
      <c r="B546" s="32" t="s">
        <v>514</v>
      </c>
      <c r="C546" s="32" t="s">
        <v>759</v>
      </c>
      <c r="D546" s="521"/>
      <c r="E546" s="464"/>
      <c r="F546" s="565">
        <v>19.99335</v>
      </c>
      <c r="G546" s="37">
        <v>3852306</v>
      </c>
      <c r="H546" s="564">
        <v>92068</v>
      </c>
      <c r="I546" s="518"/>
      <c r="J546" s="13"/>
      <c r="K546" s="430"/>
      <c r="L546" s="431"/>
    </row>
    <row r="547" spans="1:12" x14ac:dyDescent="0.35">
      <c r="A547" s="34" t="s">
        <v>1382</v>
      </c>
      <c r="B547" s="32" t="s">
        <v>515</v>
      </c>
      <c r="C547" s="32" t="s">
        <v>759</v>
      </c>
      <c r="D547" s="521"/>
      <c r="E547" s="464"/>
      <c r="F547" s="565">
        <v>25.70551</v>
      </c>
      <c r="G547" s="37">
        <v>3189131</v>
      </c>
      <c r="H547" s="564">
        <v>92067</v>
      </c>
      <c r="I547" s="518"/>
      <c r="J547" s="13"/>
      <c r="K547" s="430"/>
      <c r="L547" s="431"/>
    </row>
    <row r="548" spans="1:12" x14ac:dyDescent="0.35">
      <c r="A548" s="34" t="s">
        <v>1383</v>
      </c>
      <c r="B548" s="32" t="s">
        <v>516</v>
      </c>
      <c r="C548" s="32" t="s">
        <v>759</v>
      </c>
      <c r="D548" s="521"/>
      <c r="E548" s="464"/>
      <c r="F548" s="565">
        <v>29.23723</v>
      </c>
      <c r="G548" s="37">
        <v>6278581</v>
      </c>
      <c r="H548" s="564">
        <v>92059</v>
      </c>
      <c r="I548" s="518"/>
      <c r="J548" s="13"/>
      <c r="K548" s="430"/>
      <c r="L548" s="431"/>
    </row>
    <row r="549" spans="1:12" x14ac:dyDescent="0.35">
      <c r="A549" s="31" t="s">
        <v>72</v>
      </c>
      <c r="B549" s="32" t="s">
        <v>517</v>
      </c>
      <c r="C549" s="32" t="s">
        <v>518</v>
      </c>
      <c r="D549" s="521"/>
      <c r="E549" s="464"/>
      <c r="F549" s="565">
        <v>37.472929999999998</v>
      </c>
      <c r="G549" s="506">
        <v>9068380</v>
      </c>
      <c r="H549" s="564">
        <v>92088</v>
      </c>
      <c r="I549" s="518"/>
      <c r="J549" s="13"/>
      <c r="K549" s="430"/>
      <c r="L549" s="431"/>
    </row>
    <row r="550" spans="1:12" x14ac:dyDescent="0.35">
      <c r="A550" s="31" t="s">
        <v>71</v>
      </c>
      <c r="B550" s="32" t="s">
        <v>519</v>
      </c>
      <c r="C550" s="32" t="s">
        <v>520</v>
      </c>
      <c r="D550" s="521"/>
      <c r="E550" s="464"/>
      <c r="F550" s="565">
        <v>35.130920000000003</v>
      </c>
      <c r="G550" s="506">
        <v>9068450</v>
      </c>
      <c r="H550" s="564">
        <v>92099</v>
      </c>
      <c r="I550" s="518"/>
      <c r="J550" s="13"/>
      <c r="K550" s="430"/>
      <c r="L550" s="431"/>
    </row>
    <row r="551" spans="1:12" x14ac:dyDescent="0.35">
      <c r="A551" s="31" t="s">
        <v>521</v>
      </c>
      <c r="B551" s="32" t="s">
        <v>522</v>
      </c>
      <c r="C551" s="32"/>
      <c r="D551" s="521"/>
      <c r="E551" s="464"/>
      <c r="F551" s="565">
        <v>228.88526999999999</v>
      </c>
      <c r="G551" s="506">
        <v>9411980</v>
      </c>
      <c r="H551" s="564">
        <v>92051</v>
      </c>
      <c r="I551" s="518"/>
      <c r="J551" s="13"/>
      <c r="K551" s="430"/>
      <c r="L551" s="431"/>
    </row>
    <row r="552" spans="1:12" x14ac:dyDescent="0.35">
      <c r="A552" s="34"/>
      <c r="B552" s="32"/>
      <c r="C552" s="32"/>
      <c r="D552" s="521"/>
      <c r="E552" s="464"/>
      <c r="F552" s="565"/>
      <c r="G552" s="487"/>
      <c r="H552" s="564"/>
      <c r="I552" s="518"/>
      <c r="J552" s="13"/>
      <c r="K552" s="430"/>
      <c r="L552" s="431"/>
    </row>
    <row r="553" spans="1:12" x14ac:dyDescent="0.35">
      <c r="A553" s="34"/>
      <c r="B553" s="32"/>
      <c r="C553" s="32"/>
      <c r="D553" s="521"/>
      <c r="E553" s="464"/>
      <c r="F553" s="565"/>
      <c r="G553" s="500"/>
      <c r="H553" s="564"/>
      <c r="I553" s="518"/>
      <c r="J553" s="13"/>
      <c r="K553" s="430"/>
      <c r="L553" s="431"/>
    </row>
    <row r="554" spans="1:12" x14ac:dyDescent="0.35">
      <c r="A554" s="34"/>
      <c r="B554" s="32"/>
      <c r="C554" s="32"/>
      <c r="D554" s="521"/>
      <c r="E554" s="464"/>
      <c r="F554" s="565"/>
      <c r="G554" s="487"/>
      <c r="H554" s="564"/>
      <c r="I554" s="518"/>
      <c r="J554" s="13"/>
      <c r="K554" s="430"/>
      <c r="L554" s="431"/>
    </row>
    <row r="555" spans="1:12" x14ac:dyDescent="0.35">
      <c r="A555" s="34"/>
      <c r="B555" s="32"/>
      <c r="C555" s="32"/>
      <c r="D555" s="521"/>
      <c r="E555" s="464"/>
      <c r="F555" s="565"/>
      <c r="G555" s="487"/>
      <c r="H555" s="564"/>
      <c r="I555" s="518"/>
      <c r="J555" s="13"/>
      <c r="K555" s="430"/>
      <c r="L555" s="431"/>
    </row>
    <row r="556" spans="1:12" x14ac:dyDescent="0.35">
      <c r="A556" s="34"/>
      <c r="B556" s="32"/>
      <c r="C556" s="32"/>
      <c r="D556" s="521"/>
      <c r="E556" s="464"/>
      <c r="F556" s="565"/>
      <c r="G556" s="487"/>
      <c r="H556" s="564"/>
      <c r="I556" s="518"/>
      <c r="J556" s="13"/>
      <c r="K556" s="430"/>
      <c r="L556" s="431"/>
    </row>
    <row r="557" spans="1:12" x14ac:dyDescent="0.35">
      <c r="A557" s="34"/>
      <c r="B557" s="32"/>
      <c r="C557" s="32"/>
      <c r="D557" s="521"/>
      <c r="E557" s="464"/>
      <c r="F557" s="565"/>
      <c r="G557" s="487"/>
      <c r="H557" s="564"/>
      <c r="I557" s="518"/>
      <c r="J557" s="13"/>
      <c r="K557" s="430"/>
      <c r="L557" s="431"/>
    </row>
    <row r="558" spans="1:12" x14ac:dyDescent="0.35">
      <c r="A558" s="34"/>
      <c r="B558" s="32"/>
      <c r="C558" s="32"/>
      <c r="D558" s="521"/>
      <c r="E558" s="464"/>
      <c r="F558" s="565"/>
      <c r="G558" s="487"/>
      <c r="H558" s="564"/>
      <c r="I558" s="518"/>
      <c r="J558" s="13"/>
      <c r="K558" s="430"/>
      <c r="L558" s="431"/>
    </row>
    <row r="559" spans="1:12" x14ac:dyDescent="0.35">
      <c r="A559" s="34"/>
      <c r="B559" s="32"/>
      <c r="C559" s="32"/>
      <c r="D559" s="521"/>
      <c r="E559" s="464"/>
      <c r="F559" s="565"/>
      <c r="G559" s="487"/>
      <c r="H559" s="564"/>
      <c r="I559" s="518"/>
      <c r="J559" s="13"/>
      <c r="K559" s="430"/>
      <c r="L559" s="431"/>
    </row>
    <row r="560" spans="1:12" x14ac:dyDescent="0.35">
      <c r="A560" s="34"/>
      <c r="B560" s="32"/>
      <c r="C560" s="32"/>
      <c r="D560" s="521"/>
      <c r="E560" s="464"/>
      <c r="F560" s="565"/>
      <c r="G560" s="487"/>
      <c r="H560" s="564"/>
      <c r="I560" s="518"/>
      <c r="J560" s="13"/>
      <c r="K560" s="430"/>
      <c r="L560" s="431"/>
    </row>
    <row r="561" spans="1:12" x14ac:dyDescent="0.35">
      <c r="A561" s="34"/>
      <c r="B561" s="32"/>
      <c r="C561" s="32"/>
      <c r="D561" s="521"/>
      <c r="E561" s="464"/>
      <c r="F561" s="565"/>
      <c r="G561" s="487"/>
      <c r="H561" s="564"/>
      <c r="I561" s="518"/>
      <c r="J561" s="13"/>
      <c r="K561" s="430"/>
      <c r="L561" s="431"/>
    </row>
    <row r="562" spans="1:12" x14ac:dyDescent="0.35">
      <c r="A562" s="507"/>
      <c r="B562" s="32"/>
      <c r="C562" s="32"/>
      <c r="D562" s="521"/>
      <c r="E562" s="464"/>
      <c r="F562" s="565"/>
      <c r="G562" s="487"/>
      <c r="H562" s="564"/>
      <c r="I562" s="518"/>
      <c r="J562" s="13"/>
      <c r="K562" s="430"/>
      <c r="L562" s="431"/>
    </row>
    <row r="563" spans="1:12" x14ac:dyDescent="0.35">
      <c r="A563" s="34"/>
      <c r="B563" s="32"/>
      <c r="C563" s="32"/>
      <c r="D563" s="521"/>
      <c r="E563" s="464"/>
      <c r="F563" s="565"/>
      <c r="G563" s="487"/>
      <c r="H563" s="564"/>
      <c r="I563" s="518"/>
      <c r="J563" s="13"/>
      <c r="K563" s="430"/>
      <c r="L563" s="431"/>
    </row>
    <row r="564" spans="1:12" x14ac:dyDescent="0.35">
      <c r="A564" s="34"/>
      <c r="B564" s="32"/>
      <c r="C564" s="32"/>
      <c r="D564" s="521"/>
      <c r="E564" s="464"/>
      <c r="F564" s="565"/>
      <c r="G564" s="487"/>
      <c r="H564" s="564"/>
      <c r="I564" s="518"/>
      <c r="J564" s="13"/>
      <c r="K564" s="430"/>
      <c r="L564" s="431"/>
    </row>
    <row r="565" spans="1:12" x14ac:dyDescent="0.35">
      <c r="A565" s="34"/>
      <c r="B565" s="32"/>
      <c r="C565" s="32"/>
      <c r="D565" s="521"/>
      <c r="E565" s="464"/>
      <c r="F565" s="565"/>
      <c r="G565" s="487"/>
      <c r="H565" s="564"/>
      <c r="I565" s="518"/>
      <c r="J565" s="13"/>
      <c r="K565" s="430"/>
      <c r="L565" s="431"/>
    </row>
    <row r="566" spans="1:12" x14ac:dyDescent="0.35">
      <c r="A566" s="34"/>
      <c r="B566" s="32"/>
      <c r="C566" s="32"/>
      <c r="D566" s="521"/>
      <c r="E566" s="464"/>
      <c r="F566" s="565"/>
      <c r="G566" s="487"/>
      <c r="H566" s="564"/>
      <c r="I566" s="518"/>
      <c r="J566" s="13"/>
      <c r="K566" s="430"/>
      <c r="L566" s="431"/>
    </row>
    <row r="567" spans="1:12" x14ac:dyDescent="0.35">
      <c r="A567" s="34"/>
      <c r="B567" s="32"/>
      <c r="C567" s="32"/>
      <c r="D567" s="521"/>
      <c r="E567" s="464"/>
      <c r="F567" s="565"/>
      <c r="G567" s="487"/>
      <c r="H567" s="564"/>
      <c r="I567" s="518"/>
      <c r="J567" s="13"/>
      <c r="K567" s="430"/>
      <c r="L567" s="431"/>
    </row>
    <row r="568" spans="1:12" x14ac:dyDescent="0.35">
      <c r="A568" s="34"/>
      <c r="B568" s="32"/>
      <c r="C568" s="32"/>
      <c r="D568" s="521"/>
      <c r="E568" s="464"/>
      <c r="F568" s="565"/>
      <c r="G568" s="487"/>
      <c r="H568" s="564"/>
      <c r="I568" s="518"/>
      <c r="J568" s="13"/>
      <c r="K568" s="430"/>
      <c r="L568" s="431"/>
    </row>
    <row r="569" spans="1:12" x14ac:dyDescent="0.35">
      <c r="A569" s="488" t="s">
        <v>190</v>
      </c>
      <c r="B569" s="32"/>
      <c r="C569" s="32"/>
      <c r="D569" s="521"/>
      <c r="E569" s="464"/>
      <c r="F569" s="565"/>
      <c r="G569" s="487"/>
      <c r="H569" s="564"/>
      <c r="I569" s="518"/>
      <c r="J569" s="13"/>
      <c r="K569" s="430"/>
      <c r="L569" s="431"/>
    </row>
    <row r="570" spans="1:12" x14ac:dyDescent="0.35">
      <c r="A570" s="492" t="s">
        <v>529</v>
      </c>
      <c r="B570" s="32" t="s">
        <v>530</v>
      </c>
      <c r="C570" s="32" t="s">
        <v>479</v>
      </c>
      <c r="D570" s="521"/>
      <c r="E570" s="467"/>
      <c r="F570" s="565">
        <v>0.69091000000000002</v>
      </c>
      <c r="G570" s="508">
        <v>7834990</v>
      </c>
      <c r="H570" s="564">
        <v>99131</v>
      </c>
      <c r="I570" s="518"/>
      <c r="J570" s="13"/>
      <c r="K570" s="430"/>
      <c r="L570" s="431"/>
    </row>
    <row r="571" spans="1:12" x14ac:dyDescent="0.35">
      <c r="A571" s="492" t="s">
        <v>531</v>
      </c>
      <c r="B571" s="32" t="s">
        <v>532</v>
      </c>
      <c r="C571" s="32" t="s">
        <v>479</v>
      </c>
      <c r="D571" s="521"/>
      <c r="E571" s="467"/>
      <c r="F571" s="565">
        <v>0.62067000000000005</v>
      </c>
      <c r="G571" s="508">
        <v>7402930</v>
      </c>
      <c r="H571" s="564">
        <v>99120</v>
      </c>
      <c r="I571" s="518"/>
      <c r="J571" s="22"/>
      <c r="K571" s="430"/>
      <c r="L571" s="431"/>
    </row>
    <row r="572" spans="1:12" x14ac:dyDescent="0.35">
      <c r="A572" s="492" t="s">
        <v>533</v>
      </c>
      <c r="B572" s="32" t="s">
        <v>1212</v>
      </c>
      <c r="C572" s="32" t="s">
        <v>479</v>
      </c>
      <c r="D572" s="521"/>
      <c r="E572" s="467"/>
      <c r="F572" s="565">
        <v>67.216899999999995</v>
      </c>
      <c r="G572" s="509">
        <v>6970029</v>
      </c>
      <c r="H572" s="564">
        <v>99100</v>
      </c>
      <c r="I572" s="518"/>
      <c r="J572" s="21"/>
      <c r="K572" s="430"/>
      <c r="L572" s="431"/>
    </row>
    <row r="573" spans="1:12" x14ac:dyDescent="0.35">
      <c r="A573" s="492" t="s">
        <v>534</v>
      </c>
      <c r="B573" s="32" t="s">
        <v>74</v>
      </c>
      <c r="C573" s="32" t="s">
        <v>479</v>
      </c>
      <c r="D573" s="521"/>
      <c r="E573" s="467"/>
      <c r="F573" s="565">
        <v>3.29522</v>
      </c>
      <c r="G573" s="508">
        <v>3061821</v>
      </c>
      <c r="H573" s="564">
        <v>99101</v>
      </c>
      <c r="I573" s="518"/>
      <c r="J573" s="13"/>
      <c r="K573" s="430"/>
      <c r="L573" s="431"/>
    </row>
    <row r="574" spans="1:12" x14ac:dyDescent="0.35">
      <c r="A574" s="492" t="s">
        <v>535</v>
      </c>
      <c r="B574" s="32" t="s">
        <v>75</v>
      </c>
      <c r="C574" s="32" t="s">
        <v>479</v>
      </c>
      <c r="D574" s="521"/>
      <c r="E574" s="467"/>
      <c r="F574" s="565">
        <v>4.1090900000000001</v>
      </c>
      <c r="G574" s="508">
        <v>9879558</v>
      </c>
      <c r="H574" s="564">
        <v>99102</v>
      </c>
      <c r="I574" s="518"/>
      <c r="J574" s="13"/>
      <c r="K574" s="430"/>
      <c r="L574" s="431"/>
    </row>
    <row r="575" spans="1:12" x14ac:dyDescent="0.35">
      <c r="A575" s="492" t="s">
        <v>536</v>
      </c>
      <c r="B575" s="32" t="s">
        <v>76</v>
      </c>
      <c r="C575" s="32" t="s">
        <v>479</v>
      </c>
      <c r="D575" s="521"/>
      <c r="E575" s="467"/>
      <c r="F575" s="565">
        <v>6.7205599999999999</v>
      </c>
      <c r="G575" s="508">
        <v>4805174</v>
      </c>
      <c r="H575" s="564">
        <v>99103</v>
      </c>
      <c r="I575" s="518"/>
      <c r="J575" s="13"/>
      <c r="K575" s="430"/>
      <c r="L575" s="431"/>
    </row>
    <row r="576" spans="1:12" x14ac:dyDescent="0.35">
      <c r="A576" s="492" t="s">
        <v>537</v>
      </c>
      <c r="B576" s="32" t="s">
        <v>77</v>
      </c>
      <c r="C576" s="32" t="s">
        <v>479</v>
      </c>
      <c r="D576" s="521"/>
      <c r="E576" s="467"/>
      <c r="F576" s="565">
        <v>13.40591</v>
      </c>
      <c r="G576" s="508">
        <v>1640683</v>
      </c>
      <c r="H576" s="564">
        <v>99104</v>
      </c>
      <c r="I576" s="518"/>
      <c r="J576" s="13"/>
      <c r="K576" s="430"/>
      <c r="L576" s="431"/>
    </row>
    <row r="577" spans="1:12" x14ac:dyDescent="0.35">
      <c r="A577" s="492" t="s">
        <v>572</v>
      </c>
      <c r="B577" s="32" t="s">
        <v>573</v>
      </c>
      <c r="C577" s="32" t="s">
        <v>479</v>
      </c>
      <c r="D577" s="521"/>
      <c r="E577" s="464"/>
      <c r="F577" s="565">
        <v>18.91206</v>
      </c>
      <c r="G577" s="508">
        <v>8010962</v>
      </c>
      <c r="H577" s="564">
        <v>99127</v>
      </c>
      <c r="I577" s="518"/>
      <c r="J577" s="13"/>
      <c r="K577" s="430"/>
      <c r="L577" s="431"/>
    </row>
    <row r="578" spans="1:12" x14ac:dyDescent="0.35">
      <c r="A578" s="492" t="s">
        <v>538</v>
      </c>
      <c r="B578" s="32" t="s">
        <v>539</v>
      </c>
      <c r="C578" s="32" t="s">
        <v>540</v>
      </c>
      <c r="D578" s="521"/>
      <c r="E578" s="467"/>
      <c r="F578" s="565">
        <v>0.75663000000000002</v>
      </c>
      <c r="G578" s="508">
        <v>7283231</v>
      </c>
      <c r="H578" s="564">
        <v>99105</v>
      </c>
      <c r="I578" s="518"/>
      <c r="J578" s="13"/>
      <c r="K578" s="430"/>
      <c r="L578" s="431"/>
    </row>
    <row r="579" spans="1:12" x14ac:dyDescent="0.35">
      <c r="A579" s="492" t="s">
        <v>541</v>
      </c>
      <c r="B579" s="32" t="s">
        <v>542</v>
      </c>
      <c r="C579" s="32" t="s">
        <v>543</v>
      </c>
      <c r="D579" s="521"/>
      <c r="E579" s="467"/>
      <c r="F579" s="565">
        <v>4.2158600000000002</v>
      </c>
      <c r="G579" s="508">
        <v>7288466</v>
      </c>
      <c r="H579" s="564">
        <v>99106</v>
      </c>
      <c r="I579" s="518"/>
      <c r="J579" s="13"/>
      <c r="K579" s="430"/>
      <c r="L579" s="431"/>
    </row>
    <row r="580" spans="1:12" x14ac:dyDescent="0.35">
      <c r="A580" s="492" t="s">
        <v>80</v>
      </c>
      <c r="B580" s="32" t="s">
        <v>81</v>
      </c>
      <c r="C580" s="32" t="s">
        <v>543</v>
      </c>
      <c r="D580" s="521"/>
      <c r="E580" s="467"/>
      <c r="F580" s="565">
        <v>5.8548999999999998</v>
      </c>
      <c r="G580" s="508">
        <v>8013626</v>
      </c>
      <c r="H580" s="564">
        <v>246077</v>
      </c>
      <c r="I580" s="518"/>
      <c r="J580" s="13"/>
      <c r="K580" s="430"/>
      <c r="L580" s="431"/>
    </row>
    <row r="581" spans="1:12" x14ac:dyDescent="0.35">
      <c r="A581" s="492" t="s">
        <v>544</v>
      </c>
      <c r="B581" s="32" t="s">
        <v>545</v>
      </c>
      <c r="C581" s="32" t="s">
        <v>543</v>
      </c>
      <c r="D581" s="521"/>
      <c r="E581" s="467"/>
      <c r="F581" s="565">
        <v>9.0636899999999994</v>
      </c>
      <c r="G581" s="508">
        <v>7288546</v>
      </c>
      <c r="H581" s="564">
        <v>99128</v>
      </c>
      <c r="I581" s="518"/>
      <c r="J581" s="13"/>
      <c r="K581" s="430"/>
      <c r="L581" s="431"/>
    </row>
    <row r="582" spans="1:12" x14ac:dyDescent="0.35">
      <c r="A582" s="492" t="s">
        <v>546</v>
      </c>
      <c r="B582" s="32" t="s">
        <v>547</v>
      </c>
      <c r="C582" s="32" t="s">
        <v>543</v>
      </c>
      <c r="D582" s="521"/>
      <c r="E582" s="467"/>
      <c r="F582" s="565">
        <v>10.234780000000001</v>
      </c>
      <c r="G582" s="508">
        <v>7361306</v>
      </c>
      <c r="H582" s="564">
        <v>99118</v>
      </c>
      <c r="I582" s="518"/>
      <c r="J582" s="13"/>
      <c r="K582" s="430"/>
      <c r="L582" s="431"/>
    </row>
    <row r="583" spans="1:12" x14ac:dyDescent="0.35">
      <c r="A583" s="492" t="s">
        <v>548</v>
      </c>
      <c r="B583" s="32" t="s">
        <v>549</v>
      </c>
      <c r="C583" s="32" t="s">
        <v>500</v>
      </c>
      <c r="D583" s="521"/>
      <c r="E583" s="467"/>
      <c r="F583" s="565">
        <v>26.267219999999998</v>
      </c>
      <c r="G583" s="508">
        <v>7550294</v>
      </c>
      <c r="H583" s="564">
        <v>99107</v>
      </c>
      <c r="I583" s="518"/>
      <c r="J583" s="13"/>
      <c r="K583" s="430"/>
      <c r="L583" s="431"/>
    </row>
    <row r="584" spans="1:12" x14ac:dyDescent="0.35">
      <c r="A584" s="492" t="s">
        <v>550</v>
      </c>
      <c r="B584" s="32" t="s">
        <v>551</v>
      </c>
      <c r="C584" s="32" t="s">
        <v>500</v>
      </c>
      <c r="D584" s="521"/>
      <c r="E584" s="467"/>
      <c r="F584" s="565">
        <v>6.3704900000000002</v>
      </c>
      <c r="G584" s="508">
        <v>7205784</v>
      </c>
      <c r="H584" s="564">
        <v>99108</v>
      </c>
      <c r="I584" s="518"/>
      <c r="J584" s="13"/>
      <c r="K584" s="430"/>
      <c r="L584" s="431"/>
    </row>
    <row r="585" spans="1:12" x14ac:dyDescent="0.35">
      <c r="A585" s="492" t="s">
        <v>1492</v>
      </c>
      <c r="B585" s="32" t="s">
        <v>1493</v>
      </c>
      <c r="C585" s="32" t="s">
        <v>500</v>
      </c>
      <c r="D585" s="521"/>
      <c r="E585" s="467"/>
      <c r="F585" s="565">
        <v>96.961060000000003</v>
      </c>
      <c r="G585" s="508">
        <v>5082891</v>
      </c>
      <c r="H585" s="564">
        <v>129576</v>
      </c>
      <c r="I585" s="518"/>
      <c r="J585" s="13"/>
      <c r="K585" s="430"/>
      <c r="L585" s="431"/>
    </row>
    <row r="586" spans="1:12" x14ac:dyDescent="0.35">
      <c r="A586" s="492" t="s">
        <v>78</v>
      </c>
      <c r="B586" s="32" t="s">
        <v>552</v>
      </c>
      <c r="C586" s="32" t="s">
        <v>479</v>
      </c>
      <c r="D586" s="521"/>
      <c r="E586" s="467"/>
      <c r="F586" s="565">
        <v>6.5576699999999999</v>
      </c>
      <c r="G586" s="508">
        <v>7282180</v>
      </c>
      <c r="H586" s="564">
        <v>991110</v>
      </c>
      <c r="I586" s="518"/>
      <c r="J586" s="13"/>
      <c r="K586" s="430"/>
      <c r="L586" s="431"/>
    </row>
    <row r="587" spans="1:12" x14ac:dyDescent="0.35">
      <c r="A587" s="492" t="s">
        <v>79</v>
      </c>
      <c r="B587" s="32" t="s">
        <v>553</v>
      </c>
      <c r="C587" s="32" t="s">
        <v>554</v>
      </c>
      <c r="D587" s="521"/>
      <c r="E587" s="467"/>
      <c r="F587" s="565">
        <v>3.5366300000000002</v>
      </c>
      <c r="G587" s="508">
        <v>9327076</v>
      </c>
      <c r="H587" s="564">
        <v>131344</v>
      </c>
      <c r="I587" s="518"/>
      <c r="J587" s="13"/>
      <c r="K587" s="430"/>
      <c r="L587" s="431"/>
    </row>
    <row r="588" spans="1:12" x14ac:dyDescent="0.35">
      <c r="A588" s="492" t="s">
        <v>555</v>
      </c>
      <c r="B588" s="32" t="s">
        <v>556</v>
      </c>
      <c r="C588" s="32" t="s">
        <v>500</v>
      </c>
      <c r="D588" s="521"/>
      <c r="E588" s="467"/>
      <c r="F588" s="565">
        <v>6.2567500000000003</v>
      </c>
      <c r="G588" s="508">
        <v>8820285</v>
      </c>
      <c r="H588" s="564">
        <v>132954</v>
      </c>
      <c r="I588" s="518"/>
      <c r="J588" s="13"/>
      <c r="K588" s="430"/>
      <c r="L588" s="431"/>
    </row>
    <row r="589" spans="1:12" x14ac:dyDescent="0.35">
      <c r="A589" s="484" t="s">
        <v>636</v>
      </c>
      <c r="B589" s="33" t="s">
        <v>557</v>
      </c>
      <c r="C589" s="33" t="s">
        <v>558</v>
      </c>
      <c r="D589" s="465"/>
      <c r="E589" s="464"/>
      <c r="F589" s="565">
        <v>34.334380000000003</v>
      </c>
      <c r="G589" s="486"/>
      <c r="H589" s="564"/>
      <c r="I589" s="518"/>
      <c r="J589" s="13"/>
      <c r="K589" s="430"/>
      <c r="L589" s="431"/>
    </row>
    <row r="590" spans="1:12" x14ac:dyDescent="0.35">
      <c r="A590" s="492" t="s">
        <v>635</v>
      </c>
      <c r="B590" s="32" t="s">
        <v>559</v>
      </c>
      <c r="C590" s="32" t="s">
        <v>558</v>
      </c>
      <c r="D590" s="521"/>
      <c r="E590" s="467"/>
      <c r="F590" s="565">
        <v>34.334380000000003</v>
      </c>
      <c r="G590" s="508">
        <v>7716441</v>
      </c>
      <c r="H590" s="564">
        <v>99125</v>
      </c>
      <c r="I590" s="518"/>
      <c r="J590" s="13"/>
      <c r="K590" s="430"/>
      <c r="L590" s="431"/>
    </row>
    <row r="591" spans="1:12" x14ac:dyDescent="0.35">
      <c r="A591" s="484" t="s">
        <v>637</v>
      </c>
      <c r="B591" s="33" t="s">
        <v>560</v>
      </c>
      <c r="C591" s="33" t="s">
        <v>558</v>
      </c>
      <c r="D591" s="465"/>
      <c r="E591" s="464"/>
      <c r="F591" s="565">
        <v>35.973990000000001</v>
      </c>
      <c r="G591" s="486"/>
      <c r="H591" s="564"/>
      <c r="I591" s="518"/>
      <c r="J591" s="13"/>
      <c r="K591" s="430"/>
      <c r="L591" s="431"/>
    </row>
    <row r="592" spans="1:12" x14ac:dyDescent="0.35">
      <c r="A592" s="492" t="s">
        <v>638</v>
      </c>
      <c r="B592" s="32" t="s">
        <v>561</v>
      </c>
      <c r="C592" s="32" t="s">
        <v>558</v>
      </c>
      <c r="D592" s="521"/>
      <c r="E592" s="467"/>
      <c r="F592" s="565">
        <v>37.613590000000002</v>
      </c>
      <c r="G592" s="508">
        <v>7466401</v>
      </c>
      <c r="H592" s="564">
        <v>99115</v>
      </c>
      <c r="I592" s="518"/>
      <c r="J592" s="13"/>
      <c r="K592" s="430"/>
      <c r="L592" s="431"/>
    </row>
    <row r="593" spans="1:12" x14ac:dyDescent="0.35">
      <c r="A593" s="484" t="s">
        <v>639</v>
      </c>
      <c r="B593" s="33" t="s">
        <v>562</v>
      </c>
      <c r="C593" s="33" t="s">
        <v>558</v>
      </c>
      <c r="D593" s="465"/>
      <c r="E593" s="464"/>
      <c r="F593" s="565">
        <v>39.721339999999998</v>
      </c>
      <c r="G593" s="486"/>
      <c r="H593" s="564"/>
      <c r="I593" s="518"/>
      <c r="J593" s="13"/>
      <c r="K593" s="430"/>
      <c r="L593" s="431"/>
    </row>
    <row r="594" spans="1:12" x14ac:dyDescent="0.35">
      <c r="A594" s="492" t="s">
        <v>563</v>
      </c>
      <c r="B594" s="32" t="s">
        <v>564</v>
      </c>
      <c r="C594" s="32" t="s">
        <v>558</v>
      </c>
      <c r="D594" s="521"/>
      <c r="E594" s="467"/>
      <c r="F594" s="565">
        <v>40.049750000000003</v>
      </c>
      <c r="G594" s="508">
        <v>7287731</v>
      </c>
      <c r="H594" s="564">
        <v>99116</v>
      </c>
      <c r="I594" s="518"/>
      <c r="J594" s="13"/>
      <c r="K594" s="430"/>
      <c r="L594" s="431"/>
    </row>
    <row r="595" spans="1:12" x14ac:dyDescent="0.35">
      <c r="A595" s="492" t="s">
        <v>565</v>
      </c>
      <c r="B595" s="32" t="s">
        <v>566</v>
      </c>
      <c r="C595" s="32" t="s">
        <v>479</v>
      </c>
      <c r="D595" s="521"/>
      <c r="E595" s="467"/>
      <c r="F595" s="565">
        <v>2.8103199999999999</v>
      </c>
      <c r="G595" s="508">
        <v>7472980</v>
      </c>
      <c r="H595" s="564">
        <v>99126</v>
      </c>
      <c r="I595" s="518"/>
      <c r="J595" s="13"/>
      <c r="K595" s="430"/>
      <c r="L595" s="431"/>
    </row>
    <row r="596" spans="1:12" x14ac:dyDescent="0.35">
      <c r="A596" s="31" t="s">
        <v>567</v>
      </c>
      <c r="B596" s="32" t="s">
        <v>568</v>
      </c>
      <c r="C596" s="32" t="s">
        <v>558</v>
      </c>
      <c r="D596" s="521"/>
      <c r="E596" s="467"/>
      <c r="F596" s="565">
        <v>16.558009999999999</v>
      </c>
      <c r="G596" s="508">
        <v>7922191</v>
      </c>
      <c r="H596" s="564">
        <v>99124</v>
      </c>
      <c r="I596" s="518"/>
      <c r="J596" s="13"/>
      <c r="K596" s="430"/>
      <c r="L596" s="431"/>
    </row>
    <row r="597" spans="1:12" x14ac:dyDescent="0.35">
      <c r="A597" s="31" t="s">
        <v>569</v>
      </c>
      <c r="B597" s="32" t="s">
        <v>570</v>
      </c>
      <c r="C597" s="32" t="s">
        <v>479</v>
      </c>
      <c r="D597" s="521"/>
      <c r="E597" s="467"/>
      <c r="F597" s="565">
        <v>5.1992099999999999</v>
      </c>
      <c r="G597" s="508">
        <v>7867370</v>
      </c>
      <c r="H597" s="564">
        <v>99123</v>
      </c>
      <c r="I597" s="518"/>
      <c r="J597" s="13"/>
      <c r="K597" s="430"/>
      <c r="L597" s="431"/>
    </row>
    <row r="598" spans="1:12" x14ac:dyDescent="0.35">
      <c r="A598" s="31" t="s">
        <v>82</v>
      </c>
      <c r="B598" s="32" t="s">
        <v>83</v>
      </c>
      <c r="C598" s="32" t="s">
        <v>500</v>
      </c>
      <c r="D598" s="521"/>
      <c r="E598" s="467"/>
      <c r="F598" s="565">
        <v>110.51904999999999</v>
      </c>
      <c r="G598" s="508">
        <v>5202593</v>
      </c>
      <c r="H598" s="564">
        <v>159530</v>
      </c>
      <c r="I598" s="518"/>
      <c r="J598" s="13"/>
      <c r="K598" s="430"/>
      <c r="L598" s="431"/>
    </row>
    <row r="599" spans="1:12" x14ac:dyDescent="0.35">
      <c r="A599" s="492" t="s">
        <v>571</v>
      </c>
      <c r="B599" s="32" t="s">
        <v>1494</v>
      </c>
      <c r="C599" s="32" t="s">
        <v>479</v>
      </c>
      <c r="D599" s="521"/>
      <c r="E599" s="467"/>
      <c r="F599" s="565">
        <v>132.19479999999999</v>
      </c>
      <c r="G599" s="508">
        <v>8284875</v>
      </c>
      <c r="H599" s="564">
        <v>130787</v>
      </c>
      <c r="I599" s="518"/>
      <c r="J599" s="13"/>
      <c r="K599" s="430"/>
      <c r="L599" s="431"/>
    </row>
    <row r="600" spans="1:12" x14ac:dyDescent="0.35">
      <c r="A600" s="484" t="s">
        <v>748</v>
      </c>
      <c r="B600" s="33" t="s">
        <v>749</v>
      </c>
      <c r="C600" s="33" t="s">
        <v>479</v>
      </c>
      <c r="D600" s="465"/>
      <c r="E600" s="464"/>
      <c r="F600" s="565">
        <v>152.28022000000001</v>
      </c>
      <c r="G600" s="486">
        <v>7190296</v>
      </c>
      <c r="H600" s="564">
        <v>203255</v>
      </c>
      <c r="I600" s="518"/>
      <c r="J600" s="13"/>
      <c r="K600" s="430"/>
      <c r="L600" s="431"/>
    </row>
    <row r="601" spans="1:12" x14ac:dyDescent="0.35">
      <c r="A601" s="34" t="s">
        <v>750</v>
      </c>
      <c r="B601" s="32" t="s">
        <v>751</v>
      </c>
      <c r="C601" s="32" t="s">
        <v>752</v>
      </c>
      <c r="D601" s="521"/>
      <c r="E601" s="469"/>
      <c r="F601" s="565">
        <v>156.82427999999999</v>
      </c>
      <c r="G601" s="497">
        <v>4784397</v>
      </c>
      <c r="H601" s="564">
        <v>265145</v>
      </c>
      <c r="I601" s="518"/>
      <c r="J601" s="13"/>
      <c r="K601" s="430"/>
      <c r="L601" s="431"/>
    </row>
    <row r="602" spans="1:12" x14ac:dyDescent="0.35">
      <c r="A602" s="34" t="s">
        <v>753</v>
      </c>
      <c r="B602" s="32" t="s">
        <v>754</v>
      </c>
      <c r="C602" s="32" t="s">
        <v>752</v>
      </c>
      <c r="D602" s="521"/>
      <c r="E602" s="469"/>
      <c r="F602" s="565">
        <v>61.456240000000001</v>
      </c>
      <c r="G602" s="497">
        <v>1120793</v>
      </c>
      <c r="H602" s="564">
        <v>265355</v>
      </c>
      <c r="I602" s="518"/>
      <c r="J602" s="13"/>
      <c r="K602" s="430"/>
      <c r="L602" s="431"/>
    </row>
    <row r="603" spans="1:12" x14ac:dyDescent="0.35">
      <c r="A603" s="34" t="s">
        <v>755</v>
      </c>
      <c r="B603" s="32" t="s">
        <v>756</v>
      </c>
      <c r="C603" s="32" t="s">
        <v>757</v>
      </c>
      <c r="D603" s="521"/>
      <c r="E603" s="469"/>
      <c r="F603" s="565">
        <v>29.275839999999999</v>
      </c>
      <c r="G603" s="497">
        <v>8978398</v>
      </c>
      <c r="H603" s="564">
        <v>123015</v>
      </c>
      <c r="I603" s="518"/>
      <c r="J603" s="13"/>
      <c r="K603" s="430"/>
      <c r="L603" s="431"/>
    </row>
    <row r="604" spans="1:12" x14ac:dyDescent="0.35">
      <c r="A604" s="34" t="s">
        <v>758</v>
      </c>
      <c r="B604" s="32" t="s">
        <v>756</v>
      </c>
      <c r="C604" s="32" t="s">
        <v>736</v>
      </c>
      <c r="D604" s="521"/>
      <c r="E604" s="469"/>
      <c r="F604" s="565">
        <v>30.447120000000002</v>
      </c>
      <c r="G604" s="497">
        <v>8978392</v>
      </c>
      <c r="H604" s="564">
        <v>123016</v>
      </c>
      <c r="I604" s="518"/>
      <c r="J604" s="13"/>
      <c r="K604" s="430"/>
      <c r="L604" s="431"/>
    </row>
    <row r="605" spans="1:12" x14ac:dyDescent="0.35">
      <c r="A605" s="484"/>
      <c r="B605" s="33"/>
      <c r="C605" s="33"/>
      <c r="D605" s="465"/>
      <c r="E605" s="467"/>
      <c r="F605" s="565"/>
      <c r="G605" s="487"/>
      <c r="H605" s="564"/>
      <c r="I605" s="518"/>
      <c r="J605" s="13"/>
      <c r="K605" s="430"/>
      <c r="L605" s="431"/>
    </row>
    <row r="606" spans="1:12" x14ac:dyDescent="0.35">
      <c r="A606" s="484"/>
      <c r="B606" s="33"/>
      <c r="C606" s="33"/>
      <c r="D606" s="465"/>
      <c r="E606" s="467"/>
      <c r="F606" s="565"/>
      <c r="G606" s="487"/>
      <c r="H606" s="564"/>
      <c r="I606" s="518"/>
      <c r="J606" s="13"/>
      <c r="K606" s="430"/>
      <c r="L606" s="431"/>
    </row>
    <row r="607" spans="1:12" x14ac:dyDescent="0.35">
      <c r="A607" s="34"/>
      <c r="B607" s="32"/>
      <c r="C607" s="32"/>
      <c r="D607" s="521"/>
      <c r="E607" s="464"/>
      <c r="F607" s="565"/>
      <c r="G607" s="487"/>
      <c r="H607" s="564"/>
      <c r="I607" s="518"/>
      <c r="J607" s="13"/>
      <c r="K607" s="430"/>
      <c r="L607" s="431"/>
    </row>
    <row r="608" spans="1:12" x14ac:dyDescent="0.35">
      <c r="A608" s="510"/>
      <c r="B608" s="32"/>
      <c r="C608" s="32"/>
      <c r="D608" s="521"/>
      <c r="E608" s="464"/>
      <c r="F608" s="565"/>
      <c r="G608" s="487"/>
      <c r="H608" s="564"/>
      <c r="I608" s="518"/>
      <c r="J608" s="13"/>
      <c r="K608" s="430"/>
      <c r="L608" s="431"/>
    </row>
    <row r="609" spans="1:12" x14ac:dyDescent="0.35">
      <c r="A609" s="488" t="s">
        <v>191</v>
      </c>
      <c r="B609" s="32"/>
      <c r="C609" s="32"/>
      <c r="D609" s="521"/>
      <c r="E609" s="464"/>
      <c r="F609" s="565"/>
      <c r="G609" s="487"/>
      <c r="H609" s="564"/>
      <c r="I609" s="518"/>
      <c r="J609" s="13"/>
      <c r="K609" s="430"/>
      <c r="L609" s="431"/>
    </row>
    <row r="610" spans="1:12" x14ac:dyDescent="0.35">
      <c r="A610" s="34" t="s">
        <v>152</v>
      </c>
      <c r="B610" s="32" t="s">
        <v>574</v>
      </c>
      <c r="C610" s="32" t="s">
        <v>479</v>
      </c>
      <c r="D610" s="521"/>
      <c r="E610" s="464"/>
      <c r="F610" s="565">
        <v>1.3133999999999999</v>
      </c>
      <c r="G610" s="37">
        <v>6448980</v>
      </c>
      <c r="H610" s="564">
        <v>288080</v>
      </c>
      <c r="I610" s="518"/>
      <c r="J610" s="13"/>
      <c r="K610" s="430"/>
      <c r="L610" s="431"/>
    </row>
    <row r="611" spans="1:12" x14ac:dyDescent="0.35">
      <c r="A611" s="34" t="s">
        <v>575</v>
      </c>
      <c r="B611" s="32" t="s">
        <v>576</v>
      </c>
      <c r="C611" s="32" t="s">
        <v>577</v>
      </c>
      <c r="D611" s="521"/>
      <c r="E611" s="464"/>
      <c r="F611" s="565">
        <v>0.13461999999999999</v>
      </c>
      <c r="G611" s="37">
        <v>3283090</v>
      </c>
      <c r="H611" s="564">
        <v>12388</v>
      </c>
      <c r="I611" s="518"/>
      <c r="K611" s="430"/>
      <c r="L611" s="431"/>
    </row>
    <row r="612" spans="1:12" x14ac:dyDescent="0.35">
      <c r="A612" s="34" t="s">
        <v>1484</v>
      </c>
      <c r="B612" s="32" t="s">
        <v>1485</v>
      </c>
      <c r="C612" s="32" t="s">
        <v>479</v>
      </c>
      <c r="D612" s="521" t="s">
        <v>1341</v>
      </c>
      <c r="E612" s="464"/>
      <c r="F612" s="565">
        <v>19.826840000000001</v>
      </c>
      <c r="G612" s="37">
        <v>4320500</v>
      </c>
      <c r="H612" s="564">
        <v>176798</v>
      </c>
      <c r="I612" s="559"/>
      <c r="J612" s="13"/>
      <c r="K612" s="430"/>
      <c r="L612" s="431"/>
    </row>
    <row r="613" spans="1:12" x14ac:dyDescent="0.35">
      <c r="A613" s="34" t="s">
        <v>1482</v>
      </c>
      <c r="B613" s="32" t="s">
        <v>309</v>
      </c>
      <c r="C613" s="32" t="s">
        <v>479</v>
      </c>
      <c r="D613" s="521"/>
      <c r="E613" s="464"/>
      <c r="F613" s="565">
        <v>12.35749</v>
      </c>
      <c r="G613" s="37">
        <v>8929020</v>
      </c>
      <c r="H613" s="564">
        <v>176800</v>
      </c>
      <c r="I613" s="518"/>
      <c r="J613" s="13"/>
      <c r="K613" s="430"/>
      <c r="L613" s="431"/>
    </row>
    <row r="614" spans="1:12" x14ac:dyDescent="0.35">
      <c r="A614" s="34" t="s">
        <v>1486</v>
      </c>
      <c r="B614" s="32" t="s">
        <v>1489</v>
      </c>
      <c r="C614" s="32" t="s">
        <v>479</v>
      </c>
      <c r="D614" s="521" t="s">
        <v>1341</v>
      </c>
      <c r="E614" s="464"/>
      <c r="F614" s="565">
        <v>0</v>
      </c>
      <c r="G614" s="37">
        <v>8929190</v>
      </c>
      <c r="H614" s="564" t="s">
        <v>1532</v>
      </c>
      <c r="I614" s="559"/>
      <c r="J614" s="13"/>
      <c r="K614" s="430"/>
      <c r="L614" s="431"/>
    </row>
    <row r="615" spans="1:12" x14ac:dyDescent="0.35">
      <c r="A615" s="34" t="s">
        <v>1487</v>
      </c>
      <c r="B615" s="32" t="s">
        <v>1490</v>
      </c>
      <c r="C615" s="32" t="s">
        <v>479</v>
      </c>
      <c r="D615" s="521" t="s">
        <v>1341</v>
      </c>
      <c r="E615" s="464"/>
      <c r="F615" s="565">
        <v>37.947380000000003</v>
      </c>
      <c r="G615" s="37">
        <v>8929260</v>
      </c>
      <c r="H615" s="564">
        <v>176803</v>
      </c>
      <c r="I615" s="559"/>
      <c r="J615" s="13"/>
      <c r="K615" s="430"/>
      <c r="L615" s="431"/>
    </row>
    <row r="616" spans="1:12" x14ac:dyDescent="0.35">
      <c r="A616" s="34" t="s">
        <v>1488</v>
      </c>
      <c r="B616" s="32" t="s">
        <v>1491</v>
      </c>
      <c r="C616" s="32" t="s">
        <v>479</v>
      </c>
      <c r="D616" s="521" t="s">
        <v>1341</v>
      </c>
      <c r="E616" s="464"/>
      <c r="F616" s="565">
        <v>38.109929999999999</v>
      </c>
      <c r="G616" s="37">
        <v>8929330</v>
      </c>
      <c r="H616" s="564">
        <v>176805</v>
      </c>
      <c r="I616" s="559"/>
      <c r="J616" s="13"/>
      <c r="K616" s="430"/>
      <c r="L616" s="431"/>
    </row>
    <row r="617" spans="1:12" x14ac:dyDescent="0.35">
      <c r="A617" s="34"/>
      <c r="B617" s="32"/>
      <c r="C617" s="32"/>
      <c r="D617" s="521"/>
      <c r="E617" s="464"/>
      <c r="F617" s="565"/>
      <c r="G617" s="487"/>
      <c r="H617" s="564"/>
      <c r="I617" s="518"/>
      <c r="K617" s="430"/>
      <c r="L617" s="431"/>
    </row>
    <row r="618" spans="1:12" x14ac:dyDescent="0.35">
      <c r="A618" s="34"/>
      <c r="B618" s="32"/>
      <c r="C618" s="32"/>
      <c r="D618" s="521"/>
      <c r="E618" s="464"/>
      <c r="F618" s="565"/>
      <c r="G618" s="487"/>
      <c r="H618" s="564"/>
      <c r="I618" s="518"/>
      <c r="K618" s="430"/>
      <c r="L618" s="431"/>
    </row>
    <row r="619" spans="1:12" x14ac:dyDescent="0.35">
      <c r="A619" s="34"/>
      <c r="B619" s="32"/>
      <c r="C619" s="32"/>
      <c r="D619" s="521"/>
      <c r="E619" s="464"/>
      <c r="F619" s="565"/>
      <c r="G619" s="487"/>
      <c r="H619" s="564"/>
      <c r="I619" s="518"/>
      <c r="K619" s="430"/>
      <c r="L619" s="431"/>
    </row>
    <row r="620" spans="1:12" x14ac:dyDescent="0.35">
      <c r="A620" s="34"/>
      <c r="B620" s="32"/>
      <c r="C620" s="32"/>
      <c r="D620" s="521"/>
      <c r="E620" s="464"/>
      <c r="F620" s="565"/>
      <c r="G620" s="487"/>
      <c r="H620" s="564"/>
      <c r="I620" s="518"/>
      <c r="K620" s="430"/>
      <c r="L620" s="431"/>
    </row>
    <row r="621" spans="1:12" x14ac:dyDescent="0.35">
      <c r="A621" s="34"/>
      <c r="B621" s="32"/>
      <c r="C621" s="32"/>
      <c r="D621" s="521"/>
      <c r="E621" s="464"/>
      <c r="F621" s="565"/>
      <c r="G621" s="487"/>
      <c r="H621" s="564"/>
      <c r="I621" s="518"/>
      <c r="K621" s="430"/>
      <c r="L621" s="431"/>
    </row>
    <row r="622" spans="1:12" x14ac:dyDescent="0.35">
      <c r="A622" s="34"/>
      <c r="B622" s="32"/>
      <c r="C622" s="32"/>
      <c r="D622" s="521"/>
      <c r="E622" s="464"/>
      <c r="F622" s="565"/>
      <c r="G622" s="487"/>
      <c r="H622" s="564"/>
      <c r="I622" s="518"/>
      <c r="K622" s="430"/>
      <c r="L622" s="431"/>
    </row>
    <row r="623" spans="1:12" x14ac:dyDescent="0.35">
      <c r="A623" s="34"/>
      <c r="B623" s="32"/>
      <c r="C623" s="32"/>
      <c r="D623" s="521"/>
      <c r="E623" s="464"/>
      <c r="F623" s="565"/>
      <c r="G623" s="487"/>
      <c r="H623" s="564"/>
      <c r="I623" s="518"/>
      <c r="K623" s="430"/>
      <c r="L623" s="431"/>
    </row>
    <row r="624" spans="1:12" x14ac:dyDescent="0.35">
      <c r="A624" s="34"/>
      <c r="B624" s="32"/>
      <c r="C624" s="32"/>
      <c r="D624" s="521"/>
      <c r="E624" s="464"/>
      <c r="F624" s="565"/>
      <c r="G624" s="487"/>
      <c r="H624" s="564"/>
      <c r="I624" s="518"/>
      <c r="K624" s="430"/>
      <c r="L624" s="431"/>
    </row>
    <row r="625" spans="1:12" x14ac:dyDescent="0.35">
      <c r="A625" s="31"/>
      <c r="B625" s="32"/>
      <c r="C625" s="32"/>
      <c r="D625" s="521"/>
      <c r="E625" s="464"/>
      <c r="F625" s="565"/>
      <c r="G625" s="487"/>
      <c r="H625" s="564"/>
      <c r="I625" s="518"/>
      <c r="K625" s="430"/>
      <c r="L625" s="431"/>
    </row>
    <row r="626" spans="1:12" x14ac:dyDescent="0.35">
      <c r="A626" s="31"/>
      <c r="B626" s="32"/>
      <c r="C626" s="32"/>
      <c r="D626" s="521"/>
      <c r="E626" s="464"/>
      <c r="F626" s="565"/>
      <c r="G626" s="487"/>
      <c r="H626" s="564"/>
      <c r="I626" s="518"/>
      <c r="K626" s="430"/>
      <c r="L626" s="431"/>
    </row>
    <row r="627" spans="1:12" x14ac:dyDescent="0.35">
      <c r="A627" s="31"/>
      <c r="B627" s="32"/>
      <c r="C627" s="32"/>
      <c r="D627" s="521"/>
      <c r="E627" s="464"/>
      <c r="F627" s="565"/>
      <c r="G627" s="487"/>
      <c r="H627" s="564"/>
      <c r="I627" s="518"/>
      <c r="K627" s="430"/>
      <c r="L627" s="431"/>
    </row>
    <row r="628" spans="1:12" x14ac:dyDescent="0.35">
      <c r="A628" s="511"/>
      <c r="B628" s="32"/>
      <c r="C628" s="32"/>
      <c r="D628" s="521"/>
      <c r="E628" s="464"/>
      <c r="F628" s="565"/>
      <c r="G628" s="487"/>
      <c r="H628" s="564"/>
      <c r="I628" s="518"/>
      <c r="K628" s="430"/>
      <c r="L628" s="431"/>
    </row>
    <row r="629" spans="1:12" x14ac:dyDescent="0.35">
      <c r="A629" s="512"/>
      <c r="B629" s="32"/>
      <c r="C629" s="32"/>
      <c r="D629" s="521"/>
      <c r="E629" s="464"/>
      <c r="F629" s="565"/>
      <c r="G629" s="487"/>
      <c r="H629" s="564"/>
      <c r="I629" s="518"/>
      <c r="K629" s="430"/>
      <c r="L629" s="431"/>
    </row>
    <row r="630" spans="1:12" x14ac:dyDescent="0.35">
      <c r="A630" s="488" t="s">
        <v>192</v>
      </c>
      <c r="B630" s="32"/>
      <c r="C630" s="32"/>
      <c r="D630" s="521"/>
      <c r="E630" s="464"/>
      <c r="F630" s="565"/>
      <c r="G630" s="487"/>
      <c r="H630" s="564"/>
      <c r="I630" s="518"/>
      <c r="K630" s="430"/>
      <c r="L630" s="431"/>
    </row>
    <row r="631" spans="1:12" x14ac:dyDescent="0.35">
      <c r="A631" s="34" t="s">
        <v>164</v>
      </c>
      <c r="B631" s="32" t="s">
        <v>578</v>
      </c>
      <c r="C631" s="32" t="s">
        <v>481</v>
      </c>
      <c r="D631" s="521"/>
      <c r="E631" s="464"/>
      <c r="F631" s="565">
        <v>4.4192400000000003</v>
      </c>
      <c r="G631" s="37">
        <v>9064013</v>
      </c>
      <c r="H631" s="564">
        <v>12236</v>
      </c>
      <c r="I631" s="518"/>
      <c r="K631" s="430"/>
      <c r="L631" s="431"/>
    </row>
    <row r="632" spans="1:12" x14ac:dyDescent="0.35">
      <c r="A632" s="34" t="s">
        <v>165</v>
      </c>
      <c r="B632" s="32" t="s">
        <v>161</v>
      </c>
      <c r="C632" s="32" t="s">
        <v>481</v>
      </c>
      <c r="D632" s="521"/>
      <c r="E632" s="464"/>
      <c r="F632" s="565">
        <v>4.42394</v>
      </c>
      <c r="G632" s="37">
        <v>9064323</v>
      </c>
      <c r="H632" s="564">
        <v>179415</v>
      </c>
      <c r="I632" s="518"/>
      <c r="K632" s="430"/>
      <c r="L632" s="431"/>
    </row>
    <row r="633" spans="1:12" x14ac:dyDescent="0.35">
      <c r="A633" s="34" t="s">
        <v>166</v>
      </c>
      <c r="B633" s="32" t="s">
        <v>579</v>
      </c>
      <c r="C633" s="32" t="s">
        <v>481</v>
      </c>
      <c r="D633" s="521"/>
      <c r="E633" s="464"/>
      <c r="F633" s="565">
        <v>4.4192400000000003</v>
      </c>
      <c r="G633" s="37">
        <v>9141613</v>
      </c>
      <c r="H633" s="564">
        <v>12237</v>
      </c>
      <c r="I633" s="518"/>
      <c r="K633" s="430"/>
      <c r="L633" s="431"/>
    </row>
    <row r="634" spans="1:12" x14ac:dyDescent="0.35">
      <c r="A634" s="34" t="s">
        <v>744</v>
      </c>
      <c r="B634" s="32" t="s">
        <v>745</v>
      </c>
      <c r="C634" s="32" t="s">
        <v>481</v>
      </c>
      <c r="D634" s="521"/>
      <c r="E634" s="464"/>
      <c r="F634" s="565">
        <v>6.00969</v>
      </c>
      <c r="G634" s="497">
        <v>8298184</v>
      </c>
      <c r="H634" s="564">
        <v>246059</v>
      </c>
      <c r="I634" s="518"/>
      <c r="K634" s="430"/>
      <c r="L634" s="431"/>
    </row>
    <row r="635" spans="1:12" x14ac:dyDescent="0.35">
      <c r="A635" s="34"/>
      <c r="B635" s="32"/>
      <c r="C635" s="32"/>
      <c r="D635" s="521"/>
      <c r="E635" s="464"/>
      <c r="F635" s="565"/>
      <c r="G635" s="497"/>
      <c r="H635" s="564"/>
      <c r="I635" s="518"/>
      <c r="K635" s="430"/>
      <c r="L635" s="431"/>
    </row>
    <row r="636" spans="1:12" x14ac:dyDescent="0.35">
      <c r="A636" s="34" t="s">
        <v>153</v>
      </c>
      <c r="B636" s="32" t="s">
        <v>580</v>
      </c>
      <c r="C636" s="32" t="s">
        <v>481</v>
      </c>
      <c r="D636" s="521"/>
      <c r="E636" s="464"/>
      <c r="F636" s="565">
        <v>0.18021000000000001</v>
      </c>
      <c r="G636" s="37">
        <v>1925383</v>
      </c>
      <c r="H636" s="564">
        <v>12306</v>
      </c>
      <c r="I636" s="518"/>
      <c r="K636" s="430"/>
      <c r="L636" s="431"/>
    </row>
    <row r="637" spans="1:12" x14ac:dyDescent="0.35">
      <c r="A637" s="34" t="s">
        <v>154</v>
      </c>
      <c r="B637" s="36" t="s">
        <v>162</v>
      </c>
      <c r="C637" s="32" t="s">
        <v>481</v>
      </c>
      <c r="D637" s="521"/>
      <c r="E637" s="464"/>
      <c r="F637" s="565">
        <v>0.24679000000000001</v>
      </c>
      <c r="G637" s="37">
        <v>1863003</v>
      </c>
      <c r="H637" s="564">
        <v>12302</v>
      </c>
      <c r="I637" s="518"/>
      <c r="K637" s="430"/>
      <c r="L637" s="431"/>
    </row>
    <row r="638" spans="1:12" x14ac:dyDescent="0.35">
      <c r="A638" s="34" t="s">
        <v>155</v>
      </c>
      <c r="B638" s="32" t="s">
        <v>581</v>
      </c>
      <c r="C638" s="32" t="s">
        <v>481</v>
      </c>
      <c r="D638" s="521"/>
      <c r="E638" s="464"/>
      <c r="F638" s="565">
        <v>0.4849</v>
      </c>
      <c r="G638" s="37">
        <v>2364043</v>
      </c>
      <c r="H638" s="564">
        <v>12340</v>
      </c>
      <c r="I638" s="518"/>
      <c r="K638" s="430"/>
      <c r="L638" s="431"/>
    </row>
    <row r="639" spans="1:12" x14ac:dyDescent="0.35">
      <c r="A639" s="34" t="s">
        <v>156</v>
      </c>
      <c r="B639" s="32" t="s">
        <v>582</v>
      </c>
      <c r="C639" s="32" t="s">
        <v>481</v>
      </c>
      <c r="D639" s="521"/>
      <c r="E639" s="464"/>
      <c r="F639" s="565">
        <v>0.59260999999999997</v>
      </c>
      <c r="G639" s="37">
        <v>2364983</v>
      </c>
      <c r="H639" s="564">
        <v>266981</v>
      </c>
      <c r="I639" s="518"/>
      <c r="K639" s="430"/>
      <c r="L639" s="431"/>
    </row>
    <row r="640" spans="1:12" x14ac:dyDescent="0.35">
      <c r="A640" s="34" t="s">
        <v>157</v>
      </c>
      <c r="B640" s="32" t="s">
        <v>583</v>
      </c>
      <c r="C640" s="32" t="s">
        <v>481</v>
      </c>
      <c r="D640" s="521"/>
      <c r="E640" s="464"/>
      <c r="F640" s="565">
        <v>0.70503000000000005</v>
      </c>
      <c r="G640" s="37">
        <v>8002803</v>
      </c>
      <c r="H640" s="564">
        <v>12323</v>
      </c>
      <c r="I640" s="518"/>
      <c r="K640" s="430"/>
      <c r="L640" s="431"/>
    </row>
    <row r="641" spans="1:12" x14ac:dyDescent="0.35">
      <c r="A641" s="34" t="s">
        <v>158</v>
      </c>
      <c r="B641" s="32" t="s">
        <v>584</v>
      </c>
      <c r="C641" s="32" t="s">
        <v>481</v>
      </c>
      <c r="D641" s="521"/>
      <c r="E641" s="464"/>
      <c r="F641" s="565">
        <v>0.81311999999999995</v>
      </c>
      <c r="G641" s="37">
        <v>8003033</v>
      </c>
      <c r="H641" s="564">
        <v>12326</v>
      </c>
      <c r="I641" s="518"/>
      <c r="K641" s="430"/>
      <c r="L641" s="431"/>
    </row>
    <row r="642" spans="1:12" x14ac:dyDescent="0.35">
      <c r="A642" s="34" t="s">
        <v>157</v>
      </c>
      <c r="B642" s="32" t="s">
        <v>160</v>
      </c>
      <c r="C642" s="32" t="s">
        <v>481</v>
      </c>
      <c r="D642" s="521"/>
      <c r="E642" s="464"/>
      <c r="F642" s="565">
        <v>0.46155000000000002</v>
      </c>
      <c r="G642" s="37">
        <v>1037431</v>
      </c>
      <c r="H642" s="564">
        <v>279798</v>
      </c>
      <c r="I642" s="518"/>
      <c r="K642" s="430"/>
      <c r="L642" s="431"/>
    </row>
    <row r="643" spans="1:12" x14ac:dyDescent="0.35">
      <c r="A643" s="34" t="s">
        <v>158</v>
      </c>
      <c r="B643" s="32" t="s">
        <v>163</v>
      </c>
      <c r="C643" s="32" t="s">
        <v>481</v>
      </c>
      <c r="D643" s="521"/>
      <c r="E643" s="464"/>
      <c r="F643" s="565">
        <v>0.46937000000000001</v>
      </c>
      <c r="G643" s="37">
        <v>3120329</v>
      </c>
      <c r="H643" s="564">
        <v>303889</v>
      </c>
      <c r="I643" s="518"/>
      <c r="K643" s="430"/>
      <c r="L643" s="431"/>
    </row>
    <row r="644" spans="1:12" x14ac:dyDescent="0.35">
      <c r="A644" s="34" t="s">
        <v>761</v>
      </c>
      <c r="B644" s="32" t="s">
        <v>585</v>
      </c>
      <c r="C644" s="32" t="s">
        <v>481</v>
      </c>
      <c r="D644" s="521"/>
      <c r="E644" s="464"/>
      <c r="F644" s="565">
        <v>1.5222899999999999</v>
      </c>
      <c r="G644" s="37">
        <v>8975943</v>
      </c>
      <c r="H644" s="564">
        <v>12223</v>
      </c>
      <c r="I644" s="518"/>
      <c r="K644" s="430"/>
      <c r="L644" s="431"/>
    </row>
    <row r="645" spans="1:12" x14ac:dyDescent="0.35">
      <c r="A645" s="31" t="s">
        <v>159</v>
      </c>
      <c r="B645" s="32" t="s">
        <v>586</v>
      </c>
      <c r="C645" s="32" t="s">
        <v>481</v>
      </c>
      <c r="D645" s="521"/>
      <c r="E645" s="464"/>
      <c r="F645" s="565">
        <v>2.7470500000000002</v>
      </c>
      <c r="G645" s="37">
        <v>6823663</v>
      </c>
      <c r="H645" s="564">
        <v>12392</v>
      </c>
      <c r="I645" s="518"/>
      <c r="K645" s="430"/>
      <c r="L645" s="431"/>
    </row>
    <row r="646" spans="1:12" x14ac:dyDescent="0.35">
      <c r="A646" s="31" t="s">
        <v>731</v>
      </c>
      <c r="B646" s="32" t="s">
        <v>732</v>
      </c>
      <c r="C646" s="32" t="s">
        <v>735</v>
      </c>
      <c r="D646" s="521"/>
      <c r="E646" s="464"/>
      <c r="F646" s="565">
        <v>4.4877799999999999</v>
      </c>
      <c r="G646" s="37">
        <v>6484096</v>
      </c>
      <c r="H646" s="564">
        <v>250833</v>
      </c>
      <c r="I646" s="518"/>
      <c r="K646" s="430"/>
      <c r="L646" s="431"/>
    </row>
    <row r="647" spans="1:12" x14ac:dyDescent="0.35">
      <c r="A647" s="31" t="s">
        <v>733</v>
      </c>
      <c r="B647" s="32" t="s">
        <v>732</v>
      </c>
      <c r="C647" s="32" t="s">
        <v>736</v>
      </c>
      <c r="D647" s="521"/>
      <c r="E647" s="464"/>
      <c r="F647" s="565">
        <v>4.4877799999999999</v>
      </c>
      <c r="G647" s="37">
        <v>6856758</v>
      </c>
      <c r="H647" s="564">
        <v>250831</v>
      </c>
      <c r="I647" s="518"/>
      <c r="K647" s="430"/>
      <c r="L647" s="431"/>
    </row>
    <row r="648" spans="1:12" x14ac:dyDescent="0.35">
      <c r="A648" s="31" t="s">
        <v>734</v>
      </c>
      <c r="B648" s="32" t="s">
        <v>732</v>
      </c>
      <c r="C648" s="32" t="s">
        <v>737</v>
      </c>
      <c r="D648" s="521"/>
      <c r="E648" s="464"/>
      <c r="F648" s="565">
        <v>4.4877799999999999</v>
      </c>
      <c r="G648" s="37">
        <v>2019241</v>
      </c>
      <c r="H648" s="564">
        <v>250834</v>
      </c>
      <c r="I648" s="518"/>
      <c r="K648" s="430"/>
      <c r="L648" s="431"/>
    </row>
    <row r="649" spans="1:12" x14ac:dyDescent="0.35">
      <c r="A649" s="31" t="s">
        <v>738</v>
      </c>
      <c r="B649" s="32" t="s">
        <v>739</v>
      </c>
      <c r="C649" s="32" t="s">
        <v>735</v>
      </c>
      <c r="D649" s="521"/>
      <c r="E649" s="464"/>
      <c r="F649" s="565">
        <v>0.88392000000000004</v>
      </c>
      <c r="G649" s="37">
        <v>8849808</v>
      </c>
      <c r="H649" s="564">
        <v>250842</v>
      </c>
      <c r="I649" s="518"/>
      <c r="K649" s="430"/>
      <c r="L649" s="431"/>
    </row>
    <row r="650" spans="1:12" x14ac:dyDescent="0.35">
      <c r="A650" s="31" t="s">
        <v>740</v>
      </c>
      <c r="B650" s="32" t="s">
        <v>739</v>
      </c>
      <c r="C650" s="32" t="s">
        <v>736</v>
      </c>
      <c r="D650" s="521"/>
      <c r="E650" s="464"/>
      <c r="F650" s="565">
        <v>0.88392000000000004</v>
      </c>
      <c r="G650" s="37">
        <v>4619688</v>
      </c>
      <c r="H650" s="564">
        <v>250841</v>
      </c>
      <c r="I650" s="518"/>
      <c r="K650" s="430"/>
      <c r="L650" s="431"/>
    </row>
    <row r="651" spans="1:12" x14ac:dyDescent="0.35">
      <c r="A651" s="31" t="s">
        <v>741</v>
      </c>
      <c r="B651" s="32" t="s">
        <v>739</v>
      </c>
      <c r="C651" s="32" t="s">
        <v>737</v>
      </c>
      <c r="D651" s="521"/>
      <c r="E651" s="464"/>
      <c r="F651" s="565">
        <v>0.88392000000000004</v>
      </c>
      <c r="G651" s="37">
        <v>5730134</v>
      </c>
      <c r="H651" s="564">
        <v>250843</v>
      </c>
      <c r="I651" s="518"/>
      <c r="K651" s="430"/>
      <c r="L651" s="431"/>
    </row>
    <row r="652" spans="1:12" x14ac:dyDescent="0.35">
      <c r="A652" s="31" t="s">
        <v>1477</v>
      </c>
      <c r="B652" s="32" t="s">
        <v>739</v>
      </c>
      <c r="C652" s="32" t="s">
        <v>1476</v>
      </c>
      <c r="D652" s="521"/>
      <c r="E652" s="464"/>
      <c r="F652" s="565">
        <v>0</v>
      </c>
      <c r="G652" s="489">
        <v>7249097</v>
      </c>
      <c r="H652" s="564" t="s">
        <v>1532</v>
      </c>
      <c r="I652" s="537"/>
      <c r="K652" s="430"/>
      <c r="L652" s="431"/>
    </row>
    <row r="653" spans="1:12" x14ac:dyDescent="0.35">
      <c r="A653" s="31" t="s">
        <v>742</v>
      </c>
      <c r="B653" s="32" t="s">
        <v>743</v>
      </c>
      <c r="C653" s="32" t="s">
        <v>735</v>
      </c>
      <c r="D653" s="521"/>
      <c r="E653" s="464"/>
      <c r="F653" s="565">
        <v>0.65625999999999995</v>
      </c>
      <c r="G653" s="37">
        <v>2583646</v>
      </c>
      <c r="H653" s="564">
        <v>250844</v>
      </c>
      <c r="I653" s="518"/>
      <c r="K653" s="430"/>
      <c r="L653" s="431"/>
    </row>
    <row r="654" spans="1:12" x14ac:dyDescent="0.35">
      <c r="A654" s="31"/>
      <c r="B654" s="32"/>
      <c r="C654" s="32"/>
      <c r="D654" s="521"/>
      <c r="E654" s="464"/>
      <c r="F654" s="37"/>
      <c r="G654" s="487"/>
      <c r="H654" s="274"/>
      <c r="I654" s="13"/>
      <c r="K654" s="430"/>
    </row>
    <row r="655" spans="1:12" x14ac:dyDescent="0.35">
      <c r="A655" s="31" t="str">
        <f>List!$B$221</f>
        <v>Zde můžete vložit vlastní položky (následujících 10 řádků, zobrazí se v objednávce)</v>
      </c>
      <c r="B655" s="32"/>
      <c r="C655" s="32"/>
      <c r="D655" s="521"/>
      <c r="E655" s="464"/>
      <c r="F655" s="37"/>
      <c r="G655" s="487"/>
      <c r="H655" s="274"/>
      <c r="I655" s="13"/>
    </row>
    <row r="656" spans="1:12" x14ac:dyDescent="0.35">
      <c r="A656" s="31"/>
      <c r="B656" s="32"/>
      <c r="C656" s="32"/>
      <c r="D656" s="521"/>
      <c r="E656" s="464"/>
      <c r="F656" s="35"/>
      <c r="G656" s="37"/>
      <c r="H656" s="274"/>
      <c r="I656" s="13"/>
    </row>
    <row r="657" spans="1:9" x14ac:dyDescent="0.35">
      <c r="A657" s="31"/>
      <c r="B657" s="32"/>
      <c r="C657" s="32"/>
      <c r="D657" s="521"/>
      <c r="E657" s="464"/>
      <c r="F657" s="35"/>
      <c r="G657" s="37"/>
      <c r="H657" s="274"/>
      <c r="I657" s="13"/>
    </row>
    <row r="658" spans="1:9" x14ac:dyDescent="0.35">
      <c r="A658" s="31"/>
      <c r="B658" s="32"/>
      <c r="C658" s="32"/>
      <c r="D658" s="521"/>
      <c r="E658" s="464"/>
      <c r="F658" s="35"/>
      <c r="G658" s="37"/>
      <c r="H658" s="274"/>
      <c r="I658" s="13"/>
    </row>
    <row r="659" spans="1:9" x14ac:dyDescent="0.35">
      <c r="A659" s="31"/>
      <c r="B659" s="32"/>
      <c r="C659" s="32"/>
      <c r="D659" s="521"/>
      <c r="E659" s="464"/>
      <c r="F659" s="35"/>
      <c r="G659" s="37"/>
      <c r="H659" s="274"/>
      <c r="I659" s="13"/>
    </row>
    <row r="660" spans="1:9" x14ac:dyDescent="0.35">
      <c r="A660" s="31"/>
      <c r="B660" s="32"/>
      <c r="C660" s="32"/>
      <c r="D660" s="521"/>
      <c r="E660" s="464"/>
      <c r="F660" s="35"/>
      <c r="G660" s="37"/>
      <c r="H660" s="274"/>
      <c r="I660" s="13"/>
    </row>
    <row r="661" spans="1:9" x14ac:dyDescent="0.35">
      <c r="A661" s="31"/>
      <c r="B661" s="32"/>
      <c r="C661" s="32"/>
      <c r="D661" s="521"/>
      <c r="E661" s="464"/>
      <c r="F661" s="35"/>
      <c r="G661" s="37"/>
      <c r="H661" s="274"/>
      <c r="I661" s="13"/>
    </row>
    <row r="662" spans="1:9" x14ac:dyDescent="0.35">
      <c r="A662" s="31"/>
      <c r="B662" s="32"/>
      <c r="C662" s="32"/>
      <c r="D662" s="521"/>
      <c r="E662" s="464"/>
      <c r="F662" s="35"/>
      <c r="G662" s="37"/>
      <c r="H662" s="274"/>
      <c r="I662" s="13"/>
    </row>
    <row r="663" spans="1:9" x14ac:dyDescent="0.35">
      <c r="A663" s="31"/>
      <c r="B663" s="32"/>
      <c r="C663" s="32"/>
      <c r="D663" s="521"/>
      <c r="E663" s="464"/>
      <c r="F663" s="35"/>
      <c r="G663" s="37"/>
      <c r="H663" s="274"/>
      <c r="I663" s="13"/>
    </row>
    <row r="664" spans="1:9" x14ac:dyDescent="0.35">
      <c r="A664" s="31"/>
      <c r="B664" s="32"/>
      <c r="C664" s="32"/>
      <c r="D664" s="521"/>
      <c r="E664" s="464"/>
      <c r="F664" s="35"/>
      <c r="G664" s="37"/>
      <c r="H664" s="274"/>
      <c r="I664" s="13"/>
    </row>
    <row r="665" spans="1:9" x14ac:dyDescent="0.35">
      <c r="A665" s="31"/>
      <c r="B665" s="32"/>
      <c r="C665" s="32"/>
      <c r="D665" s="521"/>
      <c r="E665" s="464"/>
      <c r="F665" s="35"/>
      <c r="G665" s="37"/>
      <c r="H665" s="274"/>
      <c r="I665" s="13"/>
    </row>
  </sheetData>
  <sheetProtection algorithmName="SHA-512" hashValue="1Rnbcn88C/2pelL3wLc5+YBqhwU0d2RQOVjmhUPj23paXcTRZzm0Z0sQkd815zfvyYf/E10vIqkzz4seroUVIw==" saltValue="3B6K8lW3WnsFYp9V5Cy1aQ==" spinCount="100000" sheet="1" objects="1" scenarios="1"/>
  <phoneticPr fontId="53" type="noConversion"/>
  <hyperlinks>
    <hyperlink ref="H2" location="Form!A1" tooltip=" " display="Zpět na úvod"/>
  </hyperlinks>
  <pageMargins left="0.51181102362204722" right="0.51181102362204722" top="0.39370078740157483" bottom="0.59055118110236227" header="0.31496062992125984" footer="0.31496062992125984"/>
  <pageSetup paperSize="9"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V141"/>
  <sheetViews>
    <sheetView showGridLines="0" showRowColHeaders="0" workbookViewId="0"/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List!$B$47&amp;" K"</f>
        <v>Vnitřní zásuvka K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Cen!A65</f>
        <v>Bočnice K 270mm, šedé</v>
      </c>
      <c r="Q3" s="123" t="str">
        <f>Cen!B65</f>
        <v>378K2702SA</v>
      </c>
      <c r="R3" s="123" t="str">
        <f>Cen!C65</f>
        <v>R906</v>
      </c>
      <c r="S3" s="385">
        <f>IF($U$2=4, 0, SUM($D$19, $D$25))</f>
        <v>0</v>
      </c>
      <c r="T3" s="402">
        <f>Cen!F65</f>
        <v>23.526759999999999</v>
      </c>
      <c r="U3" s="387">
        <f t="shared" ref="U3:U11" si="0">S3*T3</f>
        <v>0</v>
      </c>
    </row>
    <row r="4" spans="1:22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351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Cen!A68</f>
        <v>Bočnice K 300mm, šedé</v>
      </c>
      <c r="Q4" s="123" t="str">
        <f>Cen!B68</f>
        <v>378K3002SA</v>
      </c>
      <c r="R4" s="123" t="str">
        <f>Cen!C68</f>
        <v>R906</v>
      </c>
      <c r="S4" s="385">
        <f>IF($U$2=4, 0, SUM($E$19, $E$25))</f>
        <v>0</v>
      </c>
      <c r="T4" s="402">
        <f>Cen!F68</f>
        <v>23.526759999999999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Cen!A71</f>
        <v>Bočnice K 350mm, šedé</v>
      </c>
      <c r="Q5" s="123" t="str">
        <f>Cen!B71</f>
        <v>378K3502SA</v>
      </c>
      <c r="R5" s="123" t="str">
        <f>Cen!C71</f>
        <v>R906</v>
      </c>
      <c r="S5" s="385">
        <f>IF($U$2=4, 0, SUM($F$19, $F$25))</f>
        <v>0</v>
      </c>
      <c r="T5" s="402">
        <f>Cen!F71</f>
        <v>23.526759999999999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Cen!A74</f>
        <v>Bočnice K 400mm, šedé</v>
      </c>
      <c r="Q6" s="123" t="str">
        <f>Cen!B74</f>
        <v>378K4002SA</v>
      </c>
      <c r="R6" s="123" t="str">
        <f>Cen!C74</f>
        <v>R906</v>
      </c>
      <c r="S6" s="385">
        <f>IF($U$2=4, 0, SUM($G$19, $G$25))</f>
        <v>0</v>
      </c>
      <c r="T6" s="402">
        <f>Cen!F74</f>
        <v>23.673449999999999</v>
      </c>
      <c r="U6" s="387">
        <f t="shared" si="0"/>
        <v>0</v>
      </c>
    </row>
    <row r="7" spans="1:22" ht="13" thickBot="1" x14ac:dyDescent="0.3">
      <c r="A7" s="114"/>
      <c r="B7" s="114"/>
      <c r="C7" s="114"/>
      <c r="D7" s="114"/>
      <c r="E7" s="114"/>
      <c r="F7" s="114"/>
      <c r="G7" s="114"/>
      <c r="H7" s="114"/>
      <c r="I7" s="117"/>
      <c r="J7" s="117"/>
      <c r="K7" s="116"/>
      <c r="L7" s="117"/>
      <c r="M7" s="114"/>
      <c r="N7" s="149" t="str">
        <f>" "&amp;List!$B$5</f>
        <v xml:space="preserve"> Výběr doplňků</v>
      </c>
      <c r="O7" s="114"/>
      <c r="P7" s="123" t="str">
        <f>Cen!A77</f>
        <v>Bočnice K 450mm, šedé</v>
      </c>
      <c r="Q7" s="123" t="str">
        <f>Cen!B77</f>
        <v>378K4502SA</v>
      </c>
      <c r="R7" s="123" t="str">
        <f>Cen!C77</f>
        <v>R906</v>
      </c>
      <c r="S7" s="385">
        <f>IF($U$2=4, 0, SUM($H$19:$H$20, $H$25:$H$26))</f>
        <v>0</v>
      </c>
      <c r="T7" s="402">
        <f>Cen!F77</f>
        <v>23.820340000000002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Cen!A80</f>
        <v>Bočnice K 500mm, šedé</v>
      </c>
      <c r="Q8" s="388" t="str">
        <f>Cen!B80</f>
        <v>378K5002SA</v>
      </c>
      <c r="R8" s="388" t="str">
        <f>Cen!C80</f>
        <v>R906</v>
      </c>
      <c r="S8" s="397">
        <f>IF($U$2=4, 0, SUM($I$19:$I$20, $I$25:$I$26))</f>
        <v>0</v>
      </c>
      <c r="T8" s="403">
        <f>Cen!F80</f>
        <v>23.967030000000001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Cen!A83</f>
        <v>Bočnice K 550mm, šedé</v>
      </c>
      <c r="Q9" s="123" t="str">
        <f>Cen!B83</f>
        <v>378K5502SA</v>
      </c>
      <c r="R9" s="123" t="str">
        <f>Cen!C83</f>
        <v>R906</v>
      </c>
      <c r="S9" s="385">
        <f>IF($U$2=4, 0, SUM($J$19:$J$20, $J$25:$J$26))</f>
        <v>0</v>
      </c>
      <c r="T9" s="402">
        <f>Cen!F83</f>
        <v>25.435459999999999</v>
      </c>
      <c r="U9" s="387">
        <f t="shared" si="0"/>
        <v>0</v>
      </c>
    </row>
    <row r="10" spans="1:22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Cen!A86</f>
        <v>Bočnice K 600mm, šedé</v>
      </c>
      <c r="Q10" s="123" t="str">
        <f>Cen!B86</f>
        <v>378K6002SA</v>
      </c>
      <c r="R10" s="123" t="str">
        <f>Cen!C86</f>
        <v>R906</v>
      </c>
      <c r="S10" s="385">
        <f>IF($U$2=4, 0, SUM($K$19:$K$20, $K$25:$K$26))</f>
        <v>0</v>
      </c>
      <c r="T10" s="402">
        <f>Cen!F86</f>
        <v>29.71855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114" t="str">
        <f>"* "&amp;List!$B$132&amp;":"</f>
        <v>* Přířezy prvků:</v>
      </c>
      <c r="J11" s="302"/>
      <c r="K11" s="302"/>
      <c r="L11" s="302"/>
      <c r="M11" s="114"/>
      <c r="N11" s="114"/>
      <c r="O11" s="114"/>
      <c r="P11" s="123" t="str">
        <f>Cen!A89</f>
        <v>Bočnice K 650mm, šedé</v>
      </c>
      <c r="Q11" s="123" t="str">
        <f>Cen!B89</f>
        <v>378K6502SA</v>
      </c>
      <c r="R11" s="123" t="str">
        <f>Cen!C89</f>
        <v>R906</v>
      </c>
      <c r="S11" s="385">
        <f>IF($U$2=4, 0, SUM($L$20, $L$26))</f>
        <v>0</v>
      </c>
      <c r="T11" s="402">
        <f>Cen!F89</f>
        <v>30.819780000000002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114" t="str">
        <f>List!$C$136&amp;":   LW - 132"</f>
        <v>Přední díl:   LW - 132</v>
      </c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IF($U$2=4, 0, $D$19)</f>
        <v>0</v>
      </c>
      <c r="T13" s="386">
        <f>Cen!F94</f>
        <v>16.390229999999999</v>
      </c>
      <c r="U13" s="387">
        <f t="shared" ref="U13:U38" si="1">S13*T13</f>
        <v>0</v>
      </c>
    </row>
    <row r="14" spans="1:22" ht="13" x14ac:dyDescent="0.3">
      <c r="A14" s="114"/>
      <c r="B14" s="114"/>
      <c r="C14" s="114"/>
      <c r="D14" s="114"/>
      <c r="E14" s="114"/>
      <c r="F14" s="542" t="str">
        <f>IF($U$2=4, P85, " ")</f>
        <v xml:space="preserve"> </v>
      </c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IF($U$2=4, 0, $E$19)</f>
        <v>0</v>
      </c>
      <c r="T14" s="386">
        <f>Cen!F95</f>
        <v>16.390229999999999</v>
      </c>
      <c r="U14" s="387">
        <f t="shared" si="1"/>
        <v>0</v>
      </c>
    </row>
    <row r="15" spans="1:22" ht="13" x14ac:dyDescent="0.3">
      <c r="A15" s="114"/>
      <c r="B15" s="114"/>
      <c r="C15" s="114"/>
      <c r="D15" s="114"/>
      <c r="E15" s="114"/>
      <c r="F15" s="542" t="str">
        <f>IF($U$2=4, P86, " ")</f>
        <v xml:space="preserve"> </v>
      </c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IF($U$2=4, 0, $F$19)</f>
        <v>0</v>
      </c>
      <c r="T15" s="386">
        <f>Cen!F96</f>
        <v>16.390229999999999</v>
      </c>
      <c r="U15" s="387">
        <f t="shared" si="1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IF($U$2=4, 0, $G$19)</f>
        <v>0</v>
      </c>
      <c r="T16" s="386">
        <f>Cen!F97</f>
        <v>16.512820000000001</v>
      </c>
      <c r="U16" s="387">
        <f t="shared" si="1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$H$19)</f>
        <v>0</v>
      </c>
      <c r="T17" s="386">
        <f>Cen!F98</f>
        <v>16.63541</v>
      </c>
      <c r="U17" s="387">
        <f t="shared" si="1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IF($U$2=4, 0, $H$20)</f>
        <v>0</v>
      </c>
      <c r="T18" s="386">
        <f>Cen!F99</f>
        <v>22.021799999999999</v>
      </c>
      <c r="U18" s="387">
        <f t="shared" si="1"/>
        <v>0</v>
      </c>
    </row>
    <row r="19" spans="1:21" ht="14.5" thickBot="1" x14ac:dyDescent="0.35">
      <c r="A19" s="114"/>
      <c r="B19" s="290" t="s">
        <v>840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$I$19)</f>
        <v>0</v>
      </c>
      <c r="T19" s="389">
        <f>Cen!F100</f>
        <v>15.919919999999999</v>
      </c>
      <c r="U19" s="390">
        <f t="shared" si="1"/>
        <v>0</v>
      </c>
    </row>
    <row r="20" spans="1:21" ht="14" x14ac:dyDescent="0.3">
      <c r="A20" s="114"/>
      <c r="B20" s="295" t="s">
        <v>841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IF($U$2=4, 0, $I$20)</f>
        <v>0</v>
      </c>
      <c r="T20" s="389">
        <f>Cen!F101</f>
        <v>24.51277</v>
      </c>
      <c r="U20" s="390">
        <f t="shared" si="1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$J$19)</f>
        <v>0</v>
      </c>
      <c r="T21" s="386">
        <f>Cen!F102</f>
        <v>17.614419999999999</v>
      </c>
      <c r="U21" s="387">
        <f t="shared" si="1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IF($U$2=4, 0, $J$20)</f>
        <v>0</v>
      </c>
      <c r="T22" s="386">
        <f>Cen!F103</f>
        <v>23.000999999999998</v>
      </c>
      <c r="U22" s="387">
        <f t="shared" si="1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IF($U$2=4, 0, $K$19)</f>
        <v>0</v>
      </c>
      <c r="T23" s="386">
        <f>Cen!F104</f>
        <v>20.570499999999996</v>
      </c>
      <c r="U23" s="387">
        <f t="shared" si="1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IF($U$2=4, 0, $K$20)</f>
        <v>0</v>
      </c>
      <c r="T24" s="386">
        <f>Cen!F105</f>
        <v>25.957080000000001</v>
      </c>
      <c r="U24" s="387">
        <f t="shared" si="1"/>
        <v>0</v>
      </c>
    </row>
    <row r="25" spans="1:21" ht="14.5" thickBot="1" x14ac:dyDescent="0.35">
      <c r="A25" s="114"/>
      <c r="B25" s="290" t="s">
        <v>816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1"/>
        <v>0</v>
      </c>
    </row>
    <row r="26" spans="1:21" ht="14" x14ac:dyDescent="0.3">
      <c r="A26" s="114"/>
      <c r="B26" s="295" t="s">
        <v>842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IF($U$2=4, 0, $D$25)</f>
        <v>0</v>
      </c>
      <c r="T26" s="392">
        <f>Cen!F109</f>
        <v>16.390229999999999</v>
      </c>
      <c r="U26" s="393">
        <f t="shared" si="1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IF($U$2=4, 0, $E$25)</f>
        <v>0</v>
      </c>
      <c r="T27" s="386">
        <f>Cen!F110</f>
        <v>16.390229999999999</v>
      </c>
      <c r="U27" s="387">
        <f t="shared" si="1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IF($U$2=4, 0, $F$25)</f>
        <v>0</v>
      </c>
      <c r="T28" s="386">
        <f>Cen!F111</f>
        <v>16.390229999999999</v>
      </c>
      <c r="U28" s="387">
        <f t="shared" si="1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IF($U$2=4, 0, $G$25)</f>
        <v>0</v>
      </c>
      <c r="T29" s="386">
        <f>Cen!F112</f>
        <v>16.512820000000001</v>
      </c>
      <c r="U29" s="387">
        <f t="shared" si="1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",$P$82)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IF($U$2=4, 0, $H$25)</f>
        <v>0</v>
      </c>
      <c r="T30" s="386">
        <f>Cen!F113</f>
        <v>16.63541</v>
      </c>
      <c r="U30" s="387">
        <f t="shared" si="1"/>
        <v>0</v>
      </c>
    </row>
    <row r="31" spans="1:21" x14ac:dyDescent="0.25">
      <c r="A31" s="114"/>
      <c r="B31" s="114"/>
      <c r="C31" s="359" t="str">
        <f>IF(AND(SUM($D$25,$E$25)&gt;0,SUM($D$30,$E$30)=0),$P$81, IF(AND(SUM($D$25,$E$25)=0,SUM($D$30,$E$30)&gt;0),$P$80, " "))&amp;IF(SUM($D$25,$E$25)&lt;&gt;SUM($D$30,$E$30)," "&amp;$P$83,"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IF($U$2=4, 0, $H$26)</f>
        <v>0</v>
      </c>
      <c r="T31" s="386">
        <f>Cen!F114</f>
        <v>22.021810000000002</v>
      </c>
      <c r="U31" s="387">
        <f t="shared" si="1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IF($U$2=4, 0, $I$25)</f>
        <v>0</v>
      </c>
      <c r="T32" s="389">
        <f>Cen!F115</f>
        <v>16.757819999999999</v>
      </c>
      <c r="U32" s="390">
        <f t="shared" si="1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IF($U$2=4, 0, $I$26)</f>
        <v>0</v>
      </c>
      <c r="T33" s="389">
        <f>Cen!F116</f>
        <v>22.144390000000001</v>
      </c>
      <c r="U33" s="390">
        <f t="shared" si="1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IF($U$2=4, 0, $J$25)</f>
        <v>0</v>
      </c>
      <c r="T34" s="386">
        <f>Cen!F117</f>
        <v>17.614419999999999</v>
      </c>
      <c r="U34" s="387">
        <f t="shared" si="1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IF($U$2=4, 0, $J$26)</f>
        <v>0</v>
      </c>
      <c r="T35" s="386">
        <f>Cen!F118</f>
        <v>23.000999999999998</v>
      </c>
      <c r="U35" s="387">
        <f t="shared" si="1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IF($U$2=4, 0, $K$25)</f>
        <v>0</v>
      </c>
      <c r="T36" s="386">
        <f>Cen!F119</f>
        <v>20.570499999999996</v>
      </c>
      <c r="U36" s="387">
        <f t="shared" si="1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IF($U$2=4, 0, $K$26)</f>
        <v>0</v>
      </c>
      <c r="T37" s="386">
        <f>Cen!F120</f>
        <v>25.957080000000001</v>
      </c>
      <c r="U37" s="387">
        <f t="shared" si="1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IF($U$2=4, 0, $L$26)</f>
        <v>0</v>
      </c>
      <c r="T38" s="386">
        <f>Cen!F121</f>
        <v>26.813510000000001</v>
      </c>
      <c r="U38" s="387">
        <f t="shared" si="1"/>
        <v>0</v>
      </c>
    </row>
    <row r="39" spans="1:21" ht="13" x14ac:dyDescent="0.3">
      <c r="A39" s="114"/>
      <c r="B39" s="193" t="str">
        <f>List!$B$23&amp;": **"</f>
        <v>Volitelně: **</v>
      </c>
      <c r="C39" s="305"/>
      <c r="D39" s="305"/>
      <c r="E39" s="305"/>
      <c r="F39" s="305"/>
      <c r="G39" s="305"/>
      <c r="H39" s="114"/>
      <c r="I39" s="114"/>
      <c r="J39" s="114"/>
      <c r="K39" s="114"/>
      <c r="L39" s="114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ht="15.75" customHeight="1" x14ac:dyDescent="0.25">
      <c r="A40" s="114"/>
      <c r="B40" s="407" t="str">
        <f>Cen!A204</f>
        <v>Úchytka pro vnirřní zásuvku, bílošedá</v>
      </c>
      <c r="C40" s="407"/>
      <c r="D40" s="407"/>
      <c r="E40" s="407"/>
      <c r="F40" s="407"/>
      <c r="G40" s="407"/>
      <c r="H40" s="407" t="str">
        <f>Cen!B204</f>
        <v>ZIF.80M5</v>
      </c>
      <c r="I40" s="407" t="str">
        <f>Cen!C204</f>
        <v>WGR</v>
      </c>
      <c r="J40" s="408"/>
      <c r="K40" s="152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91">
        <f>IF($U$2=4, 0, $D$30)</f>
        <v>0</v>
      </c>
      <c r="T40" s="386">
        <f>Cen!F124</f>
        <v>15.88349</v>
      </c>
      <c r="U40" s="387">
        <f t="shared" ref="U40:U50" si="2">S40*T40</f>
        <v>0</v>
      </c>
    </row>
    <row r="41" spans="1:21" ht="15.75" customHeight="1" x14ac:dyDescent="0.25">
      <c r="A41" s="114"/>
      <c r="B41" s="407" t="str">
        <f>Cen!A208</f>
        <v>Úchytka a unašeč pro vnirřní zásuvku, bílošedá</v>
      </c>
      <c r="C41" s="407"/>
      <c r="D41" s="407"/>
      <c r="E41" s="407"/>
      <c r="F41" s="407"/>
      <c r="G41" s="407"/>
      <c r="H41" s="407" t="str">
        <f>Cen!B208</f>
        <v>ZIF.80M7</v>
      </c>
      <c r="I41" s="407" t="str">
        <f>Cen!C208</f>
        <v>WGR</v>
      </c>
      <c r="J41" s="408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91">
        <f>IF($U$2=4, 0, $E$30)</f>
        <v>0</v>
      </c>
      <c r="T41" s="386">
        <f>Cen!F125</f>
        <v>15.88349</v>
      </c>
      <c r="U41" s="387">
        <f t="shared" si="2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91">
        <f>IF($U$2=4, 0, $F$30)</f>
        <v>0</v>
      </c>
      <c r="T42" s="386">
        <f>Cen!F126</f>
        <v>15.883479999999999</v>
      </c>
      <c r="U42" s="387">
        <f t="shared" si="2"/>
        <v>0</v>
      </c>
    </row>
    <row r="43" spans="1:21" x14ac:dyDescent="0.25">
      <c r="A43" s="114"/>
      <c r="B43" s="114" t="str">
        <f>"      * "&amp;List!$B$144</f>
        <v xml:space="preserve">      * Pro každý výsuv je započítán jeden přední díl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91">
        <f>IF($U$2=4, 0, $G$30)</f>
        <v>0</v>
      </c>
      <c r="T43" s="386">
        <f>Cen!F127</f>
        <v>15.883479999999999</v>
      </c>
      <c r="U43" s="387">
        <f t="shared" si="2"/>
        <v>0</v>
      </c>
    </row>
    <row r="44" spans="1:21" x14ac:dyDescent="0.25">
      <c r="A44" s="114"/>
      <c r="B44" s="114" t="str">
        <f>"        "&amp;List!$B$146</f>
        <v xml:space="preserve">        Potřebný počet předních dílů upravte v objednávce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91">
        <f>IF($U$2=4, 0, $H$30)</f>
        <v>0</v>
      </c>
      <c r="T44" s="386">
        <f>Cen!F128</f>
        <v>15.883479999999999</v>
      </c>
      <c r="U44" s="387">
        <f t="shared" si="2"/>
        <v>0</v>
      </c>
    </row>
    <row r="45" spans="1:21" x14ac:dyDescent="0.25">
      <c r="A45" s="114"/>
      <c r="B45" s="114" t="str">
        <f>"    ** "&amp;List!$B$151&amp;"!"</f>
        <v xml:space="preserve">    ** Cena úchytek není zahrnuta do cen jednotlivých výsuvů!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2"/>
        <v>0</v>
      </c>
    </row>
    <row r="47" spans="1:21" ht="13" x14ac:dyDescent="0.3">
      <c r="B47" s="277" t="str">
        <f>IF(OR($K$14&gt;0, $L$14&gt;0), List!$B$196, " ")</f>
        <v xml:space="preserve"> </v>
      </c>
      <c r="C47" s="277"/>
      <c r="D47" s="277"/>
      <c r="E47" s="277"/>
      <c r="F47" s="277"/>
      <c r="G47" s="277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2"/>
        <v>0</v>
      </c>
    </row>
    <row r="48" spans="1:21" ht="13" x14ac:dyDescent="0.3">
      <c r="B48" s="277" t="str">
        <f>IF(OR($K$14&gt;0, $L$14&gt;0), List!$B$200, " ")</f>
        <v xml:space="preserve"> </v>
      </c>
      <c r="C48" s="277"/>
      <c r="D48" s="277"/>
      <c r="E48" s="277"/>
      <c r="F48" s="277"/>
      <c r="G48" s="277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2"/>
        <v>0</v>
      </c>
    </row>
    <row r="49" spans="16:21" x14ac:dyDescent="0.25"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2"/>
        <v>0</v>
      </c>
    </row>
    <row r="50" spans="16:21" x14ac:dyDescent="0.25"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2"/>
        <v>0</v>
      </c>
    </row>
    <row r="51" spans="16:21" x14ac:dyDescent="0.25">
      <c r="P51" s="123"/>
      <c r="Q51" s="123"/>
      <c r="R51" s="123"/>
      <c r="S51" s="385"/>
      <c r="T51" s="386"/>
      <c r="U51" s="387"/>
    </row>
    <row r="52" spans="16:21" x14ac:dyDescent="0.25"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63" si="3">S52*T52</f>
        <v>0</v>
      </c>
    </row>
    <row r="53" spans="16:21" x14ac:dyDescent="0.25"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 t="shared" si="3"/>
        <v>0</v>
      </c>
    </row>
    <row r="54" spans="16:21" x14ac:dyDescent="0.25"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>
        <f>SUM($S$3:$S$11)</f>
        <v>0</v>
      </c>
      <c r="T54" s="386">
        <f>Cen!F151</f>
        <v>2.4067799999999999</v>
      </c>
      <c r="U54" s="387">
        <f t="shared" si="3"/>
        <v>0</v>
      </c>
    </row>
    <row r="55" spans="16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3"/>
        <v>0</v>
      </c>
    </row>
    <row r="56" spans="16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3"/>
        <v>0</v>
      </c>
    </row>
    <row r="57" spans="16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/>
      <c r="T57" s="386">
        <f>Cen!F162</f>
        <v>2.93709</v>
      </c>
      <c r="U57" s="387">
        <f t="shared" si="3"/>
        <v>0</v>
      </c>
    </row>
    <row r="58" spans="16:21" x14ac:dyDescent="0.25">
      <c r="P58" s="123"/>
      <c r="Q58" s="123"/>
      <c r="R58" s="123"/>
      <c r="S58" s="385"/>
      <c r="T58" s="386"/>
      <c r="U58" s="387">
        <f t="shared" si="3"/>
        <v>0</v>
      </c>
    </row>
    <row r="59" spans="16:21" x14ac:dyDescent="0.25">
      <c r="P59" s="123" t="str">
        <f>Cen!A182</f>
        <v>Držáky čela vnitřní zásuvky K, bílošedé</v>
      </c>
      <c r="Q59" s="123" t="str">
        <f>Cen!B182</f>
        <v>ZIF.71K0</v>
      </c>
      <c r="R59" s="123" t="str">
        <f>Cen!C182</f>
        <v>WGR</v>
      </c>
      <c r="S59" s="385">
        <f>SUM($S$3:$S$11)</f>
        <v>0</v>
      </c>
      <c r="T59" s="402">
        <f>Cen!F182</f>
        <v>5.1253899999999994</v>
      </c>
      <c r="U59" s="387">
        <f t="shared" si="3"/>
        <v>0</v>
      </c>
    </row>
    <row r="60" spans="16:21" x14ac:dyDescent="0.25">
      <c r="P60" s="123" t="str">
        <f>Cen!A194</f>
        <v>Přední díl vnitřní zásuvky, šedý</v>
      </c>
      <c r="Q60" s="123" t="str">
        <f>Cen!B194</f>
        <v xml:space="preserve">Z31L1036A  </v>
      </c>
      <c r="R60" s="123" t="str">
        <f>Cen!C194</f>
        <v>R906</v>
      </c>
      <c r="S60" s="385">
        <f>SUM($S$3:$S$11)</f>
        <v>0</v>
      </c>
      <c r="T60" s="402">
        <f>Cen!F194</f>
        <v>14.286440000000001</v>
      </c>
      <c r="U60" s="387">
        <f t="shared" si="3"/>
        <v>0</v>
      </c>
    </row>
    <row r="61" spans="16:21" x14ac:dyDescent="0.25">
      <c r="P61" s="123" t="str">
        <f>Cen!A199</f>
        <v>Příčný reling vnitřní zásuvky, šedý</v>
      </c>
      <c r="Q61" s="123" t="str">
        <f>Cen!B199</f>
        <v xml:space="preserve">ZRG.1046Z </v>
      </c>
      <c r="R61" s="123" t="str">
        <f>Cen!C199</f>
        <v>R906</v>
      </c>
      <c r="S61" s="385"/>
      <c r="T61" s="402">
        <f>Cen!F199</f>
        <v>6.6514599999999993</v>
      </c>
      <c r="U61" s="387">
        <f t="shared" si="3"/>
        <v>0</v>
      </c>
    </row>
    <row r="62" spans="16:21" x14ac:dyDescent="0.25">
      <c r="P62" s="123" t="str">
        <f>Cen!A204</f>
        <v>Úchytka pro vnirřní zásuvku, bílošedá</v>
      </c>
      <c r="Q62" s="123" t="str">
        <f>Cen!B204</f>
        <v>ZIF.80M5</v>
      </c>
      <c r="R62" s="123" t="str">
        <f>Cen!C204</f>
        <v>WGR</v>
      </c>
      <c r="S62" s="385">
        <f>IF($U$2=4, 0, $J$40)</f>
        <v>0</v>
      </c>
      <c r="T62" s="402">
        <f>Cen!F204</f>
        <v>4.0720000000000001</v>
      </c>
      <c r="U62" s="387">
        <f t="shared" si="3"/>
        <v>0</v>
      </c>
    </row>
    <row r="63" spans="16:21" x14ac:dyDescent="0.25">
      <c r="P63" s="123" t="str">
        <f>Cen!A208</f>
        <v>Úchytka a unašeč pro vnirřní zásuvku, bílošedá</v>
      </c>
      <c r="Q63" s="123" t="str">
        <f>Cen!B208</f>
        <v>ZIF.80M7</v>
      </c>
      <c r="R63" s="123" t="str">
        <f>Cen!C208</f>
        <v>WGR</v>
      </c>
      <c r="S63" s="385">
        <f>IF($U$2=4, 0, $J$41)</f>
        <v>0</v>
      </c>
      <c r="T63" s="402">
        <f>Cen!F208</f>
        <v>6.2968700000000002</v>
      </c>
      <c r="U63" s="387">
        <f t="shared" si="3"/>
        <v>0</v>
      </c>
    </row>
    <row r="70" spans="16:21" x14ac:dyDescent="0.25">
      <c r="U70" s="436">
        <f>SUM(U3:U69)</f>
        <v>0</v>
      </c>
    </row>
    <row r="80" spans="16:21" x14ac:dyDescent="0.25">
      <c r="P80" s="114" t="str">
        <f>List!$B$276&amp;"!"</f>
        <v>S0 a S1 pouze pro jmenovitou délku 270 a 300 mm!</v>
      </c>
    </row>
    <row r="81" spans="16:16" x14ac:dyDescent="0.25">
      <c r="P81" s="114" t="str">
        <f>List!$B$277&amp;"!"</f>
        <v>Pro výsuvy délky 270 a 300 mm vyberte jednotky S0 nebo S1!</v>
      </c>
    </row>
    <row r="82" spans="16:16" x14ac:dyDescent="0.25">
      <c r="P82" s="114" t="str">
        <f>List!$B$278&amp;"!"</f>
        <v>Počet jednotek L neodpovídá počtu korpusových lišt!</v>
      </c>
    </row>
    <row r="83" spans="16:16" x14ac:dyDescent="0.25">
      <c r="P83" s="114" t="str">
        <f>List!$B$279&amp;"!"</f>
        <v>Počet jednotek S neodpovídá počtu korpusových lišt!</v>
      </c>
    </row>
    <row r="84" spans="16:16" x14ac:dyDescent="0.25">
      <c r="P84" s="114"/>
    </row>
    <row r="85" spans="16:16" x14ac:dyDescent="0.25">
      <c r="P85" s="114" t="str">
        <f>List!$B$288&amp;"!"</f>
        <v>Zásuvky K se v provedení nerez (Inox) nevyrábí!</v>
      </c>
    </row>
    <row r="86" spans="16:16" x14ac:dyDescent="0.25">
      <c r="P86" s="114" t="str">
        <f>List!$B$290&amp;"!"</f>
        <v>Kování naplánované na tomto listu se neprojeví v objednávce!</v>
      </c>
    </row>
    <row r="100" spans="1:12" x14ac:dyDescent="0.25">
      <c r="A100" s="577"/>
    </row>
    <row r="101" spans="1:12" x14ac:dyDescent="0.25">
      <c r="A101" s="577"/>
      <c r="B101" s="586" t="str">
        <f>List!B25</f>
        <v>Informace k objednávání</v>
      </c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</row>
    <row r="102" spans="1:12" x14ac:dyDescent="0.25">
      <c r="A102" s="577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</row>
    <row r="103" spans="1:12" ht="7.5" customHeight="1" x14ac:dyDescent="0.25">
      <c r="A103" s="577"/>
    </row>
    <row r="104" spans="1:12" ht="18.75" customHeight="1" thickBot="1" x14ac:dyDescent="0.3">
      <c r="A104" s="577"/>
      <c r="B104" s="587"/>
      <c r="C104" s="587"/>
      <c r="D104" s="588" t="str">
        <f>List!B268&amp;" "&amp;List!B283</f>
        <v>Sada jednotek TIP-ON BLUMOTION a sada unašečů TIP-ON BLUMOTION</v>
      </c>
      <c r="E104" s="588"/>
      <c r="F104" s="588"/>
      <c r="G104" s="588"/>
      <c r="H104" s="588"/>
      <c r="I104" s="588"/>
      <c r="J104" s="588"/>
      <c r="K104" s="588"/>
      <c r="L104" s="588"/>
    </row>
    <row r="105" spans="1:12" ht="18.75" customHeight="1" thickBot="1" x14ac:dyDescent="0.3">
      <c r="A105" s="577"/>
      <c r="B105" s="589"/>
      <c r="C105" s="590"/>
      <c r="D105" s="593" t="str">
        <f>List!$B$280&amp;":"</f>
        <v>Využití pro:</v>
      </c>
      <c r="E105" s="594"/>
      <c r="F105" s="594"/>
      <c r="G105" s="594"/>
      <c r="H105" s="594"/>
      <c r="I105" s="595"/>
      <c r="J105" s="596" t="str">
        <f>List!B281&amp;"*"</f>
        <v>Doporučené hodnoty hmotnosti*</v>
      </c>
      <c r="K105" s="597"/>
      <c r="L105" s="597"/>
    </row>
    <row r="106" spans="1:12" ht="18.75" customHeight="1" thickBot="1" x14ac:dyDescent="0.3">
      <c r="A106" s="577"/>
      <c r="B106" s="591"/>
      <c r="C106" s="592"/>
      <c r="D106" s="600" t="str">
        <f>List!B45&amp;" (NL)"</f>
        <v>Jmenovitá délka (NL)</v>
      </c>
      <c r="E106" s="600"/>
      <c r="F106" s="600"/>
      <c r="G106" s="362" t="str">
        <f>List!B275</f>
        <v>Jednotka</v>
      </c>
      <c r="H106" s="601" t="str">
        <f>List!B88</f>
        <v>Číslo artiklu</v>
      </c>
      <c r="I106" s="602"/>
      <c r="J106" s="598"/>
      <c r="K106" s="599"/>
      <c r="L106" s="599"/>
    </row>
    <row r="107" spans="1:12" ht="18.75" customHeight="1" thickBot="1" x14ac:dyDescent="0.3">
      <c r="A107" s="577"/>
      <c r="B107" s="591"/>
      <c r="C107" s="592"/>
      <c r="D107" s="603" t="s">
        <v>988</v>
      </c>
      <c r="E107" s="604"/>
      <c r="F107" s="605"/>
      <c r="G107" s="363" t="s">
        <v>932</v>
      </c>
      <c r="H107" s="610" t="s">
        <v>997</v>
      </c>
      <c r="I107" s="611"/>
      <c r="J107" s="371" t="s">
        <v>999</v>
      </c>
      <c r="K107" s="369"/>
      <c r="L107" s="369"/>
    </row>
    <row r="108" spans="1:12" ht="18.75" customHeight="1" thickBot="1" x14ac:dyDescent="0.3">
      <c r="A108" s="577"/>
      <c r="B108" s="591"/>
      <c r="C108" s="592"/>
      <c r="D108" s="606"/>
      <c r="E108" s="607"/>
      <c r="F108" s="608"/>
      <c r="G108" s="363" t="s">
        <v>933</v>
      </c>
      <c r="H108" s="610" t="s">
        <v>989</v>
      </c>
      <c r="I108" s="611"/>
      <c r="J108" s="371" t="s">
        <v>998</v>
      </c>
      <c r="K108" s="364"/>
      <c r="L108" s="364"/>
    </row>
    <row r="109" spans="1:12" ht="18.75" customHeight="1" thickBot="1" x14ac:dyDescent="0.3">
      <c r="A109" s="577"/>
      <c r="B109" s="591"/>
      <c r="C109" s="592"/>
      <c r="D109" s="603" t="s">
        <v>991</v>
      </c>
      <c r="E109" s="604"/>
      <c r="F109" s="605"/>
      <c r="G109" s="363" t="s">
        <v>934</v>
      </c>
      <c r="H109" s="610" t="s">
        <v>992</v>
      </c>
      <c r="I109" s="611"/>
      <c r="J109" s="371" t="s">
        <v>990</v>
      </c>
      <c r="K109" s="364"/>
      <c r="L109" s="364"/>
    </row>
    <row r="110" spans="1:12" ht="18.75" customHeight="1" thickBot="1" x14ac:dyDescent="0.3">
      <c r="A110" s="577"/>
      <c r="B110" s="591"/>
      <c r="C110" s="592"/>
      <c r="D110" s="612"/>
      <c r="E110" s="613"/>
      <c r="F110" s="614"/>
      <c r="G110" s="363" t="s">
        <v>935</v>
      </c>
      <c r="H110" s="610" t="s">
        <v>993</v>
      </c>
      <c r="I110" s="611"/>
      <c r="J110" s="615" t="s">
        <v>1483</v>
      </c>
      <c r="K110" s="616"/>
      <c r="L110" s="364"/>
    </row>
    <row r="111" spans="1:12" ht="18.75" customHeight="1" thickBot="1" x14ac:dyDescent="0.3">
      <c r="A111" s="577"/>
      <c r="B111" s="591"/>
      <c r="C111" s="592"/>
      <c r="D111" s="606"/>
      <c r="E111" s="607"/>
      <c r="F111" s="608"/>
      <c r="G111" s="363" t="s">
        <v>936</v>
      </c>
      <c r="H111" s="610" t="s">
        <v>995</v>
      </c>
      <c r="I111" s="611"/>
      <c r="J111" s="365"/>
      <c r="K111" s="616" t="s">
        <v>996</v>
      </c>
      <c r="L111" s="616"/>
    </row>
    <row r="112" spans="1:12" ht="18.75" customHeight="1" x14ac:dyDescent="0.25">
      <c r="A112" s="577"/>
      <c r="B112" s="591"/>
      <c r="C112" s="592"/>
      <c r="D112" s="366"/>
      <c r="E112" s="366"/>
      <c r="F112" s="366"/>
      <c r="G112" s="367"/>
      <c r="H112" s="609" t="str">
        <f>"* "&amp;List!B282</f>
        <v>* Celková hmotnost výsuvu (hmotnost výsuvu včetně náplně)</v>
      </c>
      <c r="I112" s="609"/>
      <c r="J112" s="609"/>
      <c r="K112" s="609"/>
      <c r="L112" s="609"/>
    </row>
    <row r="113" spans="1:14" ht="18.75" customHeight="1" x14ac:dyDescent="0.25">
      <c r="A113" s="577"/>
      <c r="B113" s="591"/>
      <c r="C113" s="592"/>
      <c r="D113" s="366"/>
      <c r="E113" s="366"/>
      <c r="F113" s="366"/>
      <c r="G113" s="368"/>
      <c r="H113" s="609"/>
      <c r="I113" s="609"/>
      <c r="J113" s="609"/>
      <c r="K113" s="609"/>
      <c r="L113" s="609"/>
    </row>
    <row r="114" spans="1:14" ht="18.75" customHeight="1" x14ac:dyDescent="0.25">
      <c r="A114" s="577"/>
      <c r="N114" s="370" t="str">
        <f>List!$B$99</f>
        <v>Zpět</v>
      </c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  <row r="141" spans="1:1" x14ac:dyDescent="0.25">
      <c r="A141" s="577"/>
    </row>
  </sheetData>
  <sheetProtection algorithmName="SHA-512" hashValue="nQie6CW7YzyjbDfjIXVLIL8RzHZKXjHLovbL91mAU53n6CLCCJfOwOVc45IGvDKRpj1A+RdzZPz6/OaR4WWOmw==" saltValue="YC6cLopkmRBU2IW/UG4C7w==" spinCount="100000" sheet="1" objects="1" scenarios="1"/>
  <mergeCells count="19">
    <mergeCell ref="J110:K110"/>
    <mergeCell ref="H111:I111"/>
    <mergeCell ref="K111:L111"/>
    <mergeCell ref="A100:A141"/>
    <mergeCell ref="B101:L102"/>
    <mergeCell ref="B104:C104"/>
    <mergeCell ref="D104:L104"/>
    <mergeCell ref="B105:C113"/>
    <mergeCell ref="D105:I105"/>
    <mergeCell ref="J105:L106"/>
    <mergeCell ref="D106:F106"/>
    <mergeCell ref="H106:I106"/>
    <mergeCell ref="D107:F108"/>
    <mergeCell ref="H112:L113"/>
    <mergeCell ref="H107:I107"/>
    <mergeCell ref="H108:I108"/>
    <mergeCell ref="D109:F111"/>
    <mergeCell ref="H109:I109"/>
    <mergeCell ref="H110:I110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10" location="Sum!A1" tooltip=" " display="Sum!A1"/>
    <hyperlink ref="N8" location="SD!A1" tooltip=" " display="SD!A1"/>
    <hyperlink ref="N28" location="AK30V!A100" tooltip=" " display="AK30V!A100"/>
    <hyperlink ref="N114" location="AK30V!A1" tooltip=" " display="AK30V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140"/>
  <sheetViews>
    <sheetView showGridLines="0" showRowColHeaders="0" zoomScaleNormal="10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1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D, "&amp;List!$B$62</f>
        <v>Čelní výsuv D, zásuvný prvek sklo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</row>
    <row r="3" spans="1:21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SUM($D$19, $D$25)</f>
        <v>0</v>
      </c>
      <c r="T3" s="386">
        <f>Cen!F28</f>
        <v>16.219809999999999</v>
      </c>
      <c r="U3" s="387">
        <f t="shared" ref="U3:U38" si="0">S3*T3</f>
        <v>0</v>
      </c>
    </row>
    <row r="4" spans="1:21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SUM($E$19, $E$25)</f>
        <v>0</v>
      </c>
      <c r="T4" s="386">
        <f>Cen!F32</f>
        <v>16.219809999999999</v>
      </c>
      <c r="U4" s="387">
        <f t="shared" si="0"/>
        <v>0</v>
      </c>
    </row>
    <row r="5" spans="1:21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SUM($F$19, $F$25)</f>
        <v>0</v>
      </c>
      <c r="T5" s="386">
        <f>Cen!F36</f>
        <v>16.219809999999999</v>
      </c>
      <c r="U5" s="387">
        <f t="shared" si="0"/>
        <v>0</v>
      </c>
    </row>
    <row r="6" spans="1:21" x14ac:dyDescent="0.25">
      <c r="A6" s="114"/>
      <c r="B6" s="114"/>
      <c r="C6" s="114"/>
      <c r="D6" s="114"/>
      <c r="E6" s="114"/>
      <c r="F6" s="114"/>
      <c r="G6" s="114"/>
      <c r="H6" s="114"/>
      <c r="I6" s="117" t="str">
        <f>List!$B$32&amp;":"</f>
        <v>sklo:</v>
      </c>
      <c r="J6" s="117"/>
      <c r="K6" s="116" t="str">
        <f>Form!$O$8</f>
        <v>čiré</v>
      </c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SUM($G$19, $G$25)</f>
        <v>0</v>
      </c>
      <c r="T6" s="386">
        <f>Cen!F40</f>
        <v>16.366499999999998</v>
      </c>
      <c r="U6" s="387">
        <f t="shared" si="0"/>
        <v>0</v>
      </c>
    </row>
    <row r="7" spans="1:21" ht="13" thickBot="1" x14ac:dyDescent="0.3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SUM($H$19:$H$20, $H$25:$H$26)</f>
        <v>0</v>
      </c>
      <c r="T7" s="386">
        <f>Cen!F44</f>
        <v>16.513179999999998</v>
      </c>
      <c r="U7" s="387">
        <f t="shared" si="0"/>
        <v>0</v>
      </c>
    </row>
    <row r="8" spans="1:21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SUM($I$19:$I$20, $I$25:$I$26)</f>
        <v>0</v>
      </c>
      <c r="T8" s="389">
        <f>Cen!F48</f>
        <v>16.6599</v>
      </c>
      <c r="U8" s="390">
        <f t="shared" si="0"/>
        <v>0</v>
      </c>
    </row>
    <row r="9" spans="1:21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SUM($J$19:$J$20, $J$25:$J$26)</f>
        <v>0</v>
      </c>
      <c r="T9" s="386">
        <f>Cen!F52</f>
        <v>18.128509999999999</v>
      </c>
      <c r="U9" s="387">
        <f t="shared" si="0"/>
        <v>0</v>
      </c>
    </row>
    <row r="10" spans="1:21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SUM($K$19:$K$20, $K$25:$K$26)</f>
        <v>0</v>
      </c>
      <c r="T10" s="386">
        <f>Cen!F56</f>
        <v>22.41141</v>
      </c>
      <c r="U10" s="387">
        <f t="shared" si="0"/>
        <v>0</v>
      </c>
    </row>
    <row r="11" spans="1:21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SUM($L$20, $L$26)</f>
        <v>0</v>
      </c>
      <c r="T11" s="386">
        <f>Cen!F60</f>
        <v>23.512640000000001</v>
      </c>
      <c r="U11" s="387">
        <f t="shared" si="0"/>
        <v>0</v>
      </c>
    </row>
    <row r="12" spans="1:21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1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$D$19</f>
        <v>0</v>
      </c>
      <c r="T13" s="386">
        <f>Cen!F94</f>
        <v>16.390229999999999</v>
      </c>
      <c r="U13" s="387">
        <f t="shared" si="0"/>
        <v>0</v>
      </c>
    </row>
    <row r="14" spans="1:21" ht="13" x14ac:dyDescent="0.3">
      <c r="A14" s="114"/>
      <c r="B14" s="114"/>
      <c r="C14" s="114"/>
      <c r="D14" s="114"/>
      <c r="E14" s="114"/>
      <c r="F14" s="114"/>
      <c r="G14" s="114"/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$E$19</f>
        <v>0</v>
      </c>
      <c r="T14" s="386">
        <f>Cen!F95</f>
        <v>16.390229999999999</v>
      </c>
      <c r="U14" s="387">
        <f t="shared" si="0"/>
        <v>0</v>
      </c>
    </row>
    <row r="15" spans="1:21" x14ac:dyDescent="0.25">
      <c r="A15" s="114"/>
      <c r="B15" s="114"/>
      <c r="C15" s="114"/>
      <c r="D15" s="114"/>
      <c r="E15" s="114"/>
      <c r="F15" s="114"/>
      <c r="G15" s="114"/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$F$19</f>
        <v>0</v>
      </c>
      <c r="T15" s="386">
        <f>Cen!F96</f>
        <v>16.390229999999999</v>
      </c>
      <c r="U15" s="387">
        <f t="shared" si="0"/>
        <v>0</v>
      </c>
    </row>
    <row r="16" spans="1:2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$G$19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$H$19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$H$20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847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$I$19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848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$I$20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$J$19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$J$20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$K$19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$K$20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849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$L$20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850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91">
        <f>$D$25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91">
        <f>$E$25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91">
        <f>$F$25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405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91">
        <f>$G$25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91">
        <f>$H$25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91">
        <f>$H$26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$I$25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$I$26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$J$25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$J$26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$K$25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$K$26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3" t="str">
        <f>Cen!A121</f>
        <v>Korp. lišty TIP-ON BLUMOTION, 650mm, 65 kg</v>
      </c>
      <c r="Q38" s="123" t="str">
        <f>Cen!B121</f>
        <v>576.6501M</v>
      </c>
      <c r="R38" s="123" t="str">
        <f>Cen!C121</f>
        <v>ZN</v>
      </c>
      <c r="S38" s="385">
        <f>$L$26</f>
        <v>0</v>
      </c>
      <c r="T38" s="386">
        <f>Cen!F121</f>
        <v>26.813510000000001</v>
      </c>
      <c r="U38" s="387">
        <f t="shared" si="0"/>
        <v>0</v>
      </c>
    </row>
    <row r="39" spans="1:21" ht="13" x14ac:dyDescent="0.3">
      <c r="A39" s="114"/>
      <c r="B39" s="315"/>
      <c r="C39" s="315"/>
      <c r="D39" s="315"/>
      <c r="E39" s="315"/>
      <c r="F39" s="315"/>
      <c r="G39" s="315"/>
      <c r="H39" s="183"/>
      <c r="I39" s="183"/>
      <c r="J39" s="183"/>
      <c r="K39" s="183"/>
      <c r="L39" s="183"/>
      <c r="M39" s="114"/>
      <c r="N39" s="114"/>
      <c r="O39" s="114"/>
      <c r="P39" s="123"/>
      <c r="Q39" s="123"/>
      <c r="R39" s="123"/>
      <c r="S39" s="385"/>
      <c r="T39" s="386"/>
      <c r="U39" s="387"/>
    </row>
    <row r="40" spans="1:21" x14ac:dyDescent="0.25">
      <c r="A40" s="114"/>
      <c r="B40" s="183"/>
      <c r="C40" s="183"/>
      <c r="D40" s="183"/>
      <c r="E40" s="183"/>
      <c r="F40" s="183"/>
      <c r="G40" s="183"/>
      <c r="H40" s="183"/>
      <c r="I40" s="183"/>
      <c r="J40" s="246"/>
      <c r="K40" s="399"/>
      <c r="L40" s="400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$D$30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83"/>
      <c r="C41" s="183"/>
      <c r="D41" s="183"/>
      <c r="E41" s="183"/>
      <c r="F41" s="183"/>
      <c r="G41" s="183"/>
      <c r="H41" s="183"/>
      <c r="I41" s="183"/>
      <c r="J41" s="246"/>
      <c r="K41" s="400"/>
      <c r="L41" s="400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$E$30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83"/>
      <c r="C42" s="183"/>
      <c r="D42" s="183"/>
      <c r="E42" s="183"/>
      <c r="F42" s="183"/>
      <c r="G42" s="183"/>
      <c r="H42" s="183"/>
      <c r="I42" s="183"/>
      <c r="J42" s="246"/>
      <c r="K42" s="400"/>
      <c r="L42" s="400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$F$30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83"/>
      <c r="C43" s="183"/>
      <c r="D43" s="183"/>
      <c r="E43" s="183"/>
      <c r="F43" s="183"/>
      <c r="G43" s="183"/>
      <c r="H43" s="183"/>
      <c r="I43" s="183"/>
      <c r="J43" s="246"/>
      <c r="K43" s="400"/>
      <c r="L43" s="400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$G$30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83"/>
      <c r="C44" s="183"/>
      <c r="D44" s="183"/>
      <c r="E44" s="183"/>
      <c r="F44" s="183"/>
      <c r="G44" s="183"/>
      <c r="H44" s="183"/>
      <c r="I44" s="183"/>
      <c r="J44" s="246"/>
      <c r="K44" s="400"/>
      <c r="L44" s="400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$H$30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83"/>
      <c r="C45" s="183"/>
      <c r="D45" s="183"/>
      <c r="E45" s="183"/>
      <c r="F45" s="183"/>
      <c r="G45" s="183"/>
      <c r="H45" s="183"/>
      <c r="I45" s="183"/>
      <c r="J45" s="246"/>
      <c r="K45" s="400"/>
      <c r="L45" s="400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83"/>
      <c r="C46" s="183"/>
      <c r="D46" s="183"/>
      <c r="E46" s="183"/>
      <c r="F46" s="183"/>
      <c r="G46" s="183"/>
      <c r="H46" s="183"/>
      <c r="I46" s="183"/>
      <c r="J46" s="246"/>
      <c r="K46" s="400"/>
      <c r="L46" s="400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83"/>
      <c r="C47" s="183"/>
      <c r="D47" s="183"/>
      <c r="E47" s="183"/>
      <c r="F47" s="183"/>
      <c r="G47" s="183"/>
      <c r="H47" s="183"/>
      <c r="I47" s="183"/>
      <c r="J47" s="246"/>
      <c r="K47" s="400"/>
      <c r="L47" s="400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83"/>
      <c r="C48" s="183"/>
      <c r="D48" s="183"/>
      <c r="E48" s="183"/>
      <c r="F48" s="183"/>
      <c r="G48" s="183"/>
      <c r="H48" s="183"/>
      <c r="I48" s="183"/>
      <c r="J48" s="246"/>
      <c r="K48" s="400"/>
      <c r="L48" s="400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83"/>
      <c r="C49" s="183"/>
      <c r="D49" s="183"/>
      <c r="E49" s="183"/>
      <c r="F49" s="183"/>
      <c r="G49" s="183"/>
      <c r="H49" s="183"/>
      <c r="I49" s="183"/>
      <c r="J49" s="246"/>
      <c r="K49" s="400"/>
      <c r="L49" s="400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83"/>
      <c r="C50" s="183"/>
      <c r="D50" s="183"/>
      <c r="E50" s="183"/>
      <c r="F50" s="183"/>
      <c r="G50" s="183"/>
      <c r="H50" s="183"/>
      <c r="I50" s="183"/>
      <c r="J50" s="246"/>
      <c r="K50" s="400"/>
      <c r="L50" s="400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83"/>
      <c r="C51" s="183"/>
      <c r="D51" s="183"/>
      <c r="E51" s="183"/>
      <c r="F51" s="183"/>
      <c r="G51" s="183"/>
      <c r="H51" s="183"/>
      <c r="I51" s="183"/>
      <c r="J51" s="246"/>
      <c r="K51" s="400"/>
      <c r="L51" s="400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:21" ht="13" x14ac:dyDescent="0.3">
      <c r="B53" s="277" t="str">
        <f>IF(OR($K$14&gt;0, $L$14&gt;0), List!$B$196, " ")</f>
        <v xml:space="preserve"> </v>
      </c>
      <c r="C53" s="277"/>
      <c r="D53" s="277"/>
      <c r="E53" s="277"/>
      <c r="F53" s="277"/>
      <c r="G53" s="277"/>
      <c r="N53" s="114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ht="13" x14ac:dyDescent="0.3">
      <c r="B54" s="277" t="str">
        <f>IF(OR($K$14&gt;0, $L$14&gt;0), List!$B$200, " ")</f>
        <v xml:space="preserve"> </v>
      </c>
      <c r="C54" s="277"/>
      <c r="D54" s="277"/>
      <c r="E54" s="277"/>
      <c r="F54" s="277"/>
      <c r="G54" s="277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>S57*T57</f>
        <v>0</v>
      </c>
    </row>
    <row r="58" spans="1:21" x14ac:dyDescent="0.25">
      <c r="P58" s="123"/>
      <c r="Q58" s="123"/>
      <c r="R58" s="123"/>
      <c r="S58" s="385"/>
      <c r="T58" s="386"/>
      <c r="U58" s="387"/>
    </row>
    <row r="59" spans="1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:21" x14ac:dyDescent="0.25">
      <c r="P60" s="123"/>
      <c r="Q60" s="123"/>
      <c r="R60" s="123"/>
      <c r="S60" s="385"/>
      <c r="T60" s="386"/>
      <c r="U60" s="387"/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 t="str">
        <f>Cen!A254</f>
        <v>Zásuvný prvek D, 270mm, čiré sko</v>
      </c>
      <c r="Q75" s="123" t="str">
        <f>Cen!B254</f>
        <v>Z37R237D</v>
      </c>
      <c r="R75" s="123" t="str">
        <f>Cen!C254</f>
        <v>KL</v>
      </c>
      <c r="S75" s="385">
        <f t="shared" ref="S75:S83" si="5">S3</f>
        <v>0</v>
      </c>
      <c r="T75" s="402">
        <f>Cen!F254</f>
        <v>9.78749</v>
      </c>
      <c r="U75" s="387">
        <f t="shared" ref="U75:U83" si="6">S75*T75</f>
        <v>0</v>
      </c>
    </row>
    <row r="76" spans="16:21" x14ac:dyDescent="0.25">
      <c r="P76" s="123" t="str">
        <f>Cen!A256</f>
        <v>Zásuvný prvek D, 300mm, čiré sko</v>
      </c>
      <c r="Q76" s="123" t="str">
        <f>Cen!B256</f>
        <v>Z37R267D</v>
      </c>
      <c r="R76" s="123" t="str">
        <f>Cen!C256</f>
        <v>KL</v>
      </c>
      <c r="S76" s="385">
        <f t="shared" si="5"/>
        <v>0</v>
      </c>
      <c r="T76" s="402">
        <f>Cen!F256</f>
        <v>10.956569999999999</v>
      </c>
      <c r="U76" s="387">
        <f t="shared" si="6"/>
        <v>0</v>
      </c>
    </row>
    <row r="77" spans="16:21" x14ac:dyDescent="0.25">
      <c r="P77" s="123" t="str">
        <f>Cen!A258</f>
        <v>Zásuvný prvek D, 350mm, čiré sko</v>
      </c>
      <c r="Q77" s="123" t="str">
        <f>Cen!B258</f>
        <v>Z37R317D</v>
      </c>
      <c r="R77" s="123" t="str">
        <f>Cen!C258</f>
        <v>KL</v>
      </c>
      <c r="S77" s="385">
        <f t="shared" si="5"/>
        <v>0</v>
      </c>
      <c r="T77" s="402">
        <f>Cen!F258</f>
        <v>10.55153</v>
      </c>
      <c r="U77" s="387">
        <f t="shared" si="6"/>
        <v>0</v>
      </c>
    </row>
    <row r="78" spans="16:21" x14ac:dyDescent="0.25">
      <c r="P78" s="123" t="str">
        <f>Cen!A260</f>
        <v>Zásuvný prvek D, 400mm, čiré sko</v>
      </c>
      <c r="Q78" s="123" t="str">
        <f>Cen!B260</f>
        <v>Z37R367D</v>
      </c>
      <c r="R78" s="123" t="str">
        <f>Cen!C260</f>
        <v>KL</v>
      </c>
      <c r="S78" s="385">
        <f t="shared" si="5"/>
        <v>0</v>
      </c>
      <c r="T78" s="402">
        <f>Cen!F260</f>
        <v>11.739190000000001</v>
      </c>
      <c r="U78" s="387">
        <f t="shared" si="6"/>
        <v>0</v>
      </c>
    </row>
    <row r="79" spans="16:21" x14ac:dyDescent="0.25">
      <c r="P79" s="123" t="str">
        <f>Cen!A262</f>
        <v>Zásuvný prvek D, 450mm, čiré sko</v>
      </c>
      <c r="Q79" s="123" t="str">
        <f>Cen!B262</f>
        <v>Z37R417D</v>
      </c>
      <c r="R79" s="123" t="str">
        <f>Cen!C262</f>
        <v>KL</v>
      </c>
      <c r="S79" s="385">
        <f t="shared" si="5"/>
        <v>0</v>
      </c>
      <c r="T79" s="402">
        <f>Cen!F262</f>
        <v>14.23917</v>
      </c>
      <c r="U79" s="387">
        <f t="shared" si="6"/>
        <v>0</v>
      </c>
    </row>
    <row r="80" spans="16:21" x14ac:dyDescent="0.25">
      <c r="P80" s="123" t="str">
        <f>Cen!A264</f>
        <v>Zásuvný prvek D, 500mm, čiré sko</v>
      </c>
      <c r="Q80" s="123" t="str">
        <f>Cen!B264</f>
        <v>Z37R467D</v>
      </c>
      <c r="R80" s="123" t="str">
        <f>Cen!C264</f>
        <v>KL</v>
      </c>
      <c r="S80" s="385">
        <f t="shared" si="5"/>
        <v>0</v>
      </c>
      <c r="T80" s="402">
        <f>Cen!F264</f>
        <v>11.697749999999999</v>
      </c>
      <c r="U80" s="387">
        <f t="shared" si="6"/>
        <v>0</v>
      </c>
    </row>
    <row r="81" spans="16:21" x14ac:dyDescent="0.25">
      <c r="P81" s="123" t="str">
        <f>Cen!A266</f>
        <v>Zásuvný prvek D, 550mm, čiré sko</v>
      </c>
      <c r="Q81" s="123" t="str">
        <f>Cen!B266</f>
        <v>Z37R517D</v>
      </c>
      <c r="R81" s="123" t="str">
        <f>Cen!C266</f>
        <v>KL</v>
      </c>
      <c r="S81" s="385">
        <f t="shared" si="5"/>
        <v>0</v>
      </c>
      <c r="T81" s="402">
        <f>Cen!F266</f>
        <v>13.304410000000001</v>
      </c>
      <c r="U81" s="387">
        <f t="shared" si="6"/>
        <v>0</v>
      </c>
    </row>
    <row r="82" spans="16:21" x14ac:dyDescent="0.25">
      <c r="P82" s="123" t="str">
        <f>Cen!A268</f>
        <v>Zásuvný prvek D, 600mm, čiré sko</v>
      </c>
      <c r="Q82" s="123" t="str">
        <f>Cen!B268</f>
        <v>Z37R567D</v>
      </c>
      <c r="R82" s="123" t="str">
        <f>Cen!C268</f>
        <v>KL</v>
      </c>
      <c r="S82" s="385">
        <f t="shared" si="5"/>
        <v>0</v>
      </c>
      <c r="T82" s="402">
        <f>Cen!F268</f>
        <v>14.08703</v>
      </c>
      <c r="U82" s="387">
        <f t="shared" si="6"/>
        <v>0</v>
      </c>
    </row>
    <row r="83" spans="16:21" x14ac:dyDescent="0.25">
      <c r="P83" s="123" t="str">
        <f>Cen!A270</f>
        <v>Zásuvný prvek D, 650mm, čiré sko</v>
      </c>
      <c r="Q83" s="123" t="str">
        <f>Cen!B270</f>
        <v>Z37R617D</v>
      </c>
      <c r="R83" s="123" t="str">
        <f>Cen!C270</f>
        <v>KL</v>
      </c>
      <c r="S83" s="385">
        <f t="shared" si="5"/>
        <v>0</v>
      </c>
      <c r="T83" s="402">
        <f>Cen!F270</f>
        <v>13.988720000000001</v>
      </c>
      <c r="U83" s="387">
        <f t="shared" si="6"/>
        <v>0</v>
      </c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>
        <v>556</v>
      </c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iK0g7W92+D7Di5QhUHD+RbQrWrZo7yJp5nZowdQpOEqvoxgRoyq28Q0rYzMA+2aW+5W933Q1Acc7NIt4V0F1/A==" saltValue="Y/l3bRu+D+/wFSqULqMyLA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9" location="OL!A1" tooltip=" " display="ORGA-LINE"/>
    <hyperlink ref="N7" location="Acs!A1" tooltip=" " display="Acs!A1"/>
    <hyperlink ref="N10" location="Sum!A1" tooltip=" " display="Sum!A1"/>
    <hyperlink ref="N8" location="SD!A1" tooltip=" " display="SD!A1"/>
    <hyperlink ref="N28" location="AD310G!A100" tooltip=" " display="AD310G!A100"/>
    <hyperlink ref="N113" location="AD310G!A1" tooltip=" " display="AD310G!A1"/>
  </hyperlinks>
  <pageMargins left="0.70866141732283472" right="0.70866141732283472" top="0.78740157480314965" bottom="0.78740157480314965" header="0.31496062992125984" footer="0.31496062992125984"/>
  <pageSetup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140"/>
  <sheetViews>
    <sheetView showGridLines="0" showRowColHeaders="0" workbookViewId="0">
      <selection activeCell="N12" sqref="N12"/>
    </sheetView>
  </sheetViews>
  <sheetFormatPr defaultColWidth="9.1796875" defaultRowHeight="12.5" x14ac:dyDescent="0.25"/>
  <cols>
    <col min="1" max="1" width="3.54296875" style="2" customWidth="1"/>
    <col min="2" max="2" width="10.7265625" style="2" customWidth="1"/>
    <col min="3" max="12" width="9.26953125" style="2" customWidth="1"/>
    <col min="13" max="13" width="5.7265625" style="2" customWidth="1"/>
    <col min="14" max="14" width="25.7265625" style="2" customWidth="1"/>
    <col min="15" max="15" width="9.1796875" style="2"/>
    <col min="16" max="16" width="41" style="2" hidden="1" customWidth="1"/>
    <col min="17" max="17" width="12.7265625" style="2" hidden="1" customWidth="1"/>
    <col min="18" max="21" width="9.1796875" style="2" hidden="1" customWidth="1"/>
    <col min="22" max="22" width="0" style="2" hidden="1" customWidth="1"/>
    <col min="23" max="16384" width="9.1796875" style="2"/>
  </cols>
  <sheetData>
    <row r="1" spans="1:22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2" ht="22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tr">
        <f>List!$B$48&amp;" D, "&amp;List!$B$63</f>
        <v>Čelní výsuv D, kovový zásuvný prvek</v>
      </c>
      <c r="M2" s="114"/>
      <c r="N2" s="2" t="str">
        <f>List!$B$11&amp;":"</f>
        <v>Zpět na:</v>
      </c>
      <c r="O2" s="114"/>
      <c r="P2" s="416" t="s">
        <v>1208</v>
      </c>
      <c r="Q2" s="417">
        <f>SUM(D19:K19)</f>
        <v>0</v>
      </c>
      <c r="R2" s="418">
        <f>SUM(H20:L20)</f>
        <v>0</v>
      </c>
      <c r="S2" s="418">
        <f>SUM(D25:K25)</f>
        <v>0</v>
      </c>
      <c r="T2" s="418">
        <f>SUM(H26:L26)</f>
        <v>0</v>
      </c>
      <c r="U2" s="541">
        <f>Form!N2</f>
        <v>1</v>
      </c>
      <c r="V2" s="2" t="s">
        <v>1478</v>
      </c>
    </row>
    <row r="3" spans="1:22" ht="13" thickBot="1" x14ac:dyDescent="0.3">
      <c r="A3" s="114"/>
      <c r="B3" s="114"/>
      <c r="C3" s="114"/>
      <c r="D3" s="114"/>
      <c r="E3" s="114"/>
      <c r="F3" s="114"/>
      <c r="G3" s="114"/>
      <c r="H3" s="114"/>
      <c r="I3" s="116"/>
      <c r="J3" s="116"/>
      <c r="K3" s="116"/>
      <c r="L3" s="116"/>
      <c r="M3" s="114"/>
      <c r="N3" s="149" t="str">
        <f>" "&amp;List!$B$13</f>
        <v xml:space="preserve"> Úvod</v>
      </c>
      <c r="O3" s="114"/>
      <c r="P3" s="123" t="str">
        <f>Cen!A28</f>
        <v>Bočnice M 270mm, šedé</v>
      </c>
      <c r="Q3" s="123" t="str">
        <f>Cen!B28</f>
        <v>378M2702SA</v>
      </c>
      <c r="R3" s="123" t="str">
        <f>Cen!C28</f>
        <v>R906</v>
      </c>
      <c r="S3" s="385">
        <f>IF($U$2=4, 0, SUM($D$19, $D$25))</f>
        <v>0</v>
      </c>
      <c r="T3" s="386">
        <f>Cen!F28</f>
        <v>16.219809999999999</v>
      </c>
      <c r="U3" s="387">
        <f t="shared" ref="U3:U38" si="0">S3*T3</f>
        <v>0</v>
      </c>
    </row>
    <row r="4" spans="1:22" x14ac:dyDescent="0.25">
      <c r="A4" s="114"/>
      <c r="B4" s="114"/>
      <c r="C4" s="114"/>
      <c r="D4" s="114"/>
      <c r="E4" s="114"/>
      <c r="F4" s="114"/>
      <c r="G4" s="114"/>
      <c r="H4" s="114"/>
      <c r="I4" s="117" t="str">
        <f>List!$B$72&amp;":"</f>
        <v>bočnice:</v>
      </c>
      <c r="J4" s="117"/>
      <c r="K4" s="117" t="s">
        <v>329</v>
      </c>
      <c r="L4" s="117"/>
      <c r="M4" s="114"/>
      <c r="N4" s="150" t="str">
        <f>" "&amp;List!$B$4</f>
        <v xml:space="preserve"> Výběr zásuvek a výsuvů</v>
      </c>
      <c r="O4" s="114"/>
      <c r="P4" s="123" t="str">
        <f>Cen!A32</f>
        <v>Bočnice M 300mm, šedé</v>
      </c>
      <c r="Q4" s="123" t="str">
        <f>Cen!B32</f>
        <v>378M3002SA</v>
      </c>
      <c r="R4" s="123" t="str">
        <f>Cen!C32</f>
        <v>R906</v>
      </c>
      <c r="S4" s="385">
        <f>IF($U$2=4, 0, SUM($E$19, $E$25))</f>
        <v>0</v>
      </c>
      <c r="T4" s="386">
        <f>Cen!F32</f>
        <v>16.219809999999999</v>
      </c>
      <c r="U4" s="387">
        <f t="shared" si="0"/>
        <v>0</v>
      </c>
    </row>
    <row r="5" spans="1:22" x14ac:dyDescent="0.25">
      <c r="A5" s="114"/>
      <c r="B5" s="114"/>
      <c r="C5" s="114"/>
      <c r="D5" s="114"/>
      <c r="E5" s="114"/>
      <c r="F5" s="114"/>
      <c r="G5" s="114"/>
      <c r="H5" s="114"/>
      <c r="I5" s="116" t="str">
        <f>List!$B$27&amp;":"</f>
        <v>barva:</v>
      </c>
      <c r="J5" s="116"/>
      <c r="K5" s="116" t="str">
        <f>Form!$O$2</f>
        <v>šedá</v>
      </c>
      <c r="L5" s="116"/>
      <c r="M5" s="114"/>
      <c r="O5" s="114"/>
      <c r="P5" s="123" t="str">
        <f>Cen!A36</f>
        <v>Bočnice M 350mm, šedé</v>
      </c>
      <c r="Q5" s="123" t="str">
        <f>Cen!B36</f>
        <v>378M3502SA</v>
      </c>
      <c r="R5" s="123" t="str">
        <f>Cen!C36</f>
        <v>R906</v>
      </c>
      <c r="S5" s="385">
        <f>IF($U$2=4, 0, SUM($F$19, $F$25))</f>
        <v>0</v>
      </c>
      <c r="T5" s="386">
        <f>Cen!F36</f>
        <v>16.219809999999999</v>
      </c>
      <c r="U5" s="387">
        <f t="shared" si="0"/>
        <v>0</v>
      </c>
    </row>
    <row r="6" spans="1:22" x14ac:dyDescent="0.25">
      <c r="A6" s="114"/>
      <c r="B6" s="114"/>
      <c r="C6" s="114"/>
      <c r="D6" s="114"/>
      <c r="E6" s="114"/>
      <c r="F6" s="114"/>
      <c r="G6" s="114"/>
      <c r="H6" s="114"/>
      <c r="I6" s="117"/>
      <c r="J6" s="117"/>
      <c r="K6" s="116"/>
      <c r="L6" s="117"/>
      <c r="M6" s="114"/>
      <c r="N6" s="2" t="str">
        <f>List!$B$12&amp;":"</f>
        <v>Pokračovat na:</v>
      </c>
      <c r="O6" s="114"/>
      <c r="P6" s="123" t="str">
        <f>Cen!A40</f>
        <v>Bočnice M 400mm, šedé</v>
      </c>
      <c r="Q6" s="123" t="str">
        <f>Cen!B40</f>
        <v>378M4002SA</v>
      </c>
      <c r="R6" s="123" t="str">
        <f>Cen!C40</f>
        <v>R906</v>
      </c>
      <c r="S6" s="385">
        <f>IF($U$2=4, 0, SUM($G$19, $G$25))</f>
        <v>0</v>
      </c>
      <c r="T6" s="386">
        <f>Cen!F40</f>
        <v>16.366499999999998</v>
      </c>
      <c r="U6" s="387">
        <f t="shared" si="0"/>
        <v>0</v>
      </c>
    </row>
    <row r="7" spans="1:22" ht="13" thickBot="1" x14ac:dyDescent="0.3">
      <c r="A7" s="114"/>
      <c r="B7" s="114"/>
      <c r="C7" s="114"/>
      <c r="D7" s="114"/>
      <c r="E7" s="114"/>
      <c r="F7" s="114"/>
      <c r="G7" s="114"/>
      <c r="H7" s="114"/>
      <c r="I7" s="117" t="str">
        <f>List!$B$36&amp;":"</f>
        <v>čelní kování:</v>
      </c>
      <c r="J7" s="117"/>
      <c r="K7" s="116" t="str">
        <f>Form!$O$13</f>
        <v>INSERTA</v>
      </c>
      <c r="L7" s="117"/>
      <c r="M7" s="114"/>
      <c r="N7" s="149" t="str">
        <f>" "&amp;List!$B$5</f>
        <v xml:space="preserve"> Výběr doplňků</v>
      </c>
      <c r="O7" s="114"/>
      <c r="P7" s="123" t="str">
        <f>Cen!A44</f>
        <v>Bočnice M 450mm, šedé</v>
      </c>
      <c r="Q7" s="123" t="str">
        <f>Cen!B44</f>
        <v>378M4502SA</v>
      </c>
      <c r="R7" s="123" t="str">
        <f>Cen!C44</f>
        <v>R906</v>
      </c>
      <c r="S7" s="385">
        <f>IF($U$2=4, 0, SUM($H$19:$H$20, $H$25:$H$26))</f>
        <v>0</v>
      </c>
      <c r="T7" s="386">
        <f>Cen!F44</f>
        <v>16.513179999999998</v>
      </c>
      <c r="U7" s="387">
        <f t="shared" si="0"/>
        <v>0</v>
      </c>
    </row>
    <row r="8" spans="1:22" ht="13.5" thickBot="1" x14ac:dyDescent="0.3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49" t="str">
        <f>" "&amp;List!$B$6</f>
        <v xml:space="preserve"> Výběr SERVO-DRIVE</v>
      </c>
      <c r="O8" s="114"/>
      <c r="P8" s="388" t="str">
        <f>Cen!A48</f>
        <v>Bočnice M 500mm, šedé</v>
      </c>
      <c r="Q8" s="388" t="str">
        <f>Cen!B48</f>
        <v>378M5002SA</v>
      </c>
      <c r="R8" s="388" t="str">
        <f>Cen!C48</f>
        <v>R906</v>
      </c>
      <c r="S8" s="397">
        <f>IF($U$2=4, 0, SUM($I$19:$I$20, $I$25:$I$26))</f>
        <v>0</v>
      </c>
      <c r="T8" s="389">
        <f>Cen!F48</f>
        <v>16.6599</v>
      </c>
      <c r="U8" s="390">
        <f t="shared" si="0"/>
        <v>0</v>
      </c>
    </row>
    <row r="9" spans="1:22" ht="13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265" t="str">
        <f>" "&amp;List!$B$7</f>
        <v xml:space="preserve"> Výběr ORGA-LINE</v>
      </c>
      <c r="O9" s="114"/>
      <c r="P9" s="123" t="str">
        <f>Cen!A52</f>
        <v>Bočnice M 550mm, šedé</v>
      </c>
      <c r="Q9" s="123" t="str">
        <f>Cen!B52</f>
        <v>378M5502SA</v>
      </c>
      <c r="R9" s="123" t="str">
        <f>Cen!C52</f>
        <v>R906</v>
      </c>
      <c r="S9" s="385">
        <f>IF($U$2=4, 0, SUM($J$19:$J$20, $J$25:$J$26))</f>
        <v>0</v>
      </c>
      <c r="T9" s="386">
        <f>Cen!F52</f>
        <v>18.128509999999999</v>
      </c>
      <c r="U9" s="387">
        <f t="shared" si="0"/>
        <v>0</v>
      </c>
    </row>
    <row r="10" spans="1:22" ht="13" x14ac:dyDescent="0.25">
      <c r="A10" s="114"/>
      <c r="B10" s="114"/>
      <c r="C10" s="114"/>
      <c r="D10" s="114"/>
      <c r="E10" s="114"/>
      <c r="F10" s="114"/>
      <c r="G10" s="114"/>
      <c r="H10" s="114"/>
      <c r="I10" s="8"/>
      <c r="J10" s="8"/>
      <c r="K10" s="114"/>
      <c r="L10" s="114"/>
      <c r="M10" s="114"/>
      <c r="N10" s="150" t="str">
        <f>" "&amp;List!$B$18</f>
        <v xml:space="preserve"> Souhrn</v>
      </c>
      <c r="O10" s="114"/>
      <c r="P10" s="123" t="str">
        <f>Cen!A56</f>
        <v>Bočnice M 600mm, šedé</v>
      </c>
      <c r="Q10" s="123" t="str">
        <f>Cen!B56</f>
        <v>378M6002SA</v>
      </c>
      <c r="R10" s="123" t="str">
        <f>Cen!C56</f>
        <v>R906</v>
      </c>
      <c r="S10" s="385">
        <f>IF($U$2=4, 0, SUM($K$19:$K$20, $K$25:$K$26))</f>
        <v>0</v>
      </c>
      <c r="T10" s="386">
        <f>Cen!F56</f>
        <v>22.41141</v>
      </c>
      <c r="U10" s="387">
        <f t="shared" si="0"/>
        <v>0</v>
      </c>
    </row>
    <row r="11" spans="1:22" ht="13" x14ac:dyDescent="0.25">
      <c r="A11" s="114"/>
      <c r="B11" s="114"/>
      <c r="C11" s="114"/>
      <c r="D11" s="114"/>
      <c r="E11" s="114"/>
      <c r="F11" s="114"/>
      <c r="G11" s="114"/>
      <c r="H11" s="114"/>
      <c r="I11" s="302"/>
      <c r="J11" s="302"/>
      <c r="K11" s="302"/>
      <c r="L11" s="302"/>
      <c r="M11" s="114"/>
      <c r="N11" s="114"/>
      <c r="O11" s="114"/>
      <c r="P11" s="123" t="str">
        <f>Cen!A60</f>
        <v>Bočnice M 650mm, šedé</v>
      </c>
      <c r="Q11" s="123" t="str">
        <f>Cen!B60</f>
        <v>378M6502SA</v>
      </c>
      <c r="R11" s="123" t="str">
        <f>Cen!C60</f>
        <v>R906</v>
      </c>
      <c r="S11" s="385">
        <f>IF($U$2=4, 0, SUM($L$20, $L$26))</f>
        <v>0</v>
      </c>
      <c r="T11" s="386">
        <f>Cen!F60</f>
        <v>23.512640000000001</v>
      </c>
      <c r="U11" s="387">
        <f t="shared" si="0"/>
        <v>0</v>
      </c>
    </row>
    <row r="12" spans="1:22" ht="13" x14ac:dyDescent="0.3">
      <c r="A12" s="114"/>
      <c r="B12" s="114"/>
      <c r="C12" s="114"/>
      <c r="D12" s="114"/>
      <c r="E12" s="114"/>
      <c r="F12" s="114"/>
      <c r="G12" s="114"/>
      <c r="H12" s="114"/>
      <c r="I12" s="244"/>
      <c r="J12" s="244"/>
      <c r="K12" s="244"/>
      <c r="L12" s="245"/>
      <c r="M12" s="114"/>
      <c r="N12" s="114"/>
      <c r="O12" s="114"/>
      <c r="P12" s="117"/>
      <c r="Q12" s="117"/>
      <c r="R12" s="117"/>
      <c r="S12" s="119"/>
      <c r="T12" s="112"/>
      <c r="U12" s="113"/>
    </row>
    <row r="13" spans="1:22" x14ac:dyDescent="0.25">
      <c r="A13" s="114"/>
      <c r="B13" s="114"/>
      <c r="C13" s="114"/>
      <c r="D13" s="114"/>
      <c r="E13" s="114"/>
      <c r="F13" s="114"/>
      <c r="G13" s="114"/>
      <c r="H13" s="114"/>
      <c r="I13" s="281"/>
      <c r="J13" s="281"/>
      <c r="K13" s="281"/>
      <c r="L13" s="281"/>
      <c r="M13" s="114"/>
      <c r="N13" s="114"/>
      <c r="O13" s="114"/>
      <c r="P13" s="123" t="str">
        <f>Cen!A94</f>
        <v>Korpusové lišty 270mm, BLUMOTION, 30kg</v>
      </c>
      <c r="Q13" s="123" t="str">
        <f>Cen!B94</f>
        <v>578.2701B</v>
      </c>
      <c r="R13" s="123" t="str">
        <f>Cen!C94</f>
        <v>ZN</v>
      </c>
      <c r="S13" s="385">
        <f>IF($U$2=4, 0, $D$19)</f>
        <v>0</v>
      </c>
      <c r="T13" s="386">
        <f>Cen!F94</f>
        <v>16.390229999999999</v>
      </c>
      <c r="U13" s="387">
        <f t="shared" si="0"/>
        <v>0</v>
      </c>
    </row>
    <row r="14" spans="1:22" ht="13" x14ac:dyDescent="0.3">
      <c r="A14" s="114"/>
      <c r="B14" s="114"/>
      <c r="C14" s="114"/>
      <c r="D14" s="114"/>
      <c r="E14" s="114"/>
      <c r="F14" s="114"/>
      <c r="G14" s="542" t="str">
        <f>IF($U$2=4, P103, " ")</f>
        <v xml:space="preserve"> </v>
      </c>
      <c r="H14" s="114"/>
      <c r="I14" s="303"/>
      <c r="J14" s="303"/>
      <c r="K14" s="303"/>
      <c r="L14" s="303"/>
      <c r="M14" s="114"/>
      <c r="N14" s="114"/>
      <c r="O14" s="114"/>
      <c r="P14" s="123" t="str">
        <f>Cen!A95</f>
        <v>Korpusové lišty 300mm, BLUMOTION, 30kg</v>
      </c>
      <c r="Q14" s="123" t="str">
        <f>Cen!B95</f>
        <v>578.3001B</v>
      </c>
      <c r="R14" s="123" t="str">
        <f>Cen!C95</f>
        <v>ZN</v>
      </c>
      <c r="S14" s="385">
        <f>IF($U$2=4, 0, $E$19)</f>
        <v>0</v>
      </c>
      <c r="T14" s="386">
        <f>Cen!F95</f>
        <v>16.390229999999999</v>
      </c>
      <c r="U14" s="387">
        <f t="shared" si="0"/>
        <v>0</v>
      </c>
    </row>
    <row r="15" spans="1:22" ht="13" x14ac:dyDescent="0.3">
      <c r="A15" s="114"/>
      <c r="B15" s="114"/>
      <c r="C15" s="114"/>
      <c r="D15" s="114"/>
      <c r="E15" s="114"/>
      <c r="F15" s="114"/>
      <c r="G15" s="542" t="str">
        <f>IF($U$2=4, P104, " ")</f>
        <v xml:space="preserve"> </v>
      </c>
      <c r="H15" s="114"/>
      <c r="I15" s="304"/>
      <c r="J15" s="304"/>
      <c r="K15" s="304"/>
      <c r="L15" s="304"/>
      <c r="M15" s="114"/>
      <c r="N15" s="114"/>
      <c r="O15" s="114"/>
      <c r="P15" s="123" t="str">
        <f>Cen!A96</f>
        <v>Korpusové lišty 350mm, BLUMOTION, 30kg</v>
      </c>
      <c r="Q15" s="123" t="str">
        <f>Cen!B96</f>
        <v>578.3501B</v>
      </c>
      <c r="R15" s="123" t="str">
        <f>Cen!C96</f>
        <v>ZN</v>
      </c>
      <c r="S15" s="385">
        <f>IF($U$2=4, 0, $F$19)</f>
        <v>0</v>
      </c>
      <c r="T15" s="386">
        <f>Cen!F96</f>
        <v>16.390229999999999</v>
      </c>
      <c r="U15" s="387">
        <f t="shared" si="0"/>
        <v>0</v>
      </c>
    </row>
    <row r="16" spans="1:22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23" t="str">
        <f>Cen!A97</f>
        <v>Korpusové lišty 400mm, BLUMOTION, 30kg</v>
      </c>
      <c r="Q16" s="123" t="str">
        <f>Cen!B97</f>
        <v>578.4001B</v>
      </c>
      <c r="R16" s="123" t="str">
        <f>Cen!C97</f>
        <v>ZN</v>
      </c>
      <c r="S16" s="385">
        <f>IF($U$2=4, 0, $G$19)</f>
        <v>0</v>
      </c>
      <c r="T16" s="386">
        <f>Cen!F97</f>
        <v>16.512820000000001</v>
      </c>
      <c r="U16" s="387">
        <f t="shared" si="0"/>
        <v>0</v>
      </c>
    </row>
    <row r="17" spans="1:21" ht="15.5" x14ac:dyDescent="0.25">
      <c r="A17" s="114"/>
      <c r="B17" s="280" t="s">
        <v>779</v>
      </c>
      <c r="C17" s="283"/>
      <c r="D17" s="284"/>
      <c r="E17" s="284"/>
      <c r="F17" s="284"/>
      <c r="G17" s="284"/>
      <c r="H17" s="285"/>
      <c r="I17" s="285"/>
      <c r="J17" s="285"/>
      <c r="K17" s="285"/>
      <c r="L17" s="285"/>
      <c r="M17" s="114"/>
      <c r="N17" s="114"/>
      <c r="O17" s="114"/>
      <c r="P17" s="123" t="str">
        <f>Cen!A98</f>
        <v>Korpusové lišty 450mm, BLUMOTION, 30kg</v>
      </c>
      <c r="Q17" s="123" t="str">
        <f>Cen!B98</f>
        <v>578.4501B</v>
      </c>
      <c r="R17" s="123" t="str">
        <f>Cen!C98</f>
        <v>ZN</v>
      </c>
      <c r="S17" s="385">
        <f>IF($U$2=4, 0, $H$19)</f>
        <v>0</v>
      </c>
      <c r="T17" s="386">
        <f>Cen!F98</f>
        <v>16.63541</v>
      </c>
      <c r="U17" s="387">
        <f t="shared" si="0"/>
        <v>0</v>
      </c>
    </row>
    <row r="18" spans="1:21" ht="14" x14ac:dyDescent="0.3">
      <c r="A18" s="114"/>
      <c r="B18" s="284"/>
      <c r="C18" s="282" t="str">
        <f>List!$B$45&amp;":"</f>
        <v>Jmenovitá délka:</v>
      </c>
      <c r="D18" s="286" t="s">
        <v>822</v>
      </c>
      <c r="E18" s="287" t="s">
        <v>123</v>
      </c>
      <c r="F18" s="287" t="s">
        <v>823</v>
      </c>
      <c r="G18" s="287" t="s">
        <v>824</v>
      </c>
      <c r="H18" s="287" t="s">
        <v>246</v>
      </c>
      <c r="I18" s="288" t="s">
        <v>825</v>
      </c>
      <c r="J18" s="287" t="s">
        <v>826</v>
      </c>
      <c r="K18" s="289" t="s">
        <v>247</v>
      </c>
      <c r="L18" s="289" t="s">
        <v>827</v>
      </c>
      <c r="M18" s="114"/>
      <c r="N18" s="114"/>
      <c r="O18" s="114"/>
      <c r="P18" s="123" t="str">
        <f>Cen!A99</f>
        <v>Korpusové lišty 450mm, BLUMOTION, 65kg</v>
      </c>
      <c r="Q18" s="123" t="str">
        <f>Cen!B99</f>
        <v>576.4501B</v>
      </c>
      <c r="R18" s="123" t="str">
        <f>Cen!C99</f>
        <v>ZN</v>
      </c>
      <c r="S18" s="385">
        <f>IF($U$2=4, 0, $H$20)</f>
        <v>0</v>
      </c>
      <c r="T18" s="386">
        <f>Cen!F99</f>
        <v>22.021799999999999</v>
      </c>
      <c r="U18" s="387">
        <f t="shared" si="0"/>
        <v>0</v>
      </c>
    </row>
    <row r="19" spans="1:21" ht="14.5" thickBot="1" x14ac:dyDescent="0.35">
      <c r="A19" s="114"/>
      <c r="B19" s="290" t="s">
        <v>843</v>
      </c>
      <c r="C19" s="291" t="s">
        <v>447</v>
      </c>
      <c r="D19" s="292"/>
      <c r="E19" s="292"/>
      <c r="F19" s="292"/>
      <c r="G19" s="292"/>
      <c r="H19" s="292"/>
      <c r="I19" s="292"/>
      <c r="J19" s="292"/>
      <c r="K19" s="293"/>
      <c r="L19" s="294"/>
      <c r="M19" s="114"/>
      <c r="N19" s="114"/>
      <c r="O19" s="114"/>
      <c r="P19" s="388" t="str">
        <f>Cen!A100</f>
        <v>Korpusové lišty 500mm, BLUMOTION, 30kg</v>
      </c>
      <c r="Q19" s="388" t="str">
        <f>Cen!B100</f>
        <v>578.5001B</v>
      </c>
      <c r="R19" s="388" t="str">
        <f>Cen!C100</f>
        <v>ZN</v>
      </c>
      <c r="S19" s="397">
        <f>IF($U$2=4, 0, $I$19)</f>
        <v>0</v>
      </c>
      <c r="T19" s="389">
        <f>Cen!F100</f>
        <v>15.919919999999999</v>
      </c>
      <c r="U19" s="390">
        <f t="shared" si="0"/>
        <v>0</v>
      </c>
    </row>
    <row r="20" spans="1:21" ht="14" x14ac:dyDescent="0.3">
      <c r="A20" s="114"/>
      <c r="B20" s="295" t="s">
        <v>844</v>
      </c>
      <c r="C20" s="296" t="s">
        <v>446</v>
      </c>
      <c r="D20" s="297"/>
      <c r="E20" s="297"/>
      <c r="F20" s="297"/>
      <c r="G20" s="297"/>
      <c r="H20" s="298"/>
      <c r="I20" s="298"/>
      <c r="J20" s="298"/>
      <c r="K20" s="299"/>
      <c r="L20" s="299"/>
      <c r="M20" s="114"/>
      <c r="N20" s="114"/>
      <c r="O20" s="114"/>
      <c r="P20" s="388" t="str">
        <f>Cen!A101</f>
        <v>Korpusové lišty 500mm, BLUMOTION, 65kg</v>
      </c>
      <c r="Q20" s="388" t="str">
        <f>Cen!B101</f>
        <v>576.5001B</v>
      </c>
      <c r="R20" s="388" t="str">
        <f>Cen!C101</f>
        <v>ZN</v>
      </c>
      <c r="S20" s="397">
        <f>IF($U$2=4, 0, $I$20)</f>
        <v>0</v>
      </c>
      <c r="T20" s="389">
        <f>Cen!F101</f>
        <v>24.51277</v>
      </c>
      <c r="U20" s="390">
        <f t="shared" si="0"/>
        <v>0</v>
      </c>
    </row>
    <row r="21" spans="1:2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23" t="str">
        <f>Cen!A102</f>
        <v>Korpusové lišty 550mm, BLUMOTION, 30kg</v>
      </c>
      <c r="Q21" s="123" t="str">
        <f>Cen!B102</f>
        <v>578.5501B</v>
      </c>
      <c r="R21" s="123" t="str">
        <f>Cen!C102</f>
        <v>ZN</v>
      </c>
      <c r="S21" s="385">
        <f>IF($U$2=4, 0, $J$19)</f>
        <v>0</v>
      </c>
      <c r="T21" s="386">
        <f>Cen!F102</f>
        <v>17.614419999999999</v>
      </c>
      <c r="U21" s="387">
        <f t="shared" si="0"/>
        <v>0</v>
      </c>
    </row>
    <row r="22" spans="1:2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23" t="str">
        <f>Cen!A103</f>
        <v>Korpusové lišty 550mm, BLUMOTION, 65kg</v>
      </c>
      <c r="Q22" s="123" t="str">
        <f>Cen!B103</f>
        <v>576.5501B</v>
      </c>
      <c r="R22" s="123" t="str">
        <f>Cen!C103</f>
        <v>ZN</v>
      </c>
      <c r="S22" s="385">
        <f>IF($U$2=4, 0, $J$20)</f>
        <v>0</v>
      </c>
      <c r="T22" s="386">
        <f>Cen!F103</f>
        <v>23.000999999999998</v>
      </c>
      <c r="U22" s="387">
        <f t="shared" si="0"/>
        <v>0</v>
      </c>
    </row>
    <row r="23" spans="1:21" ht="15.5" x14ac:dyDescent="0.25">
      <c r="A23" s="114"/>
      <c r="B23" s="280" t="s">
        <v>780</v>
      </c>
      <c r="C23" s="283"/>
      <c r="D23" s="284"/>
      <c r="E23" s="284"/>
      <c r="F23" s="284"/>
      <c r="G23" s="284"/>
      <c r="H23" s="285"/>
      <c r="I23" s="285"/>
      <c r="J23" s="285"/>
      <c r="K23" s="285"/>
      <c r="L23" s="285"/>
      <c r="M23" s="114"/>
      <c r="N23" s="114"/>
      <c r="O23" s="114"/>
      <c r="P23" s="123" t="str">
        <f>Cen!A104</f>
        <v>Korpusové lišty 600mm, BLUMOTION, 30kg</v>
      </c>
      <c r="Q23" s="123" t="str">
        <f>Cen!B104</f>
        <v>578.6001B</v>
      </c>
      <c r="R23" s="123" t="str">
        <f>Cen!C104</f>
        <v>ZN</v>
      </c>
      <c r="S23" s="385">
        <f>IF($U$2=4, 0, $K$19)</f>
        <v>0</v>
      </c>
      <c r="T23" s="386">
        <f>Cen!F104</f>
        <v>20.570499999999996</v>
      </c>
      <c r="U23" s="387">
        <f t="shared" si="0"/>
        <v>0</v>
      </c>
    </row>
    <row r="24" spans="1:21" ht="14" x14ac:dyDescent="0.3">
      <c r="A24" s="114"/>
      <c r="B24" s="284"/>
      <c r="C24" s="282" t="str">
        <f>List!$B$45&amp;":"</f>
        <v>Jmenovitá délka:</v>
      </c>
      <c r="D24" s="286" t="s">
        <v>822</v>
      </c>
      <c r="E24" s="287" t="s">
        <v>123</v>
      </c>
      <c r="F24" s="287" t="s">
        <v>823</v>
      </c>
      <c r="G24" s="287" t="s">
        <v>824</v>
      </c>
      <c r="H24" s="287" t="s">
        <v>246</v>
      </c>
      <c r="I24" s="288" t="s">
        <v>825</v>
      </c>
      <c r="J24" s="287" t="s">
        <v>826</v>
      </c>
      <c r="K24" s="289" t="s">
        <v>247</v>
      </c>
      <c r="L24" s="289" t="s">
        <v>827</v>
      </c>
      <c r="M24" s="114"/>
      <c r="N24" s="114"/>
      <c r="O24" s="114"/>
      <c r="P24" s="123" t="str">
        <f>Cen!A105</f>
        <v>Korpusové lišty 600mm, BLUMOTION, 65kg</v>
      </c>
      <c r="Q24" s="123" t="str">
        <f>Cen!B105</f>
        <v>576.6001B</v>
      </c>
      <c r="R24" s="123" t="str">
        <f>Cen!C105</f>
        <v>ZN</v>
      </c>
      <c r="S24" s="385">
        <f>IF($U$2=4, 0, $K$20)</f>
        <v>0</v>
      </c>
      <c r="T24" s="386">
        <f>Cen!F105</f>
        <v>25.957080000000001</v>
      </c>
      <c r="U24" s="387">
        <f t="shared" si="0"/>
        <v>0</v>
      </c>
    </row>
    <row r="25" spans="1:21" ht="14.5" thickBot="1" x14ac:dyDescent="0.35">
      <c r="A25" s="114"/>
      <c r="B25" s="290" t="s">
        <v>845</v>
      </c>
      <c r="C25" s="291" t="s">
        <v>447</v>
      </c>
      <c r="D25" s="292"/>
      <c r="E25" s="292"/>
      <c r="F25" s="292"/>
      <c r="G25" s="292"/>
      <c r="H25" s="292"/>
      <c r="I25" s="292"/>
      <c r="J25" s="292"/>
      <c r="K25" s="293"/>
      <c r="L25" s="294"/>
      <c r="M25" s="114"/>
      <c r="N25" s="114"/>
      <c r="O25" s="114"/>
      <c r="P25" s="217" t="str">
        <f>Cen!A106</f>
        <v>Korpusové lišty 650mm, BLUMOTION, 65kg</v>
      </c>
      <c r="Q25" s="217" t="str">
        <f>Cen!B106</f>
        <v>576.6501B</v>
      </c>
      <c r="R25" s="217" t="str">
        <f>Cen!C106</f>
        <v>ZN</v>
      </c>
      <c r="S25" s="394">
        <f>IF($U$2=4, 0, $L$20)</f>
        <v>0</v>
      </c>
      <c r="T25" s="395">
        <f>Cen!F106</f>
        <v>26.813510000000001</v>
      </c>
      <c r="U25" s="396">
        <f t="shared" si="0"/>
        <v>0</v>
      </c>
    </row>
    <row r="26" spans="1:21" ht="14" x14ac:dyDescent="0.3">
      <c r="A26" s="114"/>
      <c r="B26" s="295" t="s">
        <v>846</v>
      </c>
      <c r="C26" s="296" t="s">
        <v>446</v>
      </c>
      <c r="D26" s="297"/>
      <c r="E26" s="297"/>
      <c r="F26" s="297"/>
      <c r="G26" s="297"/>
      <c r="H26" s="298"/>
      <c r="I26" s="298"/>
      <c r="J26" s="298"/>
      <c r="K26" s="299"/>
      <c r="L26" s="299"/>
      <c r="M26" s="114"/>
      <c r="N26" s="114"/>
      <c r="O26" s="114"/>
      <c r="P26" s="122" t="str">
        <f>Cen!A109</f>
        <v>Korp. lišty TIP-ON BLUMOTION, 270mm, 30 kg</v>
      </c>
      <c r="Q26" s="122" t="str">
        <f>Cen!B109</f>
        <v>578.2701M</v>
      </c>
      <c r="R26" s="122" t="str">
        <f>Cen!C109</f>
        <v>ZN</v>
      </c>
      <c r="S26" s="385">
        <f>IF($U$2=4, 0, $D$25)</f>
        <v>0</v>
      </c>
      <c r="T26" s="392">
        <f>Cen!F109</f>
        <v>16.390229999999999</v>
      </c>
      <c r="U26" s="393">
        <f t="shared" si="0"/>
        <v>0</v>
      </c>
    </row>
    <row r="27" spans="1:2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23" t="str">
        <f>Cen!A110</f>
        <v>Korp. lišty TIP-ON BLUMOTION, 300mm, 30 kg</v>
      </c>
      <c r="Q27" s="123" t="str">
        <f>Cen!B110</f>
        <v>578.3001M</v>
      </c>
      <c r="R27" s="123" t="str">
        <f>Cen!C110</f>
        <v>ZN</v>
      </c>
      <c r="S27" s="385">
        <f>IF($U$2=4, 0, $E$25)</f>
        <v>0</v>
      </c>
      <c r="T27" s="386">
        <f>Cen!F110</f>
        <v>16.390229999999999</v>
      </c>
      <c r="U27" s="387">
        <f t="shared" si="0"/>
        <v>0</v>
      </c>
    </row>
    <row r="28" spans="1:21" ht="13" x14ac:dyDescent="0.3">
      <c r="A28" s="114"/>
      <c r="B28" s="114"/>
      <c r="C28" s="114"/>
      <c r="D28" s="356" t="str">
        <f>List!$B$268</f>
        <v>Sada jednotek TIP-ON BLUMOTION</v>
      </c>
      <c r="E28" s="353"/>
      <c r="F28" s="353"/>
      <c r="G28" s="353"/>
      <c r="H28" s="353"/>
      <c r="I28" s="357"/>
      <c r="J28" s="357"/>
      <c r="K28" s="357"/>
      <c r="L28" s="114"/>
      <c r="M28" s="114"/>
      <c r="N28" s="373" t="str">
        <f>List!$B$259</f>
        <v>Výběr sady jednotek</v>
      </c>
      <c r="O28" s="114"/>
      <c r="P28" s="123" t="str">
        <f>Cen!A111</f>
        <v>Korp. lišty TIP-ON BLUMOTION, 350mm, 30 kg</v>
      </c>
      <c r="Q28" s="123" t="str">
        <f>Cen!B111</f>
        <v>578.3501M</v>
      </c>
      <c r="R28" s="123" t="str">
        <f>Cen!C111</f>
        <v>ZN</v>
      </c>
      <c r="S28" s="385">
        <f>IF($U$2=4, 0, $F$25)</f>
        <v>0</v>
      </c>
      <c r="T28" s="386">
        <f>Cen!F111</f>
        <v>16.390229999999999</v>
      </c>
      <c r="U28" s="387">
        <f t="shared" si="0"/>
        <v>0</v>
      </c>
    </row>
    <row r="29" spans="1:21" ht="14" x14ac:dyDescent="0.3">
      <c r="A29" s="114"/>
      <c r="B29" s="114"/>
      <c r="C29" s="114"/>
      <c r="D29" s="286" t="s">
        <v>932</v>
      </c>
      <c r="E29" s="286" t="s">
        <v>933</v>
      </c>
      <c r="F29" s="287" t="s">
        <v>934</v>
      </c>
      <c r="G29" s="287" t="s">
        <v>935</v>
      </c>
      <c r="H29" s="289" t="s">
        <v>936</v>
      </c>
      <c r="I29" s="357"/>
      <c r="J29" s="357"/>
      <c r="K29" s="357"/>
      <c r="L29" s="114"/>
      <c r="M29" s="114"/>
      <c r="N29" s="114"/>
      <c r="O29" s="114"/>
      <c r="P29" s="123" t="str">
        <f>Cen!A112</f>
        <v>Korp. lišty TIP-ON BLUMOTION, 400mm, 30 kg</v>
      </c>
      <c r="Q29" s="123" t="str">
        <f>Cen!B112</f>
        <v>578.4001M</v>
      </c>
      <c r="R29" s="123" t="str">
        <f>Cen!C112</f>
        <v>ZN</v>
      </c>
      <c r="S29" s="385">
        <f>IF($U$2=4, 0, $G$25)</f>
        <v>0</v>
      </c>
      <c r="T29" s="386">
        <f>Cen!F112</f>
        <v>16.512820000000001</v>
      </c>
      <c r="U29" s="387">
        <f t="shared" si="0"/>
        <v>0</v>
      </c>
    </row>
    <row r="30" spans="1:21" ht="14.5" thickBot="1" x14ac:dyDescent="0.35">
      <c r="A30" s="114"/>
      <c r="B30" s="114"/>
      <c r="C30" s="114"/>
      <c r="D30" s="292"/>
      <c r="E30" s="292"/>
      <c r="F30" s="292"/>
      <c r="G30" s="292"/>
      <c r="H30" s="293"/>
      <c r="I30" s="355" t="str">
        <f>IF(SUM($F$25:$K$25,$H$26:$L$26)=SUM($F$30:$H$30)," ",$P$100)</f>
        <v xml:space="preserve"> </v>
      </c>
      <c r="J30" s="284"/>
      <c r="K30" s="284"/>
      <c r="L30" s="114"/>
      <c r="M30" s="114"/>
      <c r="N30" s="114"/>
      <c r="O30" s="114"/>
      <c r="P30" s="123" t="str">
        <f>Cen!A113</f>
        <v>Korp. lišty TIP-ON BLUMOTION, 450mm, 30 kg</v>
      </c>
      <c r="Q30" s="123" t="str">
        <f>Cen!B113</f>
        <v>578.4501M</v>
      </c>
      <c r="R30" s="123" t="str">
        <f>Cen!C113</f>
        <v>ZN</v>
      </c>
      <c r="S30" s="385">
        <f>IF($U$2=4, 0, $H$25)</f>
        <v>0</v>
      </c>
      <c r="T30" s="386">
        <f>Cen!F113</f>
        <v>16.63541</v>
      </c>
      <c r="U30" s="387">
        <f t="shared" si="0"/>
        <v>0</v>
      </c>
    </row>
    <row r="31" spans="1:21" x14ac:dyDescent="0.25">
      <c r="A31" s="114"/>
      <c r="B31" s="114"/>
      <c r="C31" s="359" t="str">
        <f>IF(AND(SUM($D$25,$E$25)&gt;0,SUM($D$30,$E$30)=0),$P$99, IF(AND(SUM($D$25,$E$25)=0,SUM($D$30,$E$30)&gt;0),$P$98, " "))&amp;IF(SUM($D$25,$E$25)&lt;&gt;SUM($D$30,$E$30)," "&amp;$P$101," ")</f>
        <v xml:space="preserve">  </v>
      </c>
      <c r="E31" s="284"/>
      <c r="F31" s="284"/>
      <c r="G31" s="284"/>
      <c r="H31" s="284"/>
      <c r="J31" s="284"/>
      <c r="K31" s="284"/>
      <c r="L31" s="114"/>
      <c r="M31" s="114"/>
      <c r="N31" s="114"/>
      <c r="O31" s="114"/>
      <c r="P31" s="123" t="str">
        <f>Cen!A114</f>
        <v>Korp. lišty TIP-ON BLUMOTION, 450mm, 65 kg</v>
      </c>
      <c r="Q31" s="123" t="str">
        <f>Cen!B114</f>
        <v>578.4501M</v>
      </c>
      <c r="R31" s="123" t="str">
        <f>Cen!C114</f>
        <v>ZN</v>
      </c>
      <c r="S31" s="385">
        <f>IF($U$2=4, 0, $H$26)</f>
        <v>0</v>
      </c>
      <c r="T31" s="386">
        <f>Cen!F114</f>
        <v>22.021810000000002</v>
      </c>
      <c r="U31" s="387">
        <f t="shared" si="0"/>
        <v>0</v>
      </c>
    </row>
    <row r="32" spans="1:21" ht="13" x14ac:dyDescent="0.3">
      <c r="A32" s="114"/>
      <c r="B32" s="114"/>
      <c r="C32" s="114"/>
      <c r="D32" s="332"/>
      <c r="E32" s="284"/>
      <c r="F32" s="284"/>
      <c r="G32" s="284"/>
      <c r="H32" s="284"/>
      <c r="I32" s="284"/>
      <c r="J32" s="284"/>
      <c r="K32" s="284"/>
      <c r="L32" s="114"/>
      <c r="M32" s="114"/>
      <c r="N32" s="114"/>
      <c r="O32" s="114"/>
      <c r="P32" s="388" t="str">
        <f>Cen!A115</f>
        <v>Korp. lišty TIP-ON BLUMOTION, 500mm, 30 kg</v>
      </c>
      <c r="Q32" s="388" t="str">
        <f>Cen!B115</f>
        <v>578.5001M</v>
      </c>
      <c r="R32" s="388" t="str">
        <f>Cen!C115</f>
        <v>ZN</v>
      </c>
      <c r="S32" s="397">
        <f>IF($U$2=4, 0, $I$25)</f>
        <v>0</v>
      </c>
      <c r="T32" s="389">
        <f>Cen!F115</f>
        <v>16.757819999999999</v>
      </c>
      <c r="U32" s="390">
        <f t="shared" si="0"/>
        <v>0</v>
      </c>
    </row>
    <row r="33" spans="1:21" ht="13" x14ac:dyDescent="0.3">
      <c r="A33" s="114"/>
      <c r="B33" s="114"/>
      <c r="C33" s="114"/>
      <c r="D33" s="284" t="str">
        <f>"     "&amp;List!$B$270</f>
        <v xml:space="preserve">     Synchronizace je přidána automaticky. </v>
      </c>
      <c r="E33" s="284"/>
      <c r="F33" s="284"/>
      <c r="G33" s="284"/>
      <c r="H33" s="284"/>
      <c r="I33" s="284"/>
      <c r="J33" s="284"/>
      <c r="K33" s="284"/>
      <c r="L33" s="114"/>
      <c r="M33" s="114"/>
      <c r="N33" s="114"/>
      <c r="O33" s="114"/>
      <c r="P33" s="388" t="str">
        <f>Cen!A116</f>
        <v>Korp. lišty TIP-ON BLUMOTION, 500mm, 65 kg</v>
      </c>
      <c r="Q33" s="388" t="str">
        <f>Cen!B116</f>
        <v>576.5001M</v>
      </c>
      <c r="R33" s="388" t="str">
        <f>Cen!C116</f>
        <v>ZN</v>
      </c>
      <c r="S33" s="397">
        <f>IF($U$2=4, 0, $I$26)</f>
        <v>0</v>
      </c>
      <c r="T33" s="389">
        <f>Cen!F116</f>
        <v>22.144390000000001</v>
      </c>
      <c r="U33" s="390">
        <f t="shared" si="0"/>
        <v>0</v>
      </c>
    </row>
    <row r="34" spans="1:21" x14ac:dyDescent="0.25">
      <c r="A34" s="114"/>
      <c r="C34" s="141"/>
      <c r="D34" s="284" t="str">
        <f>"     "&amp;List!$B$271</f>
        <v xml:space="preserve">     Pozor! Pro každý výsuv je započítána jedna hřídel. Počet hřídelí upravte v objednávce!</v>
      </c>
      <c r="E34" s="284"/>
      <c r="F34" s="284"/>
      <c r="G34" s="284"/>
      <c r="H34" s="284"/>
      <c r="I34" s="284"/>
      <c r="J34" s="284"/>
      <c r="K34" s="284"/>
      <c r="L34" s="141"/>
      <c r="M34" s="114"/>
      <c r="N34" s="114"/>
      <c r="O34" s="114"/>
      <c r="P34" s="123" t="str">
        <f>Cen!A117</f>
        <v>Korp. lišty TIP-ON BLUMOTION, 550mm, 30 kg</v>
      </c>
      <c r="Q34" s="123" t="str">
        <f>Cen!B117</f>
        <v>578.5501M</v>
      </c>
      <c r="R34" s="123" t="str">
        <f>Cen!C117</f>
        <v>ZN</v>
      </c>
      <c r="S34" s="385">
        <f>IF($U$2=4, 0, $J$25)</f>
        <v>0</v>
      </c>
      <c r="T34" s="386">
        <f>Cen!F117</f>
        <v>17.614419999999999</v>
      </c>
      <c r="U34" s="387">
        <f t="shared" si="0"/>
        <v>0</v>
      </c>
    </row>
    <row r="35" spans="1:21" x14ac:dyDescent="0.25">
      <c r="A35" s="114"/>
      <c r="B35" s="141"/>
      <c r="C35" s="141"/>
      <c r="D35" s="284" t="str">
        <f>"     "&amp;List!$B$272</f>
        <v xml:space="preserve">     Pro korpusy šířky ≥ 750 mm použijte podpěru dna a podpěru synchronizační hřídele.</v>
      </c>
      <c r="E35" s="141"/>
      <c r="F35" s="141"/>
      <c r="G35" s="141"/>
      <c r="H35" s="141"/>
      <c r="I35" s="141"/>
      <c r="J35" s="147"/>
      <c r="K35" s="358"/>
      <c r="L35" s="152"/>
      <c r="M35" s="114"/>
      <c r="N35" s="114"/>
      <c r="O35" s="114"/>
      <c r="P35" s="123" t="str">
        <f>Cen!A118</f>
        <v>Korp. lišty TIP-ON BLUMOTION, 550mm, 65 kg</v>
      </c>
      <c r="Q35" s="123" t="str">
        <f>Cen!B118</f>
        <v>576.5501M</v>
      </c>
      <c r="R35" s="123" t="str">
        <f>Cen!C118</f>
        <v>ZN</v>
      </c>
      <c r="S35" s="385">
        <f>IF($U$2=4, 0, $J$26)</f>
        <v>0</v>
      </c>
      <c r="T35" s="386">
        <f>Cen!F118</f>
        <v>23.000999999999998</v>
      </c>
      <c r="U35" s="387">
        <f t="shared" si="0"/>
        <v>0</v>
      </c>
    </row>
    <row r="36" spans="1:21" x14ac:dyDescent="0.25">
      <c r="A36" s="114"/>
      <c r="B36" s="141"/>
      <c r="C36" s="141"/>
      <c r="D36" s="284" t="str">
        <f>"     "&amp;List!$B$273</f>
        <v xml:space="preserve">     Podpěry přidejte v sekci "Výběr doplňků"</v>
      </c>
      <c r="E36" s="141"/>
      <c r="F36" s="141"/>
      <c r="G36" s="141"/>
      <c r="H36" s="141"/>
      <c r="I36" s="141"/>
      <c r="J36" s="147"/>
      <c r="K36" s="358"/>
      <c r="L36" s="152"/>
      <c r="M36" s="114"/>
      <c r="N36" s="114"/>
      <c r="O36" s="114"/>
      <c r="P36" s="123" t="str">
        <f>Cen!A119</f>
        <v>Korp. lišty TIP-ON BLUMOTION, 600mm, 30 kg</v>
      </c>
      <c r="Q36" s="123" t="str">
        <f>Cen!B119</f>
        <v>578.6001M</v>
      </c>
      <c r="R36" s="123" t="str">
        <f>Cen!C119</f>
        <v>ZN</v>
      </c>
      <c r="S36" s="385">
        <f>IF($U$2=4, 0, $K$25)</f>
        <v>0</v>
      </c>
      <c r="T36" s="386">
        <f>Cen!F119</f>
        <v>20.570499999999996</v>
      </c>
      <c r="U36" s="387">
        <f t="shared" si="0"/>
        <v>0</v>
      </c>
    </row>
    <row r="37" spans="1:2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23" t="str">
        <f>Cen!A120</f>
        <v>Korp. lišty TIP-ON BLUMOTION, 600mm, 65 kg</v>
      </c>
      <c r="Q37" s="123" t="str">
        <f>Cen!B120</f>
        <v>576.6001M</v>
      </c>
      <c r="R37" s="123" t="str">
        <f>Cen!C120</f>
        <v>ZN</v>
      </c>
      <c r="S37" s="385">
        <f>IF($U$2=4, 0, $K$26)</f>
        <v>0</v>
      </c>
      <c r="T37" s="386">
        <f>Cen!F120</f>
        <v>25.957080000000001</v>
      </c>
      <c r="U37" s="387">
        <f t="shared" si="0"/>
        <v>0</v>
      </c>
    </row>
    <row r="38" spans="1:21" x14ac:dyDescent="0.25">
      <c r="A38" s="114"/>
      <c r="B38" s="114"/>
      <c r="C38" s="164" t="str">
        <f>List!B244&amp;": "</f>
        <v xml:space="preserve">Upozornění: </v>
      </c>
      <c r="D38" s="114" t="str">
        <f>List!B284</f>
        <v>Kovové zásuvné prvky pro NL 270 až 400mm se nevyrábí.</v>
      </c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217" t="str">
        <f>Cen!A121</f>
        <v>Korp. lišty TIP-ON BLUMOTION, 650mm, 65 kg</v>
      </c>
      <c r="Q38" s="217" t="str">
        <f>Cen!B121</f>
        <v>576.6501M</v>
      </c>
      <c r="R38" s="217" t="str">
        <f>Cen!C121</f>
        <v>ZN</v>
      </c>
      <c r="S38" s="394">
        <f>IF($U$2=4, 0, $L$26)</f>
        <v>0</v>
      </c>
      <c r="T38" s="395">
        <f>Cen!F121</f>
        <v>26.813510000000001</v>
      </c>
      <c r="U38" s="396">
        <f t="shared" si="0"/>
        <v>0</v>
      </c>
    </row>
    <row r="39" spans="1:21" ht="13" x14ac:dyDescent="0.3">
      <c r="A39" s="114"/>
      <c r="B39" s="305"/>
      <c r="C39" s="305"/>
      <c r="D39" s="141" t="str">
        <f>List!B285</f>
        <v>Do objednávky budou přidány prvky pro 450mm, které je potřeba na danou délku zkrátit.</v>
      </c>
      <c r="E39" s="305"/>
      <c r="F39" s="305"/>
      <c r="G39" s="305"/>
      <c r="H39" s="141"/>
      <c r="I39" s="141"/>
      <c r="J39" s="141"/>
      <c r="K39" s="141"/>
      <c r="L39" s="141"/>
      <c r="M39" s="114"/>
      <c r="N39" s="114"/>
      <c r="O39" s="114"/>
      <c r="P39" s="122"/>
      <c r="Q39" s="122"/>
      <c r="R39" s="122"/>
      <c r="S39" s="391"/>
      <c r="T39" s="392"/>
      <c r="U39" s="393"/>
    </row>
    <row r="40" spans="1:21" x14ac:dyDescent="0.25">
      <c r="A40" s="114"/>
      <c r="B40" s="141"/>
      <c r="C40" s="141"/>
      <c r="D40" s="141"/>
      <c r="E40" s="141"/>
      <c r="F40" s="141"/>
      <c r="G40" s="141"/>
      <c r="H40" s="141"/>
      <c r="I40" s="141"/>
      <c r="J40" s="147"/>
      <c r="K40" s="358"/>
      <c r="L40" s="152"/>
      <c r="M40" s="114"/>
      <c r="N40" s="114"/>
      <c r="O40" s="114"/>
      <c r="P40" s="123" t="str">
        <f>Cen!A124</f>
        <v>Sada jednotek TIP-ON BLUMOTION, S0</v>
      </c>
      <c r="Q40" s="123" t="str">
        <f>Cen!B124</f>
        <v>T60B3030</v>
      </c>
      <c r="R40" s="123" t="str">
        <f>Cen!C124</f>
        <v>W</v>
      </c>
      <c r="S40" s="385">
        <f>IF($U$2=4, 0, $D$30)</f>
        <v>0</v>
      </c>
      <c r="T40" s="386">
        <f>Cen!F124</f>
        <v>15.88349</v>
      </c>
      <c r="U40" s="387">
        <f t="shared" ref="U40:U50" si="1">S40*T40</f>
        <v>0</v>
      </c>
    </row>
    <row r="41" spans="1:21" x14ac:dyDescent="0.25">
      <c r="A41" s="114"/>
      <c r="B41" s="141"/>
      <c r="C41" s="141"/>
      <c r="D41" s="141"/>
      <c r="E41" s="141"/>
      <c r="F41" s="141"/>
      <c r="G41" s="141"/>
      <c r="H41" s="141"/>
      <c r="I41" s="141"/>
      <c r="J41" s="147"/>
      <c r="K41" s="152"/>
      <c r="L41" s="152"/>
      <c r="M41" s="114"/>
      <c r="N41" s="114"/>
      <c r="O41" s="114"/>
      <c r="P41" s="123" t="str">
        <f>Cen!A125</f>
        <v>Sada jednotek TIP-ON BLUMOTION, S1</v>
      </c>
      <c r="Q41" s="123" t="str">
        <f>Cen!B125</f>
        <v>T60B3130</v>
      </c>
      <c r="R41" s="123" t="str">
        <f>Cen!C125</f>
        <v>R735</v>
      </c>
      <c r="S41" s="385">
        <f>IF($U$2=4, 0, $E$30)</f>
        <v>0</v>
      </c>
      <c r="T41" s="386">
        <f>Cen!F125</f>
        <v>15.88349</v>
      </c>
      <c r="U41" s="387">
        <f t="shared" si="1"/>
        <v>0</v>
      </c>
    </row>
    <row r="42" spans="1:21" x14ac:dyDescent="0.25">
      <c r="A42" s="114"/>
      <c r="B42" s="141"/>
      <c r="C42" s="141"/>
      <c r="D42" s="141"/>
      <c r="E42" s="141"/>
      <c r="F42" s="141"/>
      <c r="G42" s="141"/>
      <c r="H42" s="141"/>
      <c r="I42" s="141"/>
      <c r="J42" s="147"/>
      <c r="K42" s="152"/>
      <c r="L42" s="152"/>
      <c r="M42" s="114"/>
      <c r="N42" s="114"/>
      <c r="O42" s="114"/>
      <c r="P42" s="123" t="str">
        <f>Cen!A126</f>
        <v>Sada jednotek TIP-ON BLUMOTION, L1</v>
      </c>
      <c r="Q42" s="123" t="str">
        <f>Cen!B126</f>
        <v>T60B3330</v>
      </c>
      <c r="R42" s="123" t="str">
        <f>Cen!C126</f>
        <v>R735</v>
      </c>
      <c r="S42" s="385">
        <f>IF($U$2=4, 0, $F$30)</f>
        <v>0</v>
      </c>
      <c r="T42" s="386">
        <f>Cen!F126</f>
        <v>15.883479999999999</v>
      </c>
      <c r="U42" s="387">
        <f t="shared" si="1"/>
        <v>0</v>
      </c>
    </row>
    <row r="43" spans="1:21" x14ac:dyDescent="0.25">
      <c r="A43" s="114"/>
      <c r="B43" s="141"/>
      <c r="C43" s="141"/>
      <c r="D43" s="141"/>
      <c r="E43" s="141"/>
      <c r="F43" s="141"/>
      <c r="G43" s="141"/>
      <c r="H43" s="141"/>
      <c r="I43" s="141"/>
      <c r="J43" s="147"/>
      <c r="K43" s="152"/>
      <c r="L43" s="152"/>
      <c r="M43" s="114"/>
      <c r="N43" s="114"/>
      <c r="O43" s="114"/>
      <c r="P43" s="123" t="str">
        <f>Cen!A127</f>
        <v>Sada jednotek TIP-ON BLUMOTION, L3</v>
      </c>
      <c r="Q43" s="123" t="str">
        <f>Cen!B127</f>
        <v>T60B3530</v>
      </c>
      <c r="R43" s="123" t="str">
        <f>Cen!C127</f>
        <v>R737</v>
      </c>
      <c r="S43" s="385">
        <f>IF($U$2=4, 0, $G$30)</f>
        <v>0</v>
      </c>
      <c r="T43" s="386">
        <f>Cen!F127</f>
        <v>15.883479999999999</v>
      </c>
      <c r="U43" s="387">
        <f t="shared" si="1"/>
        <v>0</v>
      </c>
    </row>
    <row r="44" spans="1:21" x14ac:dyDescent="0.25">
      <c r="A44" s="114"/>
      <c r="B44" s="141"/>
      <c r="C44" s="141"/>
      <c r="D44" s="141"/>
      <c r="E44" s="141"/>
      <c r="F44" s="141"/>
      <c r="G44" s="141"/>
      <c r="H44" s="141"/>
      <c r="I44" s="141"/>
      <c r="J44" s="147"/>
      <c r="K44" s="152"/>
      <c r="L44" s="152"/>
      <c r="M44" s="114"/>
      <c r="N44" s="114"/>
      <c r="O44" s="114"/>
      <c r="P44" s="123" t="str">
        <f>Cen!A128</f>
        <v>Sada jednotek TIP-ON BLUMOTION, L5</v>
      </c>
      <c r="Q44" s="123" t="str">
        <f>Cen!B128</f>
        <v>T60B3560</v>
      </c>
      <c r="R44" s="123" t="str">
        <f>Cen!C128</f>
        <v>S</v>
      </c>
      <c r="S44" s="385">
        <f>IF($U$2=4, 0, $H$30)</f>
        <v>0</v>
      </c>
      <c r="T44" s="386">
        <f>Cen!F128</f>
        <v>15.883479999999999</v>
      </c>
      <c r="U44" s="387">
        <f t="shared" si="1"/>
        <v>0</v>
      </c>
    </row>
    <row r="45" spans="1:21" x14ac:dyDescent="0.25">
      <c r="A45" s="114"/>
      <c r="B45" s="141"/>
      <c r="C45" s="141"/>
      <c r="D45" s="141"/>
      <c r="E45" s="141"/>
      <c r="F45" s="141"/>
      <c r="G45" s="141"/>
      <c r="H45" s="141"/>
      <c r="I45" s="141"/>
      <c r="J45" s="147"/>
      <c r="K45" s="152"/>
      <c r="L45" s="152"/>
      <c r="M45" s="114"/>
      <c r="N45" s="114"/>
      <c r="O45" s="114"/>
      <c r="P45" s="123"/>
      <c r="Q45" s="123"/>
      <c r="R45" s="123"/>
      <c r="S45" s="385"/>
      <c r="T45" s="386"/>
      <c r="U45" s="387"/>
    </row>
    <row r="46" spans="1:21" x14ac:dyDescent="0.25">
      <c r="A46" s="114"/>
      <c r="B46" s="141"/>
      <c r="C46" s="141"/>
      <c r="D46" s="141"/>
      <c r="E46" s="141"/>
      <c r="F46" s="141"/>
      <c r="G46" s="141"/>
      <c r="H46" s="141"/>
      <c r="I46" s="141"/>
      <c r="J46" s="147"/>
      <c r="K46" s="152"/>
      <c r="L46" s="152"/>
      <c r="M46" s="114"/>
      <c r="N46" s="114"/>
      <c r="O46" s="114"/>
      <c r="P46" s="123" t="str">
        <f>Cen!A130</f>
        <v>Synchronizační adaptér</v>
      </c>
      <c r="Q46" s="123" t="str">
        <f>Cen!B130</f>
        <v>T60.000D</v>
      </c>
      <c r="R46" s="123" t="str">
        <f>Cen!C130</f>
        <v>R735</v>
      </c>
      <c r="S46" s="385">
        <f>SUM($S$40:$S$44)*2</f>
        <v>0</v>
      </c>
      <c r="T46" s="386">
        <f>Cen!F130</f>
        <v>0.22786000000000001</v>
      </c>
      <c r="U46" s="387">
        <f t="shared" si="1"/>
        <v>0</v>
      </c>
    </row>
    <row r="47" spans="1:21" x14ac:dyDescent="0.25">
      <c r="A47" s="114"/>
      <c r="B47" s="141"/>
      <c r="C47" s="141"/>
      <c r="D47" s="141"/>
      <c r="E47" s="141"/>
      <c r="F47" s="141"/>
      <c r="G47" s="141"/>
      <c r="H47" s="141"/>
      <c r="I47" s="141"/>
      <c r="J47" s="147"/>
      <c r="K47" s="152"/>
      <c r="L47" s="152"/>
      <c r="M47" s="114"/>
      <c r="N47" s="114"/>
      <c r="O47" s="114"/>
      <c r="P47" s="123" t="str">
        <f>Cen!A131</f>
        <v>Hřídel synchronizace</v>
      </c>
      <c r="Q47" s="123" t="str">
        <f>Cen!B131</f>
        <v>T60.1125W</v>
      </c>
      <c r="R47" s="123" t="str">
        <f>Cen!C131</f>
        <v>GR</v>
      </c>
      <c r="S47" s="385">
        <f>SUM($S$40:$S$44)</f>
        <v>0</v>
      </c>
      <c r="T47" s="386">
        <f>Cen!F131</f>
        <v>3.7524400000000004</v>
      </c>
      <c r="U47" s="387">
        <f t="shared" si="1"/>
        <v>0</v>
      </c>
    </row>
    <row r="48" spans="1:21" x14ac:dyDescent="0.25">
      <c r="A48" s="114"/>
      <c r="B48" s="141"/>
      <c r="C48" s="141"/>
      <c r="D48" s="141"/>
      <c r="E48" s="141"/>
      <c r="F48" s="141"/>
      <c r="G48" s="141"/>
      <c r="H48" s="141"/>
      <c r="I48" s="141"/>
      <c r="J48" s="147"/>
      <c r="K48" s="152"/>
      <c r="L48" s="152"/>
      <c r="M48" s="114"/>
      <c r="N48" s="114"/>
      <c r="O48" s="114"/>
      <c r="P48" s="123" t="str">
        <f>Cen!A132</f>
        <v>Jednodílná synchronizace</v>
      </c>
      <c r="Q48" s="123" t="str">
        <f>Cen!B132</f>
        <v>T60.300D</v>
      </c>
      <c r="R48" s="123" t="str">
        <f>Cen!C132</f>
        <v>R735</v>
      </c>
      <c r="S48" s="385"/>
      <c r="T48" s="386">
        <f>Cen!F132</f>
        <v>0.9112300000000001</v>
      </c>
      <c r="U48" s="387">
        <f t="shared" si="1"/>
        <v>0</v>
      </c>
    </row>
    <row r="49" spans="1:21" x14ac:dyDescent="0.25">
      <c r="A49" s="114"/>
      <c r="B49" s="141"/>
      <c r="C49" s="141"/>
      <c r="D49" s="141"/>
      <c r="E49" s="141"/>
      <c r="F49" s="141"/>
      <c r="G49" s="141"/>
      <c r="H49" s="141"/>
      <c r="I49" s="141"/>
      <c r="J49" s="147"/>
      <c r="K49" s="152"/>
      <c r="L49" s="152"/>
      <c r="M49" s="114"/>
      <c r="N49" s="114"/>
      <c r="O49" s="114"/>
      <c r="P49" s="123" t="str">
        <f>Cen!A134</f>
        <v>Držák hřídele synchronizace</v>
      </c>
      <c r="Q49" s="123" t="str">
        <f>Cen!B134</f>
        <v>T60B000H</v>
      </c>
      <c r="R49" s="123" t="str">
        <f>Cen!C134</f>
        <v>NI</v>
      </c>
      <c r="S49" s="385"/>
      <c r="T49" s="386">
        <f>Cen!F134</f>
        <v>0.23594999999999999</v>
      </c>
      <c r="U49" s="387">
        <f t="shared" si="1"/>
        <v>0</v>
      </c>
    </row>
    <row r="50" spans="1:21" x14ac:dyDescent="0.25">
      <c r="A50" s="114"/>
      <c r="B50" s="141"/>
      <c r="C50" s="141"/>
      <c r="D50" s="141"/>
      <c r="E50" s="141"/>
      <c r="F50" s="141"/>
      <c r="G50" s="141"/>
      <c r="H50" s="141"/>
      <c r="I50" s="141"/>
      <c r="J50" s="147"/>
      <c r="K50" s="152"/>
      <c r="L50" s="152"/>
      <c r="M50" s="114"/>
      <c r="N50" s="114"/>
      <c r="O50" s="114"/>
      <c r="P50" s="123" t="str">
        <f>Cen!A135</f>
        <v>Podpěrný úhelník pro dno</v>
      </c>
      <c r="Q50" s="123" t="str">
        <f>Cen!B135</f>
        <v>Z96.2011</v>
      </c>
      <c r="R50" s="123" t="str">
        <f>Cen!C135</f>
        <v>R737</v>
      </c>
      <c r="S50" s="385"/>
      <c r="T50" s="386">
        <f>Cen!F135</f>
        <v>1.1712800000000001</v>
      </c>
      <c r="U50" s="387">
        <f t="shared" si="1"/>
        <v>0</v>
      </c>
    </row>
    <row r="51" spans="1:21" x14ac:dyDescent="0.25">
      <c r="A51" s="114"/>
      <c r="B51" s="141"/>
      <c r="C51" s="141"/>
      <c r="D51" s="141"/>
      <c r="E51" s="141"/>
      <c r="F51" s="141"/>
      <c r="G51" s="141"/>
      <c r="H51" s="141"/>
      <c r="I51" s="141"/>
      <c r="J51" s="147"/>
      <c r="K51" s="152"/>
      <c r="L51" s="152"/>
      <c r="M51" s="114"/>
      <c r="N51" s="114"/>
      <c r="O51" s="114"/>
      <c r="P51" s="123"/>
      <c r="Q51" s="123"/>
      <c r="R51" s="123"/>
      <c r="S51" s="385"/>
      <c r="T51" s="386"/>
      <c r="U51" s="387"/>
    </row>
    <row r="52" spans="1:21" x14ac:dyDescent="0.25">
      <c r="A52" s="114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14"/>
      <c r="N52" s="114"/>
      <c r="O52" s="114"/>
      <c r="P52" s="123" t="str">
        <f>Cen!A143</f>
        <v>Držáky zadní stěny N, šedé</v>
      </c>
      <c r="Q52" s="123" t="str">
        <f>Cen!B143</f>
        <v>Z30N000S.04</v>
      </c>
      <c r="R52" s="123" t="str">
        <f>Cen!C143</f>
        <v>R906</v>
      </c>
      <c r="S52" s="385"/>
      <c r="T52" s="386">
        <f>Cen!F143</f>
        <v>1.4347399999999999</v>
      </c>
      <c r="U52" s="387">
        <f t="shared" ref="U52:U59" si="2">S52*T52</f>
        <v>0</v>
      </c>
    </row>
    <row r="53" spans="1:21" ht="13" x14ac:dyDescent="0.3">
      <c r="B53" s="401"/>
      <c r="C53" s="401"/>
      <c r="D53" s="401"/>
      <c r="E53" s="401"/>
      <c r="F53" s="401"/>
      <c r="G53" s="401"/>
      <c r="H53" s="39"/>
      <c r="I53" s="39"/>
      <c r="J53" s="39"/>
      <c r="K53" s="39"/>
      <c r="L53" s="39"/>
      <c r="P53" s="123" t="str">
        <f>Cen!A147</f>
        <v>Držáky zadní stěny M, šedé</v>
      </c>
      <c r="Q53" s="123" t="str">
        <f>Cen!B147</f>
        <v>Z30M000S.04</v>
      </c>
      <c r="R53" s="123" t="str">
        <f>Cen!C147</f>
        <v>R906</v>
      </c>
      <c r="S53" s="385"/>
      <c r="T53" s="386">
        <f>Cen!F147</f>
        <v>1.59188</v>
      </c>
      <c r="U53" s="387">
        <f>S53*T53</f>
        <v>0</v>
      </c>
    </row>
    <row r="54" spans="1:21" ht="13" x14ac:dyDescent="0.3">
      <c r="B54" s="401"/>
      <c r="C54" s="401"/>
      <c r="D54" s="401"/>
      <c r="E54" s="401"/>
      <c r="F54" s="401"/>
      <c r="G54" s="401"/>
      <c r="H54" s="39"/>
      <c r="I54" s="39"/>
      <c r="J54" s="39"/>
      <c r="K54" s="39"/>
      <c r="L54" s="39"/>
      <c r="P54" s="123" t="str">
        <f>Cen!A151</f>
        <v>Držáky zadní stěny K, šedé</v>
      </c>
      <c r="Q54" s="123" t="str">
        <f>Cen!B151</f>
        <v>Z30K000S</v>
      </c>
      <c r="R54" s="123" t="str">
        <f>Cen!C151</f>
        <v>R906</v>
      </c>
      <c r="S54" s="385"/>
      <c r="T54" s="386">
        <f>Cen!F151</f>
        <v>2.4067799999999999</v>
      </c>
      <c r="U54" s="387">
        <f t="shared" si="2"/>
        <v>0</v>
      </c>
    </row>
    <row r="55" spans="1:21" x14ac:dyDescent="0.25">
      <c r="P55" s="123" t="str">
        <f>Cen!A154</f>
        <v>Držáky zadní stěny B, šedé</v>
      </c>
      <c r="Q55" s="123" t="str">
        <f>Cen!B154</f>
        <v>Z30B000S.04</v>
      </c>
      <c r="R55" s="123" t="str">
        <f>Cen!C154</f>
        <v>R906</v>
      </c>
      <c r="S55" s="385"/>
      <c r="T55" s="386">
        <f>Cen!F154</f>
        <v>1.74017</v>
      </c>
      <c r="U55" s="387">
        <f t="shared" si="2"/>
        <v>0</v>
      </c>
    </row>
    <row r="56" spans="1:21" x14ac:dyDescent="0.25">
      <c r="P56" s="123" t="str">
        <f>Cen!A158</f>
        <v>Držáky zadní stěny C, šedé</v>
      </c>
      <c r="Q56" s="123" t="str">
        <f>Cen!B158</f>
        <v>Z30C000S</v>
      </c>
      <c r="R56" s="123" t="str">
        <f>Cen!C158</f>
        <v>R906</v>
      </c>
      <c r="S56" s="385"/>
      <c r="T56" s="386">
        <f>Cen!F158</f>
        <v>2.7871800000000002</v>
      </c>
      <c r="U56" s="387">
        <f t="shared" si="2"/>
        <v>0</v>
      </c>
    </row>
    <row r="57" spans="1:21" x14ac:dyDescent="0.25">
      <c r="P57" s="123" t="str">
        <f>Cen!A162</f>
        <v>Držáky zadní stěny D, šedé</v>
      </c>
      <c r="Q57" s="123" t="str">
        <f>Cen!B162</f>
        <v>Z30D000S</v>
      </c>
      <c r="R57" s="123" t="str">
        <f>Cen!C162</f>
        <v>R906</v>
      </c>
      <c r="S57" s="385">
        <f>SUM($S$3:$S$11)</f>
        <v>0</v>
      </c>
      <c r="T57" s="386">
        <f>Cen!F162</f>
        <v>2.93709</v>
      </c>
      <c r="U57" s="387">
        <f>S57*T57</f>
        <v>0</v>
      </c>
    </row>
    <row r="58" spans="1:21" x14ac:dyDescent="0.25">
      <c r="P58" s="123"/>
      <c r="Q58" s="123"/>
      <c r="R58" s="123"/>
      <c r="S58" s="385"/>
      <c r="T58" s="386"/>
      <c r="U58" s="387"/>
    </row>
    <row r="59" spans="1:21" x14ac:dyDescent="0.25">
      <c r="P59" s="123" t="str">
        <f>Cen!A173</f>
        <v>Čelní kování INSERTA</v>
      </c>
      <c r="Q59" s="123" t="str">
        <f>Cen!B173</f>
        <v>ZSF.39A2</v>
      </c>
      <c r="R59" s="123" t="str">
        <f>Cen!C173</f>
        <v>BL</v>
      </c>
      <c r="S59" s="385">
        <f>SUM($S$3:$S$11)*2</f>
        <v>0</v>
      </c>
      <c r="T59" s="386">
        <f>Cen!F173</f>
        <v>0.75153000000000003</v>
      </c>
      <c r="U59" s="387">
        <f t="shared" si="2"/>
        <v>0</v>
      </c>
    </row>
    <row r="60" spans="1:21" x14ac:dyDescent="0.25">
      <c r="P60" s="123"/>
      <c r="Q60" s="123"/>
      <c r="R60" s="123"/>
      <c r="S60" s="385"/>
      <c r="T60" s="386"/>
      <c r="U60" s="387"/>
    </row>
    <row r="63" spans="1:21" x14ac:dyDescent="0.25">
      <c r="P63" s="123" t="str">
        <f>Cen!A215</f>
        <v>Podélný reling vlevo/vpravo, 270mm, šedý</v>
      </c>
      <c r="Q63" s="123" t="str">
        <f>Cen!B215</f>
        <v>ZRG.207RSIC</v>
      </c>
      <c r="R63" s="123" t="str">
        <f>Cen!C215</f>
        <v>R906</v>
      </c>
      <c r="S63" s="385">
        <f t="shared" ref="S63:S71" si="3">S3</f>
        <v>0</v>
      </c>
      <c r="T63" s="402">
        <f>Cen!F215</f>
        <v>6.5190299999999999</v>
      </c>
      <c r="U63" s="387">
        <f t="shared" ref="U63:U71" si="4">S63*T63</f>
        <v>0</v>
      </c>
    </row>
    <row r="64" spans="1:21" x14ac:dyDescent="0.25">
      <c r="P64" s="123" t="str">
        <f>Cen!A219</f>
        <v>Podélný reling vlevo/vpravo, 300mm, šedý</v>
      </c>
      <c r="Q64" s="123" t="str">
        <f>Cen!B219</f>
        <v>ZRG.237RSIC</v>
      </c>
      <c r="R64" s="123" t="str">
        <f>Cen!C219</f>
        <v>R906</v>
      </c>
      <c r="S64" s="385">
        <f t="shared" si="3"/>
        <v>0</v>
      </c>
      <c r="T64" s="402">
        <f>Cen!F219</f>
        <v>6.62744</v>
      </c>
      <c r="U64" s="387">
        <f t="shared" si="4"/>
        <v>0</v>
      </c>
    </row>
    <row r="65" spans="16:21" x14ac:dyDescent="0.25">
      <c r="P65" s="123" t="str">
        <f>Cen!A223</f>
        <v>Podélný reling vlevo/vpravo, 350mm, šedý</v>
      </c>
      <c r="Q65" s="123" t="str">
        <f>Cen!B223</f>
        <v>ZRG.287RSIC</v>
      </c>
      <c r="R65" s="123" t="str">
        <f>Cen!C223</f>
        <v>R906</v>
      </c>
      <c r="S65" s="385">
        <f t="shared" si="3"/>
        <v>0</v>
      </c>
      <c r="T65" s="402">
        <f>Cen!F223</f>
        <v>6.7358200000000004</v>
      </c>
      <c r="U65" s="387">
        <f t="shared" si="4"/>
        <v>0</v>
      </c>
    </row>
    <row r="66" spans="16:21" x14ac:dyDescent="0.25">
      <c r="P66" s="123" t="str">
        <f>Cen!A227</f>
        <v>Podélný reling vlevo/vpravo, 400mm, šedý</v>
      </c>
      <c r="Q66" s="123" t="str">
        <f>Cen!B227</f>
        <v>ZRG.337RSIC</v>
      </c>
      <c r="R66" s="123" t="str">
        <f>Cen!C227</f>
        <v>R906</v>
      </c>
      <c r="S66" s="385">
        <f t="shared" si="3"/>
        <v>0</v>
      </c>
      <c r="T66" s="402">
        <f>Cen!F227</f>
        <v>6.8442100000000003</v>
      </c>
      <c r="U66" s="387">
        <f t="shared" si="4"/>
        <v>0</v>
      </c>
    </row>
    <row r="67" spans="16:21" x14ac:dyDescent="0.25">
      <c r="P67" s="123" t="str">
        <f>Cen!A231</f>
        <v>Podélný reling vlevo/vpravo, 450mm, šedý</v>
      </c>
      <c r="Q67" s="123" t="str">
        <f>Cen!B231</f>
        <v>ZRG.387RSIC</v>
      </c>
      <c r="R67" s="123" t="str">
        <f>Cen!C231</f>
        <v>R906</v>
      </c>
      <c r="S67" s="385">
        <f t="shared" si="3"/>
        <v>0</v>
      </c>
      <c r="T67" s="402">
        <f>Cen!F231</f>
        <v>6.2810499999999987</v>
      </c>
      <c r="U67" s="387">
        <f t="shared" si="4"/>
        <v>0</v>
      </c>
    </row>
    <row r="68" spans="16:21" x14ac:dyDescent="0.25">
      <c r="P68" s="123" t="str">
        <f>Cen!A235</f>
        <v>Podélný reling vlevo/vpravo, 500mm, šedý</v>
      </c>
      <c r="Q68" s="123" t="str">
        <f>Cen!B235</f>
        <v>ZRG.437RSIC</v>
      </c>
      <c r="R68" s="123" t="str">
        <f>Cen!C235</f>
        <v>R906</v>
      </c>
      <c r="S68" s="385">
        <f t="shared" si="3"/>
        <v>0</v>
      </c>
      <c r="T68" s="402">
        <f>Cen!F235</f>
        <v>6.3789800000000003</v>
      </c>
      <c r="U68" s="387">
        <f t="shared" si="4"/>
        <v>0</v>
      </c>
    </row>
    <row r="69" spans="16:21" x14ac:dyDescent="0.25">
      <c r="P69" s="123" t="str">
        <f>Cen!A239</f>
        <v>Podélný reling vlevo/vpravo, 550mm, šedý</v>
      </c>
      <c r="Q69" s="123" t="str">
        <f>Cen!B239</f>
        <v>ZRG.487RSIC</v>
      </c>
      <c r="R69" s="123" t="str">
        <f>Cen!C239</f>
        <v>R906</v>
      </c>
      <c r="S69" s="385">
        <f t="shared" si="3"/>
        <v>0</v>
      </c>
      <c r="T69" s="402">
        <f>Cen!F239</f>
        <v>7.3622199999999998</v>
      </c>
      <c r="U69" s="387">
        <f t="shared" si="4"/>
        <v>0</v>
      </c>
    </row>
    <row r="70" spans="16:21" x14ac:dyDescent="0.25">
      <c r="P70" s="123" t="str">
        <f>Cen!A243</f>
        <v>Podélný reling vlevo/vpravo, 600mm, šedý</v>
      </c>
      <c r="Q70" s="123" t="str">
        <f>Cen!B243</f>
        <v>ZRG.537RSIC</v>
      </c>
      <c r="R70" s="123" t="str">
        <f>Cen!C243</f>
        <v>R906</v>
      </c>
      <c r="S70" s="385">
        <f t="shared" si="3"/>
        <v>0</v>
      </c>
      <c r="T70" s="402">
        <f>Cen!F243</f>
        <v>6.9229999999999992</v>
      </c>
      <c r="U70" s="387">
        <f t="shared" si="4"/>
        <v>0</v>
      </c>
    </row>
    <row r="71" spans="16:21" x14ac:dyDescent="0.25">
      <c r="P71" s="123" t="str">
        <f>Cen!A247</f>
        <v>Podélný reling vlevo/vpravo, 650mm, šedý</v>
      </c>
      <c r="Q71" s="123" t="str">
        <f>Cen!B247</f>
        <v>ZRG.587RSIC</v>
      </c>
      <c r="R71" s="123" t="str">
        <f>Cen!C247</f>
        <v>R906</v>
      </c>
      <c r="S71" s="385">
        <f t="shared" si="3"/>
        <v>0</v>
      </c>
      <c r="T71" s="402">
        <f>Cen!F247</f>
        <v>7.9644300000000001</v>
      </c>
      <c r="U71" s="387">
        <f t="shared" si="4"/>
        <v>0</v>
      </c>
    </row>
    <row r="72" spans="16:21" x14ac:dyDescent="0.25">
      <c r="P72" s="123"/>
      <c r="Q72" s="123"/>
      <c r="R72" s="123"/>
      <c r="S72" s="385"/>
      <c r="T72" s="402"/>
      <c r="U72" s="387"/>
    </row>
    <row r="73" spans="16:21" x14ac:dyDescent="0.25">
      <c r="P73" s="123" t="str">
        <f>Cen!A328</f>
        <v>Sada držáků zásuvného prvku D, bílošedá</v>
      </c>
      <c r="Q73" s="123" t="str">
        <f>Cen!B328</f>
        <v>Z36D0080</v>
      </c>
      <c r="R73" s="123" t="str">
        <f>Cen!C328</f>
        <v>WGR</v>
      </c>
      <c r="S73" s="385">
        <f>SUM($S$3:$S$11)</f>
        <v>0</v>
      </c>
      <c r="T73" s="402">
        <f>Cen!F328</f>
        <v>2.4851200000000002</v>
      </c>
      <c r="U73" s="387">
        <f>S73*T73</f>
        <v>0</v>
      </c>
    </row>
    <row r="74" spans="16:21" x14ac:dyDescent="0.25">
      <c r="P74" s="123"/>
      <c r="Q74" s="123"/>
      <c r="R74" s="123"/>
      <c r="S74" s="385"/>
      <c r="T74" s="402"/>
      <c r="U74" s="387"/>
    </row>
    <row r="75" spans="16:21" x14ac:dyDescent="0.25">
      <c r="P75" s="123"/>
      <c r="Q75" s="123"/>
      <c r="R75" s="123"/>
      <c r="S75" s="385"/>
      <c r="T75" s="402"/>
      <c r="U75" s="387"/>
    </row>
    <row r="76" spans="16:21" x14ac:dyDescent="0.25">
      <c r="P76" s="123"/>
      <c r="Q76" s="123"/>
      <c r="R76" s="123"/>
      <c r="S76" s="385"/>
      <c r="T76" s="402"/>
      <c r="U76" s="387"/>
    </row>
    <row r="77" spans="16:21" x14ac:dyDescent="0.25">
      <c r="P77" s="123"/>
      <c r="Q77" s="123"/>
      <c r="R77" s="123"/>
      <c r="S77" s="385"/>
      <c r="T77" s="402"/>
      <c r="U77" s="387"/>
    </row>
    <row r="78" spans="16:21" x14ac:dyDescent="0.25">
      <c r="P78" s="123"/>
      <c r="Q78" s="123"/>
      <c r="R78" s="123"/>
      <c r="S78" s="385"/>
      <c r="T78" s="402"/>
      <c r="U78" s="387"/>
    </row>
    <row r="79" spans="16:21" x14ac:dyDescent="0.25">
      <c r="P79" s="123" t="str">
        <f>Cen!A292</f>
        <v>Kovový zásuvný prvek D, 450mm, šedý</v>
      </c>
      <c r="Q79" s="123" t="str">
        <f>Cen!B292</f>
        <v>Z37A417D</v>
      </c>
      <c r="R79" s="123" t="str">
        <f>Cen!C292</f>
        <v>R906</v>
      </c>
      <c r="S79" s="385">
        <f>SUM(S3:S7)*2</f>
        <v>0</v>
      </c>
      <c r="T79" s="402">
        <f>Cen!F292</f>
        <v>6.1435899999999997</v>
      </c>
      <c r="U79" s="387">
        <f>S79*T79</f>
        <v>0</v>
      </c>
    </row>
    <row r="80" spans="16:21" x14ac:dyDescent="0.25">
      <c r="P80" s="123" t="str">
        <f>Cen!A295</f>
        <v>Kovový zásuvný prvek D, 500mm, šedý</v>
      </c>
      <c r="Q80" s="123" t="str">
        <f>Cen!B295</f>
        <v>Z37A467D</v>
      </c>
      <c r="R80" s="123" t="str">
        <f>Cen!C295</f>
        <v>R906</v>
      </c>
      <c r="S80" s="385">
        <f>S8*2</f>
        <v>0</v>
      </c>
      <c r="T80" s="402">
        <f>Cen!F295</f>
        <v>6.4565700000000001</v>
      </c>
      <c r="U80" s="387">
        <f>S80*T80</f>
        <v>0</v>
      </c>
    </row>
    <row r="81" spans="16:21" x14ac:dyDescent="0.25">
      <c r="P81" s="123" t="str">
        <f>Cen!A298</f>
        <v>Kovový zásuvný prvek D, 550mm, šedý</v>
      </c>
      <c r="Q81" s="123" t="str">
        <f>Cen!B298</f>
        <v>Z37A517D</v>
      </c>
      <c r="R81" s="123" t="str">
        <f>Cen!C298</f>
        <v>R906</v>
      </c>
      <c r="S81" s="385">
        <f>S9*2</f>
        <v>0</v>
      </c>
      <c r="T81" s="402">
        <f>Cen!F298</f>
        <v>6.9749699999999999</v>
      </c>
      <c r="U81" s="387">
        <f>S81*T81</f>
        <v>0</v>
      </c>
    </row>
    <row r="82" spans="16:21" x14ac:dyDescent="0.25">
      <c r="P82" s="123">
        <f>Cen!A301</f>
        <v>0</v>
      </c>
      <c r="Q82" s="123">
        <f>Cen!B301</f>
        <v>0</v>
      </c>
      <c r="R82" s="123">
        <f>Cen!C301</f>
        <v>0</v>
      </c>
      <c r="S82" s="385"/>
      <c r="T82" s="402">
        <f>Cen!F301</f>
        <v>0</v>
      </c>
      <c r="U82" s="387">
        <f>S82*T82</f>
        <v>0</v>
      </c>
    </row>
    <row r="83" spans="16:21" x14ac:dyDescent="0.25">
      <c r="P83" s="123" t="str">
        <f>Cen!A304</f>
        <v>Kovový zásuvný prvek D, 650mm, šedý</v>
      </c>
      <c r="Q83" s="123" t="str">
        <f>Cen!B304</f>
        <v>Z37A617D</v>
      </c>
      <c r="R83" s="123" t="str">
        <f>Cen!C304</f>
        <v>R906</v>
      </c>
      <c r="S83" s="385">
        <f>SUM(S10, S11)*2</f>
        <v>0</v>
      </c>
      <c r="T83" s="402">
        <f>Cen!F304</f>
        <v>8.0120000000000005</v>
      </c>
      <c r="U83" s="387">
        <f>S83*T83</f>
        <v>0</v>
      </c>
    </row>
    <row r="90" spans="16:21" x14ac:dyDescent="0.25">
      <c r="U90" s="436">
        <f>SUM(U3:U89)</f>
        <v>0</v>
      </c>
    </row>
    <row r="98" spans="1:16" x14ac:dyDescent="0.25">
      <c r="P98" s="114" t="str">
        <f>List!$B$276&amp;"!"</f>
        <v>S0 a S1 pouze pro jmenovitou délku 270 a 300 mm!</v>
      </c>
    </row>
    <row r="99" spans="1:16" x14ac:dyDescent="0.25">
      <c r="A99" s="577"/>
      <c r="P99" s="114" t="str">
        <f>List!$B$277&amp;"!"</f>
        <v>Pro výsuvy délky 270 a 300 mm vyberte jednotky S0 nebo S1!</v>
      </c>
    </row>
    <row r="100" spans="1:16" x14ac:dyDescent="0.25">
      <c r="A100" s="577"/>
      <c r="B100" s="586" t="str">
        <f>List!B25</f>
        <v>Informace k objednávání</v>
      </c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P100" s="114" t="str">
        <f>List!$B$278&amp;"!"</f>
        <v>Počet jednotek L neodpovídá počtu korpusových lišt!</v>
      </c>
    </row>
    <row r="101" spans="1:16" x14ac:dyDescent="0.25">
      <c r="A101" s="577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P101" s="114" t="str">
        <f>List!$B$279&amp;"!"</f>
        <v>Počet jednotek S neodpovídá počtu korpusových lišt!</v>
      </c>
    </row>
    <row r="102" spans="1:16" ht="7.5" customHeight="1" x14ac:dyDescent="0.25">
      <c r="A102" s="577"/>
    </row>
    <row r="103" spans="1:16" ht="18.75" customHeight="1" thickBot="1" x14ac:dyDescent="0.3">
      <c r="A103" s="577"/>
      <c r="B103" s="587"/>
      <c r="C103" s="587"/>
      <c r="D103" s="588" t="str">
        <f>List!B268&amp;" "&amp;List!B283</f>
        <v>Sada jednotek TIP-ON BLUMOTION a sada unašečů TIP-ON BLUMOTION</v>
      </c>
      <c r="E103" s="588"/>
      <c r="F103" s="588"/>
      <c r="G103" s="588"/>
      <c r="H103" s="588"/>
      <c r="I103" s="588"/>
      <c r="J103" s="588"/>
      <c r="K103" s="588"/>
      <c r="L103" s="588"/>
      <c r="P103" s="114" t="str">
        <f>List!$B$289&amp;"!"</f>
        <v>Kovové zásuvné prvky pro nerez (Inox) se nevyrábí!</v>
      </c>
    </row>
    <row r="104" spans="1:16" ht="18.75" customHeight="1" thickBot="1" x14ac:dyDescent="0.3">
      <c r="A104" s="577"/>
      <c r="B104" s="589"/>
      <c r="C104" s="590"/>
      <c r="D104" s="593" t="str">
        <f>List!$B$280&amp;":"</f>
        <v>Využití pro:</v>
      </c>
      <c r="E104" s="594"/>
      <c r="F104" s="594"/>
      <c r="G104" s="594"/>
      <c r="H104" s="594"/>
      <c r="I104" s="595"/>
      <c r="J104" s="596" t="str">
        <f>List!B281&amp;"*"</f>
        <v>Doporučené hodnoty hmotnosti*</v>
      </c>
      <c r="K104" s="597"/>
      <c r="L104" s="597"/>
      <c r="P104" s="114" t="str">
        <f>List!$B$290&amp;"!"</f>
        <v>Kování naplánované na tomto listu se neprojeví v objednávce!</v>
      </c>
    </row>
    <row r="105" spans="1:16" ht="18.75" customHeight="1" thickBot="1" x14ac:dyDescent="0.3">
      <c r="A105" s="577"/>
      <c r="B105" s="591"/>
      <c r="C105" s="592"/>
      <c r="D105" s="600" t="str">
        <f>List!B45&amp;" (NL)"</f>
        <v>Jmenovitá délka (NL)</v>
      </c>
      <c r="E105" s="600"/>
      <c r="F105" s="600"/>
      <c r="G105" s="362" t="str">
        <f>List!B275</f>
        <v>Jednotka</v>
      </c>
      <c r="H105" s="601" t="str">
        <f>List!B88</f>
        <v>Číslo artiklu</v>
      </c>
      <c r="I105" s="602"/>
      <c r="J105" s="598"/>
      <c r="K105" s="599"/>
      <c r="L105" s="599"/>
    </row>
    <row r="106" spans="1:16" ht="18.75" customHeight="1" thickBot="1" x14ac:dyDescent="0.3">
      <c r="A106" s="577"/>
      <c r="B106" s="591"/>
      <c r="C106" s="592"/>
      <c r="D106" s="603" t="s">
        <v>988</v>
      </c>
      <c r="E106" s="604"/>
      <c r="F106" s="605"/>
      <c r="G106" s="363" t="s">
        <v>932</v>
      </c>
      <c r="H106" s="610" t="s">
        <v>997</v>
      </c>
      <c r="I106" s="611"/>
      <c r="J106" s="371" t="s">
        <v>999</v>
      </c>
      <c r="K106" s="369"/>
      <c r="L106" s="369"/>
    </row>
    <row r="107" spans="1:16" ht="18.75" customHeight="1" thickBot="1" x14ac:dyDescent="0.3">
      <c r="A107" s="577"/>
      <c r="B107" s="591"/>
      <c r="C107" s="592"/>
      <c r="D107" s="606"/>
      <c r="E107" s="607"/>
      <c r="F107" s="608"/>
      <c r="G107" s="363" t="s">
        <v>933</v>
      </c>
      <c r="H107" s="610" t="s">
        <v>989</v>
      </c>
      <c r="I107" s="611"/>
      <c r="J107" s="371" t="s">
        <v>998</v>
      </c>
      <c r="K107" s="364"/>
      <c r="L107" s="364"/>
    </row>
    <row r="108" spans="1:16" ht="18.75" customHeight="1" thickBot="1" x14ac:dyDescent="0.3">
      <c r="A108" s="577"/>
      <c r="B108" s="591"/>
      <c r="C108" s="592"/>
      <c r="D108" s="603" t="s">
        <v>991</v>
      </c>
      <c r="E108" s="604"/>
      <c r="F108" s="605"/>
      <c r="G108" s="363" t="s">
        <v>934</v>
      </c>
      <c r="H108" s="610" t="s">
        <v>992</v>
      </c>
      <c r="I108" s="611"/>
      <c r="J108" s="371" t="s">
        <v>990</v>
      </c>
      <c r="K108" s="364"/>
      <c r="L108" s="364"/>
    </row>
    <row r="109" spans="1:16" ht="18.75" customHeight="1" thickBot="1" x14ac:dyDescent="0.3">
      <c r="A109" s="577"/>
      <c r="B109" s="591"/>
      <c r="C109" s="592"/>
      <c r="D109" s="612"/>
      <c r="E109" s="613"/>
      <c r="F109" s="614"/>
      <c r="G109" s="363" t="s">
        <v>935</v>
      </c>
      <c r="H109" s="610" t="s">
        <v>993</v>
      </c>
      <c r="I109" s="611"/>
      <c r="J109" s="615" t="s">
        <v>1483</v>
      </c>
      <c r="K109" s="616"/>
      <c r="L109" s="364"/>
    </row>
    <row r="110" spans="1:16" ht="18.75" customHeight="1" thickBot="1" x14ac:dyDescent="0.3">
      <c r="A110" s="577"/>
      <c r="B110" s="591"/>
      <c r="C110" s="592"/>
      <c r="D110" s="606"/>
      <c r="E110" s="607"/>
      <c r="F110" s="608"/>
      <c r="G110" s="363" t="s">
        <v>936</v>
      </c>
      <c r="H110" s="610" t="s">
        <v>995</v>
      </c>
      <c r="I110" s="611"/>
      <c r="J110" s="365"/>
      <c r="K110" s="616" t="s">
        <v>996</v>
      </c>
      <c r="L110" s="616"/>
    </row>
    <row r="111" spans="1:16" ht="18.75" customHeight="1" x14ac:dyDescent="0.25">
      <c r="A111" s="577"/>
      <c r="B111" s="591"/>
      <c r="C111" s="592"/>
      <c r="D111" s="366"/>
      <c r="E111" s="366"/>
      <c r="F111" s="366"/>
      <c r="G111" s="367"/>
      <c r="H111" s="609" t="str">
        <f>"* "&amp;List!B282</f>
        <v>* Celková hmotnost výsuvu (hmotnost výsuvu včetně náplně)</v>
      </c>
      <c r="I111" s="609"/>
      <c r="J111" s="609"/>
      <c r="K111" s="609"/>
      <c r="L111" s="609"/>
    </row>
    <row r="112" spans="1:16" ht="18.75" customHeight="1" x14ac:dyDescent="0.25">
      <c r="A112" s="577"/>
      <c r="B112" s="591"/>
      <c r="C112" s="592"/>
      <c r="D112" s="366"/>
      <c r="E112" s="366"/>
      <c r="F112" s="366"/>
      <c r="G112" s="368"/>
      <c r="H112" s="609"/>
      <c r="I112" s="609"/>
      <c r="J112" s="609"/>
      <c r="K112" s="609"/>
      <c r="L112" s="609"/>
    </row>
    <row r="113" spans="1:14" ht="18.75" customHeight="1" x14ac:dyDescent="0.25">
      <c r="A113" s="577"/>
      <c r="N113" s="370" t="str">
        <f>List!$B$99</f>
        <v>Zpět</v>
      </c>
    </row>
    <row r="114" spans="1:14" x14ac:dyDescent="0.25">
      <c r="A114" s="577"/>
    </row>
    <row r="115" spans="1:14" x14ac:dyDescent="0.25">
      <c r="A115" s="577"/>
    </row>
    <row r="116" spans="1:14" x14ac:dyDescent="0.25">
      <c r="A116" s="577"/>
    </row>
    <row r="117" spans="1:14" x14ac:dyDescent="0.25">
      <c r="A117" s="577"/>
    </row>
    <row r="118" spans="1:14" x14ac:dyDescent="0.25">
      <c r="A118" s="577"/>
    </row>
    <row r="119" spans="1:14" x14ac:dyDescent="0.25">
      <c r="A119" s="577"/>
    </row>
    <row r="120" spans="1:14" x14ac:dyDescent="0.25">
      <c r="A120" s="577"/>
    </row>
    <row r="121" spans="1:14" x14ac:dyDescent="0.25">
      <c r="A121" s="577"/>
    </row>
    <row r="122" spans="1:14" x14ac:dyDescent="0.25">
      <c r="A122" s="577"/>
    </row>
    <row r="123" spans="1:14" x14ac:dyDescent="0.25">
      <c r="A123" s="577"/>
    </row>
    <row r="124" spans="1:14" x14ac:dyDescent="0.25">
      <c r="A124" s="577"/>
    </row>
    <row r="125" spans="1:14" x14ac:dyDescent="0.25">
      <c r="A125" s="577"/>
    </row>
    <row r="126" spans="1:14" x14ac:dyDescent="0.25">
      <c r="A126" s="577"/>
    </row>
    <row r="127" spans="1:14" x14ac:dyDescent="0.25">
      <c r="A127" s="577"/>
    </row>
    <row r="128" spans="1:14" x14ac:dyDescent="0.25">
      <c r="A128" s="577"/>
    </row>
    <row r="129" spans="1:1" x14ac:dyDescent="0.25">
      <c r="A129" s="577"/>
    </row>
    <row r="130" spans="1:1" x14ac:dyDescent="0.25">
      <c r="A130" s="577"/>
    </row>
    <row r="131" spans="1:1" x14ac:dyDescent="0.25">
      <c r="A131" s="577"/>
    </row>
    <row r="132" spans="1:1" x14ac:dyDescent="0.25">
      <c r="A132" s="577"/>
    </row>
    <row r="133" spans="1:1" x14ac:dyDescent="0.25">
      <c r="A133" s="577"/>
    </row>
    <row r="134" spans="1:1" x14ac:dyDescent="0.25">
      <c r="A134" s="577"/>
    </row>
    <row r="135" spans="1:1" x14ac:dyDescent="0.25">
      <c r="A135" s="577"/>
    </row>
    <row r="136" spans="1:1" x14ac:dyDescent="0.25">
      <c r="A136" s="577"/>
    </row>
    <row r="137" spans="1:1" x14ac:dyDescent="0.25">
      <c r="A137" s="577"/>
    </row>
    <row r="138" spans="1:1" x14ac:dyDescent="0.25">
      <c r="A138" s="577"/>
    </row>
    <row r="139" spans="1:1" x14ac:dyDescent="0.25">
      <c r="A139" s="577"/>
    </row>
    <row r="140" spans="1:1" x14ac:dyDescent="0.25">
      <c r="A140" s="577"/>
    </row>
  </sheetData>
  <sheetProtection algorithmName="SHA-512" hashValue="Ri5GtDjH6fPu11H5sCkfF2kSvSlgAnCi0KimfCB4IWiX3P1Rb+07dOMj8vhLJU79GIlWk2LJ+Qhsggn24p2OVg==" saltValue="yjt6RRIQCQ3QaTseKmSE3w==" spinCount="100000" sheet="1" objects="1" scenarios="1"/>
  <mergeCells count="19">
    <mergeCell ref="J109:K109"/>
    <mergeCell ref="H110:I110"/>
    <mergeCell ref="K110:L110"/>
    <mergeCell ref="A99:A140"/>
    <mergeCell ref="B100:L101"/>
    <mergeCell ref="B103:C103"/>
    <mergeCell ref="D103:L103"/>
    <mergeCell ref="B104:C112"/>
    <mergeCell ref="D104:I104"/>
    <mergeCell ref="J104:L105"/>
    <mergeCell ref="D105:F105"/>
    <mergeCell ref="H105:I105"/>
    <mergeCell ref="D106:F107"/>
    <mergeCell ref="H111:L112"/>
    <mergeCell ref="H106:I106"/>
    <mergeCell ref="H107:I107"/>
    <mergeCell ref="D108:F110"/>
    <mergeCell ref="H108:I108"/>
    <mergeCell ref="H109:I109"/>
  </mergeCells>
  <phoneticPr fontId="53" type="noConversion"/>
  <hyperlinks>
    <hyperlink ref="N3" location="Form!A1" tooltip=" " display="Form!A1"/>
    <hyperlink ref="N4" location="Menu!A1" tooltip=" " display="Menu!A1"/>
    <hyperlink ref="N7" location="Acs!A1" tooltip=" " display="Acs!A1"/>
    <hyperlink ref="N9" location="OL!A1" tooltip=" " display="ORGA-LINE"/>
    <hyperlink ref="N8" location="SD!A1" tooltip=" " display="SD!A1"/>
    <hyperlink ref="N10" location="Sum!A1" tooltip=" " display="Sum!A1"/>
    <hyperlink ref="N28" location="AD310M!A100" tooltip=" " display="AD310M!A100"/>
    <hyperlink ref="N113" location="AD310M!A1" tooltip=" " display="AD310M!A1"/>
  </hyperlinks>
  <pageMargins left="0.7" right="0.7" top="0.78740157499999996" bottom="0.78740157499999996" header="0.3" footer="0.3"/>
  <pageSetup paperSize="9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65</vt:i4>
      </vt:variant>
      <vt:variant>
        <vt:lpstr>Pojmenované oblasti</vt:lpstr>
      </vt:variant>
      <vt:variant>
        <vt:i4>25</vt:i4>
      </vt:variant>
    </vt:vector>
  </HeadingPairs>
  <TitlesOfParts>
    <vt:vector size="90" baseType="lpstr">
      <vt:lpstr>Form</vt:lpstr>
      <vt:lpstr>Menu</vt:lpstr>
      <vt:lpstr>AN300</vt:lpstr>
      <vt:lpstr>AM300</vt:lpstr>
      <vt:lpstr>AK300</vt:lpstr>
      <vt:lpstr>AM30V</vt:lpstr>
      <vt:lpstr>AK30V</vt:lpstr>
      <vt:lpstr>AD310G</vt:lpstr>
      <vt:lpstr>AD310M</vt:lpstr>
      <vt:lpstr>AD310R</vt:lpstr>
      <vt:lpstr>AD31VG</vt:lpstr>
      <vt:lpstr>AD31VM</vt:lpstr>
      <vt:lpstr>AD31VR</vt:lpstr>
      <vt:lpstr>AC310G</vt:lpstr>
      <vt:lpstr>AC310M</vt:lpstr>
      <vt:lpstr>AC310R</vt:lpstr>
      <vt:lpstr>AC31VG</vt:lpstr>
      <vt:lpstr>AC31VM</vt:lpstr>
      <vt:lpstr>AC31VR</vt:lpstr>
      <vt:lpstr>AM530S</vt:lpstr>
      <vt:lpstr>AD535SG</vt:lpstr>
      <vt:lpstr>AD535SM</vt:lpstr>
      <vt:lpstr>AD535SR</vt:lpstr>
      <vt:lpstr>AM530</vt:lpstr>
      <vt:lpstr>AD535G</vt:lpstr>
      <vt:lpstr>AD535M</vt:lpstr>
      <vt:lpstr>AD535R</vt:lpstr>
      <vt:lpstr>AM340</vt:lpstr>
      <vt:lpstr>AD342G</vt:lpstr>
      <vt:lpstr>AD342M</vt:lpstr>
      <vt:lpstr>AD342R</vt:lpstr>
      <vt:lpstr>ADD32G</vt:lpstr>
      <vt:lpstr>ADD32M</vt:lpstr>
      <vt:lpstr>ADD32R</vt:lpstr>
      <vt:lpstr>ADM30G</vt:lpstr>
      <vt:lpstr>ADM30M</vt:lpstr>
      <vt:lpstr>ADM30R</vt:lpstr>
      <vt:lpstr>ADM45G</vt:lpstr>
      <vt:lpstr>ADM45M</vt:lpstr>
      <vt:lpstr>ADM45R</vt:lpstr>
      <vt:lpstr>ADD45G</vt:lpstr>
      <vt:lpstr>ADD45M</vt:lpstr>
      <vt:lpstr>ADD45R</vt:lpstr>
      <vt:lpstr>Acs</vt:lpstr>
      <vt:lpstr>SD</vt:lpstr>
      <vt:lpstr>OL</vt:lpstr>
      <vt:lpstr>OLMi</vt:lpstr>
      <vt:lpstr>OLRo</vt:lpstr>
      <vt:lpstr>OLP1</vt:lpstr>
      <vt:lpstr>OLP2</vt:lpstr>
      <vt:lpstr>OLTa</vt:lpstr>
      <vt:lpstr>OLVMP</vt:lpstr>
      <vt:lpstr>OLKMP</vt:lpstr>
      <vt:lpstr>OLKo</vt:lpstr>
      <vt:lpstr>OLVM</vt:lpstr>
      <vt:lpstr>OLVa</vt:lpstr>
      <vt:lpstr>OLMe</vt:lpstr>
      <vt:lpstr>OLRel</vt:lpstr>
      <vt:lpstr>OLOst</vt:lpstr>
      <vt:lpstr>Sum</vt:lpstr>
      <vt:lpstr>Zones</vt:lpstr>
      <vt:lpstr>Ord</vt:lpstr>
      <vt:lpstr>List</vt:lpstr>
      <vt:lpstr>Cen</vt:lpstr>
      <vt:lpstr>Price</vt:lpstr>
      <vt:lpstr>Ord!Názvy_tisku</vt:lpstr>
      <vt:lpstr>Acs!Oblast_tisku</vt:lpstr>
      <vt:lpstr>ADD45G!Oblast_tisku</vt:lpstr>
      <vt:lpstr>ADD45M!Oblast_tisku</vt:lpstr>
      <vt:lpstr>ADD45R!Oblast_tisku</vt:lpstr>
      <vt:lpstr>ADM45G!Oblast_tisku</vt:lpstr>
      <vt:lpstr>ADM45M!Oblast_tisku</vt:lpstr>
      <vt:lpstr>ADM45R!Oblast_tisku</vt:lpstr>
      <vt:lpstr>Menu!Oblast_tisku</vt:lpstr>
      <vt:lpstr>OL!Oblast_tisku</vt:lpstr>
      <vt:lpstr>OLKMP!Oblast_tisku</vt:lpstr>
      <vt:lpstr>OLKo!Oblast_tisku</vt:lpstr>
      <vt:lpstr>OLMe!Oblast_tisku</vt:lpstr>
      <vt:lpstr>OLMi!Oblast_tisku</vt:lpstr>
      <vt:lpstr>OLOst!Oblast_tisku</vt:lpstr>
      <vt:lpstr>'OLP1'!Oblast_tisku</vt:lpstr>
      <vt:lpstr>'OLP2'!Oblast_tisku</vt:lpstr>
      <vt:lpstr>OLRel!Oblast_tisku</vt:lpstr>
      <vt:lpstr>OLRo!Oblast_tisku</vt:lpstr>
      <vt:lpstr>OLTa!Oblast_tisku</vt:lpstr>
      <vt:lpstr>OLVa!Oblast_tisku</vt:lpstr>
      <vt:lpstr>OLVM!Oblast_tisku</vt:lpstr>
      <vt:lpstr>OLVMP!Oblast_tisku</vt:lpstr>
      <vt:lpstr>Ord!Oblast_tisku</vt:lpstr>
      <vt:lpstr>SD!Oblast_tisku</vt:lpstr>
    </vt:vector>
  </TitlesOfParts>
  <Company>Blum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BOXPLAN antaro</dc:title>
  <dc:creator>Richard Sajdl</dc:creator>
  <cp:lastModifiedBy>Zniszczol Martin</cp:lastModifiedBy>
  <cp:lastPrinted>2017-03-16T16:44:11Z</cp:lastPrinted>
  <dcterms:created xsi:type="dcterms:W3CDTF">2013-03-11T16:03:23Z</dcterms:created>
  <dcterms:modified xsi:type="dcterms:W3CDTF">2017-10-25T10:36:45Z</dcterms:modified>
  <cp:category>BOXPLAN</cp:category>
</cp:coreProperties>
</file>